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F:\PCCF_HoFF Desktop Backup\D Drive\CMO\"/>
    </mc:Choice>
  </mc:AlternateContent>
  <xr:revisionPtr revIDLastSave="0" documentId="8_{E9AE9CCA-1DB4-4364-92B8-E118C166DB37}" xr6:coauthVersionLast="45" xr6:coauthVersionMax="45" xr10:uidLastSave="{00000000-0000-0000-0000-000000000000}"/>
  <bookViews>
    <workbookView xWindow="-120" yWindow="-120" windowWidth="29040" windowHeight="15840" tabRatio="743" activeTab="1" xr2:uid="{00000000-000D-0000-FFFF-FFFF00000000}"/>
  </bookViews>
  <sheets>
    <sheet name="Abstract-Category" sheetId="69" r:id="rId1"/>
    <sheet name="Abstract-Year" sheetId="68" r:id="rId2"/>
    <sheet name="III_ANR" sheetId="60" r:id="rId3"/>
    <sheet name="II_ANR" sheetId="62" r:id="rId4"/>
    <sheet name="I_ANR" sheetId="58" r:id="rId5"/>
    <sheet name="Zero_ANR" sheetId="57" r:id="rId6"/>
    <sheet name="III_LI" sheetId="52" r:id="rId7"/>
    <sheet name="II_LI" sheetId="51" r:id="rId8"/>
    <sheet name="I_LI" sheetId="50" r:id="rId9"/>
    <sheet name="R_LI" sheetId="49" r:id="rId10"/>
    <sheet name="Adv_LI" sheetId="48" r:id="rId11"/>
    <sheet name="RoFR-3Years_ANR" sheetId="67" r:id="rId12"/>
    <sheet name="abstract" sheetId="70" r:id="rId13"/>
    <sheet name="ANR-3Years" sheetId="63" r:id="rId14"/>
    <sheet name="AR-LI" sheetId="65" r:id="rId15"/>
    <sheet name="AR-SMM" sheetId="1" r:id="rId16"/>
    <sheet name="M_6x12 (2)" sheetId="47" r:id="rId17"/>
    <sheet name="M_6x12" sheetId="6" r:id="rId18"/>
    <sheet name="Conversion" sheetId="5" r:id="rId19"/>
    <sheet name="M_4x7" sheetId="4" r:id="rId20"/>
    <sheet name="R_4x7" sheetId="37" r:id="rId21"/>
    <sheet name="Primary" sheetId="2" r:id="rId22"/>
    <sheet name="Adv_SMM" sheetId="45" r:id="rId23"/>
    <sheet name="R_SMM" sheetId="29" r:id="rId24"/>
    <sheet name="I_SMM" sheetId="28" r:id="rId25"/>
    <sheet name="II_SMM" sheetId="30" r:id="rId26"/>
    <sheet name="III_SMM" sheetId="31" r:id="rId27"/>
  </sheets>
  <externalReferences>
    <externalReference r:id="rId28"/>
  </externalReferences>
  <definedNames>
    <definedName name="__can430">40.73</definedName>
    <definedName name="__can435">43.3</definedName>
    <definedName name="_can430">40.73</definedName>
    <definedName name="_can435">43.3</definedName>
    <definedName name="_DFO1" localSheetId="13">[1]NTFP!#REF!</definedName>
    <definedName name="_DFO1" localSheetId="14">[1]NTFP!#REF!</definedName>
    <definedName name="_DFO1" localSheetId="4">[1]NTFP!#REF!</definedName>
    <definedName name="_DFO1" localSheetId="3">[1]NTFP!#REF!</definedName>
    <definedName name="_DFO1" localSheetId="2">[1]NTFP!#REF!</definedName>
    <definedName name="_DFO1" localSheetId="11">[1]NTFP!#REF!</definedName>
    <definedName name="_DFO1" localSheetId="5">[1]NTFP!#REF!</definedName>
    <definedName name="_DFO1">[1]NTFP!#REF!</definedName>
    <definedName name="aa" localSheetId="13">[1]NTFP!#REF!</definedName>
    <definedName name="aa" localSheetId="14">[1]NTFP!#REF!</definedName>
    <definedName name="aa" localSheetId="4">[1]NTFP!#REF!</definedName>
    <definedName name="aa" localSheetId="3">[1]NTFP!#REF!</definedName>
    <definedName name="aa" localSheetId="2">[1]NTFP!#REF!</definedName>
    <definedName name="aa" localSheetId="11">[1]NTFP!#REF!</definedName>
    <definedName name="aa" localSheetId="5">[1]NTFP!#REF!</definedName>
    <definedName name="aa">[1]NTFP!#REF!</definedName>
    <definedName name="as" localSheetId="13">#REF!</definedName>
    <definedName name="as" localSheetId="14">#REF!</definedName>
    <definedName name="as" localSheetId="4">#REF!</definedName>
    <definedName name="as" localSheetId="3">#REF!</definedName>
    <definedName name="as" localSheetId="2">#REF!</definedName>
    <definedName name="as" localSheetId="11">#REF!</definedName>
    <definedName name="as" localSheetId="5">#REF!</definedName>
    <definedName name="as">#REF!</definedName>
    <definedName name="_xlnm.Database" localSheetId="13">#REF!</definedName>
    <definedName name="_xlnm.Database" localSheetId="14">#REF!</definedName>
    <definedName name="_xlnm.Database" localSheetId="4">#REF!</definedName>
    <definedName name="_xlnm.Database" localSheetId="3">#REF!</definedName>
    <definedName name="_xlnm.Database" localSheetId="2">#REF!</definedName>
    <definedName name="_xlnm.Database" localSheetId="11">#REF!</definedName>
    <definedName name="_xlnm.Database" localSheetId="5">#REF!</definedName>
    <definedName name="_xlnm.Database">#REF!</definedName>
    <definedName name="dd" localSheetId="13">#REF!</definedName>
    <definedName name="dd" localSheetId="14">#REF!</definedName>
    <definedName name="dd" localSheetId="4">#REF!</definedName>
    <definedName name="dd" localSheetId="3">#REF!</definedName>
    <definedName name="dd" localSheetId="2">#REF!</definedName>
    <definedName name="dd" localSheetId="11">#REF!</definedName>
    <definedName name="dd" localSheetId="5">#REF!</definedName>
    <definedName name="dd">#REF!</definedName>
    <definedName name="ddd" localSheetId="13">#REF!</definedName>
    <definedName name="ddd" localSheetId="14">#REF!</definedName>
    <definedName name="ddd" localSheetId="4">#REF!</definedName>
    <definedName name="ddd" localSheetId="3">#REF!</definedName>
    <definedName name="ddd" localSheetId="2">#REF!</definedName>
    <definedName name="ddd" localSheetId="11">#REF!</definedName>
    <definedName name="ddd" localSheetId="5">#REF!</definedName>
    <definedName name="ddd">#REF!</definedName>
    <definedName name="dddd" localSheetId="13">#REF!</definedName>
    <definedName name="dddd" localSheetId="14">#REF!</definedName>
    <definedName name="dddd" localSheetId="4">#REF!</definedName>
    <definedName name="dddd" localSheetId="3">#REF!</definedName>
    <definedName name="dddd" localSheetId="2">#REF!</definedName>
    <definedName name="dddd" localSheetId="11">#REF!</definedName>
    <definedName name="dddd" localSheetId="5">#REF!</definedName>
    <definedName name="dddd">#REF!</definedName>
    <definedName name="DFO" localSheetId="13">[1]NTFP!#REF!</definedName>
    <definedName name="DFO" localSheetId="14">[1]NTFP!#REF!</definedName>
    <definedName name="DFO" localSheetId="4">[1]NTFP!#REF!</definedName>
    <definedName name="DFO" localSheetId="3">[1]NTFP!#REF!</definedName>
    <definedName name="DFO" localSheetId="2">[1]NTFP!#REF!</definedName>
    <definedName name="DFO" localSheetId="11">[1]NTFP!#REF!</definedName>
    <definedName name="DFO" localSheetId="5">[1]NTFP!#REF!</definedName>
    <definedName name="DFO">[1]NTFP!#REF!</definedName>
    <definedName name="F" localSheetId="13">#REF!</definedName>
    <definedName name="F" localSheetId="14">#REF!</definedName>
    <definedName name="F" localSheetId="4">#REF!</definedName>
    <definedName name="F" localSheetId="3">#REF!</definedName>
    <definedName name="F" localSheetId="2">#REF!</definedName>
    <definedName name="F" localSheetId="11">#REF!</definedName>
    <definedName name="F" localSheetId="5">#REF!</definedName>
    <definedName name="F">#REF!</definedName>
    <definedName name="FF" localSheetId="13">#REF!</definedName>
    <definedName name="FF" localSheetId="14">#REF!</definedName>
    <definedName name="FF" localSheetId="4">#REF!</definedName>
    <definedName name="FF" localSheetId="3">#REF!</definedName>
    <definedName name="FF" localSheetId="2">#REF!</definedName>
    <definedName name="FF" localSheetId="11">#REF!</definedName>
    <definedName name="FF" localSheetId="5">#REF!</definedName>
    <definedName name="FF">#REF!</definedName>
    <definedName name="p" localSheetId="13">#REF!</definedName>
    <definedName name="p" localSheetId="14">#REF!</definedName>
    <definedName name="p" localSheetId="4">#REF!</definedName>
    <definedName name="p" localSheetId="3">#REF!</definedName>
    <definedName name="p" localSheetId="2">#REF!</definedName>
    <definedName name="p" localSheetId="11">#REF!</definedName>
    <definedName name="p" localSheetId="5">#REF!</definedName>
    <definedName name="p">#REF!</definedName>
    <definedName name="PP" localSheetId="13">#REF!</definedName>
    <definedName name="PP" localSheetId="14">#REF!</definedName>
    <definedName name="PP" localSheetId="4">#REF!</definedName>
    <definedName name="PP" localSheetId="3">#REF!</definedName>
    <definedName name="PP" localSheetId="2">#REF!</definedName>
    <definedName name="PP" localSheetId="11">#REF!</definedName>
    <definedName name="PP" localSheetId="5">#REF!</definedName>
    <definedName name="PP">#REF!</definedName>
    <definedName name="_xlnm.Print_Area" localSheetId="0">'Abstract-Category'!$A$1:$G$12</definedName>
    <definedName name="_xlnm.Print_Area" localSheetId="1">'Abstract-Year'!$A$1:$J$18</definedName>
    <definedName name="_xlnm.Print_Area" localSheetId="10">Adv_LI!$A$1:$F$22</definedName>
    <definedName name="_xlnm.Print_Area" localSheetId="22">Adv_SMM!$A$1:$I$30</definedName>
    <definedName name="_xlnm.Print_Area" localSheetId="13">'ANR-3Years'!$A$1:$AN$30</definedName>
    <definedName name="_xlnm.Print_Area" localSheetId="14">'AR-LI'!$A$1:$AN$30</definedName>
    <definedName name="_xlnm.Print_Area" localSheetId="15">'AR-SMM'!$A$1:$AN$30</definedName>
    <definedName name="_xlnm.Print_Area" localSheetId="4">I_ANR!$A$1:$F$30</definedName>
    <definedName name="_xlnm.Print_Area" localSheetId="8">I_LI!$A$1:$F$28</definedName>
    <definedName name="_xlnm.Print_Area" localSheetId="24">I_SMM!$A$1:$I$28</definedName>
    <definedName name="_xlnm.Print_Area" localSheetId="3">II_ANR!$A$1:$F$10</definedName>
    <definedName name="_xlnm.Print_Area" localSheetId="7">II_LI!$A$1:$F$18</definedName>
    <definedName name="_xlnm.Print_Area" localSheetId="25">II_SMM!$A$1:$I$28</definedName>
    <definedName name="_xlnm.Print_Area" localSheetId="2">III_ANR!$A$1:$F$25</definedName>
    <definedName name="_xlnm.Print_Area" localSheetId="6">III_LI!$A$1:$F$27</definedName>
    <definedName name="_xlnm.Print_Area" localSheetId="26">III_SMM!$A$1:$I$16</definedName>
    <definedName name="_xlnm.Print_Area" localSheetId="9">R_LI!$A$1:$F$38</definedName>
    <definedName name="_xlnm.Print_Area" localSheetId="23">R_SMM!$A$1:$I$45</definedName>
    <definedName name="_xlnm.Print_Area" localSheetId="11">'RoFR-3Years_ANR'!$A$1:$AN$49</definedName>
    <definedName name="_xlnm.Print_Area" localSheetId="5">Zero_ANR!$A$1:$F$17</definedName>
    <definedName name="_xlnm.Print_Titles" localSheetId="10">Adv_LI!$3:$3</definedName>
    <definedName name="_xlnm.Print_Titles" localSheetId="13">'ANR-3Years'!$3:$4</definedName>
    <definedName name="_xlnm.Print_Titles" localSheetId="14">'AR-LI'!$3:$4</definedName>
    <definedName name="_xlnm.Print_Titles" localSheetId="15">'AR-SMM'!$3:$4</definedName>
    <definedName name="_xlnm.Print_Titles" localSheetId="4">I_ANR!$3:$3</definedName>
    <definedName name="_xlnm.Print_Titles" localSheetId="9">R_LI!$3:$3</definedName>
    <definedName name="_xlnm.Print_Titles" localSheetId="23">R_SMM!$4:$5</definedName>
    <definedName name="_xlnm.Print_Titles" localSheetId="11">'RoFR-3Years_ANR'!$3:$4</definedName>
    <definedName name="_xlnm.Print_Titles" localSheetId="5">Zero_ANR!$3:$3</definedName>
    <definedName name="s" localSheetId="13">#REF!</definedName>
    <definedName name="s" localSheetId="14">#REF!</definedName>
    <definedName name="s" localSheetId="4">#REF!</definedName>
    <definedName name="s" localSheetId="3">#REF!</definedName>
    <definedName name="s" localSheetId="2">#REF!</definedName>
    <definedName name="s" localSheetId="11">#REF!</definedName>
    <definedName name="s" localSheetId="5">#REF!</definedName>
    <definedName name="s">#REF!</definedName>
    <definedName name="ss" localSheetId="13">#REF!</definedName>
    <definedName name="ss" localSheetId="14">#REF!</definedName>
    <definedName name="ss" localSheetId="4">#REF!</definedName>
    <definedName name="ss" localSheetId="3">#REF!</definedName>
    <definedName name="ss" localSheetId="2">#REF!</definedName>
    <definedName name="ss" localSheetId="11">#REF!</definedName>
    <definedName name="ss" localSheetId="5">#REF!</definedName>
    <definedName name="ss">#REF!</definedName>
    <definedName name="y" localSheetId="13">#REF!</definedName>
    <definedName name="y" localSheetId="14">#REF!</definedName>
    <definedName name="y" localSheetId="4">#REF!</definedName>
    <definedName name="y" localSheetId="3">#REF!</definedName>
    <definedName name="y" localSheetId="2">#REF!</definedName>
    <definedName name="y" localSheetId="11">#REF!</definedName>
    <definedName name="y" localSheetId="5">#REF!</definedName>
    <definedName name="y">#REF!</definedName>
    <definedName name="yaz" localSheetId="13">#REF!</definedName>
    <definedName name="yaz" localSheetId="14">#REF!</definedName>
    <definedName name="yaz" localSheetId="4">#REF!</definedName>
    <definedName name="yaz" localSheetId="3">#REF!</definedName>
    <definedName name="yaz" localSheetId="2">#REF!</definedName>
    <definedName name="yaz" localSheetId="11">#REF!</definedName>
    <definedName name="yaz" localSheetId="5">#REF!</definedName>
    <definedName name="yaz">#REF!</definedName>
    <definedName name="z" localSheetId="13">#REF!</definedName>
    <definedName name="z" localSheetId="14">#REF!</definedName>
    <definedName name="z" localSheetId="4">#REF!</definedName>
    <definedName name="z" localSheetId="3">#REF!</definedName>
    <definedName name="z" localSheetId="2">#REF!</definedName>
    <definedName name="z" localSheetId="11">#REF!</definedName>
    <definedName name="z" localSheetId="5">#REF!</definedName>
    <definedName name="z">#REF!</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1" i="67" l="1"/>
  <c r="J51" i="67"/>
  <c r="G49" i="67"/>
  <c r="J49" i="67"/>
  <c r="D21" i="68"/>
  <c r="G38" i="67"/>
  <c r="N17" i="70" l="1"/>
  <c r="J17" i="70"/>
  <c r="G17" i="70"/>
  <c r="E17" i="70"/>
  <c r="C17" i="70"/>
  <c r="J4" i="70"/>
  <c r="J15" i="70" s="1"/>
  <c r="M6" i="68"/>
  <c r="K6" i="68"/>
  <c r="Q18" i="70"/>
  <c r="C15" i="70"/>
  <c r="D15" i="70"/>
  <c r="E15" i="70"/>
  <c r="F15" i="70"/>
  <c r="G15" i="70"/>
  <c r="H15" i="70"/>
  <c r="I15" i="70"/>
  <c r="K15" i="70"/>
  <c r="L15" i="70"/>
  <c r="M15" i="70"/>
  <c r="N15" i="70"/>
  <c r="O15" i="70"/>
  <c r="P15" i="70"/>
  <c r="P18" i="70" s="1"/>
  <c r="B15" i="70"/>
  <c r="Q15" i="70"/>
  <c r="Q5" i="70"/>
  <c r="Q6" i="70"/>
  <c r="Q7" i="70"/>
  <c r="Q8" i="70"/>
  <c r="Q9" i="70"/>
  <c r="Q10" i="70"/>
  <c r="Q11" i="70"/>
  <c r="Q12" i="70"/>
  <c r="Q13" i="70"/>
  <c r="Q14" i="70"/>
  <c r="Q4" i="70"/>
  <c r="O18" i="70"/>
  <c r="L18" i="70"/>
  <c r="K18" i="70"/>
  <c r="H18" i="70"/>
  <c r="J22" i="68" l="1"/>
  <c r="L23" i="68"/>
  <c r="L22" i="68"/>
  <c r="L21" i="68"/>
  <c r="E11" i="69" l="1"/>
  <c r="D11" i="69"/>
  <c r="C11" i="69"/>
  <c r="F10" i="69"/>
  <c r="F9" i="69"/>
  <c r="F8" i="69"/>
  <c r="F7" i="69"/>
  <c r="F6" i="69"/>
  <c r="F5" i="69"/>
  <c r="F4" i="69"/>
  <c r="F17" i="68"/>
  <c r="D6" i="68"/>
  <c r="H6" i="68" s="1"/>
  <c r="J6" i="68" s="1"/>
  <c r="I5" i="68"/>
  <c r="D5" i="68"/>
  <c r="H5" i="68" s="1"/>
  <c r="AJ33" i="67"/>
  <c r="AG33" i="67"/>
  <c r="AD33" i="67"/>
  <c r="AA33" i="67"/>
  <c r="X33" i="67"/>
  <c r="U33" i="67"/>
  <c r="AJ32" i="67"/>
  <c r="AG32" i="67"/>
  <c r="AD32" i="67"/>
  <c r="AA32" i="67"/>
  <c r="X32" i="67"/>
  <c r="U32" i="67"/>
  <c r="AJ31" i="67"/>
  <c r="AG31" i="67"/>
  <c r="O47" i="67" s="1"/>
  <c r="AD31" i="67"/>
  <c r="AA31" i="67"/>
  <c r="O45" i="67" s="1"/>
  <c r="X31" i="67"/>
  <c r="O44" i="67" s="1"/>
  <c r="U31" i="67"/>
  <c r="O43" i="67" s="1"/>
  <c r="R31" i="67"/>
  <c r="O42" i="67" s="1"/>
  <c r="O31" i="67"/>
  <c r="O41" i="67" s="1"/>
  <c r="L31" i="67"/>
  <c r="O40" i="67" s="1"/>
  <c r="I31" i="67"/>
  <c r="O39" i="67" s="1"/>
  <c r="F31" i="67"/>
  <c r="O38" i="67" s="1"/>
  <c r="R38" i="67" s="1"/>
  <c r="AJ30" i="67"/>
  <c r="I48" i="67" s="1"/>
  <c r="AG30" i="67"/>
  <c r="I47" i="67" s="1"/>
  <c r="S47" i="67" s="1"/>
  <c r="U47" i="67" s="1"/>
  <c r="AD30" i="67"/>
  <c r="AM30" i="67" s="1"/>
  <c r="AA30" i="67"/>
  <c r="I45" i="67" s="1"/>
  <c r="S45" i="67" s="1"/>
  <c r="U45" i="67" s="1"/>
  <c r="X30" i="67"/>
  <c r="I44" i="67" s="1"/>
  <c r="S44" i="67" s="1"/>
  <c r="U44" i="67" s="1"/>
  <c r="U30" i="67"/>
  <c r="R30" i="67"/>
  <c r="I42" i="67" s="1"/>
  <c r="S42" i="67" s="1"/>
  <c r="U42" i="67" s="1"/>
  <c r="O30" i="67"/>
  <c r="L30" i="67"/>
  <c r="I40" i="67" s="1"/>
  <c r="S40" i="67" s="1"/>
  <c r="U40" i="67" s="1"/>
  <c r="I30" i="67"/>
  <c r="F30" i="67"/>
  <c r="I38" i="67" s="1"/>
  <c r="S38" i="67" s="1"/>
  <c r="U38" i="67" s="1"/>
  <c r="AA14" i="63"/>
  <c r="R14" i="67"/>
  <c r="J5" i="68" l="1"/>
  <c r="I46" i="67"/>
  <c r="Q39" i="67"/>
  <c r="R39" i="67"/>
  <c r="Q41" i="67"/>
  <c r="R41" i="67"/>
  <c r="Q43" i="67"/>
  <c r="R43" i="67"/>
  <c r="Q44" i="67"/>
  <c r="C12" i="68" s="1"/>
  <c r="R44" i="67"/>
  <c r="Q40" i="67"/>
  <c r="R40" i="67"/>
  <c r="Q42" i="67"/>
  <c r="R42" i="67"/>
  <c r="Q45" i="67"/>
  <c r="R45" i="67"/>
  <c r="Q47" i="67"/>
  <c r="C15" i="68" s="1"/>
  <c r="R47" i="67"/>
  <c r="V38" i="67"/>
  <c r="V40" i="67"/>
  <c r="V42" i="67"/>
  <c r="V44" i="67"/>
  <c r="S46" i="67"/>
  <c r="U46" i="67" s="1"/>
  <c r="Q38" i="67"/>
  <c r="AD34" i="67"/>
  <c r="F46" i="67" s="1"/>
  <c r="O46" i="67"/>
  <c r="AJ34" i="67"/>
  <c r="F48" i="67" s="1"/>
  <c r="O48" i="67"/>
  <c r="I39" i="67"/>
  <c r="S39" i="67" s="1"/>
  <c r="U39" i="67" s="1"/>
  <c r="I41" i="67"/>
  <c r="S41" i="67" s="1"/>
  <c r="U41" i="67" s="1"/>
  <c r="I43" i="67"/>
  <c r="S43" i="67" s="1"/>
  <c r="U43" i="67" s="1"/>
  <c r="V45" i="67"/>
  <c r="V47" i="67"/>
  <c r="U34" i="67"/>
  <c r="F43" i="67" s="1"/>
  <c r="AA34" i="67"/>
  <c r="F45" i="67" s="1"/>
  <c r="F11" i="69"/>
  <c r="I17" i="68"/>
  <c r="AG34" i="67"/>
  <c r="F47" i="67" s="1"/>
  <c r="X34" i="67"/>
  <c r="F44" i="67" s="1"/>
  <c r="AM31" i="67"/>
  <c r="C10" i="68" l="1"/>
  <c r="Q48" i="67"/>
  <c r="R48" i="67"/>
  <c r="C9" i="68"/>
  <c r="C13" i="68"/>
  <c r="C8" i="68"/>
  <c r="I49" i="67"/>
  <c r="Q46" i="67"/>
  <c r="Q49" i="67" s="1"/>
  <c r="R46" i="67"/>
  <c r="C11" i="68"/>
  <c r="G15" i="68"/>
  <c r="L47" i="67"/>
  <c r="N47" i="67" s="1"/>
  <c r="E15" i="68" s="1"/>
  <c r="G13" i="68"/>
  <c r="L45" i="67"/>
  <c r="N45" i="67" s="1"/>
  <c r="E13" i="68" s="1"/>
  <c r="V46" i="67"/>
  <c r="G12" i="68"/>
  <c r="L44" i="67"/>
  <c r="N44" i="67" s="1"/>
  <c r="E12" i="68" s="1"/>
  <c r="G11" i="68"/>
  <c r="L43" i="67"/>
  <c r="N43" i="67" s="1"/>
  <c r="E11" i="68" s="1"/>
  <c r="V43" i="67"/>
  <c r="G16" i="68"/>
  <c r="L48" i="67"/>
  <c r="N48" i="67" s="1"/>
  <c r="E16" i="68" s="1"/>
  <c r="V41" i="67"/>
  <c r="O49" i="67"/>
  <c r="V39" i="67"/>
  <c r="C7" i="68" s="1"/>
  <c r="G14" i="68"/>
  <c r="L46" i="67"/>
  <c r="N46" i="67" s="1"/>
  <c r="E14" i="68" s="1"/>
  <c r="S48" i="67"/>
  <c r="U48" i="67" s="1"/>
  <c r="R49" i="67" l="1"/>
  <c r="C16" i="68"/>
  <c r="C14" i="68"/>
  <c r="U49" i="67"/>
  <c r="V48" i="67"/>
  <c r="V49" i="67" s="1"/>
  <c r="S49" i="67"/>
  <c r="C17" i="68" l="1"/>
  <c r="AL22" i="1"/>
  <c r="AI22" i="1"/>
  <c r="AF22" i="1"/>
  <c r="AL12" i="1"/>
  <c r="AI12" i="1"/>
  <c r="AF12" i="1"/>
  <c r="AL22" i="65"/>
  <c r="AL12" i="65"/>
  <c r="AF22" i="65"/>
  <c r="AF12" i="65"/>
  <c r="AI22" i="65"/>
  <c r="AI12" i="65"/>
  <c r="AM20" i="63"/>
  <c r="AM14" i="63"/>
  <c r="AM20" i="67"/>
  <c r="AM14" i="67"/>
  <c r="AJ17" i="63" l="1"/>
  <c r="AG16" i="63"/>
  <c r="AD15" i="63"/>
  <c r="AN26" i="67"/>
  <c r="AL22" i="67"/>
  <c r="AI22" i="67"/>
  <c r="AF22" i="67"/>
  <c r="AA21" i="67"/>
  <c r="X21" i="67"/>
  <c r="U21" i="67"/>
  <c r="R21" i="67"/>
  <c r="O21" i="67"/>
  <c r="L21" i="67"/>
  <c r="J21" i="67"/>
  <c r="M21" i="67" s="1"/>
  <c r="I21" i="67"/>
  <c r="G21" i="67"/>
  <c r="H21" i="67" s="1"/>
  <c r="J20" i="67"/>
  <c r="M20" i="67" s="1"/>
  <c r="P20" i="67" s="1"/>
  <c r="G20" i="67"/>
  <c r="H20" i="67" s="1"/>
  <c r="H18" i="67"/>
  <c r="AG17" i="67"/>
  <c r="AD17" i="67"/>
  <c r="AA17" i="67"/>
  <c r="X17" i="67"/>
  <c r="U17" i="67"/>
  <c r="R17" i="67"/>
  <c r="O17" i="67"/>
  <c r="AD16" i="67"/>
  <c r="AA16" i="67"/>
  <c r="X16" i="67"/>
  <c r="U16" i="67"/>
  <c r="R16" i="67"/>
  <c r="O16" i="67"/>
  <c r="L16" i="67"/>
  <c r="AA15" i="67"/>
  <c r="X15" i="67"/>
  <c r="U15" i="67"/>
  <c r="R15" i="67"/>
  <c r="O15" i="67"/>
  <c r="L15" i="67"/>
  <c r="I15" i="67"/>
  <c r="AL12" i="67"/>
  <c r="H12" i="67"/>
  <c r="G11" i="67"/>
  <c r="J11" i="67" s="1"/>
  <c r="M11" i="67" s="1"/>
  <c r="P11" i="67" s="1"/>
  <c r="S11" i="67" s="1"/>
  <c r="V11" i="67" s="1"/>
  <c r="Y11" i="67" s="1"/>
  <c r="AB11" i="67" s="1"/>
  <c r="AE11" i="67" s="1"/>
  <c r="AH11" i="67" s="1"/>
  <c r="G10" i="67"/>
  <c r="J10" i="67" s="1"/>
  <c r="M10" i="67" s="1"/>
  <c r="P10" i="67" s="1"/>
  <c r="S10" i="67" s="1"/>
  <c r="V10" i="67" s="1"/>
  <c r="Y10" i="67" s="1"/>
  <c r="AB10" i="67" s="1"/>
  <c r="AE10" i="67" s="1"/>
  <c r="G9" i="67"/>
  <c r="J9" i="67" s="1"/>
  <c r="M9" i="67" s="1"/>
  <c r="P9" i="67" s="1"/>
  <c r="S9" i="67" s="1"/>
  <c r="V9" i="67" s="1"/>
  <c r="Y9" i="67" s="1"/>
  <c r="AB9" i="67" s="1"/>
  <c r="AE9" i="67" s="1"/>
  <c r="G8" i="67"/>
  <c r="J8" i="67" s="1"/>
  <c r="M8" i="67" s="1"/>
  <c r="P8" i="67" s="1"/>
  <c r="S8" i="67" s="1"/>
  <c r="V8" i="67" s="1"/>
  <c r="Y8" i="67" s="1"/>
  <c r="AB8" i="67" s="1"/>
  <c r="AA7" i="67"/>
  <c r="X7" i="67"/>
  <c r="AA10" i="67" s="1"/>
  <c r="U7" i="67"/>
  <c r="AA11" i="67" s="1"/>
  <c r="R7" i="67"/>
  <c r="U10" i="67" s="1"/>
  <c r="O7" i="67"/>
  <c r="R10" i="67" s="1"/>
  <c r="L7" i="67"/>
  <c r="L8" i="67" s="1"/>
  <c r="I7" i="67"/>
  <c r="L9" i="67" s="1"/>
  <c r="G7" i="67"/>
  <c r="J7" i="67" s="1"/>
  <c r="M7" i="67" s="1"/>
  <c r="P7" i="67" s="1"/>
  <c r="S7" i="67" s="1"/>
  <c r="V7" i="67" s="1"/>
  <c r="F7" i="67"/>
  <c r="L11" i="67" s="1"/>
  <c r="N11" i="67" s="1"/>
  <c r="AM17" i="67" l="1"/>
  <c r="AM15" i="67"/>
  <c r="AM16" i="67"/>
  <c r="AA8" i="67"/>
  <c r="AM7" i="67"/>
  <c r="AM21" i="67"/>
  <c r="K21" i="67"/>
  <c r="K20" i="67"/>
  <c r="N9" i="67"/>
  <c r="AC11" i="67"/>
  <c r="AC10" i="67"/>
  <c r="R11" i="67"/>
  <c r="T11" i="67" s="1"/>
  <c r="U9" i="67"/>
  <c r="W9" i="67" s="1"/>
  <c r="X11" i="67"/>
  <c r="Z11" i="67" s="1"/>
  <c r="R8" i="67"/>
  <c r="T8" i="67" s="1"/>
  <c r="O8" i="67"/>
  <c r="Q8" i="67" s="1"/>
  <c r="AG11" i="67"/>
  <c r="AI11" i="67" s="1"/>
  <c r="AI12" i="67" s="1"/>
  <c r="X9" i="67"/>
  <c r="Z9" i="67" s="1"/>
  <c r="U8" i="67"/>
  <c r="W8" i="67" s="1"/>
  <c r="AD11" i="67"/>
  <c r="X10" i="67"/>
  <c r="Z10" i="67" s="1"/>
  <c r="K22" i="67"/>
  <c r="O11" i="67"/>
  <c r="Q11" i="67" s="1"/>
  <c r="P21" i="67"/>
  <c r="S21" i="67" s="1"/>
  <c r="V21" i="67" s="1"/>
  <c r="N21" i="67"/>
  <c r="AC8" i="67"/>
  <c r="S20" i="67"/>
  <c r="T20" i="67" s="1"/>
  <c r="Q20" i="67"/>
  <c r="N8" i="67"/>
  <c r="T10" i="67"/>
  <c r="W10" i="67"/>
  <c r="H22" i="67"/>
  <c r="H23" i="67" s="1"/>
  <c r="H24" i="67" s="1"/>
  <c r="H27" i="67" s="1"/>
  <c r="H30" i="67" s="1"/>
  <c r="Y7" i="67"/>
  <c r="AB7" i="67" s="1"/>
  <c r="AC7" i="67" s="1"/>
  <c r="W7" i="67"/>
  <c r="I9" i="67"/>
  <c r="K9" i="67" s="1"/>
  <c r="AD10" i="67"/>
  <c r="N7" i="67"/>
  <c r="AA9" i="67"/>
  <c r="AC9" i="67" s="1"/>
  <c r="O10" i="67"/>
  <c r="Q10" i="67" s="1"/>
  <c r="U11" i="67"/>
  <c r="W11" i="67" s="1"/>
  <c r="L10" i="67"/>
  <c r="N10" i="67" s="1"/>
  <c r="AD9" i="67"/>
  <c r="N20" i="67"/>
  <c r="X8" i="67"/>
  <c r="Z8" i="67" s="1"/>
  <c r="O9" i="67"/>
  <c r="Q9" i="67" s="1"/>
  <c r="I10" i="67"/>
  <c r="K10" i="67" s="1"/>
  <c r="I8" i="67"/>
  <c r="K8" i="67" s="1"/>
  <c r="T7" i="67"/>
  <c r="F8" i="67"/>
  <c r="R9" i="67"/>
  <c r="T9" i="67" s="1"/>
  <c r="K7" i="67"/>
  <c r="Q7" i="67"/>
  <c r="AM9" i="67" l="1"/>
  <c r="AN8" i="67"/>
  <c r="AM8" i="67"/>
  <c r="AM10" i="67"/>
  <c r="AN20" i="67"/>
  <c r="AF11" i="67"/>
  <c r="AN11" i="67" s="1"/>
  <c r="AM11" i="67"/>
  <c r="Q21" i="67"/>
  <c r="Q22" i="67" s="1"/>
  <c r="N22" i="67"/>
  <c r="W12" i="67"/>
  <c r="AC12" i="67"/>
  <c r="Q12" i="67"/>
  <c r="Y21" i="67"/>
  <c r="W21" i="67"/>
  <c r="W22" i="67" s="1"/>
  <c r="AF9" i="67"/>
  <c r="AN9" i="67" s="1"/>
  <c r="Z7" i="67"/>
  <c r="Z12" i="67" s="1"/>
  <c r="T12" i="67"/>
  <c r="T21" i="67"/>
  <c r="T22" i="67" s="1"/>
  <c r="K12" i="67"/>
  <c r="N12" i="67"/>
  <c r="AF10" i="67"/>
  <c r="AN10" i="67" s="1"/>
  <c r="AN7" i="67" l="1"/>
  <c r="AF12" i="67"/>
  <c r="AB21" i="67"/>
  <c r="AC21" i="67" s="1"/>
  <c r="Z21" i="67"/>
  <c r="Z22" i="67" s="1"/>
  <c r="AN21" i="67" l="1"/>
  <c r="AN12" i="67"/>
  <c r="AO12" i="67" s="1"/>
  <c r="AN22" i="67"/>
  <c r="AC22" i="67"/>
  <c r="R14" i="65" l="1"/>
  <c r="R32" i="67" s="1"/>
  <c r="O14" i="65"/>
  <c r="R15" i="65" s="1"/>
  <c r="L14" i="65"/>
  <c r="I14" i="65"/>
  <c r="F14" i="65"/>
  <c r="F32" i="67" s="1"/>
  <c r="AC22" i="65"/>
  <c r="Z22" i="65"/>
  <c r="H22" i="65"/>
  <c r="O21" i="65"/>
  <c r="J21" i="65"/>
  <c r="M21" i="65" s="1"/>
  <c r="P21" i="65" s="1"/>
  <c r="S21" i="65" s="1"/>
  <c r="V21" i="65" s="1"/>
  <c r="G21" i="65"/>
  <c r="J20" i="65"/>
  <c r="M20" i="65" s="1"/>
  <c r="P20" i="65" s="1"/>
  <c r="S20" i="65" s="1"/>
  <c r="G20" i="65"/>
  <c r="H18" i="65"/>
  <c r="H23" i="65" s="1"/>
  <c r="H24" i="65" s="1"/>
  <c r="H26" i="65" s="1"/>
  <c r="H32" i="67" s="1"/>
  <c r="L20" i="65"/>
  <c r="O17" i="65"/>
  <c r="AC12" i="65"/>
  <c r="H12" i="65"/>
  <c r="G11" i="65"/>
  <c r="J11" i="65" s="1"/>
  <c r="M11" i="65" s="1"/>
  <c r="P11" i="65" s="1"/>
  <c r="S11" i="65" s="1"/>
  <c r="V11" i="65" s="1"/>
  <c r="Y11" i="65" s="1"/>
  <c r="G10" i="65"/>
  <c r="J10" i="65" s="1"/>
  <c r="M10" i="65" s="1"/>
  <c r="P10" i="65" s="1"/>
  <c r="S10" i="65" s="1"/>
  <c r="V10" i="65" s="1"/>
  <c r="Y10" i="65" s="1"/>
  <c r="G9" i="65"/>
  <c r="J9" i="65" s="1"/>
  <c r="M9" i="65" s="1"/>
  <c r="P9" i="65" s="1"/>
  <c r="S9" i="65" s="1"/>
  <c r="V9" i="65" s="1"/>
  <c r="Y9" i="65" s="1"/>
  <c r="G8" i="65"/>
  <c r="J8" i="65" s="1"/>
  <c r="M8" i="65" s="1"/>
  <c r="P8" i="65" s="1"/>
  <c r="S8" i="65" s="1"/>
  <c r="V8" i="65" s="1"/>
  <c r="Y8" i="65" s="1"/>
  <c r="G7" i="65"/>
  <c r="J7" i="65" s="1"/>
  <c r="M7" i="65" s="1"/>
  <c r="P7" i="65" s="1"/>
  <c r="S7" i="65" s="1"/>
  <c r="V7" i="65" s="1"/>
  <c r="Y7" i="65" s="1"/>
  <c r="R14" i="1"/>
  <c r="O14" i="1"/>
  <c r="O33" i="67" s="1"/>
  <c r="L14" i="1"/>
  <c r="L33" i="67" s="1"/>
  <c r="I14" i="1"/>
  <c r="I33" i="67" s="1"/>
  <c r="F14" i="1"/>
  <c r="F33" i="67" s="1"/>
  <c r="O20" i="65" l="1"/>
  <c r="R21" i="65"/>
  <c r="R20" i="65"/>
  <c r="R33" i="67"/>
  <c r="AM33" i="67" s="1"/>
  <c r="AM14" i="1"/>
  <c r="AA17" i="65"/>
  <c r="AM17" i="65" s="1"/>
  <c r="F34" i="67"/>
  <c r="F38" i="67" s="1"/>
  <c r="X17" i="65"/>
  <c r="O32" i="67"/>
  <c r="O34" i="67" s="1"/>
  <c r="F41" i="67" s="1"/>
  <c r="U21" i="65"/>
  <c r="O7" i="65"/>
  <c r="R9" i="65" s="1"/>
  <c r="U15" i="65"/>
  <c r="R17" i="65"/>
  <c r="I32" i="67"/>
  <c r="I34" i="67" s="1"/>
  <c r="F39" i="67" s="1"/>
  <c r="R7" i="65"/>
  <c r="U10" i="65" s="1"/>
  <c r="X16" i="65"/>
  <c r="U17" i="65"/>
  <c r="L32" i="67"/>
  <c r="L34" i="67" s="1"/>
  <c r="F40" i="67" s="1"/>
  <c r="R16" i="65"/>
  <c r="T9" i="65"/>
  <c r="L7" i="65"/>
  <c r="O10" i="65" s="1"/>
  <c r="Q10" i="65" s="1"/>
  <c r="AM14" i="65"/>
  <c r="U16" i="65"/>
  <c r="T20" i="65"/>
  <c r="T21" i="65"/>
  <c r="W21" i="65"/>
  <c r="Q20" i="65"/>
  <c r="W10" i="65"/>
  <c r="Q21" i="65"/>
  <c r="N20" i="65"/>
  <c r="T7" i="65"/>
  <c r="F7" i="65"/>
  <c r="L15" i="65"/>
  <c r="F20" i="65"/>
  <c r="U9" i="65"/>
  <c r="I20" i="65"/>
  <c r="K20" i="65" s="1"/>
  <c r="O8" i="65"/>
  <c r="Q8" i="65" s="1"/>
  <c r="L16" i="65"/>
  <c r="O15" i="65"/>
  <c r="X11" i="65"/>
  <c r="R8" i="65"/>
  <c r="O16" i="65"/>
  <c r="L21" i="65"/>
  <c r="N21" i="65" s="1"/>
  <c r="I21" i="65"/>
  <c r="K21" i="65" s="1"/>
  <c r="Q7" i="65"/>
  <c r="I15" i="65"/>
  <c r="I7" i="65"/>
  <c r="L8" i="65" l="1"/>
  <c r="N8" i="65" s="1"/>
  <c r="AM32" i="67"/>
  <c r="AM34" i="67" s="1"/>
  <c r="G7" i="68"/>
  <c r="L39" i="67"/>
  <c r="N39" i="67" s="1"/>
  <c r="E7" i="68" s="1"/>
  <c r="R11" i="65"/>
  <c r="T11" i="65" s="1"/>
  <c r="L40" i="67"/>
  <c r="N40" i="67" s="1"/>
  <c r="E8" i="68" s="1"/>
  <c r="G8" i="68"/>
  <c r="R34" i="67"/>
  <c r="F42" i="67" s="1"/>
  <c r="O9" i="65"/>
  <c r="Q9" i="65" s="1"/>
  <c r="G9" i="68"/>
  <c r="L41" i="67"/>
  <c r="N41" i="67" s="1"/>
  <c r="E9" i="68" s="1"/>
  <c r="U11" i="65"/>
  <c r="W11" i="65" s="1"/>
  <c r="N7" i="65"/>
  <c r="R10" i="65"/>
  <c r="T10" i="65" s="1"/>
  <c r="L38" i="67"/>
  <c r="F49" i="67"/>
  <c r="AM21" i="65"/>
  <c r="AM7" i="65"/>
  <c r="K22" i="65"/>
  <c r="W22" i="65"/>
  <c r="AN21" i="65"/>
  <c r="W9" i="65"/>
  <c r="I9" i="65"/>
  <c r="K9" i="65" s="1"/>
  <c r="I10" i="65"/>
  <c r="K10" i="65" s="1"/>
  <c r="F8" i="65"/>
  <c r="L11" i="65"/>
  <c r="N11" i="65" s="1"/>
  <c r="Q22" i="65"/>
  <c r="AM15" i="65"/>
  <c r="AM20" i="65"/>
  <c r="Z11" i="65"/>
  <c r="T8" i="65"/>
  <c r="N22" i="65"/>
  <c r="I8" i="65"/>
  <c r="K8" i="65" s="1"/>
  <c r="L9" i="65"/>
  <c r="N9" i="65" s="1"/>
  <c r="K7" i="65"/>
  <c r="AN7" i="65" s="1"/>
  <c r="O11" i="65"/>
  <c r="Q11" i="65" s="1"/>
  <c r="L10" i="65"/>
  <c r="AM16" i="65"/>
  <c r="T22" i="65"/>
  <c r="AN20" i="65"/>
  <c r="AA21" i="63"/>
  <c r="X21" i="63"/>
  <c r="U21" i="63"/>
  <c r="R21" i="63"/>
  <c r="O21" i="63"/>
  <c r="L21" i="63"/>
  <c r="I21" i="63"/>
  <c r="AA7" i="63"/>
  <c r="AD9" i="63" s="1"/>
  <c r="X7" i="63"/>
  <c r="AD11" i="63" s="1"/>
  <c r="U7" i="63"/>
  <c r="AA11" i="63" s="1"/>
  <c r="AG17" i="63"/>
  <c r="AI22" i="63"/>
  <c r="AL22" i="63"/>
  <c r="AL12" i="63"/>
  <c r="AN26" i="63"/>
  <c r="AD16" i="63"/>
  <c r="AA15" i="63"/>
  <c r="AD17" i="63"/>
  <c r="AA16" i="63"/>
  <c r="X15" i="63"/>
  <c r="AF22" i="63"/>
  <c r="J21" i="63"/>
  <c r="M21" i="63" s="1"/>
  <c r="P21" i="63" s="1"/>
  <c r="G21" i="63"/>
  <c r="H21" i="63" s="1"/>
  <c r="J20" i="63"/>
  <c r="M20" i="63" s="1"/>
  <c r="G20" i="63"/>
  <c r="AA17" i="63"/>
  <c r="X17" i="63"/>
  <c r="U17" i="63"/>
  <c r="R17" i="63"/>
  <c r="O17" i="63"/>
  <c r="X16" i="63"/>
  <c r="U16" i="63"/>
  <c r="R16" i="63"/>
  <c r="O16" i="63"/>
  <c r="L16" i="63"/>
  <c r="U15" i="63"/>
  <c r="R15" i="63"/>
  <c r="O15" i="63"/>
  <c r="L15" i="63"/>
  <c r="I15" i="63"/>
  <c r="G11" i="63"/>
  <c r="J11" i="63" s="1"/>
  <c r="M11" i="63" s="1"/>
  <c r="P11" i="63" s="1"/>
  <c r="S11" i="63" s="1"/>
  <c r="V11" i="63" s="1"/>
  <c r="Y11" i="63" s="1"/>
  <c r="AB11" i="63" s="1"/>
  <c r="AE11" i="63" s="1"/>
  <c r="AH11" i="63" s="1"/>
  <c r="G10" i="63"/>
  <c r="J10" i="63" s="1"/>
  <c r="M10" i="63" s="1"/>
  <c r="P10" i="63" s="1"/>
  <c r="S10" i="63" s="1"/>
  <c r="V10" i="63" s="1"/>
  <c r="Y10" i="63" s="1"/>
  <c r="AB10" i="63" s="1"/>
  <c r="G9" i="63"/>
  <c r="J9" i="63" s="1"/>
  <c r="M9" i="63" s="1"/>
  <c r="P9" i="63" s="1"/>
  <c r="S9" i="63" s="1"/>
  <c r="V9" i="63" s="1"/>
  <c r="Y9" i="63" s="1"/>
  <c r="AB9" i="63" s="1"/>
  <c r="AE9" i="63" s="1"/>
  <c r="G8" i="63"/>
  <c r="J8" i="63" s="1"/>
  <c r="M8" i="63" s="1"/>
  <c r="P8" i="63" s="1"/>
  <c r="S8" i="63" s="1"/>
  <c r="V8" i="63" s="1"/>
  <c r="Y8" i="63" s="1"/>
  <c r="R7" i="63"/>
  <c r="R8" i="63" s="1"/>
  <c r="O7" i="63"/>
  <c r="L7" i="63"/>
  <c r="R11" i="63" s="1"/>
  <c r="I7" i="63"/>
  <c r="I8" i="63" s="1"/>
  <c r="G7" i="63"/>
  <c r="J7" i="63" s="1"/>
  <c r="M7" i="63" s="1"/>
  <c r="P7" i="63" s="1"/>
  <c r="S7" i="63" s="1"/>
  <c r="F7" i="63"/>
  <c r="I10" i="63" s="1"/>
  <c r="Q12" i="65" l="1"/>
  <c r="N38" i="67"/>
  <c r="G10" i="68"/>
  <c r="G17" i="68" s="1"/>
  <c r="G21" i="68" s="1"/>
  <c r="L42" i="67"/>
  <c r="N42" i="67" s="1"/>
  <c r="E10" i="68" s="1"/>
  <c r="E17" i="68" s="1"/>
  <c r="AA9" i="63"/>
  <c r="AC9" i="63" s="1"/>
  <c r="X11" i="63"/>
  <c r="X8" i="63"/>
  <c r="K20" i="63"/>
  <c r="AM15" i="63"/>
  <c r="AM21" i="63"/>
  <c r="U9" i="63"/>
  <c r="W9" i="63" s="1"/>
  <c r="AM16" i="63"/>
  <c r="X9" i="63"/>
  <c r="Z9" i="63" s="1"/>
  <c r="AA10" i="63"/>
  <c r="AM17" i="63"/>
  <c r="AM7" i="63"/>
  <c r="U8" i="63"/>
  <c r="W8" i="63" s="1"/>
  <c r="AA8" i="63"/>
  <c r="K21" i="63"/>
  <c r="AB8" i="63"/>
  <c r="Z8" i="63"/>
  <c r="AC11" i="63"/>
  <c r="P20" i="63"/>
  <c r="S20" i="63" s="1"/>
  <c r="T20" i="63" s="1"/>
  <c r="N20" i="63"/>
  <c r="AE10" i="63"/>
  <c r="AC10" i="63"/>
  <c r="AF11" i="63"/>
  <c r="AF9" i="63"/>
  <c r="K10" i="63"/>
  <c r="X10" i="63"/>
  <c r="Z10" i="63" s="1"/>
  <c r="AD10" i="63"/>
  <c r="K8" i="63"/>
  <c r="U10" i="63"/>
  <c r="H18" i="63"/>
  <c r="AG11" i="63"/>
  <c r="AI11" i="63" s="1"/>
  <c r="AI12" i="63" s="1"/>
  <c r="AM8" i="65"/>
  <c r="AM11" i="65"/>
  <c r="AN22" i="65"/>
  <c r="AN8" i="65"/>
  <c r="T12" i="65"/>
  <c r="N10" i="65"/>
  <c r="AM10" i="65"/>
  <c r="W12" i="65"/>
  <c r="AN9" i="65"/>
  <c r="AM9" i="65"/>
  <c r="K12" i="65"/>
  <c r="Z12" i="65"/>
  <c r="AN11" i="65"/>
  <c r="L11" i="63"/>
  <c r="N11" i="63" s="1"/>
  <c r="N7" i="63"/>
  <c r="L9" i="63"/>
  <c r="N9" i="63" s="1"/>
  <c r="L10" i="63"/>
  <c r="N10" i="63" s="1"/>
  <c r="H20" i="63"/>
  <c r="O11" i="63"/>
  <c r="Q11" i="63" s="1"/>
  <c r="V7" i="63"/>
  <c r="T7" i="63"/>
  <c r="T8" i="63"/>
  <c r="S21" i="63"/>
  <c r="Q21" i="63"/>
  <c r="T11" i="63"/>
  <c r="W10" i="63"/>
  <c r="U11" i="63"/>
  <c r="W11" i="63" s="1"/>
  <c r="Q7" i="63"/>
  <c r="O8" i="63"/>
  <c r="Q8" i="63" s="1"/>
  <c r="K7" i="63"/>
  <c r="F8" i="63"/>
  <c r="R9" i="63"/>
  <c r="T9" i="63" s="1"/>
  <c r="R10" i="63"/>
  <c r="T10" i="63" s="1"/>
  <c r="Z11" i="63"/>
  <c r="O10" i="63"/>
  <c r="Q10" i="63" s="1"/>
  <c r="O9" i="63"/>
  <c r="Q9" i="63" s="1"/>
  <c r="L8" i="63"/>
  <c r="N8" i="63" s="1"/>
  <c r="I9" i="63"/>
  <c r="K9" i="63" s="1"/>
  <c r="Q20" i="63"/>
  <c r="N21" i="63"/>
  <c r="N22" i="63" s="1"/>
  <c r="L49" i="67" l="1"/>
  <c r="N49" i="67"/>
  <c r="AC8" i="63"/>
  <c r="AN8" i="63" s="1"/>
  <c r="AM9" i="63"/>
  <c r="AM10" i="63"/>
  <c r="AN11" i="63"/>
  <c r="AM11" i="63"/>
  <c r="AM8" i="63"/>
  <c r="AN9" i="63"/>
  <c r="AN20" i="63"/>
  <c r="K22" i="63"/>
  <c r="Y7" i="63"/>
  <c r="W7" i="63"/>
  <c r="W12" i="63" s="1"/>
  <c r="AF10" i="63"/>
  <c r="AN10" i="63" s="1"/>
  <c r="AN10" i="65"/>
  <c r="AN12" i="65" s="1"/>
  <c r="AO12" i="65" s="1"/>
  <c r="N12" i="65"/>
  <c r="H22" i="63"/>
  <c r="N12" i="63"/>
  <c r="Q22" i="63"/>
  <c r="Q12" i="63"/>
  <c r="V21" i="63"/>
  <c r="T21" i="63"/>
  <c r="T22" i="63" s="1"/>
  <c r="T12" i="63"/>
  <c r="H12" i="63"/>
  <c r="K12" i="63"/>
  <c r="AF12" i="63" l="1"/>
  <c r="AB7" i="63"/>
  <c r="AC7" i="63" s="1"/>
  <c r="Z7" i="63"/>
  <c r="Z12" i="63" s="1"/>
  <c r="W21" i="63"/>
  <c r="W22" i="63" s="1"/>
  <c r="Y21" i="63"/>
  <c r="H23" i="63"/>
  <c r="H24" i="63" s="1"/>
  <c r="H27" i="63" s="1"/>
  <c r="H31" i="67" l="1"/>
  <c r="AN7" i="63"/>
  <c r="AN12" i="63" s="1"/>
  <c r="AO12" i="63" s="1"/>
  <c r="AB21" i="63"/>
  <c r="AC21" i="63" s="1"/>
  <c r="AN21" i="63" s="1"/>
  <c r="Z21" i="63"/>
  <c r="Z22" i="63" s="1"/>
  <c r="AC12" i="63"/>
  <c r="T38" i="67" l="1"/>
  <c r="AC22" i="63"/>
  <c r="AN22" i="63"/>
  <c r="F7" i="60"/>
  <c r="F6" i="60"/>
  <c r="F24" i="58"/>
  <c r="F18" i="58"/>
  <c r="F17" i="58"/>
  <c r="F14" i="58"/>
  <c r="F13" i="58"/>
  <c r="F12" i="58"/>
  <c r="F11" i="58"/>
  <c r="F9" i="58"/>
  <c r="F8" i="58"/>
  <c r="F7" i="58"/>
  <c r="H7" i="58"/>
  <c r="C9" i="57"/>
  <c r="F9" i="57" s="1"/>
  <c r="G19" i="49"/>
  <c r="H19" i="49" s="1"/>
  <c r="C6" i="57"/>
  <c r="F6" i="57" s="1"/>
  <c r="F8" i="57"/>
  <c r="F7" i="57"/>
  <c r="F4" i="62"/>
  <c r="F5" i="62"/>
  <c r="F6" i="62" s="1"/>
  <c r="G6" i="62" l="1"/>
  <c r="E16" i="67"/>
  <c r="G16" i="67" s="1"/>
  <c r="J16" i="67" s="1"/>
  <c r="M16" i="67" s="1"/>
  <c r="E16" i="63"/>
  <c r="G16" i="63" s="1"/>
  <c r="J16" i="63" s="1"/>
  <c r="M16" i="63" s="1"/>
  <c r="F26" i="58"/>
  <c r="F4" i="60"/>
  <c r="F8" i="60" s="1"/>
  <c r="F9" i="60" s="1"/>
  <c r="F5" i="57"/>
  <c r="F12" i="57" s="1"/>
  <c r="P16" i="63" l="1"/>
  <c r="N16" i="63"/>
  <c r="N16" i="67"/>
  <c r="P16" i="67"/>
  <c r="G9" i="60"/>
  <c r="E17" i="67"/>
  <c r="G17" i="67" s="1"/>
  <c r="J17" i="67" s="1"/>
  <c r="M17" i="67" s="1"/>
  <c r="P17" i="67" s="1"/>
  <c r="E17" i="63"/>
  <c r="G17" i="63" s="1"/>
  <c r="J17" i="63" s="1"/>
  <c r="M17" i="63" s="1"/>
  <c r="P17" i="63" s="1"/>
  <c r="F27" i="58"/>
  <c r="F13" i="57"/>
  <c r="O17" i="1"/>
  <c r="R17" i="1"/>
  <c r="U17" i="1"/>
  <c r="X17" i="1"/>
  <c r="AA17" i="1"/>
  <c r="S17" i="63" l="1"/>
  <c r="Q17" i="63"/>
  <c r="G13" i="57"/>
  <c r="E14" i="67"/>
  <c r="G14" i="67" s="1"/>
  <c r="J14" i="67" s="1"/>
  <c r="E14" i="63"/>
  <c r="G14" i="63" s="1"/>
  <c r="J14" i="63" s="1"/>
  <c r="G27" i="58"/>
  <c r="E15" i="67"/>
  <c r="G15" i="67" s="1"/>
  <c r="J15" i="67" s="1"/>
  <c r="E15" i="63"/>
  <c r="G15" i="63" s="1"/>
  <c r="J15" i="63" s="1"/>
  <c r="Q16" i="67"/>
  <c r="S16" i="67"/>
  <c r="Q17" i="67"/>
  <c r="S17" i="67"/>
  <c r="AM17" i="1"/>
  <c r="S16" i="63"/>
  <c r="Q16" i="63"/>
  <c r="R20" i="1"/>
  <c r="O20" i="1"/>
  <c r="L20" i="1"/>
  <c r="I20" i="1"/>
  <c r="F20" i="1"/>
  <c r="X16" i="1"/>
  <c r="U15" i="1"/>
  <c r="U16" i="1"/>
  <c r="R15" i="1"/>
  <c r="C7" i="52"/>
  <c r="F7" i="52" s="1"/>
  <c r="C6" i="52"/>
  <c r="F6" i="52" s="1"/>
  <c r="C4" i="52"/>
  <c r="F4" i="52" s="1"/>
  <c r="C10" i="51"/>
  <c r="F10" i="51" s="1"/>
  <c r="C7" i="51"/>
  <c r="F7" i="51" s="1"/>
  <c r="C5" i="51"/>
  <c r="F5" i="51" s="1"/>
  <c r="C4" i="51"/>
  <c r="F4" i="51" s="1"/>
  <c r="C19" i="50"/>
  <c r="F19" i="50" s="1"/>
  <c r="C16" i="50"/>
  <c r="F16" i="50" s="1"/>
  <c r="C14" i="50"/>
  <c r="F14" i="50" s="1"/>
  <c r="C13" i="50"/>
  <c r="F13" i="50" s="1"/>
  <c r="C12" i="50"/>
  <c r="C11" i="50"/>
  <c r="F11" i="50" s="1"/>
  <c r="C6" i="50"/>
  <c r="C7" i="50"/>
  <c r="F7" i="50" s="1"/>
  <c r="C8" i="50"/>
  <c r="C9" i="50"/>
  <c r="F9" i="50" s="1"/>
  <c r="C10" i="50"/>
  <c r="C5" i="50"/>
  <c r="F5" i="50" s="1"/>
  <c r="C20" i="49"/>
  <c r="F20" i="49" s="1"/>
  <c r="C21" i="49"/>
  <c r="C22" i="49"/>
  <c r="C23" i="49"/>
  <c r="C24" i="49"/>
  <c r="F24" i="49" s="1"/>
  <c r="C19" i="49"/>
  <c r="C30" i="49"/>
  <c r="F30" i="49" s="1"/>
  <c r="C28" i="49"/>
  <c r="F28" i="49" s="1"/>
  <c r="C27" i="49"/>
  <c r="F27" i="49" s="1"/>
  <c r="C26" i="49"/>
  <c r="F26" i="49" s="1"/>
  <c r="C25" i="49"/>
  <c r="F25" i="49" s="1"/>
  <c r="C17" i="49"/>
  <c r="C16" i="49"/>
  <c r="F16" i="49" s="1"/>
  <c r="C14" i="49"/>
  <c r="F14" i="49" s="1"/>
  <c r="C12" i="49"/>
  <c r="F12" i="49" s="1"/>
  <c r="C10" i="49"/>
  <c r="F10" i="49" s="1"/>
  <c r="C8" i="49"/>
  <c r="F8" i="49" s="1"/>
  <c r="C6" i="49"/>
  <c r="F6" i="49" s="1"/>
  <c r="F8" i="52"/>
  <c r="F11" i="51"/>
  <c r="F9" i="51"/>
  <c r="H21" i="50"/>
  <c r="F20" i="50"/>
  <c r="F18" i="50"/>
  <c r="D12" i="50"/>
  <c r="D33" i="49"/>
  <c r="F32" i="49"/>
  <c r="D24" i="49"/>
  <c r="D23" i="49"/>
  <c r="D21" i="49"/>
  <c r="D20" i="49"/>
  <c r="D17" i="49"/>
  <c r="D15" i="49"/>
  <c r="D10" i="49"/>
  <c r="D22" i="49" s="1"/>
  <c r="D8" i="49"/>
  <c r="C16" i="48"/>
  <c r="F16" i="48" s="1"/>
  <c r="C15" i="48"/>
  <c r="F15" i="48" s="1"/>
  <c r="C13" i="48"/>
  <c r="F13" i="48" s="1"/>
  <c r="F12" i="48"/>
  <c r="F10" i="48"/>
  <c r="F9" i="48"/>
  <c r="F8" i="48"/>
  <c r="F7" i="48"/>
  <c r="F5" i="48"/>
  <c r="M14" i="63" l="1"/>
  <c r="K14" i="63"/>
  <c r="K18" i="63" s="1"/>
  <c r="K23" i="63" s="1"/>
  <c r="K24" i="63" s="1"/>
  <c r="K27" i="63" s="1"/>
  <c r="K31" i="67" s="1"/>
  <c r="P39" i="67" s="1"/>
  <c r="F12" i="50"/>
  <c r="M15" i="67"/>
  <c r="K15" i="67"/>
  <c r="K14" i="67"/>
  <c r="M14" i="67"/>
  <c r="M15" i="63"/>
  <c r="K15" i="63"/>
  <c r="T17" i="67"/>
  <c r="V17" i="67"/>
  <c r="F17" i="49"/>
  <c r="F23" i="49"/>
  <c r="V16" i="67"/>
  <c r="T16" i="67"/>
  <c r="T16" i="63"/>
  <c r="V16" i="63"/>
  <c r="AM20" i="1"/>
  <c r="V17" i="63"/>
  <c r="T17" i="63"/>
  <c r="F10" i="50"/>
  <c r="F6" i="50"/>
  <c r="F19" i="49"/>
  <c r="F8" i="50"/>
  <c r="F22" i="49"/>
  <c r="F21" i="49"/>
  <c r="F13" i="51"/>
  <c r="F14" i="51" s="1"/>
  <c r="E17" i="65" s="1"/>
  <c r="F10" i="52"/>
  <c r="F11" i="52" s="1"/>
  <c r="F17" i="48"/>
  <c r="F18" i="48" s="1"/>
  <c r="E14" i="65" s="1"/>
  <c r="G14" i="65" l="1"/>
  <c r="J14" i="65"/>
  <c r="P14" i="67"/>
  <c r="N14" i="67"/>
  <c r="N18" i="67" s="1"/>
  <c r="N23" i="67" s="1"/>
  <c r="N24" i="67" s="1"/>
  <c r="N27" i="67" s="1"/>
  <c r="N30" i="67" s="1"/>
  <c r="Y17" i="63"/>
  <c r="W17" i="63"/>
  <c r="K18" i="67"/>
  <c r="K23" i="67" s="1"/>
  <c r="K24" i="67" s="1"/>
  <c r="K27" i="67" s="1"/>
  <c r="K30" i="67" s="1"/>
  <c r="J39" i="67" s="1"/>
  <c r="Y16" i="67"/>
  <c r="W16" i="67"/>
  <c r="P15" i="67"/>
  <c r="N15" i="67"/>
  <c r="F22" i="50"/>
  <c r="F23" i="50" s="1"/>
  <c r="E16" i="65" s="1"/>
  <c r="P15" i="63"/>
  <c r="N15" i="63"/>
  <c r="J17" i="65"/>
  <c r="M17" i="65" s="1"/>
  <c r="P17" i="65" s="1"/>
  <c r="G17" i="65"/>
  <c r="Y17" i="67"/>
  <c r="W17" i="67"/>
  <c r="Y16" i="63"/>
  <c r="W16" i="63"/>
  <c r="P14" i="63"/>
  <c r="N14" i="63"/>
  <c r="N18" i="63" s="1"/>
  <c r="N23" i="63" s="1"/>
  <c r="N24" i="63" s="1"/>
  <c r="N27" i="63" s="1"/>
  <c r="N31" i="67" s="1"/>
  <c r="P40" i="67" s="1"/>
  <c r="F34" i="49"/>
  <c r="F35" i="49" s="1"/>
  <c r="E15" i="65" s="1"/>
  <c r="G14" i="51"/>
  <c r="G11" i="52"/>
  <c r="G18" i="48"/>
  <c r="J15" i="65" l="1"/>
  <c r="G15" i="65"/>
  <c r="AB17" i="63"/>
  <c r="AH17" i="63"/>
  <c r="AI17" i="63" s="1"/>
  <c r="Z17" i="63"/>
  <c r="S17" i="65"/>
  <c r="Q17" i="65"/>
  <c r="S14" i="63"/>
  <c r="Q14" i="63"/>
  <c r="S15" i="63"/>
  <c r="Q15" i="63"/>
  <c r="AH16" i="63"/>
  <c r="AI16" i="63" s="1"/>
  <c r="AI18" i="63" s="1"/>
  <c r="AI23" i="63" s="1"/>
  <c r="AI24" i="63" s="1"/>
  <c r="AI27" i="63" s="1"/>
  <c r="AB16" i="63"/>
  <c r="Z16" i="63"/>
  <c r="S14" i="67"/>
  <c r="Q14" i="67"/>
  <c r="Q18" i="67" s="1"/>
  <c r="Q23" i="67" s="1"/>
  <c r="Q24" i="67" s="1"/>
  <c r="Q27" i="67" s="1"/>
  <c r="Q30" i="67" s="1"/>
  <c r="AH16" i="67"/>
  <c r="AI16" i="67" s="1"/>
  <c r="AB16" i="67"/>
  <c r="Z16" i="67"/>
  <c r="J40" i="67"/>
  <c r="S15" i="67"/>
  <c r="Q15" i="67"/>
  <c r="M14" i="65"/>
  <c r="K14" i="65"/>
  <c r="T39" i="67"/>
  <c r="B7" i="68"/>
  <c r="J16" i="65"/>
  <c r="M16" i="65" s="1"/>
  <c r="G16" i="65"/>
  <c r="G23" i="50"/>
  <c r="AB17" i="67"/>
  <c r="Z17" i="67"/>
  <c r="AH17" i="67"/>
  <c r="AI17" i="67" s="1"/>
  <c r="G35" i="49"/>
  <c r="T14" i="67" l="1"/>
  <c r="V14" i="67"/>
  <c r="T15" i="67"/>
  <c r="V15" i="67"/>
  <c r="AL18" i="63"/>
  <c r="AL23" i="63" s="1"/>
  <c r="AL24" i="63" s="1"/>
  <c r="AL27" i="63" s="1"/>
  <c r="AC16" i="63"/>
  <c r="AE16" i="63"/>
  <c r="AF16" i="63" s="1"/>
  <c r="AI31" i="67"/>
  <c r="P47" i="67" s="1"/>
  <c r="AC17" i="67"/>
  <c r="AE17" i="67"/>
  <c r="AF17" i="67" s="1"/>
  <c r="AK17" i="67"/>
  <c r="AL17" i="67" s="1"/>
  <c r="AL18" i="67" s="1"/>
  <c r="AL23" i="67" s="1"/>
  <c r="AL24" i="67" s="1"/>
  <c r="AL27" i="67" s="1"/>
  <c r="AL30" i="67" s="1"/>
  <c r="V17" i="65"/>
  <c r="T17" i="65"/>
  <c r="P16" i="65"/>
  <c r="N16" i="65"/>
  <c r="AK17" i="63"/>
  <c r="AL17" i="63" s="1"/>
  <c r="AE17" i="63"/>
  <c r="AF17" i="63" s="1"/>
  <c r="AC17" i="63"/>
  <c r="AE16" i="67"/>
  <c r="AF16" i="67" s="1"/>
  <c r="AC16" i="67"/>
  <c r="V15" i="63"/>
  <c r="T15" i="63"/>
  <c r="V14" i="63"/>
  <c r="T14" i="63"/>
  <c r="T18" i="63" s="1"/>
  <c r="T23" i="63" s="1"/>
  <c r="T24" i="63" s="1"/>
  <c r="T27" i="63" s="1"/>
  <c r="T31" i="67" s="1"/>
  <c r="P42" i="67" s="1"/>
  <c r="P14" i="65"/>
  <c r="N14" i="65"/>
  <c r="T40" i="67"/>
  <c r="B8" i="68"/>
  <c r="AI18" i="67"/>
  <c r="AI23" i="67" s="1"/>
  <c r="AI24" i="67" s="1"/>
  <c r="AI27" i="67" s="1"/>
  <c r="AI30" i="67" s="1"/>
  <c r="J47" i="67" s="1"/>
  <c r="Q18" i="63"/>
  <c r="Q23" i="63" s="1"/>
  <c r="Q24" i="63" s="1"/>
  <c r="Q27" i="63" s="1"/>
  <c r="Q31" i="67" s="1"/>
  <c r="P41" i="67" s="1"/>
  <c r="M15" i="65"/>
  <c r="K15" i="65"/>
  <c r="K18" i="65" s="1"/>
  <c r="K23" i="65" s="1"/>
  <c r="K24" i="65" s="1"/>
  <c r="K26" i="65" s="1"/>
  <c r="K32" i="67" s="1"/>
  <c r="U21" i="1"/>
  <c r="R21" i="1"/>
  <c r="O21" i="1"/>
  <c r="L21" i="1"/>
  <c r="I21" i="1"/>
  <c r="R7" i="1"/>
  <c r="AM7" i="1" s="1"/>
  <c r="O7" i="1"/>
  <c r="R10" i="1" s="1"/>
  <c r="L7" i="1"/>
  <c r="O9" i="1" s="1"/>
  <c r="I7" i="1"/>
  <c r="F7" i="1"/>
  <c r="L11" i="1" s="1"/>
  <c r="G8" i="1"/>
  <c r="J8" i="1" s="1"/>
  <c r="M8" i="1" s="1"/>
  <c r="G9" i="1"/>
  <c r="J9" i="1" s="1"/>
  <c r="G10" i="1"/>
  <c r="J10" i="1" s="1"/>
  <c r="G11" i="1"/>
  <c r="J11" i="1" s="1"/>
  <c r="O16" i="1"/>
  <c r="L15" i="1"/>
  <c r="L16" i="1"/>
  <c r="I15" i="1"/>
  <c r="G21" i="1"/>
  <c r="G20" i="1"/>
  <c r="G7" i="1"/>
  <c r="J7" i="1" s="1"/>
  <c r="M7" i="1" s="1"/>
  <c r="H22" i="1"/>
  <c r="AM21" i="1" l="1"/>
  <c r="Y15" i="67"/>
  <c r="W15" i="67"/>
  <c r="J41" i="67"/>
  <c r="Y14" i="67"/>
  <c r="W14" i="67"/>
  <c r="W18" i="67" s="1"/>
  <c r="W23" i="67" s="1"/>
  <c r="W24" i="67" s="1"/>
  <c r="W27" i="67" s="1"/>
  <c r="W30" i="67" s="1"/>
  <c r="AN16" i="67"/>
  <c r="AN17" i="67"/>
  <c r="S14" i="65"/>
  <c r="T14" i="65" s="1"/>
  <c r="Q14" i="65"/>
  <c r="Y14" i="63"/>
  <c r="W14" i="63"/>
  <c r="T18" i="67"/>
  <c r="T23" i="67" s="1"/>
  <c r="T24" i="67" s="1"/>
  <c r="T27" i="67" s="1"/>
  <c r="T30" i="67" s="1"/>
  <c r="J42" i="67" s="1"/>
  <c r="T47" i="67"/>
  <c r="B15" i="68"/>
  <c r="S16" i="65"/>
  <c r="Q16" i="65"/>
  <c r="Y17" i="65"/>
  <c r="W17" i="65"/>
  <c r="AL31" i="67"/>
  <c r="P48" i="67" s="1"/>
  <c r="AN17" i="63"/>
  <c r="P15" i="65"/>
  <c r="N15" i="65"/>
  <c r="N18" i="65" s="1"/>
  <c r="N23" i="65" s="1"/>
  <c r="N24" i="65" s="1"/>
  <c r="N26" i="65" s="1"/>
  <c r="W15" i="63"/>
  <c r="Y15" i="63"/>
  <c r="AN16" i="63"/>
  <c r="I8" i="1"/>
  <c r="O10" i="1"/>
  <c r="R8" i="1"/>
  <c r="U10" i="1"/>
  <c r="AM10" i="1" s="1"/>
  <c r="I9" i="1"/>
  <c r="K9" i="1" s="1"/>
  <c r="L9" i="1"/>
  <c r="L8" i="1"/>
  <c r="N8" i="1" s="1"/>
  <c r="R11" i="1"/>
  <c r="N7" i="1"/>
  <c r="P7" i="1"/>
  <c r="S7" i="1" s="1"/>
  <c r="V7" i="1" s="1"/>
  <c r="Y7" i="1" s="1"/>
  <c r="L10" i="1"/>
  <c r="X11" i="1"/>
  <c r="Q7" i="1"/>
  <c r="O8" i="1"/>
  <c r="U11" i="1"/>
  <c r="U9" i="1"/>
  <c r="AM9" i="1" s="1"/>
  <c r="R9" i="1"/>
  <c r="O11" i="1"/>
  <c r="I10" i="1"/>
  <c r="K10" i="1" s="1"/>
  <c r="F8" i="1"/>
  <c r="P8" i="1"/>
  <c r="G18" i="30"/>
  <c r="G10" i="31"/>
  <c r="G21" i="28"/>
  <c r="G38" i="29"/>
  <c r="N32" i="67" l="1"/>
  <c r="T42" i="67"/>
  <c r="B10" i="68"/>
  <c r="AE17" i="65"/>
  <c r="AB17" i="65"/>
  <c r="Z17" i="65"/>
  <c r="S15" i="65"/>
  <c r="Q15" i="65"/>
  <c r="Q18" i="65" s="1"/>
  <c r="Q23" i="65" s="1"/>
  <c r="Q24" i="65" s="1"/>
  <c r="Q26" i="65" s="1"/>
  <c r="Q32" i="67" s="1"/>
  <c r="AB15" i="67"/>
  <c r="Z15" i="67"/>
  <c r="AM8" i="1"/>
  <c r="V16" i="65"/>
  <c r="T16" i="65"/>
  <c r="W18" i="63"/>
  <c r="W23" i="63" s="1"/>
  <c r="W24" i="63" s="1"/>
  <c r="W27" i="63" s="1"/>
  <c r="W31" i="67" s="1"/>
  <c r="P43" i="67" s="1"/>
  <c r="AB14" i="63"/>
  <c r="AC14" i="63" s="1"/>
  <c r="Z14" i="63"/>
  <c r="AN14" i="65"/>
  <c r="J48" i="67"/>
  <c r="AB15" i="63"/>
  <c r="Z15" i="63"/>
  <c r="AB14" i="67"/>
  <c r="AC14" i="67" s="1"/>
  <c r="Z14" i="67"/>
  <c r="T41" i="67"/>
  <c r="B9" i="68"/>
  <c r="AM11" i="1"/>
  <c r="Q8" i="1"/>
  <c r="S8" i="1"/>
  <c r="T7" i="1"/>
  <c r="H12" i="1"/>
  <c r="G13" i="28"/>
  <c r="I13" i="28" s="1"/>
  <c r="AE15" i="63" l="1"/>
  <c r="AF15" i="63" s="1"/>
  <c r="AC15" i="63"/>
  <c r="J43" i="67"/>
  <c r="T48" i="67"/>
  <c r="B16" i="68"/>
  <c r="AF17" i="65"/>
  <c r="AF18" i="65" s="1"/>
  <c r="AF23" i="65" s="1"/>
  <c r="AF24" i="65" s="1"/>
  <c r="AF26" i="65" s="1"/>
  <c r="AF32" i="67" s="1"/>
  <c r="AK17" i="65"/>
  <c r="AL17" i="65" s="1"/>
  <c r="AL18" i="65" s="1"/>
  <c r="AL23" i="65" s="1"/>
  <c r="AL24" i="65" s="1"/>
  <c r="AL26" i="65" s="1"/>
  <c r="AL32" i="67" s="1"/>
  <c r="Z18" i="65"/>
  <c r="Z23" i="65" s="1"/>
  <c r="Z24" i="65" s="1"/>
  <c r="Z26" i="65" s="1"/>
  <c r="Z32" i="67" s="1"/>
  <c r="Y16" i="65"/>
  <c r="Z16" i="65" s="1"/>
  <c r="W16" i="65"/>
  <c r="Z18" i="67"/>
  <c r="Z23" i="67" s="1"/>
  <c r="Z24" i="67" s="1"/>
  <c r="Z27" i="67" s="1"/>
  <c r="Z30" i="67" s="1"/>
  <c r="J44" i="67" s="1"/>
  <c r="AE15" i="67"/>
  <c r="AF15" i="67" s="1"/>
  <c r="AC15" i="67"/>
  <c r="AC18" i="67" s="1"/>
  <c r="AC23" i="67" s="1"/>
  <c r="AC24" i="67" s="1"/>
  <c r="AC27" i="67" s="1"/>
  <c r="AC30" i="67" s="1"/>
  <c r="J45" i="67" s="1"/>
  <c r="AN14" i="67"/>
  <c r="Z18" i="63"/>
  <c r="Z23" i="63" s="1"/>
  <c r="Z24" i="63" s="1"/>
  <c r="Z27" i="63" s="1"/>
  <c r="Z31" i="67" s="1"/>
  <c r="P44" i="67" s="1"/>
  <c r="AC17" i="65"/>
  <c r="AH17" i="65"/>
  <c r="AI17" i="65" s="1"/>
  <c r="AI18" i="65" s="1"/>
  <c r="AI23" i="65" s="1"/>
  <c r="AI24" i="65" s="1"/>
  <c r="AI26" i="65" s="1"/>
  <c r="AI32" i="67" s="1"/>
  <c r="AN14" i="63"/>
  <c r="AC18" i="63"/>
  <c r="AC23" i="63" s="1"/>
  <c r="AC24" i="63" s="1"/>
  <c r="AC27" i="63" s="1"/>
  <c r="AC31" i="67" s="1"/>
  <c r="P45" i="67" s="1"/>
  <c r="V15" i="65"/>
  <c r="W15" i="65" s="1"/>
  <c r="T15" i="65"/>
  <c r="T18" i="65" s="1"/>
  <c r="T23" i="65" s="1"/>
  <c r="T24" i="65" s="1"/>
  <c r="T26" i="65" s="1"/>
  <c r="T32" i="67" s="1"/>
  <c r="V8" i="1"/>
  <c r="Y8" i="1" s="1"/>
  <c r="T8" i="1"/>
  <c r="E7" i="31"/>
  <c r="E8" i="31"/>
  <c r="E9" i="31"/>
  <c r="T45" i="67" l="1"/>
  <c r="B13" i="68"/>
  <c r="AN32" i="67"/>
  <c r="B12" i="68"/>
  <c r="T44" i="67"/>
  <c r="AN18" i="67"/>
  <c r="AN23" i="67" s="1"/>
  <c r="AN24" i="67" s="1"/>
  <c r="AC18" i="65"/>
  <c r="AC23" i="65" s="1"/>
  <c r="AC24" i="65" s="1"/>
  <c r="AC26" i="65" s="1"/>
  <c r="AC32" i="67" s="1"/>
  <c r="AN17" i="65"/>
  <c r="B11" i="68"/>
  <c r="T43" i="67"/>
  <c r="AN16" i="65"/>
  <c r="W18" i="65"/>
  <c r="W23" i="65" s="1"/>
  <c r="W24" i="65" s="1"/>
  <c r="W26" i="65" s="1"/>
  <c r="W32" i="67" s="1"/>
  <c r="AN15" i="65"/>
  <c r="AN15" i="67"/>
  <c r="AF18" i="67"/>
  <c r="AF23" i="67" s="1"/>
  <c r="AF24" i="67" s="1"/>
  <c r="AF27" i="67" s="1"/>
  <c r="AF30" i="67" s="1"/>
  <c r="AN15" i="63"/>
  <c r="AN18" i="63" s="1"/>
  <c r="AN23" i="63" s="1"/>
  <c r="AN24" i="63" s="1"/>
  <c r="AF18" i="63"/>
  <c r="AF23" i="63" s="1"/>
  <c r="AF24" i="63" s="1"/>
  <c r="AF27" i="63" s="1"/>
  <c r="AF31" i="67" s="1"/>
  <c r="AO24" i="63" l="1"/>
  <c r="AN27" i="63"/>
  <c r="AO24" i="67"/>
  <c r="AN27" i="67"/>
  <c r="J46" i="67"/>
  <c r="AN30" i="67"/>
  <c r="G9" i="69" s="1"/>
  <c r="AN18" i="65"/>
  <c r="AN23" i="65" s="1"/>
  <c r="AN24" i="65" s="1"/>
  <c r="P46" i="67"/>
  <c r="P49" i="67" s="1"/>
  <c r="AN31" i="67"/>
  <c r="D25" i="29"/>
  <c r="G25" i="29"/>
  <c r="I25" i="29" s="1"/>
  <c r="E14" i="29"/>
  <c r="G14" i="29" s="1"/>
  <c r="I14" i="29" s="1"/>
  <c r="G8" i="29"/>
  <c r="I8" i="29" s="1"/>
  <c r="I9" i="47"/>
  <c r="J9" i="47" s="1"/>
  <c r="T46" i="67" l="1"/>
  <c r="T49" i="67" s="1"/>
  <c r="B14" i="68"/>
  <c r="B17" i="68" s="1"/>
  <c r="L6" i="69"/>
  <c r="J6" i="69" s="1"/>
  <c r="G6" i="69" s="1"/>
  <c r="L5" i="69"/>
  <c r="J5" i="69" s="1"/>
  <c r="G5" i="69" s="1"/>
  <c r="AO24" i="65"/>
  <c r="AN26" i="65"/>
  <c r="J21" i="1"/>
  <c r="K21" i="1" s="1"/>
  <c r="J20" i="1"/>
  <c r="K20" i="1" s="1"/>
  <c r="E12" i="30" l="1"/>
  <c r="E9" i="30"/>
  <c r="E8" i="30"/>
  <c r="E15" i="28"/>
  <c r="E14" i="28"/>
  <c r="E12" i="28"/>
  <c r="E9" i="28"/>
  <c r="E8" i="28"/>
  <c r="E17" i="29"/>
  <c r="E10" i="28" s="1"/>
  <c r="I8" i="47"/>
  <c r="J8" i="47" s="1"/>
  <c r="I7" i="47"/>
  <c r="J7" i="47" s="1"/>
  <c r="J10" i="47" s="1"/>
  <c r="J11" i="47" s="1"/>
  <c r="I21" i="5"/>
  <c r="J21" i="5" s="1"/>
  <c r="I11" i="4"/>
  <c r="J11" i="4" s="1"/>
  <c r="I27" i="37"/>
  <c r="J27" i="37" s="1"/>
  <c r="I19" i="5"/>
  <c r="J19" i="5" s="1"/>
  <c r="I17" i="5"/>
  <c r="J17" i="5" s="1"/>
  <c r="I12" i="5"/>
  <c r="J12" i="5" s="1"/>
  <c r="I10" i="5"/>
  <c r="J10" i="5" s="1"/>
  <c r="I16" i="5"/>
  <c r="J16" i="5" s="1"/>
  <c r="I14" i="5"/>
  <c r="J14" i="5" s="1"/>
  <c r="I9" i="4"/>
  <c r="J9" i="4" s="1"/>
  <c r="I8" i="4"/>
  <c r="J8" i="4" s="1"/>
  <c r="I7" i="4"/>
  <c r="J7" i="4" s="1"/>
  <c r="I20" i="37"/>
  <c r="J20" i="37" s="1"/>
  <c r="J28" i="37"/>
  <c r="I10" i="37"/>
  <c r="J10" i="37" s="1"/>
  <c r="I13" i="37"/>
  <c r="J13" i="37" s="1"/>
  <c r="I15" i="37"/>
  <c r="J15" i="37" s="1"/>
  <c r="I25" i="37"/>
  <c r="J25" i="37" s="1"/>
  <c r="I17" i="37"/>
  <c r="J17" i="37" s="1"/>
  <c r="I18" i="37"/>
  <c r="J18" i="37" s="1"/>
  <c r="I19" i="37"/>
  <c r="J19" i="37" s="1"/>
  <c r="I21" i="37"/>
  <c r="J21" i="37" s="1"/>
  <c r="I22" i="37"/>
  <c r="J22" i="37" s="1"/>
  <c r="I23" i="37"/>
  <c r="J23" i="37" s="1"/>
  <c r="I24" i="37"/>
  <c r="J24" i="37" s="1"/>
  <c r="I26" i="37"/>
  <c r="J26" i="37" s="1"/>
  <c r="I8" i="37"/>
  <c r="J8" i="37" s="1"/>
  <c r="E8" i="2"/>
  <c r="E10" i="30" l="1"/>
  <c r="J24" i="5"/>
  <c r="J25" i="5" s="1"/>
  <c r="J26" i="5" s="1"/>
  <c r="J27" i="5" s="1"/>
  <c r="J29" i="37"/>
  <c r="E27" i="29"/>
  <c r="G24" i="29"/>
  <c r="E10" i="1" l="1"/>
  <c r="E10" i="67"/>
  <c r="E10" i="65"/>
  <c r="E10" i="63"/>
  <c r="O15" i="1"/>
  <c r="AM15" i="1" s="1"/>
  <c r="G16" i="2"/>
  <c r="G15" i="2"/>
  <c r="H15" i="2" s="1"/>
  <c r="G14" i="2"/>
  <c r="H14" i="2" s="1"/>
  <c r="G13" i="2"/>
  <c r="H13" i="2" s="1"/>
  <c r="G12" i="2"/>
  <c r="H12" i="2" s="1"/>
  <c r="G11" i="2"/>
  <c r="G10" i="2"/>
  <c r="G9" i="2"/>
  <c r="G8" i="2"/>
  <c r="G7" i="2"/>
  <c r="G6" i="2"/>
  <c r="G5" i="2"/>
  <c r="H5" i="2" s="1"/>
  <c r="I16" i="6"/>
  <c r="J16" i="6" s="1"/>
  <c r="I15" i="6"/>
  <c r="J15" i="6" s="1"/>
  <c r="I14" i="6"/>
  <c r="J14" i="6" s="1"/>
  <c r="I13" i="6"/>
  <c r="J13" i="6" s="1"/>
  <c r="I11" i="6"/>
  <c r="J11" i="6" s="1"/>
  <c r="I10" i="6"/>
  <c r="J10" i="6" s="1"/>
  <c r="I9" i="6"/>
  <c r="J9" i="6" s="1"/>
  <c r="I8" i="6"/>
  <c r="J8" i="6" s="1"/>
  <c r="G9" i="31" l="1"/>
  <c r="I9" i="31" s="1"/>
  <c r="G8" i="31"/>
  <c r="G7" i="31"/>
  <c r="G9" i="30"/>
  <c r="G10" i="30"/>
  <c r="G11" i="30"/>
  <c r="G12" i="30"/>
  <c r="G13" i="30"/>
  <c r="I13" i="30" s="1"/>
  <c r="G14" i="30"/>
  <c r="G15" i="30"/>
  <c r="G16" i="30"/>
  <c r="I16" i="30" s="1"/>
  <c r="G17" i="30"/>
  <c r="I17" i="30" s="1"/>
  <c r="G8" i="30"/>
  <c r="G20" i="28"/>
  <c r="G19" i="28"/>
  <c r="G18" i="28"/>
  <c r="G17" i="28"/>
  <c r="G15" i="28"/>
  <c r="G14" i="28"/>
  <c r="G11" i="28"/>
  <c r="G10" i="28"/>
  <c r="G9" i="28"/>
  <c r="G8" i="28"/>
  <c r="G12" i="28"/>
  <c r="G37" i="29"/>
  <c r="G36" i="29"/>
  <c r="G35" i="29"/>
  <c r="G34" i="29"/>
  <c r="G32" i="29"/>
  <c r="G31" i="29"/>
  <c r="G21" i="29"/>
  <c r="G22" i="29"/>
  <c r="G19" i="29"/>
  <c r="F18" i="29"/>
  <c r="G18" i="29" s="1"/>
  <c r="G17" i="29"/>
  <c r="G16" i="29"/>
  <c r="F15" i="29"/>
  <c r="G15" i="29" s="1"/>
  <c r="G10" i="29"/>
  <c r="G9" i="29"/>
  <c r="I9" i="29" s="1"/>
  <c r="G7" i="29"/>
  <c r="I7" i="29" s="1"/>
  <c r="E30" i="29"/>
  <c r="E29" i="29"/>
  <c r="G29" i="29" s="1"/>
  <c r="E28" i="29"/>
  <c r="G28" i="29" s="1"/>
  <c r="G12" i="45"/>
  <c r="I12" i="45" s="1"/>
  <c r="G13" i="45"/>
  <c r="I13" i="45" s="1"/>
  <c r="G14" i="45"/>
  <c r="I14" i="45" s="1"/>
  <c r="G8" i="45"/>
  <c r="I8" i="45" s="1"/>
  <c r="G9" i="45"/>
  <c r="I9" i="45" s="1"/>
  <c r="G10" i="45"/>
  <c r="I10" i="45" s="1"/>
  <c r="F11" i="45"/>
  <c r="G11" i="45" s="1"/>
  <c r="G16" i="45"/>
  <c r="I16" i="45" s="1"/>
  <c r="G17" i="45"/>
  <c r="I17" i="45" s="1"/>
  <c r="G18" i="45"/>
  <c r="I18" i="45" s="1"/>
  <c r="G20" i="45"/>
  <c r="I20" i="45" s="1"/>
  <c r="G6" i="45"/>
  <c r="I6" i="45" s="1"/>
  <c r="G12" i="29" l="1"/>
  <c r="G30" i="29"/>
  <c r="G27" i="29"/>
  <c r="AC22" i="1" l="1"/>
  <c r="Z22" i="1"/>
  <c r="M21" i="1"/>
  <c r="P21" i="1" s="1"/>
  <c r="M20" i="1"/>
  <c r="P20" i="1" s="1"/>
  <c r="D8" i="31"/>
  <c r="I8" i="31" s="1"/>
  <c r="D7" i="31"/>
  <c r="I7" i="31" s="1"/>
  <c r="D15" i="30"/>
  <c r="I15" i="30" s="1"/>
  <c r="D14" i="30"/>
  <c r="I14" i="30" s="1"/>
  <c r="D9" i="30"/>
  <c r="I9" i="30" s="1"/>
  <c r="D10" i="30"/>
  <c r="I10" i="30" s="1"/>
  <c r="D11" i="30"/>
  <c r="I11" i="30" s="1"/>
  <c r="D12" i="30"/>
  <c r="I12" i="30" s="1"/>
  <c r="D8" i="30"/>
  <c r="I8" i="30" s="1"/>
  <c r="D20" i="28"/>
  <c r="D17" i="28"/>
  <c r="D15" i="28"/>
  <c r="D14" i="28"/>
  <c r="D9" i="28"/>
  <c r="D10" i="28"/>
  <c r="D11" i="28"/>
  <c r="D12" i="28"/>
  <c r="D8" i="28"/>
  <c r="I8" i="28" s="1"/>
  <c r="D32" i="29"/>
  <c r="D31" i="29"/>
  <c r="D35" i="29"/>
  <c r="D34" i="29"/>
  <c r="D24" i="29"/>
  <c r="D21" i="29"/>
  <c r="D29" i="29" s="1"/>
  <c r="D22" i="29"/>
  <c r="D19" i="29"/>
  <c r="D17" i="29"/>
  <c r="I17" i="29" s="1"/>
  <c r="D16" i="29"/>
  <c r="D12" i="29"/>
  <c r="I12" i="29" s="1"/>
  <c r="D10" i="29"/>
  <c r="S20" i="1" l="1"/>
  <c r="T20" i="1" s="1"/>
  <c r="Q20" i="1"/>
  <c r="I11" i="31"/>
  <c r="I19" i="30"/>
  <c r="Q21" i="1"/>
  <c r="S21" i="1"/>
  <c r="D28" i="29"/>
  <c r="D30" i="29"/>
  <c r="D27" i="29"/>
  <c r="N21" i="1"/>
  <c r="N20" i="1"/>
  <c r="J12" i="4"/>
  <c r="AN20" i="1" l="1"/>
  <c r="T21" i="1"/>
  <c r="V21" i="1"/>
  <c r="W21" i="1" s="1"/>
  <c r="AN21" i="1" s="1"/>
  <c r="N22" i="1"/>
  <c r="J13" i="4"/>
  <c r="K22" i="1"/>
  <c r="AC12" i="1"/>
  <c r="E9" i="1" l="1"/>
  <c r="E9" i="67"/>
  <c r="E9" i="65"/>
  <c r="E9" i="63"/>
  <c r="W22" i="1"/>
  <c r="Q22" i="1"/>
  <c r="T22" i="1"/>
  <c r="I10" i="29"/>
  <c r="AN22" i="1" l="1"/>
  <c r="I21" i="45" l="1"/>
  <c r="E14" i="1" s="1"/>
  <c r="G14" i="1" s="1"/>
  <c r="H18" i="1" s="1"/>
  <c r="H23" i="1" s="1"/>
  <c r="H24" i="1" s="1"/>
  <c r="H26" i="1" s="1"/>
  <c r="H33" i="67" s="1"/>
  <c r="H34" i="67" s="1"/>
  <c r="J14" i="1" l="1"/>
  <c r="K21" i="45"/>
  <c r="L21" i="45"/>
  <c r="M14" i="1" l="1"/>
  <c r="P14" i="1" s="1"/>
  <c r="K14" i="1"/>
  <c r="I19" i="28"/>
  <c r="I15" i="28"/>
  <c r="I14" i="28"/>
  <c r="I18" i="28"/>
  <c r="S14" i="1" l="1"/>
  <c r="T14" i="1" s="1"/>
  <c r="Q14" i="1"/>
  <c r="R16" i="1" l="1"/>
  <c r="AM16" i="1" s="1"/>
  <c r="J31" i="37"/>
  <c r="J32" i="37" s="1"/>
  <c r="E8" i="1" l="1"/>
  <c r="E8" i="67"/>
  <c r="E8" i="65"/>
  <c r="E8" i="63"/>
  <c r="I37" i="29"/>
  <c r="I36" i="29"/>
  <c r="I35" i="29"/>
  <c r="I34" i="29"/>
  <c r="I29" i="29"/>
  <c r="I28" i="29"/>
  <c r="I27" i="29"/>
  <c r="I30" i="29"/>
  <c r="I32" i="29"/>
  <c r="I31" i="29"/>
  <c r="I21" i="29"/>
  <c r="I22" i="29"/>
  <c r="I19" i="29"/>
  <c r="I16" i="29"/>
  <c r="I20" i="28"/>
  <c r="I12" i="28"/>
  <c r="I11" i="28"/>
  <c r="I10" i="28"/>
  <c r="I9" i="28"/>
  <c r="I17" i="28"/>
  <c r="J17" i="6"/>
  <c r="J18" i="6" s="1"/>
  <c r="M9" i="1"/>
  <c r="H11" i="2"/>
  <c r="H10" i="2"/>
  <c r="H9" i="2"/>
  <c r="H8" i="2"/>
  <c r="H7" i="2"/>
  <c r="H6" i="2"/>
  <c r="P9" i="1" l="1"/>
  <c r="I22" i="28"/>
  <c r="H17" i="2"/>
  <c r="H18" i="2" s="1"/>
  <c r="H19" i="2" s="1"/>
  <c r="H20" i="2" s="1"/>
  <c r="I24" i="29"/>
  <c r="I39" i="29" s="1"/>
  <c r="K8" i="1"/>
  <c r="AN8" i="1" s="1"/>
  <c r="N9" i="1"/>
  <c r="J19" i="6"/>
  <c r="J20" i="6" s="1"/>
  <c r="E11" i="1" l="1"/>
  <c r="E11" i="67"/>
  <c r="E11" i="65"/>
  <c r="E11" i="63"/>
  <c r="E7" i="1"/>
  <c r="E7" i="67"/>
  <c r="E7" i="65"/>
  <c r="E7" i="63"/>
  <c r="Q9" i="1"/>
  <c r="S9" i="1"/>
  <c r="K19" i="30"/>
  <c r="E16" i="1"/>
  <c r="E15" i="1"/>
  <c r="G15" i="1" s="1"/>
  <c r="E17" i="1"/>
  <c r="G17" i="1" s="1"/>
  <c r="K11" i="31"/>
  <c r="N14" i="1"/>
  <c r="AN14" i="1" s="1"/>
  <c r="V9" i="1" l="1"/>
  <c r="T9" i="1"/>
  <c r="J16" i="1"/>
  <c r="G16" i="1"/>
  <c r="J17" i="1"/>
  <c r="M17" i="1" s="1"/>
  <c r="J15" i="1"/>
  <c r="K7" i="1"/>
  <c r="AN7" i="1" s="1"/>
  <c r="M11" i="1"/>
  <c r="P11" i="1" l="1"/>
  <c r="S11" i="1" s="1"/>
  <c r="N11" i="1"/>
  <c r="K12" i="1"/>
  <c r="Y9" i="1"/>
  <c r="W9" i="1"/>
  <c r="AN9" i="1" s="1"/>
  <c r="P17" i="1"/>
  <c r="M15" i="1"/>
  <c r="K15" i="1"/>
  <c r="M16" i="1"/>
  <c r="M10" i="1"/>
  <c r="P10" i="1" s="1"/>
  <c r="K18" i="1" l="1"/>
  <c r="K23" i="1" s="1"/>
  <c r="K24" i="1" s="1"/>
  <c r="K26" i="1" s="1"/>
  <c r="Q11" i="1"/>
  <c r="Q10" i="1"/>
  <c r="S10" i="1"/>
  <c r="V11" i="1"/>
  <c r="T11" i="1"/>
  <c r="S17" i="1"/>
  <c r="Q17" i="1"/>
  <c r="P16" i="1"/>
  <c r="N16" i="1"/>
  <c r="P15" i="1"/>
  <c r="N15" i="1"/>
  <c r="N10" i="1"/>
  <c r="K33" i="67" l="1"/>
  <c r="K34" i="67" s="1"/>
  <c r="G39" i="67" s="1"/>
  <c r="M39" i="67" s="1"/>
  <c r="D7" i="68" s="1"/>
  <c r="N12" i="1"/>
  <c r="N18" i="1"/>
  <c r="N23" i="1" s="1"/>
  <c r="N24" i="1" s="1"/>
  <c r="N26" i="1" s="1"/>
  <c r="Y11" i="1"/>
  <c r="Z11" i="1" s="1"/>
  <c r="AN11" i="1" s="1"/>
  <c r="W11" i="1"/>
  <c r="V10" i="1"/>
  <c r="T10" i="1"/>
  <c r="T12" i="1" s="1"/>
  <c r="S15" i="1"/>
  <c r="Q15" i="1"/>
  <c r="T17" i="1"/>
  <c r="V17" i="1"/>
  <c r="Q16" i="1"/>
  <c r="S16" i="1"/>
  <c r="Q12" i="1"/>
  <c r="N33" i="67" l="1"/>
  <c r="N34" i="67" s="1"/>
  <c r="G40" i="67" s="1"/>
  <c r="M40" i="67" s="1"/>
  <c r="H7" i="68"/>
  <c r="J7" i="68" s="1"/>
  <c r="Q18" i="1"/>
  <c r="Q23" i="1" s="1"/>
  <c r="Q24" i="1" s="1"/>
  <c r="Q26" i="1" s="1"/>
  <c r="Y10" i="1"/>
  <c r="W10" i="1"/>
  <c r="AN10" i="1" s="1"/>
  <c r="Z12" i="1"/>
  <c r="Y17" i="1"/>
  <c r="AE17" i="1" s="1"/>
  <c r="W17" i="1"/>
  <c r="V16" i="1"/>
  <c r="T16" i="1"/>
  <c r="V15" i="1"/>
  <c r="W15" i="1" s="1"/>
  <c r="T15" i="1"/>
  <c r="Q33" i="67" l="1"/>
  <c r="Q34" i="67" s="1"/>
  <c r="G41" i="67" s="1"/>
  <c r="M41" i="67" s="1"/>
  <c r="D9" i="68" s="1"/>
  <c r="H9" i="68" s="1"/>
  <c r="J9" i="68" s="1"/>
  <c r="AN15" i="1"/>
  <c r="D8" i="68"/>
  <c r="AK17" i="1"/>
  <c r="AL17" i="1" s="1"/>
  <c r="AL18" i="1" s="1"/>
  <c r="AL23" i="1" s="1"/>
  <c r="AL24" i="1" s="1"/>
  <c r="AL26" i="1" s="1"/>
  <c r="AL33" i="67" s="1"/>
  <c r="AL34" i="67" s="1"/>
  <c r="G48" i="67" s="1"/>
  <c r="M48" i="67" s="1"/>
  <c r="D16" i="68" s="1"/>
  <c r="H16" i="68" s="1"/>
  <c r="J16" i="68" s="1"/>
  <c r="AF17" i="1"/>
  <c r="AF18" i="1" s="1"/>
  <c r="AF23" i="1" s="1"/>
  <c r="AF24" i="1" s="1"/>
  <c r="AF26" i="1" s="1"/>
  <c r="AF33" i="67" s="1"/>
  <c r="AF34" i="67" s="1"/>
  <c r="G46" i="67" s="1"/>
  <c r="M46" i="67" s="1"/>
  <c r="D14" i="68" s="1"/>
  <c r="H14" i="68" s="1"/>
  <c r="J14" i="68" s="1"/>
  <c r="AN12" i="1"/>
  <c r="AO12" i="1" s="1"/>
  <c r="W12" i="1"/>
  <c r="AB17" i="1"/>
  <c r="Z17" i="1"/>
  <c r="Y16" i="1"/>
  <c r="Z16" i="1" s="1"/>
  <c r="W16" i="1"/>
  <c r="W18" i="1" s="1"/>
  <c r="T18" i="1"/>
  <c r="T23" i="1" s="1"/>
  <c r="T24" i="1" s="1"/>
  <c r="T26" i="1" s="1"/>
  <c r="T33" i="67" l="1"/>
  <c r="T34" i="67" s="1"/>
  <c r="G42" i="67" s="1"/>
  <c r="M42" i="67" s="1"/>
  <c r="D10" i="68" s="1"/>
  <c r="H10" i="68" s="1"/>
  <c r="J10" i="68" s="1"/>
  <c r="AN16" i="1"/>
  <c r="H8" i="68"/>
  <c r="J8" i="68" s="1"/>
  <c r="AC17" i="1"/>
  <c r="AH17" i="1"/>
  <c r="AI17" i="1" s="1"/>
  <c r="AI18" i="1" s="1"/>
  <c r="AI23" i="1" s="1"/>
  <c r="AI24" i="1" s="1"/>
  <c r="AI26" i="1" s="1"/>
  <c r="AI33" i="67" s="1"/>
  <c r="AI34" i="67" s="1"/>
  <c r="G47" i="67" s="1"/>
  <c r="M47" i="67" s="1"/>
  <c r="D15" i="68" s="1"/>
  <c r="H15" i="68" s="1"/>
  <c r="J15" i="68" s="1"/>
  <c r="W23" i="1"/>
  <c r="W24" i="1" s="1"/>
  <c r="W26" i="1" s="1"/>
  <c r="Z18" i="1"/>
  <c r="Z23" i="1" s="1"/>
  <c r="Z24" i="1" s="1"/>
  <c r="Z26" i="1" s="1"/>
  <c r="AN17" i="1" l="1"/>
  <c r="AN18" i="1" s="1"/>
  <c r="AN23" i="1" s="1"/>
  <c r="AN24" i="1" s="1"/>
  <c r="W33" i="67"/>
  <c r="W34" i="67" s="1"/>
  <c r="G43" i="67" s="1"/>
  <c r="M43" i="67" s="1"/>
  <c r="D11" i="68" s="1"/>
  <c r="AC18" i="1"/>
  <c r="AC23" i="1" s="1"/>
  <c r="AC24" i="1" s="1"/>
  <c r="AC26" i="1" s="1"/>
  <c r="AC33" i="67" s="1"/>
  <c r="AC34" i="67" s="1"/>
  <c r="G45" i="67" s="1"/>
  <c r="M45" i="67" s="1"/>
  <c r="Z33" i="67"/>
  <c r="Z34" i="67" s="1"/>
  <c r="G44" i="67" s="1"/>
  <c r="M44" i="67" s="1"/>
  <c r="D12" i="68" s="1"/>
  <c r="H12" i="68" s="1"/>
  <c r="J12" i="68" s="1"/>
  <c r="AN33" i="67" l="1"/>
  <c r="AN34" i="67" s="1"/>
  <c r="H11" i="68"/>
  <c r="J11" i="68" s="1"/>
  <c r="D13" i="68"/>
  <c r="H13" i="68" s="1"/>
  <c r="J13" i="68" s="1"/>
  <c r="M49" i="67"/>
  <c r="AO24" i="1"/>
  <c r="AN26" i="1"/>
  <c r="G4" i="69" l="1"/>
  <c r="G11" i="69" s="1"/>
  <c r="J17" i="68"/>
  <c r="J19" i="68" s="1"/>
  <c r="J21" i="68" s="1"/>
  <c r="H17" i="68"/>
  <c r="D17" i="68"/>
</calcChain>
</file>

<file path=xl/sharedStrings.xml><?xml version="1.0" encoding="utf-8"?>
<sst xmlns="http://schemas.openxmlformats.org/spreadsheetml/2006/main" count="1440" uniqueCount="558">
  <si>
    <t>Sl. No</t>
  </si>
  <si>
    <t>Item of Work</t>
  </si>
  <si>
    <t>2020 - 21</t>
  </si>
  <si>
    <t>2021 - 22</t>
  </si>
  <si>
    <t>2022 - 23</t>
  </si>
  <si>
    <t>2023 - 24</t>
  </si>
  <si>
    <t>2024 - 25</t>
  </si>
  <si>
    <t>2025 - 26</t>
  </si>
  <si>
    <t>2026 - 27</t>
  </si>
  <si>
    <t>Grand Total</t>
  </si>
  <si>
    <t>Phy</t>
  </si>
  <si>
    <t>I</t>
  </si>
  <si>
    <t>Sub Total:</t>
  </si>
  <si>
    <t>Advance Operations</t>
  </si>
  <si>
    <t>1st Year Maintenance</t>
  </si>
  <si>
    <t>2nd Year Maintenance</t>
  </si>
  <si>
    <t>III</t>
  </si>
  <si>
    <t xml:space="preserve">Sub Total </t>
  </si>
  <si>
    <t xml:space="preserve"> UNIT COST FOR RAISING OF PRIMARY BEDS</t>
  </si>
  <si>
    <t>Sl. No.</t>
  </si>
  <si>
    <t>Item of work</t>
  </si>
  <si>
    <t>Unit</t>
  </si>
  <si>
    <t>Amount (Rs.)</t>
  </si>
  <si>
    <t>01.00.00</t>
  </si>
  <si>
    <t>01.01.01</t>
  </si>
  <si>
    <t>Bed</t>
  </si>
  <si>
    <t>01.01.03</t>
  </si>
  <si>
    <t>01.01.04</t>
  </si>
  <si>
    <t>01.01.05</t>
  </si>
  <si>
    <t>01.01.06</t>
  </si>
  <si>
    <t>01.01.07</t>
  </si>
  <si>
    <t>01.01.08</t>
  </si>
  <si>
    <t>01.01.10</t>
  </si>
  <si>
    <t>01.01.12</t>
  </si>
  <si>
    <t>01.01.13</t>
  </si>
  <si>
    <t>45 Days</t>
  </si>
  <si>
    <t>01.01.15</t>
  </si>
  <si>
    <t>Electrical Charges</t>
  </si>
  <si>
    <t>Total</t>
  </si>
  <si>
    <t>Rasing of seedlings 110% for abtaining 100%</t>
  </si>
  <si>
    <t xml:space="preserve"> </t>
  </si>
  <si>
    <t>01.03.01</t>
  </si>
  <si>
    <t>01.03.03</t>
  </si>
  <si>
    <t>01.03.04</t>
  </si>
  <si>
    <t>01.03.05</t>
  </si>
  <si>
    <t>01.03.06</t>
  </si>
  <si>
    <t>01.03.08</t>
  </si>
  <si>
    <t>01.03.09</t>
  </si>
  <si>
    <t>01.03.12</t>
  </si>
  <si>
    <t>01.03.13</t>
  </si>
  <si>
    <t>01.03.15</t>
  </si>
  <si>
    <t>Electricity charges</t>
  </si>
  <si>
    <t>01.03.33</t>
  </si>
  <si>
    <t>01.03.34</t>
  </si>
  <si>
    <t>cost of each plant</t>
  </si>
  <si>
    <t>01.04.01</t>
  </si>
  <si>
    <t>01.04.02</t>
  </si>
  <si>
    <t>01.04.03</t>
  </si>
  <si>
    <t>01.04.05</t>
  </si>
  <si>
    <t>As per actuals</t>
  </si>
  <si>
    <t>01.04.06</t>
  </si>
  <si>
    <t>01.04.07</t>
  </si>
  <si>
    <t>01.04.08</t>
  </si>
  <si>
    <t>Raising of Plants in Nurseries &amp; their Maintanance, Procurement of Plants</t>
  </si>
  <si>
    <t>Rate (Rs.)</t>
  </si>
  <si>
    <t>Per</t>
  </si>
  <si>
    <t>Rmt</t>
  </si>
  <si>
    <t>cum</t>
  </si>
  <si>
    <t>Unit Rate for 2019 -20</t>
  </si>
  <si>
    <t>Plantation</t>
  </si>
  <si>
    <t>02.01.03</t>
  </si>
  <si>
    <t>02.08.04</t>
  </si>
  <si>
    <t>02.08.03</t>
  </si>
  <si>
    <t>02.08.02</t>
  </si>
  <si>
    <t>02.08.01</t>
  </si>
  <si>
    <t xml:space="preserve">Item of work </t>
  </si>
  <si>
    <t>FSR Code</t>
  </si>
  <si>
    <t>Unit Rate per Ha</t>
  </si>
  <si>
    <t>02.10.04</t>
  </si>
  <si>
    <t>Ha</t>
  </si>
  <si>
    <t>02.10.01</t>
  </si>
  <si>
    <t>02.09.07</t>
  </si>
  <si>
    <t>02.09.08</t>
  </si>
  <si>
    <t>02.09.10</t>
  </si>
  <si>
    <t>02.10.06</t>
  </si>
  <si>
    <t>02.09.04</t>
  </si>
  <si>
    <t>02.09.05</t>
  </si>
  <si>
    <t>Internal transport of bag plants/root trainers to planting points on head loads.</t>
  </si>
  <si>
    <t>02.09.11</t>
  </si>
  <si>
    <t>02.09.16</t>
  </si>
  <si>
    <t>Cost of DAP @25gm / planting point</t>
  </si>
  <si>
    <t xml:space="preserve">Planting Bag Plants </t>
  </si>
  <si>
    <t>02.09.15</t>
  </si>
  <si>
    <t>02.09.18</t>
  </si>
  <si>
    <t>02.09.19</t>
  </si>
  <si>
    <t>02.09.20</t>
  </si>
  <si>
    <t>02.09.22</t>
  </si>
  <si>
    <t>02.11.02</t>
  </si>
  <si>
    <t>Plant</t>
  </si>
  <si>
    <t>Unit Cost (Rs.)</t>
  </si>
  <si>
    <t>Fin (Rs.in Lakhs)</t>
  </si>
  <si>
    <t>Raising of Plantation</t>
  </si>
  <si>
    <t>No</t>
  </si>
  <si>
    <t>km</t>
  </si>
  <si>
    <t>Administrative Cost - 10%</t>
  </si>
  <si>
    <t xml:space="preserve">Formation of Sector Lines / Fire Lines to a width of 3 m by giving surface treatment (sector to be in conformity with slope direction ). All stumps to be cut to ground level. </t>
  </si>
  <si>
    <t>03.05.01</t>
  </si>
  <si>
    <t>Maintenance of fire lines (5.00 mtr width) including cutting back  of rank growth and burning - propotionate cost - 0.60 times</t>
  </si>
  <si>
    <t>02.09.06</t>
  </si>
  <si>
    <t>02.09.13</t>
  </si>
  <si>
    <t>b) Circular weeding cum Deep soil working to a radius of 0.5 m and to a depth of 15 cm (to be done by pick-axe only) without damaging the plant. (during Nov - Dec.)</t>
  </si>
  <si>
    <t xml:space="preserve">a) Circular  weeding  to a radius of 0.50 m around the plant (during July - Aug) </t>
  </si>
  <si>
    <t>02.10.05</t>
  </si>
  <si>
    <t>02.09.14</t>
  </si>
  <si>
    <t>50% of rate of original pitting rate during raising year and 100% during maintenance years. Planting, Transportation and internal transportation as prescribed above.</t>
  </si>
  <si>
    <t xml:space="preserve">Inter-ploughing (during September) the effective plantation area (excluding unsuitable patches) across the slope to a depth of 30 cm with Heavy-duty Tractor of 55 HP and above with Firm Mould Board (FMB) plough. </t>
  </si>
  <si>
    <t>Circular weeding cum Deep soil working to a radius of 0.5 m and to a depth of 15 cm (to be done by pick-axe only) without damaging the plant. (July-Aug)</t>
  </si>
  <si>
    <t>02.08.05</t>
  </si>
  <si>
    <t xml:space="preserve">Unit Cost for 3rd Year Maintenance of NTSH Plantation (3m X 2m) SMM per Ha </t>
  </si>
  <si>
    <t>Cost of DAP @25gm / planting point-50% of raising  cost</t>
  </si>
  <si>
    <t>Cmt</t>
  </si>
  <si>
    <t>a</t>
  </si>
  <si>
    <t>Pruning of lower branch initials of Timber and NTFP species by scicature upto 1/3 rd height (to be done during July - Aug)</t>
  </si>
  <si>
    <t xml:space="preserve">Unit Cost for 2nd Year Maintenance of NTSH Plantation (3 m X 3 m) SMM per Ha </t>
  </si>
  <si>
    <t>II</t>
  </si>
  <si>
    <t>IV</t>
  </si>
  <si>
    <t>Forest Divisional Officer,</t>
  </si>
  <si>
    <t>Contingencies @ 5%</t>
  </si>
  <si>
    <t xml:space="preserve">Contingencies @ 5% </t>
  </si>
  <si>
    <t>FSR-2019-20 Code</t>
  </si>
  <si>
    <t>01.03.27</t>
  </si>
  <si>
    <t>01.03.35</t>
  </si>
  <si>
    <t>01.03.37</t>
  </si>
  <si>
    <t>01.03.38</t>
  </si>
  <si>
    <t>2019-20 Total</t>
  </si>
  <si>
    <t>01.03.10</t>
  </si>
  <si>
    <t>01.03.16</t>
  </si>
  <si>
    <t>01.03.18</t>
  </si>
  <si>
    <t xml:space="preserve">Add casualty 10% </t>
  </si>
  <si>
    <t xml:space="preserve"> 2019-20 Grand Total</t>
  </si>
  <si>
    <t>cost of each plant (2000 plants per bed) - 2019-20</t>
  </si>
  <si>
    <t>Unit Cost for Raising of N.T.S.H. Plantations 3m X 3m. (SMM) during 2019-20</t>
  </si>
  <si>
    <t>02.09.03</t>
  </si>
  <si>
    <t>Unit Cost for 1st Year Maintenance of NTSH Plantation (3m X 3 m) SMM per Ha during 2019-20</t>
  </si>
  <si>
    <t>02.11.03</t>
  </si>
  <si>
    <t>Unit Cost 2019-20 (Rs.)</t>
  </si>
  <si>
    <t>ha</t>
  </si>
  <si>
    <t>No's</t>
  </si>
  <si>
    <t>Raising of Primary beds</t>
  </si>
  <si>
    <t>Planting activities (SMM) in DFL</t>
  </si>
  <si>
    <t xml:space="preserve"> UNIT COST FOR BAG PLANT NURSERY</t>
  </si>
  <si>
    <t>cost of each plant (2600 plants per bed)</t>
  </si>
  <si>
    <t>Distance upto 5 km</t>
  </si>
  <si>
    <t>For every extra km beyond 5 km upto 25 km</t>
  </si>
  <si>
    <t>Quantity</t>
  </si>
  <si>
    <t>Kg</t>
  </si>
  <si>
    <t>Rate (Rs)</t>
  </si>
  <si>
    <t>As per FSR</t>
  </si>
  <si>
    <t>01.03.11</t>
  </si>
  <si>
    <t>01.03.14</t>
  </si>
  <si>
    <t xml:space="preserve"> UNIT COST FOR MAINTENANCE OF BAG PLANTS (4"x7")</t>
  </si>
  <si>
    <t>01.03.19</t>
  </si>
  <si>
    <t>01.03.20</t>
  </si>
  <si>
    <t>01.03.21</t>
  </si>
  <si>
    <t>01.03.24</t>
  </si>
  <si>
    <t>01.03.25</t>
  </si>
  <si>
    <t>Weeding the plants (2 weedings)</t>
  </si>
  <si>
    <t>01.03.39</t>
  </si>
  <si>
    <t xml:space="preserve"> UNIT COST FOR CONVERSION FROM 4"x7"  to 6"x12"</t>
  </si>
  <si>
    <t>Cost of the ploythene bags</t>
  </si>
  <si>
    <t>2019-20 Total for 1100 plants</t>
  </si>
  <si>
    <t>Total (Rs)</t>
  </si>
  <si>
    <t>Agency allowence 25% (Rs)</t>
  </si>
  <si>
    <t>01.05.04</t>
  </si>
  <si>
    <t>Bed/month</t>
  </si>
  <si>
    <t>Bed/weeding</t>
  </si>
  <si>
    <t>Bed/shifting</t>
  </si>
  <si>
    <t>Raising of Bag Plants of 4"x7"</t>
  </si>
  <si>
    <t xml:space="preserve">Maintenance of Bag Plants of 4"x7" </t>
  </si>
  <si>
    <t>Conversion of bag plants from 4"x7" to 6"x12"</t>
  </si>
  <si>
    <t>Maintenance of Bag Plants of 6"x12"</t>
  </si>
  <si>
    <t>10% escalation every year</t>
  </si>
  <si>
    <t>cost of each plant (1100 Plants per bed)</t>
  </si>
  <si>
    <t>01.04.09</t>
  </si>
  <si>
    <t xml:space="preserve"> UNIT COST FOR MAINTENANCE OF BAG PLANTS (September to till disposal)</t>
  </si>
  <si>
    <t>01.05.01</t>
  </si>
  <si>
    <t>01.05.02</t>
  </si>
  <si>
    <t xml:space="preserve"> UNIT COST FOR MAINTENANCE OF BAG PLANTS (April to August)</t>
  </si>
  <si>
    <t>Unit Cost for Advance Operations for Raising of N.T.S.H. Plantations 3m X 3m (SMM) during 2019-20</t>
  </si>
  <si>
    <t xml:space="preserve">As per FSR </t>
  </si>
  <si>
    <t>Total (Rs.)</t>
  </si>
  <si>
    <r>
      <rPr>
        <b/>
        <sz val="11"/>
        <color theme="1"/>
        <rFont val="Calibri"/>
        <family val="2"/>
        <scheme val="minor"/>
      </rPr>
      <t>Transportation</t>
    </r>
    <r>
      <rPr>
        <sz val="11"/>
        <color theme="1"/>
        <rFont val="Calibri"/>
        <family val="2"/>
        <scheme val="minor"/>
      </rPr>
      <t xml:space="preserve"> of Bag plants / Root trainer plants from nursery site to plantation site including loading and unloading </t>
    </r>
  </si>
  <si>
    <r>
      <t>Deep Ploughing</t>
    </r>
    <r>
      <rPr>
        <sz val="11"/>
        <color theme="1"/>
        <rFont val="Calibri"/>
        <family val="2"/>
        <scheme val="minor"/>
      </rPr>
      <t xml:space="preserve"> the effective (excluding unsuitable patches) plantation area across the slope to a depth of 30 cm with Heavy-duty Tractor of 55 HP and above with Firm Mould Board (FMB) plough.</t>
    </r>
    <r>
      <rPr>
        <b/>
        <sz val="11"/>
        <color theme="1"/>
        <rFont val="Calibri"/>
        <family val="2"/>
        <scheme val="minor"/>
      </rPr>
      <t xml:space="preserve"> FOR TILLED AREA ONLY</t>
    </r>
  </si>
  <si>
    <t>02.09.01</t>
  </si>
  <si>
    <t>Untit</t>
  </si>
  <si>
    <t>15X30 cm (4"X7")bag plants</t>
  </si>
  <si>
    <t>02.09.17</t>
  </si>
  <si>
    <t xml:space="preserve">Planting in 45 cm size cubic pit Pit </t>
  </si>
  <si>
    <r>
      <t>Circular weeding cum Deep soil working</t>
    </r>
    <r>
      <rPr>
        <sz val="11"/>
        <color theme="1"/>
        <rFont val="Calibri"/>
        <family val="2"/>
        <scheme val="minor"/>
      </rPr>
      <t xml:space="preserve"> to a radius of 0.5 m and to a depth of 15 cm (to be done by pick-axe only) without damaging the plant during Nov - Dec</t>
    </r>
  </si>
  <si>
    <t>Staggered trenches</t>
  </si>
  <si>
    <t>Preparation of New Site by clearing  jungle growth, uprootal of stumps and removal of surface stones, pebbles etc.</t>
  </si>
  <si>
    <t>Digging soil of the demarcated beds of 1x1x0.30 m size</t>
  </si>
  <si>
    <t>Site preparation for New Sites - Clearing of growth, uprootal of stumps and removal of surface stones, rubbish of all sorts etc.</t>
  </si>
  <si>
    <t>10 cm x 17.5 cm (4" x 7") size bags of 200 g: 589 bags / kg</t>
  </si>
  <si>
    <t>Cost and Transport of ingredients for Potting Mixture: (As per CSSR) Red Soil, tank-silt, FYM in 2:1:1 ratio. To this soil mixture, 220 gm of Indophyll M-45, 4.5 kg of single super phosphate (SSP) and 250 gm of phorate granules per 1 cum of potting mixture will be added. Cost of chemicals is as per actuals.</t>
  </si>
  <si>
    <t xml:space="preserve">Cost of Polybags (including the cost of certification  by): To ensure quality control, the quality of bags have to be certified by CIPET (Central Institute of Plastic Engineering &amp; Technology), Hyderabad at the cost of tenderer by taking samples from various lots of polybags.  </t>
  </si>
  <si>
    <t>10 cm x 17.5 cm (4" x 7") size bags: 2600 bags / bed</t>
  </si>
  <si>
    <t xml:space="preserve">Preparation of Potting Mixture by powdering of various ingredients, sieving and mixing them in prescribed proportion; opening of bags and filling with potting mixture and gently pressing the same with finger tips and arranging in beds. </t>
  </si>
  <si>
    <t>Allignment of beds including allignment of inspection paths etc</t>
  </si>
  <si>
    <t>Pricking out seedlings from primary beds and transplanting into polybags</t>
  </si>
  <si>
    <t>Sowing / dibbling of pretreated seeds (e.g. Yegisa, Nalamadi, Yerumaddi etc.) directly into bags including cost of treatment</t>
  </si>
  <si>
    <t>Weeding to be done for every 2 months from the date of transplantation up to March</t>
  </si>
  <si>
    <t>1st shifting and grading after three months and consecutive shifting and grading after every two months till the nursery stock is lifted</t>
  </si>
  <si>
    <t>Replacement of casualties after sorting out the empty bags and keeping at one end of the bed (maximum 10% of total stock is permissible)</t>
  </si>
  <si>
    <t>Cost of foliar nutritient formulations like multiplex or NPK-19:19:19; fungicides and insecticides from July to Oct.</t>
  </si>
  <si>
    <t>Weeding in the space between the beds, inspection path and sorroundings of Nursery</t>
  </si>
  <si>
    <t>Cost of sandy soil and transportation with 5 kms lead including loading and unloading charges (sandy soil and FYM in 5:1 ratio, i.e.,  0.125 cum sandy soil  and 0.025 cum FYM per primary bed</t>
  </si>
  <si>
    <t>Cost and transport of 0.025 cum FYM</t>
  </si>
  <si>
    <t xml:space="preserve">Mixing of sandy soil and FYM  in 5:1 proportion (50 % of volume of bed)  with exacavated soil  and refilling the bed and lavelling. </t>
  </si>
  <si>
    <t>Covering the beds with dried grass and leaf litter and burning them to ash which can form the upper layer</t>
  </si>
  <si>
    <t>Cost of seed - seed weight, germination percentage and target of planting stock of individual species are to be taken into consideration while estimating the requirement of seeds</t>
  </si>
  <si>
    <t xml:space="preserve">Sowing of seed (finer seeds like Adina, Mitragyna, Anthocephalus etc.  to be mixed with sand and bradcasted - Bigger seeds to be dibbled in lines 1-2 cm apart) and covering the bed to a thickness of 2.5 cm with paddy hay including cost and conveyance </t>
  </si>
  <si>
    <t>Watering the primary nursery beds with rose water cans twice daily for a maximum period of 2 months.</t>
  </si>
  <si>
    <t>Cost of chemicals, fungicide and insecticide</t>
  </si>
  <si>
    <t>Maintenance of 4"x7" or 5"x9" bag-plants from April – August - Watering the plants twice a day from April – August</t>
  </si>
  <si>
    <t>(a) Manually with rose cans or finely perforated nozzle attached to a hose pipe</t>
  </si>
  <si>
    <t>Weeding the beds during May &amp; July</t>
  </si>
  <si>
    <t>Shifting, grading and rearrangement in beds</t>
  </si>
  <si>
    <t>Cost of Protection:  One Nursery Watcher is allowed up to 1 lakh RT nursery or 100 secondary beds of polybags / 100 Teak beds of 10 x 1 m size or combination of both.  One additional Nursery Watcher is permitted for nurseries having more than 1 lakh upto 3 lakh RT seedlings or more than 100 upto 300 secondray beds or Teak beds of 10 x 1 m size or combination of both. For more than 3 lakh RT or 300 secodary beds of Teak bedsor combination of both another additional Nursery Watcher is allowed. While calculating the number of Nursery Watcher, care shall be taken to include the nursery raising under all Schemes at a particular site. No extra Nursery Watcher is allowed for primary beds of 1x1 m size. However, the above narrative is subject to the provisions cited under general instructions.</t>
  </si>
  <si>
    <t>Transportation of soil mixture ingredients</t>
  </si>
  <si>
    <t>4" x 7" to  6" x 12" polybags (2.15 - 0.56 = 1.59 cum)</t>
  </si>
  <si>
    <t>Distance up to 5 km</t>
  </si>
  <si>
    <t>Transportation of soil mixture ingredients more than 5 km distance and upto 25 km distance</t>
  </si>
  <si>
    <t>Shifting, Grading and rearranging in secondary beds  - One Grading in February</t>
  </si>
  <si>
    <t xml:space="preserve">Manually with rose spray or finely perforated nozzle attached to a hose pipe </t>
  </si>
  <si>
    <t>c</t>
  </si>
  <si>
    <t>10 cm x 17.5 cm (4" x 7") =  0.56 cum vol. for 1000 bags</t>
  </si>
  <si>
    <t>01.04.00</t>
  </si>
  <si>
    <t>Watering  polybag secondary beds twice a day for 4 months</t>
  </si>
  <si>
    <t xml:space="preserve">Weeding once during maintenance year </t>
  </si>
  <si>
    <t>Cost of foliar nutritient formulations like multiplex or NPK-19:19:19; fungicides and insecticides from April to August</t>
  </si>
  <si>
    <t>Cowdung Slurry application (One can apply chemical foliar spray or apply cowdung slurry - not both)</t>
  </si>
  <si>
    <t xml:space="preserve">Weeding in the space between the beds, inspection path and sorroundings of Nursery </t>
  </si>
  <si>
    <t xml:space="preserve">Cost and transportation of fresh cowdung </t>
  </si>
  <si>
    <t>MAINTENANCE OF BAG NURSERY FROM SEPTEMBER TO TILL DISPOSAL</t>
  </si>
  <si>
    <t>Watcher/ month</t>
  </si>
  <si>
    <t xml:space="preserve">Total (Rs.) </t>
  </si>
  <si>
    <t>Survey with hand-held GPS  (staff to carry out) and demarcation - one manday is allowed for assistance. The surveyed sketch with exact effective area statement will be uploaded in MIS platform by end of  December.</t>
  </si>
  <si>
    <t xml:space="preserve">Clearing unsalable unwanted jungle growth (leaving all the tree species of good form particularly the hardwood tree species like Teak, Nallamaddi, Yegisa, Narepa, Somi, Jitregi, Billudu, Chenangi etc. and NTFP species like Ippa, Morri, Tani, Karaka, Vepa, Maredu, Tapasi, Tuniki, Chinta, Usuri, Nallajeedi  etc.); Spreading the cut material all over the site; and Burning the same twice till completely burnt. The unsuitable area shall be excuded from the clearing opearation and the expenditure shall be incurred for effective area only. All the above operations shall be completed before December. </t>
  </si>
  <si>
    <t>b</t>
  </si>
  <si>
    <t>Sparse Jungle growth (&lt; 10% ground area covered with Jungle growth)</t>
  </si>
  <si>
    <t>Very Light Jungle growth (&gt;10% and up to 20% ground area covered with Jungle growth)</t>
  </si>
  <si>
    <t>Light Jungle Growth (&gt; 20% and upto 30% ground area covered with Jungle growth) with prior written approval of DFO based on the field inspection of DFO.</t>
  </si>
  <si>
    <t>Uprootal of Stumps  (excluding unsuitable patches) to a minimum depth of 45 cm with heavy machinery fitted with 0.90 cum and above capacity bucket, filling the pits caused by uprootal, and levelling.  For retrived encroached area, the approval of Circle Head is required and the approval should indicate clearly the density of stumps or vegetation to be removed through uprootal. The uprootal work can be carried out preferably through tender process.</t>
  </si>
  <si>
    <t>Collection and Removal of uprooted stumps of all sizes, other debris etc. to outside plantation site</t>
  </si>
  <si>
    <t>Tilling (Permissible for CA area only) the soil to a depth of 0.45 cm in the affected area (excluding unsuitable patches) with heavy duty machinery fitted with 0.9 cum and above capacity bucket and levelling - Permissible for CA area only (and written approval of Circle head is needed and required budgetary provision has to find place in annual approved plan) and VIP planting area ( minimum area should be more than 1 ha). The uprootal and tilling works shall be done preferably through a tender process and the execution of work completed before end of March</t>
  </si>
  <si>
    <t>Sparce jungle growth (&lt;10% ground area covered with jungle growth)</t>
  </si>
  <si>
    <t>Ordinary Soil</t>
  </si>
  <si>
    <t>Removing congestion of root suckers and other uprooted material hindering the effective ploughing</t>
  </si>
  <si>
    <t>© Alignment and staking including demarcation of base line  for Misc species with espacement 3mX3m (1111 Nos)</t>
  </si>
  <si>
    <t>Cost of preparation of stakes (0.45 m length) and transportation of site</t>
  </si>
  <si>
    <t xml:space="preserve">Digging of Pits in Ploughed Areas in June - July by adopting 50% of original rate of digging of pits of ordinary soil </t>
  </si>
  <si>
    <t>45 cm cube size pits</t>
  </si>
  <si>
    <t>Cost and transportation of soil mixtue for filling half of the pit and spreading around the pit</t>
  </si>
  <si>
    <t>b) upto 5 Km lead (15X30 cm (4"X7")bag plants)</t>
  </si>
  <si>
    <t>b) 5 Km to 25 Km lead (15X30 cm (4"X7")bag plants)</t>
  </si>
  <si>
    <t xml:space="preserve">Fortification of seedling with insecticide and treating pits with SSP  </t>
  </si>
  <si>
    <t>(a)  Application of 50 gm of SSP per pit (1 day before planting) for root growth and early establishment of plant after planting. ii) Similarly, the bag plants to be planted will be dipped inside Chloropyriphos solution (5ml  Chloropyriohos in 1 lit water) either at nursery site before transport or at plantation site before planting</t>
  </si>
  <si>
    <t xml:space="preserve">(b) Cost of SSP, Chloridine dust or Chloropyriphos </t>
  </si>
  <si>
    <t xml:space="preserve">Replacement of Casualties 20% during Raising &amp; 25% in 1st year (In case of Eucalyptus 10% during raising and no causality replacement for further maintenance). The caualty replacement should be done in 3 stages at an interval of 15 days immediately after planting during raising year.
</t>
  </si>
  <si>
    <t>PLANTING OPERATIONS DURING RAISING YEAR</t>
  </si>
  <si>
    <t>02.09.07, 02.09.08</t>
  </si>
  <si>
    <r>
      <t>Internal transport of bag plants/root trainers to planting points on head loads -</t>
    </r>
    <r>
      <rPr>
        <b/>
        <sz val="11"/>
        <color theme="1"/>
        <rFont val="Calibri"/>
        <family val="2"/>
        <scheme val="minor"/>
      </rPr>
      <t xml:space="preserve"> b) 15X30 cm (4"X7")bag plants</t>
    </r>
  </si>
  <si>
    <r>
      <t xml:space="preserve">Transportation of Bag plants / Root trainer plants from nursery site to plantation site including loading and unloading - </t>
    </r>
    <r>
      <rPr>
        <b/>
        <sz val="11"/>
        <color theme="1"/>
        <rFont val="Calibri"/>
        <family val="2"/>
        <scheme val="minor"/>
      </rPr>
      <t>b) upto 25 Km lead (15X30 cm (4"X7")bag plants)</t>
    </r>
  </si>
  <si>
    <r>
      <rPr>
        <b/>
        <sz val="11"/>
        <color theme="1"/>
        <rFont val="Calibri"/>
        <family val="2"/>
        <scheme val="minor"/>
      </rPr>
      <t xml:space="preserve">Watering (one time) </t>
    </r>
    <r>
      <rPr>
        <sz val="11"/>
        <color theme="1"/>
        <rFont val="Calibri"/>
        <family val="2"/>
        <scheme val="minor"/>
      </rPr>
      <t>immediately after planting if the planting takes place on a non-rainy day and if there is no rains after planting for 1-2 days with prior written  permission of Circle Head and under intimation to Head Office. Also the date of watering is to be recorded in plantation Journal (Refer PCCF Office Rc. No. 17309/2000/G1, Dt. 16.08.2005 - Circular No. 6B/2005/G1)</t>
    </r>
  </si>
  <si>
    <t>Application of fertilizer in August (30 days after planting) by making 3 holes of 10 cm depth with crow bar holes at a distance of 10 cm away from plant and putting fertilizers and closing. Ensure that the soil is really wet at the time of DAP application.</t>
  </si>
  <si>
    <t>WEEDING &amp; SOIL WORKING</t>
  </si>
  <si>
    <r>
      <t xml:space="preserve">Inter-ploughing (during November) the effective (excluding unsuitable patches) plantation area across the slope to a depth of 30 cm with Heavy-duty Tractor of 55 HP and above with Firm Mould Board (FMB) plough - </t>
    </r>
    <r>
      <rPr>
        <b/>
        <sz val="11"/>
        <color theme="1"/>
        <rFont val="Calibri"/>
        <family val="2"/>
        <scheme val="minor"/>
      </rPr>
      <t>a) in Ordinary  Soils</t>
    </r>
  </si>
  <si>
    <t>Uprootal of Mahaveera (Hyptis suaveolens) weed with prior  written approval of Circle Head and taking photograph before and after uprootal. The weed removal shall be completed before September-end at any cost before inter-ploughing.</t>
  </si>
  <si>
    <r>
      <t xml:space="preserve">Digging of Pits in Ploughed Areas in June - July by adopting 50% of original rate of digging of pits of ordinary soil - 
</t>
    </r>
    <r>
      <rPr>
        <b/>
        <sz val="11"/>
        <color indexed="8"/>
        <rFont val="Calibri"/>
        <family val="2"/>
        <scheme val="minor"/>
      </rPr>
      <t>a) 45 cm size cubic pits</t>
    </r>
  </si>
  <si>
    <r>
      <rPr>
        <b/>
        <sz val="11"/>
        <rFont val="Calibri"/>
        <family val="2"/>
        <scheme val="minor"/>
      </rPr>
      <t>PRIMARY BEDS</t>
    </r>
    <r>
      <rPr>
        <sz val="11"/>
        <rFont val="Calibri"/>
        <family val="2"/>
        <scheme val="minor"/>
      </rPr>
      <t xml:space="preserve"> of 1x1x0.3 m size for Miscellaneous species including bamboo - 50 primary beds for 1 lakh nursery is permitted. Primary beds should start from Jan - May depending on availability of fresh seeds. Once primary beds are formed, they can be used upto 5 years without changing the medium - what is required each time is solarization, burning a layer of grass on it and adding the below recommended fungicides and insecticides to the medium.                          </t>
    </r>
  </si>
  <si>
    <r>
      <rPr>
        <b/>
        <sz val="11"/>
        <rFont val="Calibri"/>
        <family val="2"/>
        <scheme val="minor"/>
      </rPr>
      <t xml:space="preserve">Watering the plants (2 Months) twice a day from Feb-March - </t>
    </r>
    <r>
      <rPr>
        <sz val="11"/>
        <rFont val="Calibri"/>
        <family val="2"/>
        <scheme val="minor"/>
      </rPr>
      <t xml:space="preserve">a) Manually with rose cans or finely perforated nozzle attached to a hose pipe </t>
    </r>
  </si>
  <si>
    <r>
      <rPr>
        <b/>
        <sz val="10"/>
        <rFont val="Verdana"/>
        <family val="2"/>
      </rPr>
      <t>BAG PLANT NURSERY:</t>
    </r>
    <r>
      <rPr>
        <sz val="10"/>
        <rFont val="Verdana"/>
        <family val="2"/>
      </rPr>
      <t xml:space="preserve"> Seedlings need to be raised in 4"x7" (200 gauge) or 5"x9" (250 gauge) bags which are to be converted into 6"x12" (400 gauge) or 8"x12" (400 gauge) polybags. The seedlings are to be transplanted from primary beds in June - July. Hence the bags are to be filled during April-May when the soil is dry.</t>
    </r>
  </si>
  <si>
    <r>
      <rPr>
        <b/>
        <sz val="10"/>
        <rFont val="Verdana"/>
        <family val="2"/>
      </rPr>
      <t>Raising of Nursery in Polythene bags</t>
    </r>
    <r>
      <rPr>
        <sz val="10"/>
        <rFont val="Verdana"/>
        <family val="2"/>
      </rPr>
      <t xml:space="preserve"> in sizes of  4"x7" (200 gauge) or 5"x9"  (250 gauge) bags and arranging in secondary beds (Bed size: 10 X 1 M).</t>
    </r>
  </si>
  <si>
    <r>
      <rPr>
        <b/>
        <sz val="11"/>
        <rFont val="Calibri"/>
        <family val="2"/>
        <scheme val="minor"/>
      </rPr>
      <t>CONVERSION of Root Trainer plants or 4"x7" or 5"x9" bag-plants into higher size bags</t>
    </r>
    <r>
      <rPr>
        <sz val="11"/>
        <rFont val="Calibri"/>
        <family val="2"/>
        <scheme val="minor"/>
      </rPr>
      <t xml:space="preserve"> - to be done during  September - October. At the time of conversion, the height of the plants should be at least above 0.45m in height (excluding the height of polybag).</t>
    </r>
  </si>
  <si>
    <r>
      <rPr>
        <b/>
        <sz val="11"/>
        <rFont val="Calibri"/>
        <family val="2"/>
        <scheme val="minor"/>
      </rPr>
      <t>Cost and Transport of ingredients for Potting Mixture:</t>
    </r>
    <r>
      <rPr>
        <sz val="11"/>
        <rFont val="Calibri"/>
        <family val="2"/>
        <scheme val="minor"/>
      </rPr>
      <t xml:space="preserve"> Red Soil, tank-silt / claey soil, FYM in 2:1:1 ratio. To this soil mixture, 220 gm of Indophyll M-45, 4.5 kg of single super phosphate (SSP) and 250 gm of phorate granules per 1 cum of potting mixture will be added. Cost of chemicals is as per actuals.</t>
    </r>
  </si>
  <si>
    <r>
      <rPr>
        <b/>
        <sz val="11"/>
        <rFont val="Calibri"/>
        <family val="2"/>
        <scheme val="minor"/>
      </rPr>
      <t>Preparation of Potting Mixture</t>
    </r>
    <r>
      <rPr>
        <sz val="11"/>
        <rFont val="Calibri"/>
        <family val="2"/>
        <scheme val="minor"/>
      </rPr>
      <t xml:space="preserve"> by powdering of various ingredients, sieving and mixing them in prescribed proportion; opening of bags and filling with potting mixture partially, tearing the polybag plants and repotting them inside bigger bags and filling the rest of bags;  gently pressing the same with finger tips and arranging in beds of 10x1 m size (6"x12" size: 1100 bag plants / bed and 8"x12" size": 800 bag plants per bed)</t>
    </r>
  </si>
  <si>
    <r>
      <rPr>
        <b/>
        <sz val="11"/>
        <rFont val="Calibri"/>
        <family val="2"/>
        <scheme val="minor"/>
      </rPr>
      <t>Weeding the plants</t>
    </r>
    <r>
      <rPr>
        <sz val="11"/>
        <rFont val="Calibri"/>
        <family val="2"/>
        <scheme val="minor"/>
      </rPr>
      <t xml:space="preserve"> (1100 no. of 6"x12"bags; 800 no. of 8"x12" bags; and 400 no. of 10"x16" bags) from November - March: 2 weedings</t>
    </r>
  </si>
  <si>
    <r>
      <rPr>
        <b/>
        <sz val="11"/>
        <rFont val="Calibri"/>
        <family val="2"/>
        <scheme val="minor"/>
      </rPr>
      <t>Watering the plants manually twice a day</t>
    </r>
    <r>
      <rPr>
        <sz val="11"/>
        <rFont val="Calibri"/>
        <family val="2"/>
        <scheme val="minor"/>
      </rPr>
      <t xml:space="preserve"> (from Novemebr - March) with rose spray or finely perforated nozzle attached to a hose pipe.</t>
    </r>
  </si>
  <si>
    <r>
      <rPr>
        <b/>
        <sz val="11"/>
        <rFont val="Calibri"/>
        <family val="2"/>
        <scheme val="minor"/>
      </rPr>
      <t xml:space="preserve">MAINTAINANCE OF BAG PLANTS NURSERY UPTO PLANTING SEASON </t>
    </r>
    <r>
      <rPr>
        <sz val="11"/>
        <rFont val="Calibri"/>
        <family val="2"/>
        <scheme val="minor"/>
      </rPr>
      <t>(APRIL TO AUGUST) for 10 m X 1 m size secondary beds (2600 Nos of 4" X 7" bags; 1700 Nos of 5" X9" bags ; 1100 Nos. of 6"X12" bags; 800 Nos. of 8"X12" bags; 400 Nos. of 10"x16" bags per bed)</t>
    </r>
  </si>
  <si>
    <r>
      <rPr>
        <b/>
        <sz val="11"/>
        <rFont val="Calibri"/>
        <family val="2"/>
        <scheme val="minor"/>
      </rPr>
      <t xml:space="preserve">Cost of Protection: </t>
    </r>
    <r>
      <rPr>
        <sz val="11"/>
        <rFont val="Calibri"/>
        <family val="2"/>
        <scheme val="minor"/>
      </rPr>
      <t xml:space="preserve"> One Nursery Watcher is allowed up to 1 lakh RT nursery or 100 secondary beds of polybags / 100 Teak beds of 10 x 1 m size or combination of both.  One additional Nursery Watcher is permitted for nurseries having more than 1 lakh upto 3 lakh RT seedlings or more than 100 upto 300 secondray beds or Teak beds of 10 x 1 m size or combination of both. For more than 3 lakh RT or 300 secodary beds of Teak bedsor combination of both another additional Nursery Watcher is allowed. While calculating the number of Nursery Watcher, care shall be taken to include the nursery raising under all Schemes at a particular site. No extra Nursery Watcher is allowed for primary beds of 1x1 m size. However, the above narrative is subject to the provisions cited under general instructions.</t>
    </r>
  </si>
  <si>
    <r>
      <rPr>
        <b/>
        <sz val="10"/>
        <rFont val="Calibri"/>
        <family val="2"/>
        <scheme val="minor"/>
      </rPr>
      <t xml:space="preserve">Cost of Protection: </t>
    </r>
    <r>
      <rPr>
        <sz val="10"/>
        <rFont val="Calibri"/>
        <family val="2"/>
        <scheme val="minor"/>
      </rPr>
      <t xml:space="preserve"> One Nursery Watcher is allowed up to 1 lakh RT nursery or 100 secondary beds of polybags / 100 Teak beds of 10 x 1 m size or combination of both.  One additional Nursery Watcher is permitted for nurseries having more than 1 lakh upto 3 lakh RT seedlings or more than 100 upto 300 secondray beds or Teak beds of 10 x 1 m size or combination of both. For more than 3 lakh RT or 300 secodary beds of Teak bedsor combination of both another additional Nursery Watcher is allowed. While calculating the number of Nursery Watcher, care shall be taken to include the nursery raising under all Schemes at a particular site. No extra Nursery Watcher is allowed for primary beds of 1x1 m size. However, the above narrative is subject to the provisions cited under general instructions.</t>
    </r>
  </si>
  <si>
    <r>
      <t xml:space="preserve">Transportation of Bag plants / Root trainer plants from nursery site to plantation site including loading and unloading - </t>
    </r>
    <r>
      <rPr>
        <b/>
        <sz val="11"/>
        <color theme="1"/>
        <rFont val="Calibri"/>
        <family val="2"/>
        <scheme val="minor"/>
      </rPr>
      <t>b) upto 5 Km lead (15X30 cm (4"X7")bag plants)</t>
    </r>
  </si>
  <si>
    <r>
      <t xml:space="preserve">Transportation of Bag plants / Root trainer plants from nursery site to plantation site including loading and unloading - </t>
    </r>
    <r>
      <rPr>
        <b/>
        <sz val="11"/>
        <color theme="1"/>
        <rFont val="Calibri"/>
        <family val="2"/>
        <scheme val="minor"/>
      </rPr>
      <t>b) beyond 5 km and upto 25 Km lead (15X30 cm (4"X7")bag plants)</t>
    </r>
  </si>
  <si>
    <t>FSR Rate (Rs.)</t>
  </si>
  <si>
    <t xml:space="preserve">Total Rate (Rs.) </t>
  </si>
  <si>
    <r>
      <rPr>
        <b/>
        <sz val="11"/>
        <rFont val="Calibri"/>
        <family val="2"/>
        <scheme val="minor"/>
      </rPr>
      <t>Cost of Protection:</t>
    </r>
    <r>
      <rPr>
        <sz val="11"/>
        <rFont val="Calibri"/>
        <family val="2"/>
        <scheme val="minor"/>
      </rPr>
      <t xml:space="preserve">  One Nursery Watcher is allowed up to 1 lakh RT nursery or 100 secondary beds of polybags / 100 Teak beds of 10 x 1 m size or combination of both.  One additional Nursery Watcher is permitted for nurseries having more than 1 lakh upto 3 lakh RT seedlings or more than 100 upto 300 secondray beds or Teak beds of 10 x 1 m size or combination of both. For more than 3 lakh RT or 300 secodary beds of Teak bedsor combination of both another additional Nursery Watcher is allowed. While calculating the number of Nursery Watcher, care shall be taken to include the nursery raising under all Schemes at a particular site. No extra Nursery Watcher is allowed for primary beds of 1x1 m size. However, the above narrative is subject to the provisions cited under general instructions.</t>
    </r>
  </si>
  <si>
    <t xml:space="preserve">Watering plants for 10 m X 1 m size secondary bed </t>
  </si>
  <si>
    <t xml:space="preserve">Replacement of Casualties 20% during Raising &amp; 25% in 1st year (In case of Eucalyptus 10% during raising and no causality replacement for further maintenance). The caualty replacement should be done in 3 stages at an interval of 15 days immediately after planting during raising year. - 5% proposed
</t>
  </si>
  <si>
    <t>Pruning of lower branch initials of Timber and NTFP species by scicature upto 1/3 rd height (to be carried out during July-Aug)</t>
  </si>
  <si>
    <t>SMC and Protection works</t>
  </si>
  <si>
    <r>
      <rPr>
        <b/>
        <sz val="11"/>
        <color indexed="8"/>
        <rFont val="Calibri"/>
        <family val="2"/>
        <scheme val="minor"/>
      </rPr>
      <t xml:space="preserve">Cost of Protection: </t>
    </r>
    <r>
      <rPr>
        <sz val="11"/>
        <color indexed="8"/>
        <rFont val="Calibri"/>
        <family val="2"/>
        <scheme val="minor"/>
      </rPr>
      <t>One Watcher is allowed for 10-30 ha. plantation; One more Watcher for more than 30 ha; and if the area is less than 10 ha, prior approval of Conservator of Forests is required. Identity Photo of Watchers shall be pasted in respective Plantation Journal. Every month payment to be made after satisfaction by Plantation-in-charge that fence is in proper condition and entry of grazing animals is stopped. The guiding principle for continuation of the services of a Plantation Watcher is at least 80% survival  at the end of raising year. - 9 months, Rs.8757 per month, proposed one watcher for 20 ha</t>
    </r>
  </si>
  <si>
    <t>02.09.25</t>
  </si>
  <si>
    <t>02.10.09</t>
  </si>
  <si>
    <r>
      <rPr>
        <b/>
        <sz val="11"/>
        <color indexed="8"/>
        <rFont val="Calibri"/>
        <family val="2"/>
        <scheme val="minor"/>
      </rPr>
      <t xml:space="preserve">Cost of Protection: </t>
    </r>
    <r>
      <rPr>
        <sz val="11"/>
        <color indexed="8"/>
        <rFont val="Calibri"/>
        <family val="2"/>
        <scheme val="minor"/>
      </rPr>
      <t>One Watcher is allowed for 10-30 ha. plantation; One more Watcher for more than 30 ha; and if the area is less than 10 ha, prior approval of Conservator of Forests is required. Identity Photo of Watchers shall be pasted in respective Plantation Journal. Every month payment to be made after satisfaction by Plantation-in-charge that fence is in proper condition and entry of grazing animals is stopped. The guiding principle for continuation of the services of a Plantation Watcher is at least 80% survival  at the end of raising year. - 12 months, Rs.8757 per month, proposed one watcher for 20 ha</t>
    </r>
  </si>
  <si>
    <t>02.11.06</t>
  </si>
  <si>
    <r>
      <rPr>
        <b/>
        <sz val="11"/>
        <color indexed="8"/>
        <rFont val="Calibri"/>
        <family val="2"/>
        <scheme val="minor"/>
      </rPr>
      <t xml:space="preserve">Cost of Protection: </t>
    </r>
    <r>
      <rPr>
        <sz val="11"/>
        <color indexed="8"/>
        <rFont val="Calibri"/>
        <family val="2"/>
        <scheme val="minor"/>
      </rPr>
      <t>One Watcher is allowed for 10-30 ha. plantation; One more Watcher for more than 30 ha; and if the area is less than 10 ha, prior approval of Conservator of Forests is required. Identity Photo of Watchers shall be pasted in respective Plantation Journal. Every month payment to be made after satisfaction by Plantation-in-charge that fence is in proper condition and entry of grazing animals is stopped. The guiding principle for continuation of the services of a Plantation Watcher is at least 80% survival  at the end of raising year. - 6 months, Rs.8757 per month, proposed one watcher for 20 ha</t>
    </r>
  </si>
  <si>
    <t>Agency allowence (Rs)</t>
  </si>
  <si>
    <t>2019-20</t>
  </si>
  <si>
    <t>Plantation Estimate for JBJB - AR</t>
  </si>
  <si>
    <t>Unit area 1.00 Ha,</t>
  </si>
  <si>
    <t>FSR Item No.</t>
  </si>
  <si>
    <t>Description</t>
  </si>
  <si>
    <t>02.01.00</t>
  </si>
  <si>
    <t xml:space="preserve">ADVANCE OPERATION (PRE-PLANTING OPERATION)  </t>
  </si>
  <si>
    <t>02.01.01</t>
  </si>
  <si>
    <t xml:space="preserve">Survey with hand-held GPS and demarcation - one manday is allowed for assistance. </t>
  </si>
  <si>
    <t>02.01.02</t>
  </si>
  <si>
    <t xml:space="preserve">Clearance unsalable unwanted jungle growth Spreading the cut material all over the site; and Burning the same twice till completely burnt. </t>
  </si>
  <si>
    <t>(a) Sparse Jungle growth (&lt;10% ground area )</t>
  </si>
  <si>
    <t>(b) Very light jungle growth (&gt;10% and upto 20%)</t>
  </si>
  <si>
    <t>(c) Light Junelg Growht (&gt;20%)</t>
  </si>
  <si>
    <t>02.01.05</t>
  </si>
  <si>
    <t>Alignment and stacking including demarcation of baseline</t>
  </si>
  <si>
    <t>100 No's</t>
  </si>
  <si>
    <t>02.01.04</t>
  </si>
  <si>
    <t>Cost of preparation of stakes (0.45 m length) and transportation to site</t>
  </si>
  <si>
    <t>02.01.06</t>
  </si>
  <si>
    <t>Digging of pits during January to March</t>
  </si>
  <si>
    <t>(b) (ii) 45 cm cube size in hard gravelly and moram Soil (Manual)</t>
  </si>
  <si>
    <t>Each</t>
  </si>
  <si>
    <t>SSR</t>
  </si>
  <si>
    <t>Cost and transportation of soil mixtue for filling half of the pit and spreading around the pit - 0.45 cm x 0.45 cm x 0.45 cm = 0.216 cum</t>
  </si>
  <si>
    <t>Unit Rate for 2019-20</t>
  </si>
  <si>
    <t>District Forest Officer,</t>
  </si>
  <si>
    <t>02.02.00</t>
  </si>
  <si>
    <t>Planting Operations during raising year</t>
  </si>
  <si>
    <t>02.02.01</t>
  </si>
  <si>
    <t>Transportation of planting stock (including loading and unlaoding upto a distance of 5 Kms)</t>
  </si>
  <si>
    <t>(b) 15 X 30 cm (6" x 12") bag plants</t>
  </si>
  <si>
    <t>100 Nos.,</t>
  </si>
  <si>
    <t>02.02.02</t>
  </si>
  <si>
    <r>
      <t xml:space="preserve">Transportation of Planting Stock </t>
    </r>
    <r>
      <rPr>
        <sz val="11"/>
        <rFont val="Book Antiqua"/>
        <family val="1"/>
      </rPr>
      <t>(including loading and unloading) more than 5 km distance and upto 25 km distance</t>
    </r>
  </si>
  <si>
    <t>02.02.03</t>
  </si>
  <si>
    <r>
      <t xml:space="preserve">Transportation of Planting Stock </t>
    </r>
    <r>
      <rPr>
        <sz val="11"/>
        <rFont val="Book Antiqua"/>
        <family val="1"/>
      </rPr>
      <t>(including loading and unloading) more than 25 km distance and for every extra km</t>
    </r>
    <r>
      <rPr>
        <i/>
        <sz val="11"/>
        <rFont val="Book Antiqua"/>
        <family val="1"/>
      </rPr>
      <t xml:space="preserve"> (with prior written approval of Circle Head)</t>
    </r>
  </si>
  <si>
    <t>02.02.04</t>
  </si>
  <si>
    <r>
      <t xml:space="preserve">Internal transportation </t>
    </r>
    <r>
      <rPr>
        <sz val="11"/>
        <rFont val="Book Antiqua"/>
        <family val="1"/>
      </rPr>
      <t xml:space="preserve">to planting points on head loads </t>
    </r>
  </si>
  <si>
    <r>
      <t xml:space="preserve">PLANTING: </t>
    </r>
    <r>
      <rPr>
        <b/>
        <i/>
        <sz val="11"/>
        <rFont val="Book Antiqua"/>
        <family val="1"/>
      </rPr>
      <t>Seedlings of local species of secondary hardwood along with their associates and NTFP species will have to be chosen for planting. The minimum height of the planting stock to be planted is 0.75 m - 1m height (excluding the height of the bag)</t>
    </r>
  </si>
  <si>
    <t>02.02.05</t>
  </si>
  <si>
    <r>
      <t>Application of 50 gm of SSP per pit</t>
    </r>
    <r>
      <rPr>
        <sz val="11"/>
        <rFont val="Book Antiqua"/>
        <family val="1"/>
      </rPr>
      <t xml:space="preserve"> (1 day before planting) for root growth and early establishment of plant after planting. Similarly, the bag plants to be planted are to be dipped inside Chloropyriphos solution (5 ml of  Chloropyriphos in 1 lit water) either at nursery site before transport or at plantation site before planting</t>
    </r>
  </si>
  <si>
    <t>02.02.06</t>
  </si>
  <si>
    <r>
      <t>Cost</t>
    </r>
    <r>
      <rPr>
        <sz val="11"/>
        <color theme="1"/>
        <rFont val="Book Antiqua"/>
        <family val="1"/>
      </rPr>
      <t xml:space="preserve"> of SSP, Chloridine dust (50 gm) or Chloropyriphos (1111 x Rs. 2/-)</t>
    </r>
  </si>
  <si>
    <t>As per actual</t>
  </si>
  <si>
    <t>Ha.</t>
  </si>
  <si>
    <t>02.02.07</t>
  </si>
  <si>
    <r>
      <t>(b) Planting in 45 cm size cube</t>
    </r>
    <r>
      <rPr>
        <vertAlign val="superscript"/>
        <sz val="11"/>
        <rFont val="Book Antiqua"/>
        <family val="1"/>
      </rPr>
      <t xml:space="preserve"> </t>
    </r>
    <r>
      <rPr>
        <sz val="11"/>
        <rFont val="Book Antiqua"/>
        <family val="1"/>
      </rPr>
      <t>Pit</t>
    </r>
  </si>
  <si>
    <t>02.02.09</t>
  </si>
  <si>
    <t>Watering to the plants - 8 waterings</t>
  </si>
  <si>
    <t>02.02.10</t>
  </si>
  <si>
    <r>
      <t>Replacement of Casualties</t>
    </r>
    <r>
      <rPr>
        <sz val="11"/>
        <rFont val="Book Antiqua"/>
        <family val="1"/>
      </rPr>
      <t>: 20% during Raising Year &amp; 25% in 1</t>
    </r>
    <r>
      <rPr>
        <vertAlign val="superscript"/>
        <sz val="11"/>
        <rFont val="Book Antiqua"/>
        <family val="1"/>
      </rPr>
      <t>st</t>
    </r>
    <r>
      <rPr>
        <sz val="11"/>
        <rFont val="Book Antiqua"/>
        <family val="1"/>
      </rPr>
      <t xml:space="preserve"> year  The caualty replacement should be done in 3 stages at an interval of 15 days immediately after planting during raising year. </t>
    </r>
  </si>
  <si>
    <t>50% of unit rate of original pitting during raising year and 100% during maint. year.  Planting, transportation and internal transportation same as adopted during raising year</t>
  </si>
  <si>
    <t>(b) (ii) Digging of 45 cm cube size in hard gravelly and moram Soil (Manual)</t>
  </si>
  <si>
    <t>(b) Transportation (Upto 5 Kms) - 15 X 30 cm (6" x 12") bag plants</t>
  </si>
  <si>
    <t>Transportation (Upto 5 to 25 Kms) - 15 X 30 cm (6" x 12") bag plants</t>
  </si>
  <si>
    <t>(b) Transportation (Beyond 25 Kms) - 15 X 30 cm (6" x 12") bag plants</t>
  </si>
  <si>
    <t>(b) Internal transportation - 15 X 30 cm (6" x 12") bag plants</t>
  </si>
  <si>
    <t>02.02.11</t>
  </si>
  <si>
    <r>
      <t>Cost</t>
    </r>
    <r>
      <rPr>
        <sz val="11"/>
        <rFont val="Book Antiqua"/>
        <family val="1"/>
      </rPr>
      <t xml:space="preserve"> of DAP @ 25 gm / planting point</t>
    </r>
  </si>
  <si>
    <t>02.02.12</t>
  </si>
  <si>
    <r>
      <t>Application</t>
    </r>
    <r>
      <rPr>
        <sz val="11"/>
        <rFont val="Book Antiqua"/>
        <family val="1"/>
      </rPr>
      <t xml:space="preserve"> of fertilizer </t>
    </r>
  </si>
  <si>
    <t>02.02.13</t>
  </si>
  <si>
    <r>
      <t>1</t>
    </r>
    <r>
      <rPr>
        <i/>
        <vertAlign val="superscript"/>
        <sz val="11"/>
        <rFont val="Book Antiqua"/>
        <family val="1"/>
      </rPr>
      <t>st</t>
    </r>
    <r>
      <rPr>
        <i/>
        <sz val="11"/>
        <rFont val="Book Antiqua"/>
        <family val="1"/>
      </rPr>
      <t xml:space="preserve"> circular weeding</t>
    </r>
    <r>
      <rPr>
        <sz val="11"/>
        <rFont val="Book Antiqua"/>
        <family val="1"/>
      </rPr>
      <t xml:space="preserve"> to a radius of 0.50 m around the plant after 30 days of planting (i.e. July - Aug)</t>
    </r>
    <r>
      <rPr>
        <sz val="12"/>
        <rFont val="Times New Roman"/>
        <family val="1"/>
      </rPr>
      <t/>
    </r>
  </si>
  <si>
    <t>02.02.14</t>
  </si>
  <si>
    <r>
      <t>2</t>
    </r>
    <r>
      <rPr>
        <i/>
        <vertAlign val="superscript"/>
        <sz val="11"/>
        <rFont val="Book Antiqua"/>
        <family val="1"/>
      </rPr>
      <t>nd</t>
    </r>
    <r>
      <rPr>
        <i/>
        <sz val="11"/>
        <rFont val="Book Antiqua"/>
        <family val="1"/>
      </rPr>
      <t xml:space="preserve"> circular weeding</t>
    </r>
    <r>
      <rPr>
        <sz val="11"/>
        <rFont val="Book Antiqua"/>
        <family val="1"/>
      </rPr>
      <t xml:space="preserve"> to a radius of 0.50 m around the plant 90 days after planting (i.e. Sept - Oct)</t>
    </r>
  </si>
  <si>
    <t>02.02.15</t>
  </si>
  <si>
    <t>Deep soil working to a radius of 0.5 m and to a depth of 10 cm (to be done by pick-axe only) without damaging the plant (to be carried out during Nov - Dec)</t>
  </si>
  <si>
    <t>(b) For hard gravelly soil</t>
  </si>
  <si>
    <t>02.02.16</t>
  </si>
  <si>
    <r>
      <t xml:space="preserve">Cutting of coppice growth </t>
    </r>
    <r>
      <rPr>
        <sz val="11"/>
        <rFont val="Book Antiqua"/>
        <family val="1"/>
      </rPr>
      <t>flush to the ground to reduce the competition over the entire area duly retaining useful species after planting and placing the cut material in between the planting rows (to be undertaken during July - August)</t>
    </r>
  </si>
  <si>
    <r>
      <t>(b) High rainfall zone &gt; 800 mm</t>
    </r>
    <r>
      <rPr>
        <sz val="11"/>
        <rFont val="Book Antiqua"/>
        <family val="1"/>
      </rPr>
      <t xml:space="preserve"> (for Warangal, Khammam &amp; Adilabad Circle.)</t>
    </r>
  </si>
  <si>
    <t>02.02.21</t>
  </si>
  <si>
    <r>
      <t>Cost of Protection</t>
    </r>
    <r>
      <rPr>
        <sz val="11"/>
        <rFont val="Book Antiqua"/>
        <family val="1"/>
      </rPr>
      <t xml:space="preserve">: </t>
    </r>
    <r>
      <rPr>
        <b/>
        <sz val="11"/>
        <rFont val="Book Antiqua"/>
        <family val="1"/>
      </rPr>
      <t>One Watcher</t>
    </r>
    <r>
      <rPr>
        <sz val="11"/>
        <rFont val="Book Antiqua"/>
        <family val="1"/>
      </rPr>
      <t xml:space="preserve"> is allowed for 10-30 ha. plantation; </t>
    </r>
    <r>
      <rPr>
        <b/>
        <sz val="11"/>
        <rFont val="Book Antiqua"/>
        <family val="1"/>
      </rPr>
      <t>One more Watcher</t>
    </r>
    <r>
      <rPr>
        <sz val="11"/>
        <rFont val="Book Antiqua"/>
        <family val="1"/>
      </rPr>
      <t xml:space="preserve"> 
8757 x 12 / 15 =7006/-</t>
    </r>
  </si>
  <si>
    <t>02.03.01</t>
  </si>
  <si>
    <t>100% of unit rate of original pitting during raising year and 100% during maint. year.  Planting, transportation and internal transportation same as adopted during raising year</t>
  </si>
  <si>
    <t>Watering to the plants-4 times</t>
  </si>
  <si>
    <t>02.03.02</t>
  </si>
  <si>
    <t>Weeding and Saucer formation</t>
  </si>
  <si>
    <t>02.03.03</t>
  </si>
  <si>
    <r>
      <rPr>
        <i/>
        <sz val="11"/>
        <rFont val="Book Antiqua"/>
        <family val="1"/>
      </rPr>
      <t>circular weeding</t>
    </r>
    <r>
      <rPr>
        <sz val="11"/>
        <rFont val="Book Antiqua"/>
        <family val="1"/>
      </rPr>
      <t xml:space="preserve"> to a radius of 0.50 m around the plant</t>
    </r>
  </si>
  <si>
    <t>02.03.04</t>
  </si>
  <si>
    <t>02.03.05</t>
  </si>
  <si>
    <t xml:space="preserve">Cutting of coppice growth </t>
  </si>
  <si>
    <t>02.03.06</t>
  </si>
  <si>
    <r>
      <t>Pruning of lower branch initials</t>
    </r>
    <r>
      <rPr>
        <sz val="11"/>
        <rFont val="Book Antiqua"/>
        <family val="1"/>
      </rPr>
      <t xml:space="preserve"> of Timber and NTFP species by scicature upto 1/3 rd height during October</t>
    </r>
  </si>
  <si>
    <t>100 Rmt</t>
  </si>
  <si>
    <t>02.03.09</t>
  </si>
  <si>
    <t>02.04.01</t>
  </si>
  <si>
    <t>02.04.02</t>
  </si>
  <si>
    <t>02.04.03</t>
  </si>
  <si>
    <t>02.04.04</t>
  </si>
  <si>
    <r>
      <t xml:space="preserve"> High rainfall zone &gt; 800 mm</t>
    </r>
    <r>
      <rPr>
        <sz val="11"/>
        <rFont val="Book Antiqua"/>
        <family val="1"/>
      </rPr>
      <t xml:space="preserve"> (for Warangal, Khammam &amp; Adilabad Circle.)</t>
    </r>
  </si>
  <si>
    <t>Estimate for JBJB - ANR</t>
  </si>
  <si>
    <t>Advance Operations under Labour Intensive Method</t>
  </si>
  <si>
    <t>Raising of Plantatation under Labour Intensive Method</t>
  </si>
  <si>
    <t>1st year maintenance of Plantatation under Labour Intensive Method</t>
  </si>
  <si>
    <t>2nd year maintenance Plantatation under Labour Intensive Method</t>
  </si>
  <si>
    <t>3rd year maintenance Plantatation under Labour Intensive Method</t>
  </si>
  <si>
    <t>CPT including bund planting</t>
  </si>
  <si>
    <t>(c) espacement</t>
  </si>
  <si>
    <t>Total year wise outlay of the project (Rs.in Lakhs)</t>
  </si>
  <si>
    <t>Rs.in Cr</t>
  </si>
  <si>
    <t>03.01.00</t>
  </si>
  <si>
    <t>03.01.01</t>
  </si>
  <si>
    <t>03.01.03</t>
  </si>
  <si>
    <t>03.01.05</t>
  </si>
  <si>
    <t>03.01.04</t>
  </si>
  <si>
    <t>03.01.06</t>
  </si>
  <si>
    <r>
      <rPr>
        <b/>
        <sz val="12"/>
        <color indexed="8"/>
        <rFont val="Times New Roman"/>
        <family val="1"/>
      </rPr>
      <t>Formation of New Fire lines</t>
    </r>
    <r>
      <rPr>
        <sz val="12"/>
        <color indexed="8"/>
        <rFont val="Times New Roman"/>
        <family val="1"/>
      </rPr>
      <t xml:space="preserve"> of 5.00 m width and cleaning of old fire lines if not maintained for last 5 years including burning.</t>
    </r>
  </si>
  <si>
    <t>Periodical revisiting and cleaning of fire lines with blowers including cost of labour charges and fuel charges (maximum twice between January - March) for fire-prone areas only with prior written permission from the Circle Head</t>
  </si>
  <si>
    <t xml:space="preserve">Laying of sampling / control plot with intensity 0.01% and size of sample plots 0.1 ha  The information has to be collected in the plot approach/ description and plot including enumeration </t>
  </si>
  <si>
    <t>03.01.02</t>
  </si>
  <si>
    <t>Plot</t>
  </si>
  <si>
    <t>Digging of peripheral trench of  2m x 2m x 1.5m size along the RF Boundaries</t>
  </si>
  <si>
    <t xml:space="preserve">Raising of Nursery for Pheripheral Trench Mound stabilization </t>
  </si>
  <si>
    <t>SMC WORKS as per site requirement</t>
  </si>
  <si>
    <t>03.01.07</t>
  </si>
  <si>
    <t>Zero Year opertations for ANR</t>
  </si>
  <si>
    <t>First Year opertations for ANR</t>
  </si>
  <si>
    <t>03.02.01</t>
  </si>
  <si>
    <t>SMC WORKS as per site requirement in the leftover area, if any.</t>
  </si>
  <si>
    <r>
      <t xml:space="preserve">STABILIZATION OF RF BLOCK BOUNDARY CONTINUOUS PERIPHERAL TRENCH MOUND: </t>
    </r>
    <r>
      <rPr>
        <sz val="12"/>
        <color indexed="8"/>
        <rFont val="Times New Roman"/>
        <family val="1"/>
      </rPr>
      <t xml:space="preserve">Planting on peripheral trench mound and adjacent strips are taken up with the objective of increasing the effectiveness of  trench as a barrier for entry of grazing animals and spread of fire. Also by planting on the mound, the loose soil gets stabilized and increases the life-span of trench. The rationale of planting the edible wild fruit species is to enhance the food base of the monkeys and other wild animals. The species selected for planting may be </t>
    </r>
    <r>
      <rPr>
        <i/>
        <sz val="12"/>
        <color indexed="8"/>
        <rFont val="Times New Roman"/>
        <family val="1"/>
      </rPr>
      <t>Pithecolobium dulce, Terminalia bellirica, Careya arborea, Bridellia retusa, Phyllanthus emblica, Semecarpus anardium, Buchanania lanzan, Tamarindus indica, Ficus benghalensis, Ficus religiosa, Limonia acidissima, Syzygium cuminii</t>
    </r>
    <r>
      <rPr>
        <sz val="12"/>
        <color indexed="8"/>
        <rFont val="Times New Roman"/>
        <family val="1"/>
      </rPr>
      <t xml:space="preserve"> etc. </t>
    </r>
    <r>
      <rPr>
        <b/>
        <sz val="12"/>
        <color indexed="8"/>
        <rFont val="Times New Roman"/>
        <family val="1"/>
      </rPr>
      <t xml:space="preserve">All these plantings will be one time operation without further years’ maintainance. </t>
    </r>
    <r>
      <rPr>
        <sz val="12"/>
        <color indexed="8"/>
        <rFont val="Times New Roman"/>
        <family val="1"/>
      </rPr>
      <t>The process includes following steps:</t>
    </r>
  </si>
  <si>
    <r>
      <t>1) Planting of :-</t>
    </r>
    <r>
      <rPr>
        <b/>
        <sz val="12"/>
        <color indexed="8"/>
        <rFont val="Times New Roman"/>
        <family val="1"/>
      </rPr>
      <t xml:space="preserve"> (A</t>
    </r>
    <r>
      <rPr>
        <sz val="12"/>
        <color indexed="8"/>
        <rFont val="Times New Roman"/>
        <family val="1"/>
      </rPr>
      <t>) 2 rows of Gachakaya (</t>
    </r>
    <r>
      <rPr>
        <i/>
        <sz val="12"/>
        <color indexed="8"/>
        <rFont val="Times New Roman"/>
        <family val="1"/>
      </rPr>
      <t>Caesalpinia bonduc</t>
    </r>
    <r>
      <rPr>
        <sz val="12"/>
        <color indexed="8"/>
        <rFont val="Times New Roman"/>
        <family val="1"/>
      </rPr>
      <t xml:space="preserve">) seedlings in 2 staggered rows in 2x1 m spacement (row to row 1 m and within the row 2 m spacing) on the outer slope of the trench mound; </t>
    </r>
    <r>
      <rPr>
        <b/>
        <sz val="12"/>
        <color indexed="8"/>
        <rFont val="Times New Roman"/>
        <family val="1"/>
      </rPr>
      <t>(B)</t>
    </r>
    <r>
      <rPr>
        <sz val="12"/>
        <color indexed="8"/>
        <rFont val="Times New Roman"/>
        <family val="1"/>
      </rPr>
      <t xml:space="preserve"> 1 row of wild edible fruit species on the ridge line of the trench mound at 2 m apart; </t>
    </r>
    <r>
      <rPr>
        <b/>
        <sz val="12"/>
        <color indexed="8"/>
        <rFont val="Times New Roman"/>
        <family val="1"/>
      </rPr>
      <t>(C)</t>
    </r>
    <r>
      <rPr>
        <sz val="12"/>
        <color indexed="8"/>
        <rFont val="Times New Roman"/>
        <family val="1"/>
      </rPr>
      <t xml:space="preserve">  bamboo (</t>
    </r>
    <r>
      <rPr>
        <i/>
        <sz val="12"/>
        <color indexed="8"/>
        <rFont val="Times New Roman"/>
        <family val="1"/>
      </rPr>
      <t>Dendrocalamus strictus</t>
    </r>
    <r>
      <rPr>
        <sz val="12"/>
        <color indexed="8"/>
        <rFont val="Times New Roman"/>
        <family val="1"/>
      </rPr>
      <t xml:space="preserve">) seedlings / rhizome(2-3 yr old) at 4 m apart in the middle of the inner slope of the mound; and </t>
    </r>
    <r>
      <rPr>
        <b/>
        <sz val="12"/>
        <color indexed="8"/>
        <rFont val="Times New Roman"/>
        <family val="1"/>
      </rPr>
      <t>(D)</t>
    </r>
    <r>
      <rPr>
        <sz val="12"/>
        <color indexed="8"/>
        <rFont val="Times New Roman"/>
        <family val="1"/>
      </rPr>
      <t xml:space="preserve"> broadcasting of pretreated (overnight soaking in boiled water) Babul (</t>
    </r>
    <r>
      <rPr>
        <i/>
        <sz val="12"/>
        <color indexed="8"/>
        <rFont val="Times New Roman"/>
        <family val="1"/>
      </rPr>
      <t>Acacia nilotica</t>
    </r>
    <r>
      <rPr>
        <sz val="12"/>
        <color indexed="8"/>
        <rFont val="Times New Roman"/>
        <family val="1"/>
      </rPr>
      <t>) seeds inside trench @ 500gms per km by staff.</t>
    </r>
    <r>
      <rPr>
        <b/>
        <sz val="12"/>
        <color indexed="8"/>
        <rFont val="Times New Roman"/>
        <family val="1"/>
      </rPr>
      <t xml:space="preserve"> The total planting points thus works out to be 1750 seedlings per km on trench mound.</t>
    </r>
  </si>
  <si>
    <t>(a) Allignment &amp; Stacking (in 2 staggered rows)</t>
  </si>
  <si>
    <t>(b) Cost of preparation of stakes (0.45 m length) and transportation to site</t>
  </si>
  <si>
    <r>
      <t>(c)  Digging of 30 cm</t>
    </r>
    <r>
      <rPr>
        <vertAlign val="superscript"/>
        <sz val="12"/>
        <color indexed="8"/>
        <rFont val="Times New Roman"/>
        <family val="1"/>
      </rPr>
      <t>3</t>
    </r>
    <r>
      <rPr>
        <sz val="12"/>
        <color indexed="8"/>
        <rFont val="Times New Roman"/>
        <family val="1"/>
      </rPr>
      <t xml:space="preserve"> pits (50% of original rate) to be done during June</t>
    </r>
  </si>
  <si>
    <t xml:space="preserve">(e) Transportation of seedlings (including loading and unloading)  &amp; Internal transport – </t>
  </si>
  <si>
    <t>03.02.02</t>
  </si>
  <si>
    <t>03.02.03</t>
  </si>
  <si>
    <t>Planting with 2.00 m apart in two row (1000 Nos. per km) and formation of saucer on lower slope to hold water.</t>
  </si>
  <si>
    <t>TREATMENT OF SECURED ANR AREA</t>
  </si>
  <si>
    <t>03.02.04</t>
  </si>
  <si>
    <r>
      <t xml:space="preserve">1) </t>
    </r>
    <r>
      <rPr>
        <b/>
        <sz val="12"/>
        <color indexed="8"/>
        <rFont val="Times New Roman"/>
        <family val="1"/>
      </rPr>
      <t>Clearance of unsalable unwanted jungle growth, climber cutting, singling, coppicing</t>
    </r>
    <r>
      <rPr>
        <sz val="12"/>
        <color indexed="8"/>
        <rFont val="Times New Roman"/>
        <family val="1"/>
      </rPr>
      <t xml:space="preserve"> (upto 30 cms), </t>
    </r>
    <r>
      <rPr>
        <b/>
        <sz val="12"/>
        <color indexed="8"/>
        <rFont val="Times New Roman"/>
        <family val="1"/>
      </rPr>
      <t>tending</t>
    </r>
    <r>
      <rPr>
        <sz val="12"/>
        <color indexed="8"/>
        <rFont val="Times New Roman"/>
        <family val="1"/>
      </rPr>
      <t xml:space="preserve">, etc.,  (leaving all the tree species of good-form particularly the hardwood tree species like Teak, Nallamaddi, Yegisa, Narepa, Somi, Jittregi, Billudu, Chennangi etc. and NTFP species like Ippa, Marri, Tani, Karaka, Vepa, Maredu, Tapasi, Tuniki, Chinta, Usiri, Nallajeedi etc., </t>
    </r>
  </si>
  <si>
    <t>(a) Area having 600-1000 root stock / stems / saplings per Ha. (figures obtained as per sampling analysis)</t>
  </si>
  <si>
    <t>(b) Area having 1000 and above root stock / stems / saplings per Ha. (figures obtained as per sampling analysis).</t>
  </si>
  <si>
    <t>03.02.05</t>
  </si>
  <si>
    <r>
      <t>2)</t>
    </r>
    <r>
      <rPr>
        <b/>
        <sz val="12"/>
        <color indexed="8"/>
        <rFont val="Times New Roman"/>
        <family val="1"/>
      </rPr>
      <t xml:space="preserve"> Enrichment of viable gap area</t>
    </r>
    <r>
      <rPr>
        <sz val="12"/>
        <color indexed="8"/>
        <rFont val="Times New Roman"/>
        <family val="1"/>
      </rPr>
      <t xml:space="preserve"> (not less than 0.50 ha)</t>
    </r>
  </si>
  <si>
    <r>
      <t xml:space="preserve">(a)  Broadcasting of overnight soaked seeds </t>
    </r>
    <r>
      <rPr>
        <sz val="12"/>
        <color indexed="8"/>
        <rFont val="Times New Roman"/>
        <family val="1"/>
      </rPr>
      <t xml:space="preserve">of forest species  (excluding cost of seeds)  in gap areas of (not less than 0.50 ha) by raking (scarifying) of soil to a maximum depth of 10 cm (without disturbing the existing viable root stock of valuable pioneering forestry species) with cattle cultivator (Double ploughing - Criss Cross). In total, 10 kg seeds per 1 ha effective area can be used for broadcasting.  The broadcasting of seeds needs to be done in July when the rains is there and the soil is adequately moist. The date of broadcast has to be recorded in Plantation Journal.                                                        </t>
    </r>
    <r>
      <rPr>
        <b/>
        <sz val="12"/>
        <color indexed="8"/>
        <rFont val="Times New Roman"/>
        <family val="1"/>
      </rPr>
      <t xml:space="preserve">          Note: </t>
    </r>
    <r>
      <rPr>
        <i/>
        <sz val="12"/>
        <color indexed="8"/>
        <rFont val="Times New Roman"/>
        <family val="1"/>
      </rPr>
      <t>Acacia sandra, Albizia odoratissima, Albizia procera, Albizia amara, Azadirachta indica, Cassia fistula, Holopteles integrifolia, Wrightia tinctoria, Butea monosperma, Terminalia bellirica etc. can be broadcasted.</t>
    </r>
  </si>
  <si>
    <t>03.02.06</t>
  </si>
  <si>
    <r>
      <t>(b) Planting of</t>
    </r>
    <r>
      <rPr>
        <b/>
        <i/>
        <sz val="12"/>
        <color indexed="8"/>
        <rFont val="Times New Roman"/>
        <family val="1"/>
      </rPr>
      <t xml:space="preserve"> Hardwickia binata</t>
    </r>
    <r>
      <rPr>
        <b/>
        <sz val="12"/>
        <color indexed="8"/>
        <rFont val="Times New Roman"/>
        <family val="1"/>
      </rPr>
      <t xml:space="preserve"> (Narayepi) stumps</t>
    </r>
    <r>
      <rPr>
        <sz val="12"/>
        <color indexed="8"/>
        <rFont val="Times New Roman"/>
        <family val="1"/>
      </rPr>
      <t xml:space="preserve"> of length 23 cm at 2mX2m espacement in gap areas (minimum of 0.50 ha gap area ) by crobar hole technique as done in case of Teak stumps </t>
    </r>
  </si>
  <si>
    <r>
      <t xml:space="preserve">(a) Preparation of </t>
    </r>
    <r>
      <rPr>
        <b/>
        <i/>
        <sz val="12"/>
        <color indexed="8"/>
        <rFont val="Times New Roman"/>
        <family val="1"/>
      </rPr>
      <t xml:space="preserve">Hardwickia binata </t>
    </r>
    <r>
      <rPr>
        <b/>
        <sz val="12"/>
        <color indexed="8"/>
        <rFont val="Times New Roman"/>
        <family val="1"/>
      </rPr>
      <t>(Narayepi) stump</t>
    </r>
    <r>
      <rPr>
        <sz val="12"/>
        <color indexed="8"/>
        <rFont val="Times New Roman"/>
        <family val="1"/>
      </rPr>
      <t xml:space="preserve"> including uprootal from nursery beds, dressing of lateral root, cutting slant 2 cm above collar and root and bundling them into bundles of 100 no. each and transport to planting site (Stumps size: 23 cm length: 20 cm root and 3 cm shoot are to be prepared from  primary beds) </t>
    </r>
  </si>
  <si>
    <r>
      <t>(b) Digging of crow-bar holes of 23 cm</t>
    </r>
    <r>
      <rPr>
        <sz val="12"/>
        <color indexed="8"/>
        <rFont val="Times New Roman"/>
        <family val="1"/>
      </rPr>
      <t xml:space="preserve"> (9") deep and </t>
    </r>
    <r>
      <rPr>
        <b/>
        <sz val="12"/>
        <color indexed="8"/>
        <rFont val="Times New Roman"/>
        <family val="1"/>
      </rPr>
      <t>Planting</t>
    </r>
    <r>
      <rPr>
        <sz val="12"/>
        <color indexed="8"/>
        <rFont val="Times New Roman"/>
        <family val="1"/>
      </rPr>
      <t xml:space="preserve"> stumps in crow-bar holes upto collar level and closing and compacting so that it cannot be pulled up easily duly keeping the 2 cm of root-shoot stump above the ground. Entire stump planting should be over </t>
    </r>
    <r>
      <rPr>
        <i/>
        <sz val="12"/>
        <color indexed="8"/>
        <rFont val="Times New Roman"/>
        <family val="1"/>
      </rPr>
      <t>by end of June to facilitate good sprouting taking advantage of humidity.</t>
    </r>
  </si>
  <si>
    <t>03.03.07</t>
  </si>
  <si>
    <t>Maintenance of fire lines (5.00 mtr width)  including cutting back of rank growth and burning</t>
  </si>
  <si>
    <t>03.03.08</t>
  </si>
  <si>
    <r>
      <t xml:space="preserve">Dibbling of overnight soaked viable Need seeds manually in the natural forests of not less than 0.5 ha. viable gap areas by engaging labour excluding the cost of the Neem seeds. (max 5.00 kg viable Neem seeds per ha of effective area)
</t>
    </r>
    <r>
      <rPr>
        <b/>
        <sz val="12"/>
        <color indexed="8"/>
        <rFont val="Times New Roman"/>
        <family val="1"/>
      </rPr>
      <t xml:space="preserve">Note: </t>
    </r>
    <r>
      <rPr>
        <sz val="12"/>
        <color indexed="8"/>
        <rFont val="Times New Roman"/>
        <family val="1"/>
      </rPr>
      <t xml:space="preserve"> The viable gap area shall be  identified well in advance and actual area to be dibbled with overnight soaked viable Neem seeds shall be indicated in the estimates. The identified areas should be within the area treated under Improvement of Degraded Natural Forest through Assisted Natural Re-generation method in a particulars year. This operation can be taken up in the gap areas where raking of soils is not possible
</t>
    </r>
  </si>
  <si>
    <t>As per CSSR/ RSSR</t>
  </si>
  <si>
    <t>100 Nos.</t>
  </si>
  <si>
    <t>100 No.</t>
  </si>
  <si>
    <t>per pit</t>
  </si>
  <si>
    <t xml:space="preserve">100 No. </t>
  </si>
  <si>
    <t xml:space="preserve">100 plants </t>
  </si>
  <si>
    <t>Ha. </t>
  </si>
  <si>
    <t>Per 1.00 Ha of effective area</t>
  </si>
  <si>
    <t>100 Rmt.</t>
  </si>
  <si>
    <t>Kg.</t>
  </si>
  <si>
    <t>(iii) From nursery to plantation site – upto 5 Kms lead - (4”x7”) bag plants</t>
  </si>
  <si>
    <t>(iv) From nursery to plantation site - beyond 5 Km lead - for every extra km beyond 5 km upto 25 km (4”x7”)</t>
  </si>
  <si>
    <t>(ii) Internal transportation to planting points on Head loads - (4”x7”) bag plants</t>
  </si>
  <si>
    <t>cmt</t>
  </si>
  <si>
    <t>Second Year opertations for ANR</t>
  </si>
  <si>
    <t>Maintenance of fire lines (5.00 mtr width) including cutting back  of rank growth and burning</t>
  </si>
  <si>
    <t>Third Year opertations for ANR</t>
  </si>
  <si>
    <t>Maintenance of fire lines (5.00 mtr width) including cutting back  of rank growth and burning - propotionate cost</t>
  </si>
  <si>
    <t>03.05.02</t>
  </si>
  <si>
    <t>2027 - 28</t>
  </si>
  <si>
    <t>3rd Year Maintenance</t>
  </si>
  <si>
    <t>Total year wise outlay of the project</t>
  </si>
  <si>
    <t>SCT</t>
  </si>
  <si>
    <t>Rs.in Cr.</t>
  </si>
  <si>
    <t>Planting activities (LI) in DFL</t>
  </si>
  <si>
    <t>Zero Year</t>
  </si>
  <si>
    <t>Planting activities (ANR) in DFL</t>
  </si>
  <si>
    <t>Estimate for JBJB - RoFR under ANR model</t>
  </si>
  <si>
    <t>Zero year</t>
  </si>
  <si>
    <t>Abstract</t>
  </si>
  <si>
    <t>RoFR - ANR - 3 Years</t>
  </si>
  <si>
    <t>ANR - 3 Years</t>
  </si>
  <si>
    <t>AR-LI</t>
  </si>
  <si>
    <t>AR-SMM</t>
  </si>
  <si>
    <t>2028-29</t>
  </si>
  <si>
    <t>2029-30</t>
  </si>
  <si>
    <t>2027-28</t>
  </si>
  <si>
    <t>Period</t>
  </si>
  <si>
    <t>Jungle Badhao</t>
  </si>
  <si>
    <t>Jungle Bachao</t>
  </si>
  <si>
    <t>Amount for develop-
ment of Urban Blocks Rs.in Cr</t>
  </si>
  <si>
    <t>Total Amount  Rs.in Cr</t>
  </si>
  <si>
    <t>Rejuvenation</t>
  </si>
  <si>
    <t>Afforestation</t>
  </si>
  <si>
    <t>Amount  Rs. In Cr.</t>
  </si>
  <si>
    <t>Root Stock     (in Cr.)</t>
  </si>
  <si>
    <t>No. of Plants      (in Cr.)</t>
  </si>
  <si>
    <t>Rs. In Cr.</t>
  </si>
  <si>
    <t>Physical in ha</t>
  </si>
  <si>
    <t>Fin.     Rs. In Cr.</t>
  </si>
  <si>
    <t>Upto 2018 (AR since 2014 &amp; Rejuvenation since 2016)</t>
  </si>
  <si>
    <t>Proposed 2020-21</t>
  </si>
  <si>
    <t>Proposed 2021-22</t>
  </si>
  <si>
    <t>Proposed 2022-23</t>
  </si>
  <si>
    <t>Proposed 2023-24</t>
  </si>
  <si>
    <t>Proposed 2024-25</t>
  </si>
  <si>
    <t>Proposed 2025-26</t>
  </si>
  <si>
    <t>Proposed 2026-27</t>
  </si>
  <si>
    <t>Proposed 2027-28</t>
  </si>
  <si>
    <t>Proposed 2028-29</t>
  </si>
  <si>
    <t>Proposed 2029-30</t>
  </si>
  <si>
    <t>TOTAL</t>
  </si>
  <si>
    <t>S.NO.</t>
  </si>
  <si>
    <t xml:space="preserve">Category of Forest </t>
  </si>
  <si>
    <t xml:space="preserve">Area in ha </t>
  </si>
  <si>
    <t>Area available for treatment in ha</t>
  </si>
  <si>
    <t>Dominantly blanks, sheet rocks, water bodies etc</t>
  </si>
  <si>
    <t>Area under RoFRAct 2006 -Individual Rights</t>
  </si>
  <si>
    <t>Area under RoFRAct 2006 -Community Rights</t>
  </si>
  <si>
    <t xml:space="preserve">Area under encroachment </t>
  </si>
  <si>
    <t>2020-21</t>
  </si>
  <si>
    <t>2021-22</t>
  </si>
  <si>
    <t>2022-23</t>
  </si>
  <si>
    <t>2023-24</t>
  </si>
  <si>
    <t>2024-25</t>
  </si>
  <si>
    <t>2025-26</t>
  </si>
  <si>
    <t>2026-27</t>
  </si>
  <si>
    <t>Balance area available for treatment in ha</t>
  </si>
  <si>
    <t>All</t>
  </si>
  <si>
    <t>Rejuvenation - ANR + RoFR</t>
  </si>
  <si>
    <t>Rejuvenation - ANR</t>
  </si>
  <si>
    <t>Rejuvenation - RoFR</t>
  </si>
  <si>
    <t>Fin</t>
  </si>
  <si>
    <t>Plants-1111</t>
  </si>
  <si>
    <t>Amount reqd.     Rs. In Crs for Col.6</t>
  </si>
  <si>
    <t>Plants-35-AR</t>
  </si>
  <si>
    <t>Plants-1000-ANR</t>
  </si>
  <si>
    <t>Plants-200-ANR</t>
  </si>
  <si>
    <t>Afoorestation-LI+SMM</t>
  </si>
  <si>
    <t>Total for Jungle Bachao- Jungle Badhao</t>
  </si>
  <si>
    <t>0 to 0.1 Canopy density</t>
  </si>
  <si>
    <t>0.1 to 0.4 Canopy density</t>
  </si>
  <si>
    <t>More than 0.4 Canopy density</t>
  </si>
  <si>
    <t>Area treated upto 2019 in ha</t>
  </si>
  <si>
    <t>Telangana- Area available for Rejuvenation of Forest areas</t>
  </si>
  <si>
    <t>Cost estimate for each year with physical targets</t>
  </si>
  <si>
    <t>Afforestation-LI+SMM</t>
  </si>
  <si>
    <t>Year</t>
  </si>
  <si>
    <t>Plants-35-gap planting</t>
  </si>
  <si>
    <t>Phy in ha</t>
  </si>
  <si>
    <t>Rejuvenation of forest areas- Year wise Physical and Financial Rs. In Cr.</t>
  </si>
  <si>
    <t>Total no of plants</t>
  </si>
  <si>
    <t>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</si>
</sst>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0000"/>
    <numFmt numFmtId="166" formatCode="0.000"/>
    <numFmt numFmtId="167" formatCode="0.0000"/>
  </numFmts>
  <fonts count="87">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Calibri"/>
      <family val="2"/>
    </font>
    <font>
      <sz val="11"/>
      <color indexed="8"/>
      <name val="Calibri"/>
      <family val="2"/>
    </font>
    <font>
      <b/>
      <sz val="11"/>
      <name val="Times New Roman"/>
      <family val="1"/>
    </font>
    <font>
      <sz val="11"/>
      <name val="Times New Roman"/>
      <family val="1"/>
    </font>
    <font>
      <sz val="10"/>
      <name val="Arial"/>
      <family val="2"/>
    </font>
    <font>
      <b/>
      <sz val="11"/>
      <name val="Cambria"/>
      <family val="1"/>
    </font>
    <font>
      <sz val="11"/>
      <name val="Cambria"/>
      <family val="1"/>
    </font>
    <font>
      <sz val="12"/>
      <name val="Cambria"/>
      <family val="1"/>
    </font>
    <font>
      <sz val="11"/>
      <name val="Book Antiqua"/>
      <family val="1"/>
    </font>
    <font>
      <b/>
      <sz val="11"/>
      <color theme="1"/>
      <name val="Cambria"/>
      <family val="1"/>
    </font>
    <font>
      <sz val="11"/>
      <color theme="1"/>
      <name val="Cambria"/>
      <family val="1"/>
    </font>
    <font>
      <b/>
      <u/>
      <sz val="11"/>
      <name val="Cambria"/>
      <family val="1"/>
    </font>
    <font>
      <sz val="10"/>
      <color theme="1"/>
      <name val="Book Antiqua"/>
      <family val="1"/>
    </font>
    <font>
      <sz val="11"/>
      <color theme="1"/>
      <name val="Book Antiqua"/>
      <family val="1"/>
    </font>
    <font>
      <b/>
      <sz val="14"/>
      <name val="Tahoma"/>
      <family val="2"/>
    </font>
    <font>
      <sz val="10"/>
      <name val="Tahoma"/>
      <family val="2"/>
    </font>
    <font>
      <b/>
      <sz val="10"/>
      <name val="Tahoma"/>
      <family val="2"/>
    </font>
    <font>
      <b/>
      <sz val="11"/>
      <name val="Tahoma"/>
      <family val="2"/>
    </font>
    <font>
      <sz val="11"/>
      <name val="Tahoma"/>
      <family val="2"/>
    </font>
    <font>
      <sz val="10"/>
      <color theme="1"/>
      <name val="Tahoma"/>
      <family val="2"/>
    </font>
    <font>
      <b/>
      <sz val="11"/>
      <color theme="1"/>
      <name val="Calibri"/>
      <family val="2"/>
      <scheme val="minor"/>
    </font>
    <font>
      <b/>
      <sz val="11"/>
      <name val="Calibri"/>
      <family val="2"/>
      <scheme val="minor"/>
    </font>
    <font>
      <sz val="10"/>
      <color theme="1"/>
      <name val="Calibri"/>
      <family val="2"/>
      <scheme val="minor"/>
    </font>
    <font>
      <sz val="11"/>
      <name val="Calibri"/>
      <family val="2"/>
      <scheme val="minor"/>
    </font>
    <font>
      <b/>
      <sz val="10"/>
      <name val="Calibri"/>
      <family val="2"/>
      <scheme val="minor"/>
    </font>
    <font>
      <b/>
      <i/>
      <sz val="11"/>
      <name val="Calibri"/>
      <family val="2"/>
      <scheme val="minor"/>
    </font>
    <font>
      <sz val="10"/>
      <name val="Calibri"/>
      <family val="2"/>
      <scheme val="minor"/>
    </font>
    <font>
      <sz val="10"/>
      <color theme="0"/>
      <name val="Calibri"/>
      <family val="2"/>
      <scheme val="minor"/>
    </font>
    <font>
      <sz val="11"/>
      <color indexed="8"/>
      <name val="Calibri"/>
      <family val="2"/>
      <scheme val="minor"/>
    </font>
    <font>
      <sz val="10"/>
      <name val="Verdana"/>
      <family val="2"/>
    </font>
    <font>
      <b/>
      <sz val="10"/>
      <name val="Verdana"/>
      <family val="2"/>
    </font>
    <font>
      <b/>
      <sz val="11"/>
      <color indexed="8"/>
      <name val="Calibri"/>
      <family val="2"/>
      <scheme val="minor"/>
    </font>
    <font>
      <sz val="11"/>
      <color theme="1"/>
      <name val="Calibri"/>
      <family val="2"/>
    </font>
    <font>
      <b/>
      <sz val="11"/>
      <color theme="1"/>
      <name val="Calibri"/>
      <family val="2"/>
    </font>
    <font>
      <sz val="11"/>
      <name val="Calibri"/>
      <family val="2"/>
    </font>
    <font>
      <b/>
      <sz val="12"/>
      <name val="Calibri"/>
      <family val="2"/>
    </font>
    <font>
      <b/>
      <sz val="11"/>
      <name val="Calibri"/>
      <family val="2"/>
    </font>
    <font>
      <b/>
      <i/>
      <sz val="11"/>
      <name val="Calibri"/>
      <family val="2"/>
    </font>
    <font>
      <sz val="11"/>
      <color rgb="FFFF0000"/>
      <name val="Calibri"/>
      <family val="2"/>
    </font>
    <font>
      <sz val="13"/>
      <name val="Calibri"/>
      <family val="2"/>
    </font>
    <font>
      <b/>
      <u/>
      <sz val="12"/>
      <name val="Calibri"/>
      <family val="2"/>
    </font>
    <font>
      <u/>
      <sz val="12"/>
      <name val="Calibri"/>
      <family val="2"/>
    </font>
    <font>
      <b/>
      <sz val="11"/>
      <name val="Book Antiqua"/>
      <family val="1"/>
    </font>
    <font>
      <b/>
      <i/>
      <u/>
      <sz val="11"/>
      <name val="Book Antiqua"/>
      <family val="1"/>
    </font>
    <font>
      <i/>
      <sz val="11"/>
      <name val="Book Antiqua"/>
      <family val="1"/>
    </font>
    <font>
      <b/>
      <i/>
      <sz val="11"/>
      <name val="Book Antiqua"/>
      <family val="1"/>
    </font>
    <font>
      <b/>
      <sz val="11"/>
      <color theme="1"/>
      <name val="Book Antiqua"/>
      <family val="1"/>
    </font>
    <font>
      <vertAlign val="superscript"/>
      <sz val="11"/>
      <name val="Book Antiqua"/>
      <family val="1"/>
    </font>
    <font>
      <sz val="10"/>
      <name val="Book Antiqua"/>
      <family val="1"/>
    </font>
    <font>
      <sz val="11"/>
      <color rgb="FFFF0000"/>
      <name val="Book Antiqua"/>
      <family val="1"/>
    </font>
    <font>
      <i/>
      <vertAlign val="superscript"/>
      <sz val="11"/>
      <name val="Book Antiqua"/>
      <family val="1"/>
    </font>
    <font>
      <sz val="12"/>
      <name val="Times New Roman"/>
      <family val="1"/>
    </font>
    <font>
      <sz val="12"/>
      <name val="Book Antiqua"/>
      <family val="1"/>
    </font>
    <font>
      <b/>
      <sz val="12"/>
      <name val="Book Antiqua"/>
      <family val="1"/>
    </font>
    <font>
      <sz val="12"/>
      <color theme="1"/>
      <name val="Times New Roman"/>
      <family val="1"/>
    </font>
    <font>
      <b/>
      <sz val="12"/>
      <color indexed="8"/>
      <name val="Times New Roman"/>
      <family val="1"/>
    </font>
    <font>
      <sz val="12"/>
      <color indexed="8"/>
      <name val="Times New Roman"/>
      <family val="1"/>
    </font>
    <font>
      <b/>
      <sz val="12"/>
      <color theme="1"/>
      <name val="Times New Roman"/>
      <family val="1"/>
    </font>
    <font>
      <i/>
      <sz val="12"/>
      <color indexed="8"/>
      <name val="Times New Roman"/>
      <family val="1"/>
    </font>
    <font>
      <vertAlign val="superscript"/>
      <sz val="12"/>
      <color indexed="8"/>
      <name val="Times New Roman"/>
      <family val="1"/>
    </font>
    <font>
      <b/>
      <i/>
      <sz val="12"/>
      <color indexed="8"/>
      <name val="Times New Roman"/>
      <family val="1"/>
    </font>
    <font>
      <b/>
      <sz val="10"/>
      <color theme="0"/>
      <name val="Tahoma"/>
      <family val="2"/>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9"/>
      <color rgb="FFC00000"/>
      <name val="Tahoma"/>
      <family val="2"/>
    </font>
    <font>
      <b/>
      <sz val="10"/>
      <color rgb="FFC00000"/>
      <name val="Tahoma"/>
      <family val="2"/>
    </font>
    <font>
      <b/>
      <u/>
      <sz val="16"/>
      <color theme="1"/>
      <name val="Calibri"/>
      <family val="2"/>
      <scheme val="minor"/>
    </font>
    <font>
      <b/>
      <u/>
      <sz val="14"/>
      <color theme="1"/>
      <name val="Calibri"/>
      <family val="2"/>
      <scheme val="minor"/>
    </font>
    <font>
      <b/>
      <sz val="8"/>
      <color theme="1"/>
      <name val="Calibri"/>
      <family val="2"/>
      <scheme val="minor"/>
    </font>
    <font>
      <sz val="8"/>
      <color theme="1"/>
      <name val="Calibri"/>
      <family val="2"/>
      <scheme val="minor"/>
    </font>
    <font>
      <sz val="14"/>
      <name val="Calibri"/>
      <family val="2"/>
      <scheme val="minor"/>
    </font>
    <font>
      <b/>
      <sz val="14"/>
      <name val="Calibri"/>
      <family val="2"/>
      <scheme val="minor"/>
    </font>
    <font>
      <b/>
      <sz val="11"/>
      <color indexed="8"/>
      <name val="Calibri"/>
      <family val="2"/>
    </font>
    <font>
      <b/>
      <sz val="16"/>
      <color indexed="8"/>
      <name val="Calibri"/>
      <family val="2"/>
    </font>
  </fonts>
  <fills count="1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00B050"/>
        <bgColor indexed="64"/>
      </patternFill>
    </fill>
    <fill>
      <patternFill patternType="solid">
        <fgColor theme="9" tint="-0.249977111117893"/>
        <bgColor indexed="64"/>
      </patternFill>
    </fill>
    <fill>
      <patternFill patternType="solid">
        <fgColor theme="2"/>
        <bgColor indexed="64"/>
      </patternFill>
    </fill>
    <fill>
      <patternFill patternType="solid">
        <fgColor rgb="FFFFC000"/>
        <bgColor indexed="64"/>
      </patternFill>
    </fill>
    <fill>
      <patternFill patternType="solid">
        <fgColor theme="7" tint="0.59999389629810485"/>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7">
    <xf numFmtId="0" fontId="0" fillId="0" borderId="0"/>
    <xf numFmtId="0" fontId="12" fillId="0" borderId="0"/>
    <xf numFmtId="0" fontId="9" fillId="0" borderId="0"/>
    <xf numFmtId="0" fontId="10" fillId="0" borderId="0"/>
    <xf numFmtId="0" fontId="12" fillId="0" borderId="0"/>
    <xf numFmtId="0" fontId="10" fillId="0" borderId="0"/>
    <xf numFmtId="164" fontId="12" fillId="0" borderId="0" applyFont="0" applyFill="0" applyBorder="0" applyAlignment="0" applyProtection="0"/>
    <xf numFmtId="0" fontId="10" fillId="0" borderId="0"/>
    <xf numFmtId="0" fontId="10" fillId="0" borderId="0"/>
    <xf numFmtId="0" fontId="15" fillId="0" borderId="0"/>
    <xf numFmtId="0" fontId="10" fillId="0" borderId="0"/>
    <xf numFmtId="0" fontId="10" fillId="0" borderId="0"/>
    <xf numFmtId="0" fontId="8" fillId="0" borderId="0"/>
    <xf numFmtId="0" fontId="10" fillId="0" borderId="0"/>
    <xf numFmtId="0" fontId="10" fillId="0" borderId="0"/>
    <xf numFmtId="0" fontId="3" fillId="0" borderId="0"/>
    <xf numFmtId="0" fontId="2" fillId="0" borderId="0"/>
  </cellStyleXfs>
  <cellXfs count="576">
    <xf numFmtId="0" fontId="0" fillId="0" borderId="0" xfId="0"/>
    <xf numFmtId="0" fontId="14" fillId="0" borderId="0" xfId="2" applyFont="1"/>
    <xf numFmtId="1" fontId="14" fillId="0" borderId="0" xfId="2" applyNumberFormat="1" applyFont="1"/>
    <xf numFmtId="0" fontId="14" fillId="0" borderId="0" xfId="7" applyFont="1" applyFill="1" applyAlignment="1">
      <alignment horizontal="left"/>
    </xf>
    <xf numFmtId="0" fontId="13" fillId="0" borderId="0" xfId="5" applyFont="1" applyAlignment="1">
      <alignment horizontal="left" vertical="top" wrapText="1"/>
    </xf>
    <xf numFmtId="0" fontId="14" fillId="0" borderId="0" xfId="2" applyFont="1" applyAlignment="1">
      <alignment vertical="top"/>
    </xf>
    <xf numFmtId="0" fontId="19" fillId="0" borderId="0" xfId="9" applyFont="1"/>
    <xf numFmtId="0" fontId="17" fillId="0" borderId="0" xfId="10" applyFont="1"/>
    <xf numFmtId="0" fontId="17" fillId="0" borderId="0" xfId="10" applyFont="1" applyAlignment="1">
      <alignment horizontal="center"/>
    </xf>
    <xf numFmtId="0" fontId="17" fillId="0" borderId="0" xfId="10" applyFont="1" applyFill="1"/>
    <xf numFmtId="0" fontId="16" fillId="0" borderId="0" xfId="10" applyFont="1"/>
    <xf numFmtId="0" fontId="17" fillId="0" borderId="0" xfId="10" applyFont="1" applyAlignment="1">
      <alignment vertical="top" wrapText="1"/>
    </xf>
    <xf numFmtId="0" fontId="17" fillId="0" borderId="0" xfId="10" applyFont="1" applyAlignment="1">
      <alignment vertical="top"/>
    </xf>
    <xf numFmtId="0" fontId="18" fillId="0" borderId="0" xfId="10" applyFont="1"/>
    <xf numFmtId="0" fontId="22" fillId="0" borderId="0" xfId="10" applyFont="1" applyAlignment="1"/>
    <xf numFmtId="167" fontId="17" fillId="0" borderId="0" xfId="10" applyNumberFormat="1" applyFont="1" applyAlignment="1">
      <alignment vertical="top"/>
    </xf>
    <xf numFmtId="0" fontId="17" fillId="0" borderId="0" xfId="10" applyFont="1" applyBorder="1"/>
    <xf numFmtId="0" fontId="17" fillId="0" borderId="0" xfId="10" applyFont="1" applyFill="1" applyBorder="1"/>
    <xf numFmtId="0" fontId="18" fillId="0" borderId="0" xfId="10" applyFont="1" applyFill="1" applyBorder="1" applyAlignment="1">
      <alignment horizontal="center"/>
    </xf>
    <xf numFmtId="2" fontId="17" fillId="0" borderId="0" xfId="10" applyNumberFormat="1" applyFont="1" applyFill="1" applyBorder="1"/>
    <xf numFmtId="0" fontId="21" fillId="0" borderId="0" xfId="10" applyFont="1"/>
    <xf numFmtId="0" fontId="21" fillId="0" borderId="0" xfId="10" applyFont="1" applyAlignment="1">
      <alignment horizontal="center"/>
    </xf>
    <xf numFmtId="0" fontId="20" fillId="0" borderId="0" xfId="10" applyFont="1" applyAlignment="1">
      <alignment vertical="top"/>
    </xf>
    <xf numFmtId="0" fontId="20" fillId="0" borderId="0" xfId="10" applyFont="1" applyAlignment="1">
      <alignment horizontal="center" vertical="top" wrapText="1"/>
    </xf>
    <xf numFmtId="0" fontId="21" fillId="0" borderId="0" xfId="10" applyFont="1" applyAlignment="1">
      <alignment vertical="top" wrapText="1"/>
    </xf>
    <xf numFmtId="0" fontId="23" fillId="0" borderId="0" xfId="10" applyFont="1" applyAlignment="1">
      <alignment vertical="top" wrapText="1"/>
    </xf>
    <xf numFmtId="0" fontId="23" fillId="0" borderId="0" xfId="9" applyFont="1"/>
    <xf numFmtId="0" fontId="24" fillId="0" borderId="0" xfId="9" applyFont="1"/>
    <xf numFmtId="0" fontId="21" fillId="0" borderId="0" xfId="10" applyFont="1" applyFill="1" applyAlignment="1">
      <alignment vertical="top" wrapText="1"/>
    </xf>
    <xf numFmtId="0" fontId="21" fillId="0" borderId="0" xfId="10" applyFont="1" applyAlignment="1">
      <alignment vertical="top"/>
    </xf>
    <xf numFmtId="2" fontId="14" fillId="0" borderId="0" xfId="2" applyNumberFormat="1" applyFont="1"/>
    <xf numFmtId="0" fontId="17" fillId="0" borderId="0" xfId="10" applyFont="1" applyAlignment="1">
      <alignment horizontal="center"/>
    </xf>
    <xf numFmtId="0" fontId="26" fillId="0" borderId="0" xfId="0" applyFont="1" applyFill="1"/>
    <xf numFmtId="0" fontId="27" fillId="0" borderId="2" xfId="0" applyFont="1" applyFill="1" applyBorder="1" applyAlignment="1">
      <alignment horizontal="center" vertical="center"/>
    </xf>
    <xf numFmtId="0" fontId="27" fillId="0" borderId="0" xfId="0" applyFont="1" applyFill="1" applyBorder="1" applyAlignment="1">
      <alignment horizontal="center" vertical="center"/>
    </xf>
    <xf numFmtId="0" fontId="27" fillId="0" borderId="0" xfId="0" applyFont="1" applyFill="1"/>
    <xf numFmtId="0" fontId="30" fillId="0" borderId="0" xfId="0" applyFont="1" applyFill="1"/>
    <xf numFmtId="165" fontId="29" fillId="3" borderId="0" xfId="0" applyNumberFormat="1" applyFont="1" applyFill="1"/>
    <xf numFmtId="1" fontId="26" fillId="0" borderId="0" xfId="0" applyNumberFormat="1" applyFont="1" applyFill="1"/>
    <xf numFmtId="1" fontId="28" fillId="0" borderId="0" xfId="0" applyNumberFormat="1" applyFont="1" applyFill="1" applyAlignment="1">
      <alignment horizontal="center"/>
    </xf>
    <xf numFmtId="2" fontId="28" fillId="0" borderId="0" xfId="0" applyNumberFormat="1" applyFont="1" applyFill="1" applyAlignment="1">
      <alignment horizontal="center" vertical="center"/>
    </xf>
    <xf numFmtId="0" fontId="28" fillId="0" borderId="0" xfId="0" applyFont="1" applyFill="1" applyAlignment="1">
      <alignment horizontal="center"/>
    </xf>
    <xf numFmtId="165" fontId="28" fillId="0" borderId="0" xfId="0" applyNumberFormat="1" applyFont="1" applyFill="1" applyAlignment="1">
      <alignment horizontal="center"/>
    </xf>
    <xf numFmtId="0" fontId="26" fillId="0" borderId="0" xfId="0" applyFont="1" applyFill="1" applyAlignment="1">
      <alignment horizontal="center"/>
    </xf>
    <xf numFmtId="165" fontId="29" fillId="3" borderId="0" xfId="0" applyNumberFormat="1" applyFont="1" applyFill="1" applyAlignment="1">
      <alignment vertical="center"/>
    </xf>
    <xf numFmtId="165" fontId="29" fillId="0" borderId="0" xfId="0" applyNumberFormat="1" applyFont="1" applyFill="1"/>
    <xf numFmtId="0" fontId="32" fillId="0" borderId="1" xfId="10" applyFont="1" applyBorder="1" applyAlignment="1">
      <alignment horizontal="center" vertical="center" wrapText="1"/>
    </xf>
    <xf numFmtId="0" fontId="31" fillId="0" borderId="1" xfId="10" applyFont="1" applyFill="1" applyBorder="1" applyAlignment="1">
      <alignment horizontal="justify" vertical="top" wrapText="1"/>
    </xf>
    <xf numFmtId="0" fontId="31" fillId="0" borderId="1" xfId="0" applyFont="1" applyFill="1" applyBorder="1" applyAlignment="1">
      <alignment horizontal="justify" vertical="top" wrapText="1"/>
    </xf>
    <xf numFmtId="0" fontId="31" fillId="0" borderId="1" xfId="2" applyFont="1" applyFill="1" applyBorder="1" applyAlignment="1">
      <alignment horizontal="justify" vertical="top" wrapText="1"/>
    </xf>
    <xf numFmtId="0" fontId="31" fillId="0" borderId="1" xfId="10" applyFont="1" applyFill="1" applyBorder="1" applyAlignment="1"/>
    <xf numFmtId="0" fontId="7" fillId="0" borderId="1" xfId="10" applyFont="1" applyFill="1" applyBorder="1" applyAlignment="1"/>
    <xf numFmtId="1" fontId="31" fillId="0" borderId="1" xfId="10" applyNumberFormat="1" applyFont="1" applyFill="1" applyBorder="1" applyAlignment="1">
      <alignment horizontal="right" vertical="top"/>
    </xf>
    <xf numFmtId="0" fontId="31" fillId="0" borderId="1" xfId="0" applyFont="1" applyFill="1" applyBorder="1" applyAlignment="1">
      <alignment horizontal="center" vertical="top"/>
    </xf>
    <xf numFmtId="0" fontId="31" fillId="0" borderId="1" xfId="9" applyFont="1" applyFill="1" applyBorder="1" applyAlignment="1">
      <alignment horizontal="center" vertical="top" wrapText="1"/>
    </xf>
    <xf numFmtId="0" fontId="35"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6" fillId="0" borderId="1" xfId="0" applyFont="1" applyFill="1" applyBorder="1" applyAlignment="1">
      <alignment vertical="center"/>
    </xf>
    <xf numFmtId="0" fontId="37" fillId="0" borderId="1" xfId="0" applyFont="1" applyFill="1" applyBorder="1" applyAlignment="1">
      <alignment vertical="center" wrapText="1"/>
    </xf>
    <xf numFmtId="0" fontId="37" fillId="0" borderId="1" xfId="0" applyFont="1" applyFill="1" applyBorder="1" applyAlignment="1">
      <alignment horizontal="center" vertical="center" wrapText="1"/>
    </xf>
    <xf numFmtId="0" fontId="37" fillId="0" borderId="1" xfId="0" applyFont="1" applyFill="1" applyBorder="1" applyAlignment="1">
      <alignment horizontal="left" vertical="center" wrapText="1"/>
    </xf>
    <xf numFmtId="167" fontId="37" fillId="0" borderId="1" xfId="0" applyNumberFormat="1" applyFont="1" applyFill="1" applyBorder="1" applyAlignment="1">
      <alignment vertical="center" wrapText="1"/>
    </xf>
    <xf numFmtId="1" fontId="37" fillId="0" borderId="1" xfId="0" applyNumberFormat="1" applyFont="1" applyFill="1" applyBorder="1" applyAlignment="1">
      <alignment horizontal="right" vertical="center" wrapText="1"/>
    </xf>
    <xf numFmtId="1" fontId="38" fillId="0" borderId="1" xfId="0" applyNumberFormat="1" applyFont="1" applyFill="1" applyBorder="1" applyAlignment="1">
      <alignment horizontal="right" vertical="center" wrapText="1"/>
    </xf>
    <xf numFmtId="165" fontId="32" fillId="3" borderId="1" xfId="0" applyNumberFormat="1" applyFont="1" applyFill="1" applyBorder="1" applyAlignment="1">
      <alignment horizontal="right" vertical="center" wrapText="1"/>
    </xf>
    <xf numFmtId="165" fontId="32" fillId="3" borderId="1" xfId="0" applyNumberFormat="1" applyFont="1" applyFill="1" applyBorder="1" applyAlignment="1">
      <alignment horizontal="center" vertical="center" wrapText="1"/>
    </xf>
    <xf numFmtId="0" fontId="35" fillId="0" borderId="1" xfId="0" applyFont="1" applyFill="1" applyBorder="1" applyAlignment="1">
      <alignment vertical="center" wrapText="1"/>
    </xf>
    <xf numFmtId="166" fontId="35" fillId="0" borderId="1" xfId="0" applyNumberFormat="1" applyFont="1" applyFill="1" applyBorder="1" applyAlignment="1">
      <alignment vertical="center" wrapText="1"/>
    </xf>
    <xf numFmtId="165" fontId="32" fillId="0" borderId="1" xfId="0" applyNumberFormat="1" applyFont="1" applyFill="1" applyBorder="1" applyAlignment="1">
      <alignment horizontal="center" vertical="center" wrapText="1"/>
    </xf>
    <xf numFmtId="1" fontId="37" fillId="0" borderId="1" xfId="0" applyNumberFormat="1" applyFont="1" applyFill="1" applyBorder="1" applyAlignment="1">
      <alignment vertical="center" wrapText="1"/>
    </xf>
    <xf numFmtId="2" fontId="37" fillId="0" borderId="1" xfId="0" applyNumberFormat="1" applyFont="1" applyFill="1" applyBorder="1" applyAlignment="1">
      <alignment horizontal="right" vertical="center" wrapText="1"/>
    </xf>
    <xf numFmtId="2" fontId="37" fillId="0" borderId="1" xfId="0" applyNumberFormat="1" applyFont="1" applyFill="1" applyBorder="1" applyAlignment="1">
      <alignment vertical="center" wrapText="1"/>
    </xf>
    <xf numFmtId="0" fontId="37" fillId="0" borderId="1" xfId="0" applyFont="1" applyFill="1" applyBorder="1" applyAlignment="1">
      <alignment horizontal="right" vertical="center" wrapText="1"/>
    </xf>
    <xf numFmtId="2" fontId="38" fillId="0" borderId="1" xfId="0" applyNumberFormat="1" applyFont="1" applyFill="1" applyBorder="1" applyAlignment="1">
      <alignment vertical="center" wrapText="1"/>
    </xf>
    <xf numFmtId="0" fontId="37" fillId="0" borderId="1" xfId="0" applyFont="1" applyFill="1" applyBorder="1" applyAlignment="1">
      <alignment horizontal="justify" vertical="center" wrapText="1"/>
    </xf>
    <xf numFmtId="167" fontId="37" fillId="0" borderId="1" xfId="0" applyNumberFormat="1" applyFont="1" applyFill="1" applyBorder="1" applyAlignment="1">
      <alignment horizontal="right" vertical="center" wrapText="1"/>
    </xf>
    <xf numFmtId="165" fontId="37" fillId="0" borderId="1" xfId="0" applyNumberFormat="1" applyFont="1" applyFill="1" applyBorder="1" applyAlignment="1">
      <alignment horizontal="center" vertical="center"/>
    </xf>
    <xf numFmtId="0" fontId="37" fillId="0" borderId="1" xfId="0" applyFont="1" applyFill="1" applyBorder="1" applyAlignment="1">
      <alignment horizontal="center" vertical="center"/>
    </xf>
    <xf numFmtId="0" fontId="33" fillId="0" borderId="1" xfId="0" applyFont="1" applyFill="1" applyBorder="1" applyAlignment="1">
      <alignment vertical="center" wrapText="1"/>
    </xf>
    <xf numFmtId="1" fontId="33" fillId="0" borderId="1" xfId="0" applyNumberFormat="1" applyFont="1" applyFill="1" applyBorder="1" applyAlignment="1">
      <alignment vertical="center"/>
    </xf>
    <xf numFmtId="165" fontId="33" fillId="0" borderId="1" xfId="0" applyNumberFormat="1" applyFont="1" applyFill="1" applyBorder="1" applyAlignment="1">
      <alignment horizontal="right" vertical="center"/>
    </xf>
    <xf numFmtId="1" fontId="33" fillId="0" borderId="1" xfId="0" applyNumberFormat="1" applyFont="1" applyFill="1" applyBorder="1" applyAlignment="1">
      <alignment vertical="center" wrapText="1"/>
    </xf>
    <xf numFmtId="166" fontId="33" fillId="0" borderId="1" xfId="0" applyNumberFormat="1" applyFont="1" applyFill="1" applyBorder="1" applyAlignment="1">
      <alignment vertical="center"/>
    </xf>
    <xf numFmtId="165" fontId="34" fillId="3" borderId="1" xfId="0" applyNumberFormat="1" applyFont="1" applyFill="1" applyBorder="1" applyAlignment="1">
      <alignment horizontal="center" vertical="center" wrapText="1"/>
    </xf>
    <xf numFmtId="165" fontId="32" fillId="3" borderId="1" xfId="0" applyNumberFormat="1" applyFont="1" applyFill="1" applyBorder="1" applyAlignment="1">
      <alignment horizontal="right" vertical="top" wrapText="1"/>
    </xf>
    <xf numFmtId="165" fontId="34" fillId="3" borderId="1" xfId="0" applyNumberFormat="1" applyFont="1" applyFill="1" applyBorder="1" applyAlignment="1">
      <alignment horizontal="right" vertical="center"/>
    </xf>
    <xf numFmtId="165" fontId="32" fillId="3" borderId="1" xfId="0" applyNumberFormat="1" applyFont="1" applyFill="1" applyBorder="1" applyAlignment="1">
      <alignment horizontal="center" vertical="center"/>
    </xf>
    <xf numFmtId="165" fontId="32" fillId="0" borderId="1" xfId="0" applyNumberFormat="1" applyFont="1" applyFill="1" applyBorder="1" applyAlignment="1">
      <alignment vertical="center"/>
    </xf>
    <xf numFmtId="165" fontId="34" fillId="0" borderId="1" xfId="0" applyNumberFormat="1" applyFont="1" applyFill="1" applyBorder="1" applyAlignment="1">
      <alignment vertical="center" wrapText="1"/>
    </xf>
    <xf numFmtId="165" fontId="34" fillId="3" borderId="1" xfId="0" applyNumberFormat="1" applyFont="1" applyFill="1" applyBorder="1" applyAlignment="1">
      <alignment vertical="center"/>
    </xf>
    <xf numFmtId="0" fontId="34" fillId="0" borderId="0" xfId="10" applyFont="1"/>
    <xf numFmtId="0" fontId="34" fillId="0" borderId="1" xfId="10" applyFont="1" applyFill="1" applyBorder="1" applyAlignment="1">
      <alignment horizontal="center" vertical="top" wrapText="1"/>
    </xf>
    <xf numFmtId="0" fontId="34" fillId="0" borderId="1" xfId="10" applyFont="1" applyFill="1" applyBorder="1" applyAlignment="1">
      <alignment horizontal="justify" vertical="top" wrapText="1"/>
    </xf>
    <xf numFmtId="2" fontId="34" fillId="0" borderId="1" xfId="10" applyNumberFormat="1" applyFont="1" applyFill="1" applyBorder="1" applyAlignment="1">
      <alignment horizontal="right" vertical="top" wrapText="1"/>
    </xf>
    <xf numFmtId="1" fontId="34" fillId="0" borderId="1" xfId="10" applyNumberFormat="1" applyFont="1" applyFill="1" applyBorder="1" applyAlignment="1">
      <alignment horizontal="right" vertical="top" wrapText="1"/>
    </xf>
    <xf numFmtId="0" fontId="7" fillId="0" borderId="0" xfId="10" applyFont="1"/>
    <xf numFmtId="0" fontId="32" fillId="0" borderId="1" xfId="10" applyFont="1" applyFill="1" applyBorder="1" applyAlignment="1">
      <alignment horizontal="center" vertical="top" wrapText="1"/>
    </xf>
    <xf numFmtId="0" fontId="34" fillId="0" borderId="1" xfId="10" applyFont="1" applyFill="1" applyBorder="1" applyAlignment="1">
      <alignment horizontal="right" vertical="top" wrapText="1"/>
    </xf>
    <xf numFmtId="0" fontId="34" fillId="0" borderId="1" xfId="10" applyFont="1" applyBorder="1" applyAlignment="1">
      <alignment vertical="top"/>
    </xf>
    <xf numFmtId="0" fontId="34" fillId="0" borderId="1" xfId="10" applyFont="1" applyBorder="1" applyAlignment="1">
      <alignment horizontal="right" vertical="top" wrapText="1"/>
    </xf>
    <xf numFmtId="0" fontId="39" fillId="0" borderId="1" xfId="2" applyFont="1" applyBorder="1" applyAlignment="1">
      <alignment horizontal="justify" vertical="top" wrapText="1"/>
    </xf>
    <xf numFmtId="0" fontId="32" fillId="0" borderId="1" xfId="2" applyFont="1" applyFill="1" applyBorder="1" applyAlignment="1">
      <alignment horizontal="justify" vertical="top" wrapText="1"/>
    </xf>
    <xf numFmtId="2" fontId="34" fillId="0" borderId="1" xfId="2" applyNumberFormat="1" applyFont="1" applyFill="1" applyBorder="1" applyAlignment="1">
      <alignment horizontal="center" vertical="center"/>
    </xf>
    <xf numFmtId="1" fontId="34" fillId="0" borderId="1" xfId="10" applyNumberFormat="1" applyFont="1" applyBorder="1" applyAlignment="1">
      <alignment horizontal="right" vertical="top" wrapText="1"/>
    </xf>
    <xf numFmtId="0" fontId="32" fillId="0" borderId="1" xfId="0" applyFont="1" applyFill="1" applyBorder="1" applyAlignment="1">
      <alignment horizontal="center" vertical="top"/>
    </xf>
    <xf numFmtId="0" fontId="34" fillId="0" borderId="1" xfId="0" applyFont="1" applyFill="1" applyBorder="1" applyAlignment="1">
      <alignment horizontal="justify" vertical="top" wrapText="1"/>
    </xf>
    <xf numFmtId="0" fontId="34" fillId="0" borderId="1" xfId="0" applyFont="1" applyFill="1" applyBorder="1" applyAlignment="1">
      <alignment horizontal="right" vertical="top" wrapText="1"/>
    </xf>
    <xf numFmtId="2" fontId="7" fillId="0" borderId="1" xfId="10" applyNumberFormat="1" applyFont="1" applyFill="1" applyBorder="1" applyAlignment="1">
      <alignment horizontal="right" vertical="top" wrapText="1"/>
    </xf>
    <xf numFmtId="0" fontId="34" fillId="0" borderId="1" xfId="2" applyFont="1" applyFill="1" applyBorder="1" applyAlignment="1">
      <alignment horizontal="justify" vertical="top" wrapText="1"/>
    </xf>
    <xf numFmtId="2" fontId="7" fillId="0" borderId="1" xfId="2" applyNumberFormat="1" applyFont="1" applyFill="1" applyBorder="1" applyAlignment="1">
      <alignment horizontal="right" vertical="top"/>
    </xf>
    <xf numFmtId="2" fontId="34" fillId="0" borderId="1" xfId="10" applyNumberFormat="1" applyFont="1" applyBorder="1" applyAlignment="1">
      <alignment horizontal="right" vertical="top" wrapText="1"/>
    </xf>
    <xf numFmtId="0" fontId="32" fillId="0" borderId="1" xfId="9" applyFont="1" applyFill="1" applyBorder="1" applyAlignment="1">
      <alignment horizontal="center" vertical="top" wrapText="1"/>
    </xf>
    <xf numFmtId="0" fontId="34" fillId="0" borderId="1" xfId="9" applyFont="1" applyBorder="1" applyAlignment="1">
      <alignment vertical="top" wrapText="1"/>
    </xf>
    <xf numFmtId="2" fontId="34" fillId="0" borderId="1" xfId="9" applyNumberFormat="1" applyFont="1" applyBorder="1" applyAlignment="1">
      <alignment vertical="top" wrapText="1"/>
    </xf>
    <xf numFmtId="0" fontId="7" fillId="0" borderId="1" xfId="10" applyFont="1" applyBorder="1" applyAlignment="1">
      <alignment horizontal="right" vertical="top" wrapText="1"/>
    </xf>
    <xf numFmtId="2" fontId="7" fillId="0" borderId="1" xfId="10" applyNumberFormat="1" applyFont="1" applyBorder="1" applyAlignment="1">
      <alignment horizontal="right" vertical="top" wrapText="1"/>
    </xf>
    <xf numFmtId="0" fontId="7" fillId="0" borderId="4" xfId="10" applyFont="1" applyFill="1" applyBorder="1" applyAlignment="1"/>
    <xf numFmtId="0" fontId="31" fillId="0" borderId="0" xfId="10" applyFont="1" applyFill="1"/>
    <xf numFmtId="0" fontId="31" fillId="0" borderId="0" xfId="10" applyFont="1" applyFill="1" applyAlignment="1">
      <alignment horizontal="right"/>
    </xf>
    <xf numFmtId="0" fontId="32" fillId="0" borderId="1" xfId="3" applyFont="1" applyBorder="1" applyAlignment="1">
      <alignment horizontal="center" vertical="center" wrapText="1"/>
    </xf>
    <xf numFmtId="0" fontId="34" fillId="0" borderId="1" xfId="2" applyFont="1" applyBorder="1" applyAlignment="1">
      <alignment horizontal="center" vertical="top"/>
    </xf>
    <xf numFmtId="0" fontId="32" fillId="0" borderId="1" xfId="2" applyFont="1" applyFill="1" applyBorder="1" applyAlignment="1">
      <alignment horizontal="center" vertical="top"/>
    </xf>
    <xf numFmtId="0" fontId="34" fillId="0" borderId="1" xfId="2" applyFont="1" applyFill="1" applyBorder="1" applyAlignment="1">
      <alignment horizontal="center" vertical="center" wrapText="1"/>
    </xf>
    <xf numFmtId="1" fontId="34" fillId="0" borderId="1" xfId="3" applyNumberFormat="1" applyFont="1" applyBorder="1" applyAlignment="1">
      <alignment horizontal="center" vertical="center"/>
    </xf>
    <xf numFmtId="1" fontId="34" fillId="0" borderId="1" xfId="2" applyNumberFormat="1" applyFont="1" applyFill="1" applyBorder="1" applyAlignment="1">
      <alignment horizontal="center" vertical="center"/>
    </xf>
    <xf numFmtId="2" fontId="34" fillId="0" borderId="1" xfId="2" applyNumberFormat="1" applyFont="1" applyFill="1" applyBorder="1" applyAlignment="1">
      <alignment horizontal="right" vertical="center"/>
    </xf>
    <xf numFmtId="2" fontId="34" fillId="0" borderId="1" xfId="4" applyNumberFormat="1" applyFont="1" applyFill="1" applyBorder="1" applyAlignment="1">
      <alignment horizontal="right" vertical="center"/>
    </xf>
    <xf numFmtId="0" fontId="34" fillId="0" borderId="1" xfId="2" applyFont="1" applyBorder="1" applyAlignment="1">
      <alignment horizontal="center" vertical="center"/>
    </xf>
    <xf numFmtId="0" fontId="34" fillId="0" borderId="1" xfId="2" applyFont="1" applyFill="1" applyBorder="1" applyAlignment="1">
      <alignment horizontal="right" vertical="center" wrapText="1"/>
    </xf>
    <xf numFmtId="0" fontId="34" fillId="0" borderId="1" xfId="2" applyFont="1" applyBorder="1" applyAlignment="1">
      <alignment vertical="top"/>
    </xf>
    <xf numFmtId="0" fontId="32" fillId="0" borderId="1" xfId="2" applyFont="1" applyFill="1" applyBorder="1" applyAlignment="1">
      <alignment horizontal="center" vertical="top" wrapText="1"/>
    </xf>
    <xf numFmtId="0" fontId="32" fillId="0" borderId="1" xfId="2" applyFont="1" applyFill="1" applyBorder="1" applyAlignment="1">
      <alignment horizontal="right" vertical="top" wrapText="1"/>
    </xf>
    <xf numFmtId="0" fontId="32" fillId="0" borderId="1" xfId="2" applyFont="1" applyFill="1" applyBorder="1" applyAlignment="1">
      <alignment horizontal="center" vertical="center" wrapText="1"/>
    </xf>
    <xf numFmtId="2" fontId="32" fillId="0" borderId="1" xfId="2" applyNumberFormat="1" applyFont="1" applyBorder="1" applyAlignment="1">
      <alignment horizontal="right"/>
    </xf>
    <xf numFmtId="0" fontId="34" fillId="0" borderId="1" xfId="5" applyFont="1" applyBorder="1" applyAlignment="1">
      <alignment horizontal="left" vertical="top"/>
    </xf>
    <xf numFmtId="0" fontId="34" fillId="0" borderId="1" xfId="2" applyFont="1" applyBorder="1"/>
    <xf numFmtId="0" fontId="32" fillId="0" borderId="1" xfId="2" applyFont="1" applyBorder="1" applyAlignment="1">
      <alignment wrapText="1"/>
    </xf>
    <xf numFmtId="2" fontId="34" fillId="0" borderId="1" xfId="2" applyNumberFormat="1" applyFont="1" applyBorder="1" applyAlignment="1">
      <alignment vertical="center"/>
    </xf>
    <xf numFmtId="9" fontId="34" fillId="0" borderId="1" xfId="2" applyNumberFormat="1" applyFont="1" applyBorder="1"/>
    <xf numFmtId="2" fontId="32" fillId="0" borderId="1" xfId="2" applyNumberFormat="1" applyFont="1" applyBorder="1"/>
    <xf numFmtId="0" fontId="32" fillId="0" borderId="1" xfId="2" applyFont="1" applyBorder="1" applyAlignment="1">
      <alignment horizontal="left" vertical="top"/>
    </xf>
    <xf numFmtId="0" fontId="32" fillId="0" borderId="1" xfId="2" applyFont="1" applyBorder="1" applyAlignment="1">
      <alignment horizontal="right"/>
    </xf>
    <xf numFmtId="2" fontId="34" fillId="0" borderId="0" xfId="2" applyNumberFormat="1" applyFont="1" applyBorder="1" applyAlignment="1">
      <alignment vertical="center"/>
    </xf>
    <xf numFmtId="0" fontId="34" fillId="0" borderId="0" xfId="2" applyFont="1"/>
    <xf numFmtId="164" fontId="32" fillId="0" borderId="1" xfId="6" applyNumberFormat="1" applyFont="1" applyBorder="1" applyAlignment="1">
      <alignment horizontal="right"/>
    </xf>
    <xf numFmtId="0" fontId="34" fillId="0" borderId="1" xfId="2" applyFont="1" applyBorder="1" applyAlignment="1">
      <alignment horizontal="left" vertical="top"/>
    </xf>
    <xf numFmtId="0" fontId="32" fillId="0" borderId="1" xfId="7" applyFont="1" applyBorder="1"/>
    <xf numFmtId="167" fontId="32" fillId="0" borderId="1" xfId="2" applyNumberFormat="1" applyFont="1" applyBorder="1"/>
    <xf numFmtId="0" fontId="34" fillId="0" borderId="0" xfId="5" applyFont="1" applyAlignment="1">
      <alignment vertical="top"/>
    </xf>
    <xf numFmtId="0" fontId="34" fillId="0" borderId="0" xfId="5" applyFont="1"/>
    <xf numFmtId="0" fontId="34" fillId="0" borderId="0" xfId="7" applyFont="1" applyFill="1" applyAlignment="1">
      <alignment horizontal="center"/>
    </xf>
    <xf numFmtId="0" fontId="34" fillId="0" borderId="0" xfId="7" applyFont="1" applyFill="1"/>
    <xf numFmtId="1" fontId="34" fillId="0" borderId="1" xfId="8" applyNumberFormat="1" applyFont="1" applyBorder="1" applyAlignment="1">
      <alignment horizontal="center" vertical="center"/>
    </xf>
    <xf numFmtId="2" fontId="34" fillId="0" borderId="1" xfId="2" applyNumberFormat="1" applyFont="1" applyFill="1" applyBorder="1" applyAlignment="1">
      <alignment horizontal="center" vertical="center" wrapText="1"/>
    </xf>
    <xf numFmtId="2" fontId="34" fillId="0" borderId="1" xfId="2" applyNumberFormat="1" applyFont="1" applyFill="1" applyBorder="1" applyAlignment="1">
      <alignment horizontal="right" vertical="center" wrapText="1"/>
    </xf>
    <xf numFmtId="2" fontId="32" fillId="0" borderId="1" xfId="4" applyNumberFormat="1" applyFont="1" applyFill="1" applyBorder="1" applyAlignment="1">
      <alignment horizontal="right" vertical="center"/>
    </xf>
    <xf numFmtId="0" fontId="32" fillId="0" borderId="1" xfId="7" applyFont="1" applyBorder="1" applyAlignment="1">
      <alignment horizontal="right" wrapText="1"/>
    </xf>
    <xf numFmtId="0" fontId="34" fillId="0" borderId="1" xfId="5" applyFont="1" applyBorder="1" applyAlignment="1">
      <alignment vertical="top"/>
    </xf>
    <xf numFmtId="0" fontId="34" fillId="0" borderId="1" xfId="7" applyFont="1" applyFill="1" applyBorder="1" applyAlignment="1">
      <alignment horizontal="left"/>
    </xf>
    <xf numFmtId="2" fontId="34" fillId="0" borderId="1" xfId="7" applyNumberFormat="1" applyFont="1" applyFill="1" applyBorder="1" applyAlignment="1">
      <alignment horizontal="left"/>
    </xf>
    <xf numFmtId="0" fontId="34" fillId="0" borderId="1" xfId="7" applyFont="1" applyFill="1" applyBorder="1" applyAlignment="1">
      <alignment horizontal="right"/>
    </xf>
    <xf numFmtId="167" fontId="32" fillId="0" borderId="1" xfId="2" applyNumberFormat="1" applyFont="1" applyBorder="1" applyAlignment="1">
      <alignment horizontal="right"/>
    </xf>
    <xf numFmtId="0" fontId="32" fillId="0" borderId="0" xfId="5" applyFont="1" applyAlignment="1">
      <alignment vertical="top"/>
    </xf>
    <xf numFmtId="0" fontId="34" fillId="0" borderId="0" xfId="7" applyFont="1"/>
    <xf numFmtId="164" fontId="32" fillId="0" borderId="0" xfId="6" applyFont="1" applyBorder="1"/>
    <xf numFmtId="0" fontId="34" fillId="0" borderId="0" xfId="2" applyFont="1" applyAlignment="1">
      <alignment vertical="top"/>
    </xf>
    <xf numFmtId="0" fontId="34" fillId="0" borderId="0" xfId="0" applyFont="1" applyFill="1" applyAlignment="1">
      <alignment horizontal="center"/>
    </xf>
    <xf numFmtId="1" fontId="34" fillId="0" borderId="1" xfId="2" applyNumberFormat="1" applyFont="1" applyFill="1" applyBorder="1" applyAlignment="1">
      <alignment horizontal="right" vertical="center"/>
    </xf>
    <xf numFmtId="0" fontId="34" fillId="0" borderId="1" xfId="2" applyFont="1" applyBorder="1" applyAlignment="1">
      <alignment horizontal="left"/>
    </xf>
    <xf numFmtId="0" fontId="34" fillId="0" borderId="1" xfId="2" applyFont="1" applyBorder="1" applyAlignment="1">
      <alignment horizontal="right"/>
    </xf>
    <xf numFmtId="0" fontId="34" fillId="0" borderId="0" xfId="2" applyFont="1" applyAlignment="1">
      <alignment horizontal="center"/>
    </xf>
    <xf numFmtId="0" fontId="32" fillId="0" borderId="1" xfId="8" applyFont="1" applyBorder="1" applyAlignment="1">
      <alignment horizontal="center" vertical="center"/>
    </xf>
    <xf numFmtId="0" fontId="34" fillId="0" borderId="1" xfId="2" applyFont="1" applyBorder="1" applyAlignment="1">
      <alignment horizontal="center"/>
    </xf>
    <xf numFmtId="2" fontId="34" fillId="0" borderId="1" xfId="2" applyNumberFormat="1" applyFont="1" applyBorder="1" applyAlignment="1">
      <alignment horizontal="right"/>
    </xf>
    <xf numFmtId="0" fontId="34" fillId="0" borderId="1" xfId="7" applyFont="1" applyBorder="1"/>
    <xf numFmtId="0" fontId="34" fillId="0" borderId="1" xfId="7" applyFont="1" applyBorder="1" applyAlignment="1">
      <alignment horizontal="right"/>
    </xf>
    <xf numFmtId="166" fontId="34" fillId="0" borderId="1" xfId="7" applyNumberFormat="1" applyFont="1" applyBorder="1" applyAlignment="1">
      <alignment horizontal="right"/>
    </xf>
    <xf numFmtId="0" fontId="34" fillId="0" borderId="1" xfId="7" applyFont="1" applyFill="1" applyBorder="1" applyAlignment="1">
      <alignment horizontal="center"/>
    </xf>
    <xf numFmtId="2" fontId="32" fillId="0" borderId="1" xfId="7" applyNumberFormat="1" applyFont="1" applyFill="1" applyBorder="1" applyAlignment="1">
      <alignment horizontal="right"/>
    </xf>
    <xf numFmtId="0" fontId="32" fillId="0" borderId="0" xfId="5" applyFont="1" applyAlignment="1">
      <alignment horizontal="left" vertical="top" wrapText="1"/>
    </xf>
    <xf numFmtId="0" fontId="32" fillId="0" borderId="1" xfId="2" applyFont="1" applyBorder="1" applyAlignment="1">
      <alignment horizontal="center"/>
    </xf>
    <xf numFmtId="0" fontId="32" fillId="0" borderId="0" xfId="2" applyFont="1" applyAlignment="1">
      <alignment horizontal="center"/>
    </xf>
    <xf numFmtId="2" fontId="34" fillId="0" borderId="0" xfId="2" applyNumberFormat="1" applyFont="1" applyAlignment="1">
      <alignment horizontal="center"/>
    </xf>
    <xf numFmtId="1" fontId="33" fillId="0" borderId="1" xfId="0" applyNumberFormat="1" applyFont="1" applyFill="1" applyBorder="1" applyAlignment="1">
      <alignment horizontal="right" vertical="center"/>
    </xf>
    <xf numFmtId="1" fontId="33" fillId="0" borderId="1" xfId="0" applyNumberFormat="1" applyFont="1" applyFill="1" applyBorder="1" applyAlignment="1">
      <alignment horizontal="right" vertical="center" wrapText="1"/>
    </xf>
    <xf numFmtId="165" fontId="34" fillId="0" borderId="1" xfId="0" applyNumberFormat="1" applyFont="1" applyFill="1" applyBorder="1" applyAlignment="1">
      <alignment horizontal="right" vertical="center" wrapText="1"/>
    </xf>
    <xf numFmtId="1" fontId="34" fillId="0" borderId="1" xfId="0" applyNumberFormat="1" applyFont="1" applyFill="1" applyBorder="1" applyAlignment="1">
      <alignment horizontal="right" vertical="center" wrapText="1"/>
    </xf>
    <xf numFmtId="165" fontId="32" fillId="0" borderId="1" xfId="0" applyNumberFormat="1" applyFont="1" applyFill="1" applyBorder="1" applyAlignment="1">
      <alignment horizontal="right" vertical="center" wrapText="1"/>
    </xf>
    <xf numFmtId="2" fontId="34" fillId="0" borderId="1" xfId="0" applyNumberFormat="1" applyFont="1" applyFill="1" applyBorder="1" applyAlignment="1">
      <alignment horizontal="right" vertical="center" wrapText="1"/>
    </xf>
    <xf numFmtId="0" fontId="32" fillId="0" borderId="1" xfId="8" applyFont="1" applyBorder="1" applyAlignment="1">
      <alignment horizontal="center" vertical="center" wrapText="1"/>
    </xf>
    <xf numFmtId="0" fontId="32" fillId="0" borderId="1" xfId="10" applyFont="1" applyBorder="1" applyAlignment="1">
      <alignment horizontal="center" vertical="center" wrapText="1"/>
    </xf>
    <xf numFmtId="0" fontId="32" fillId="0" borderId="1" xfId="10" applyFont="1" applyBorder="1" applyAlignment="1">
      <alignment horizontal="center" vertical="center" wrapText="1"/>
    </xf>
    <xf numFmtId="0" fontId="31" fillId="0" borderId="1" xfId="10" applyFont="1" applyBorder="1" applyAlignment="1">
      <alignment horizontal="center" vertical="top"/>
    </xf>
    <xf numFmtId="0" fontId="40" fillId="0" borderId="1" xfId="8" applyFont="1" applyFill="1" applyBorder="1" applyAlignment="1">
      <alignment horizontal="justify" vertical="top" wrapText="1"/>
    </xf>
    <xf numFmtId="0" fontId="37" fillId="0" borderId="1" xfId="8" applyFont="1" applyFill="1" applyBorder="1" applyAlignment="1">
      <alignment horizontal="justify" vertical="top" wrapText="1"/>
    </xf>
    <xf numFmtId="0" fontId="34" fillId="0" borderId="1" xfId="8" applyFont="1" applyFill="1" applyBorder="1" applyAlignment="1">
      <alignment horizontal="justify" vertical="top" wrapText="1"/>
    </xf>
    <xf numFmtId="0" fontId="32" fillId="0" borderId="1" xfId="8" applyFont="1" applyFill="1" applyBorder="1" applyAlignment="1">
      <alignment horizontal="justify" vertical="top" wrapText="1"/>
    </xf>
    <xf numFmtId="0" fontId="34" fillId="0" borderId="1" xfId="8" applyFont="1" applyFill="1" applyBorder="1" applyAlignment="1">
      <alignment horizontal="justify" vertical="center" wrapText="1"/>
    </xf>
    <xf numFmtId="0" fontId="32" fillId="0" borderId="1" xfId="0" applyFont="1" applyBorder="1" applyAlignment="1">
      <alignment horizontal="center" vertical="center"/>
    </xf>
    <xf numFmtId="0" fontId="34" fillId="0" borderId="1" xfId="0" applyFont="1" applyBorder="1" applyAlignment="1">
      <alignment horizontal="justify" vertical="center" wrapText="1"/>
    </xf>
    <xf numFmtId="0" fontId="34" fillId="0" borderId="1" xfId="8" applyFont="1" applyBorder="1" applyAlignment="1">
      <alignment horizontal="left" vertical="center" wrapText="1"/>
    </xf>
    <xf numFmtId="1" fontId="34" fillId="0" borderId="1" xfId="2" applyNumberFormat="1" applyFont="1" applyFill="1" applyBorder="1" applyAlignment="1">
      <alignment horizontal="center" vertical="center" wrapText="1"/>
    </xf>
    <xf numFmtId="1" fontId="34" fillId="0" borderId="1" xfId="2" applyNumberFormat="1" applyFont="1" applyBorder="1"/>
    <xf numFmtId="0" fontId="31" fillId="0" borderId="1" xfId="10" applyFont="1" applyFill="1" applyBorder="1" applyAlignment="1">
      <alignment horizontal="center" vertical="top" wrapText="1"/>
    </xf>
    <xf numFmtId="0" fontId="31" fillId="0" borderId="1" xfId="2" applyFont="1" applyFill="1" applyBorder="1" applyAlignment="1">
      <alignment horizontal="center" vertical="top"/>
    </xf>
    <xf numFmtId="0" fontId="31" fillId="0" borderId="1" xfId="2" applyFont="1" applyBorder="1" applyAlignment="1">
      <alignment horizontal="center" vertical="top" wrapText="1"/>
    </xf>
    <xf numFmtId="0" fontId="31" fillId="0" borderId="1" xfId="2" applyFont="1" applyBorder="1" applyAlignment="1">
      <alignment horizontal="justify" vertical="top" wrapText="1"/>
    </xf>
    <xf numFmtId="0" fontId="20" fillId="0" borderId="0" xfId="10" applyFont="1" applyAlignment="1">
      <alignment horizontal="center" vertical="top"/>
    </xf>
    <xf numFmtId="0" fontId="31" fillId="0" borderId="0" xfId="10" applyFont="1" applyFill="1" applyAlignment="1">
      <alignment horizontal="center" vertical="top"/>
    </xf>
    <xf numFmtId="0" fontId="31" fillId="0" borderId="0" xfId="10" applyFont="1" applyAlignment="1">
      <alignment horizontal="center" vertical="top"/>
    </xf>
    <xf numFmtId="1" fontId="6" fillId="0" borderId="1" xfId="10" applyNumberFormat="1" applyFont="1" applyFill="1" applyBorder="1" applyAlignment="1">
      <alignment horizontal="right" vertical="center" wrapText="1"/>
    </xf>
    <xf numFmtId="0" fontId="31" fillId="0" borderId="1" xfId="10" applyFont="1" applyBorder="1" applyAlignment="1">
      <alignment horizontal="center" vertical="top" wrapText="1"/>
    </xf>
    <xf numFmtId="0" fontId="34" fillId="0" borderId="1" xfId="9" applyFont="1" applyBorder="1" applyAlignment="1">
      <alignment horizontal="justify" vertical="center" wrapText="1"/>
    </xf>
    <xf numFmtId="0" fontId="39" fillId="0" borderId="1" xfId="13" applyFont="1" applyBorder="1" applyAlignment="1">
      <alignment horizontal="justify" vertical="top" wrapText="1"/>
    </xf>
    <xf numFmtId="0" fontId="32" fillId="0" borderId="1" xfId="13" applyFont="1" applyBorder="1" applyAlignment="1">
      <alignment horizontal="justify" vertical="top" wrapText="1"/>
    </xf>
    <xf numFmtId="0" fontId="42" fillId="0" borderId="1" xfId="13" applyFont="1" applyBorder="1" applyAlignment="1">
      <alignment vertical="center" wrapText="1"/>
    </xf>
    <xf numFmtId="0" fontId="39" fillId="0" borderId="1" xfId="13" applyFont="1" applyBorder="1" applyAlignment="1">
      <alignment horizontal="justify" vertical="center" wrapText="1"/>
    </xf>
    <xf numFmtId="0" fontId="42" fillId="0" borderId="1" xfId="13" applyFont="1" applyBorder="1" applyAlignment="1">
      <alignment horizontal="center" vertical="center" wrapText="1"/>
    </xf>
    <xf numFmtId="0" fontId="32" fillId="0" borderId="1" xfId="0" applyFont="1" applyFill="1" applyBorder="1" applyAlignment="1">
      <alignment horizontal="justify" vertical="top" wrapText="1"/>
    </xf>
    <xf numFmtId="0" fontId="5" fillId="0" borderId="1" xfId="10" applyFont="1" applyFill="1" applyBorder="1" applyAlignment="1">
      <alignment horizontal="justify" vertical="top" wrapText="1"/>
    </xf>
    <xf numFmtId="0" fontId="31" fillId="0" borderId="4" xfId="2" applyFont="1" applyBorder="1" applyAlignment="1">
      <alignment horizontal="justify" vertical="top" wrapText="1"/>
    </xf>
    <xf numFmtId="0" fontId="37" fillId="0" borderId="1" xfId="0" applyFont="1" applyBorder="1" applyAlignment="1">
      <alignment horizontal="justify" vertical="top" wrapText="1"/>
    </xf>
    <xf numFmtId="1" fontId="34" fillId="0" borderId="1" xfId="2" applyNumberFormat="1" applyFont="1" applyFill="1" applyBorder="1" applyAlignment="1">
      <alignment horizontal="center" vertical="top"/>
    </xf>
    <xf numFmtId="2" fontId="34" fillId="0" borderId="1" xfId="2" applyNumberFormat="1" applyFont="1" applyFill="1" applyBorder="1" applyAlignment="1">
      <alignment horizontal="center" vertical="top"/>
    </xf>
    <xf numFmtId="2" fontId="34" fillId="0" borderId="1" xfId="2" applyNumberFormat="1" applyFont="1" applyFill="1" applyBorder="1" applyAlignment="1">
      <alignment horizontal="right" vertical="top"/>
    </xf>
    <xf numFmtId="1" fontId="34" fillId="0" borderId="1" xfId="2" applyNumberFormat="1" applyFont="1" applyFill="1" applyBorder="1" applyAlignment="1">
      <alignment horizontal="center" vertical="top" wrapText="1"/>
    </xf>
    <xf numFmtId="2" fontId="32" fillId="0" borderId="1" xfId="2" applyNumberFormat="1" applyFont="1" applyFill="1" applyBorder="1" applyAlignment="1">
      <alignment horizontal="right" vertical="top"/>
    </xf>
    <xf numFmtId="0" fontId="32" fillId="0" borderId="1" xfId="7" applyFont="1" applyBorder="1" applyAlignment="1">
      <alignment vertical="top"/>
    </xf>
    <xf numFmtId="167" fontId="34" fillId="0" borderId="1" xfId="2" applyNumberFormat="1" applyFont="1" applyFill="1" applyBorder="1" applyAlignment="1">
      <alignment horizontal="right" vertical="top"/>
    </xf>
    <xf numFmtId="0" fontId="43" fillId="0" borderId="0" xfId="10" applyFont="1"/>
    <xf numFmtId="0" fontId="5" fillId="0" borderId="1" xfId="2" applyFont="1" applyBorder="1" applyAlignment="1">
      <alignment horizontal="center" vertical="top" wrapText="1"/>
    </xf>
    <xf numFmtId="0" fontId="5" fillId="0" borderId="1" xfId="10" applyFont="1" applyFill="1" applyBorder="1" applyAlignment="1">
      <alignment horizontal="center" vertical="top" wrapText="1"/>
    </xf>
    <xf numFmtId="1" fontId="5" fillId="0" borderId="1" xfId="10" applyNumberFormat="1" applyFont="1" applyFill="1" applyBorder="1" applyAlignment="1">
      <alignment horizontal="right" vertical="top" wrapText="1"/>
    </xf>
    <xf numFmtId="2" fontId="5" fillId="0" borderId="1" xfId="10" applyNumberFormat="1" applyFont="1" applyFill="1" applyBorder="1" applyAlignment="1">
      <alignment horizontal="right" vertical="top" wrapText="1"/>
    </xf>
    <xf numFmtId="0" fontId="5" fillId="0" borderId="1" xfId="2" applyFont="1" applyFill="1" applyBorder="1" applyAlignment="1">
      <alignment horizontal="center" vertical="top"/>
    </xf>
    <xf numFmtId="2" fontId="5" fillId="0" borderId="1" xfId="2" applyNumberFormat="1" applyFont="1" applyFill="1" applyBorder="1" applyAlignment="1">
      <alignment horizontal="right" vertical="top"/>
    </xf>
    <xf numFmtId="0" fontId="5" fillId="0" borderId="1" xfId="2" applyFont="1" applyBorder="1" applyAlignment="1">
      <alignment horizontal="justify" vertical="top" wrapText="1"/>
    </xf>
    <xf numFmtId="0" fontId="5" fillId="0" borderId="1" xfId="2" applyFont="1" applyFill="1" applyBorder="1" applyAlignment="1">
      <alignment horizontal="right" vertical="top" wrapText="1"/>
    </xf>
    <xf numFmtId="0" fontId="5" fillId="0" borderId="1" xfId="10" applyFont="1" applyFill="1" applyBorder="1" applyAlignment="1">
      <alignment horizontal="right" vertical="center" wrapText="1"/>
    </xf>
    <xf numFmtId="2" fontId="5" fillId="0" borderId="1" xfId="10" applyNumberFormat="1" applyFont="1" applyFill="1" applyBorder="1" applyAlignment="1">
      <alignment horizontal="right" vertical="center" wrapText="1"/>
    </xf>
    <xf numFmtId="2" fontId="5" fillId="0" borderId="1" xfId="0" applyNumberFormat="1" applyFont="1" applyFill="1" applyBorder="1" applyAlignment="1">
      <alignment horizontal="right" vertical="center" wrapText="1"/>
    </xf>
    <xf numFmtId="1" fontId="5" fillId="0" borderId="1" xfId="10" applyNumberFormat="1" applyFont="1" applyFill="1" applyBorder="1" applyAlignment="1">
      <alignment horizontal="center" vertical="center" wrapText="1"/>
    </xf>
    <xf numFmtId="1" fontId="5" fillId="0" borderId="1" xfId="10" applyNumberFormat="1" applyFont="1" applyBorder="1" applyAlignment="1">
      <alignment horizontal="right" vertical="top" wrapText="1"/>
    </xf>
    <xf numFmtId="0" fontId="5" fillId="0" borderId="1" xfId="10" applyFont="1" applyBorder="1" applyAlignment="1">
      <alignment horizontal="right" vertical="top" wrapText="1"/>
    </xf>
    <xf numFmtId="2" fontId="5" fillId="0" borderId="1" xfId="10" applyNumberFormat="1" applyFont="1" applyBorder="1" applyAlignment="1">
      <alignment horizontal="right" vertical="top" wrapText="1"/>
    </xf>
    <xf numFmtId="0" fontId="5" fillId="0" borderId="1" xfId="10" applyFont="1" applyBorder="1" applyAlignment="1">
      <alignment horizontal="center" vertical="top" wrapText="1"/>
    </xf>
    <xf numFmtId="0" fontId="5" fillId="0" borderId="1" xfId="9" applyFont="1" applyFill="1" applyBorder="1" applyAlignment="1">
      <alignment horizontal="center" vertical="center" wrapText="1"/>
    </xf>
    <xf numFmtId="0" fontId="5" fillId="0" borderId="1" xfId="10" applyFont="1" applyBorder="1" applyAlignment="1">
      <alignment vertical="top"/>
    </xf>
    <xf numFmtId="0" fontId="5" fillId="0" borderId="1" xfId="10" applyFont="1" applyFill="1" applyBorder="1" applyAlignment="1"/>
    <xf numFmtId="0" fontId="45" fillId="0" borderId="0" xfId="10" applyFont="1"/>
    <xf numFmtId="0" fontId="5" fillId="0" borderId="0" xfId="10" applyFont="1"/>
    <xf numFmtId="0" fontId="31" fillId="0" borderId="0" xfId="10" applyFont="1"/>
    <xf numFmtId="0" fontId="5" fillId="0" borderId="0" xfId="10" applyFont="1" applyFill="1"/>
    <xf numFmtId="0" fontId="5" fillId="0" borderId="0" xfId="10" applyFont="1" applyFill="1" applyAlignment="1">
      <alignment horizontal="center"/>
    </xf>
    <xf numFmtId="0" fontId="5" fillId="0" borderId="1" xfId="10" applyFont="1" applyBorder="1" applyAlignment="1">
      <alignment vertical="top" wrapText="1"/>
    </xf>
    <xf numFmtId="0" fontId="5" fillId="0" borderId="1" xfId="0" applyFont="1" applyFill="1" applyBorder="1" applyAlignment="1">
      <alignment horizontal="center" vertical="top" wrapText="1"/>
    </xf>
    <xf numFmtId="0" fontId="5" fillId="0" borderId="1" xfId="9" applyFont="1" applyFill="1" applyBorder="1" applyAlignment="1">
      <alignment horizontal="justify" vertical="top" wrapText="1"/>
    </xf>
    <xf numFmtId="0" fontId="5" fillId="0" borderId="1" xfId="10" applyFont="1" applyFill="1" applyBorder="1" applyAlignment="1">
      <alignment horizontal="center"/>
    </xf>
    <xf numFmtId="0" fontId="5" fillId="0" borderId="0" xfId="10" applyFont="1" applyAlignment="1">
      <alignment horizontal="center"/>
    </xf>
    <xf numFmtId="0" fontId="48" fillId="0" borderId="0" xfId="10" applyFont="1" applyFill="1"/>
    <xf numFmtId="0" fontId="45" fillId="0" borderId="0" xfId="10" applyFont="1" applyFill="1"/>
    <xf numFmtId="0" fontId="47" fillId="0" borderId="0" xfId="10" applyFont="1" applyFill="1"/>
    <xf numFmtId="0" fontId="44" fillId="0" borderId="0" xfId="10" applyFont="1" applyAlignment="1">
      <alignment vertical="top"/>
    </xf>
    <xf numFmtId="0" fontId="47" fillId="0" borderId="1" xfId="10" applyFont="1" applyBorder="1" applyAlignment="1">
      <alignment horizontal="center" vertical="center" wrapText="1"/>
    </xf>
    <xf numFmtId="0" fontId="44" fillId="0" borderId="0" xfId="10" applyFont="1" applyAlignment="1">
      <alignment horizontal="center" vertical="top" wrapText="1"/>
    </xf>
    <xf numFmtId="0" fontId="45" fillId="0" borderId="1" xfId="10" applyFont="1" applyFill="1" applyBorder="1" applyAlignment="1">
      <alignment horizontal="center" vertical="top" wrapText="1"/>
    </xf>
    <xf numFmtId="2" fontId="45" fillId="0" borderId="1" xfId="10" applyNumberFormat="1" applyFont="1" applyFill="1" applyBorder="1" applyAlignment="1">
      <alignment vertical="top" wrapText="1"/>
    </xf>
    <xf numFmtId="1" fontId="45" fillId="0" borderId="1" xfId="10" applyNumberFormat="1" applyFont="1" applyFill="1" applyBorder="1" applyAlignment="1">
      <alignment vertical="top" wrapText="1"/>
    </xf>
    <xf numFmtId="1" fontId="43" fillId="0" borderId="1" xfId="10" applyNumberFormat="1" applyFont="1" applyFill="1" applyBorder="1" applyAlignment="1">
      <alignment horizontal="right" vertical="top" wrapText="1"/>
    </xf>
    <xf numFmtId="0" fontId="45" fillId="0" borderId="0" xfId="10" applyFont="1" applyAlignment="1">
      <alignment vertical="top" wrapText="1"/>
    </xf>
    <xf numFmtId="0" fontId="49" fillId="0" borderId="0" xfId="10" applyFont="1" applyAlignment="1">
      <alignment vertical="top" wrapText="1"/>
    </xf>
    <xf numFmtId="0" fontId="45" fillId="0" borderId="1" xfId="10" applyFont="1" applyBorder="1" applyAlignment="1">
      <alignment vertical="top" wrapText="1"/>
    </xf>
    <xf numFmtId="0" fontId="45" fillId="0" borderId="1" xfId="10" applyFont="1" applyFill="1" applyBorder="1" applyAlignment="1">
      <alignment horizontal="justify" vertical="top" wrapText="1"/>
    </xf>
    <xf numFmtId="0" fontId="47" fillId="0" borderId="1" xfId="10" applyFont="1" applyFill="1" applyBorder="1" applyAlignment="1">
      <alignment horizontal="center" vertical="top" wrapText="1"/>
    </xf>
    <xf numFmtId="0" fontId="44" fillId="0" borderId="1" xfId="10" applyFont="1" applyFill="1" applyBorder="1" applyAlignment="1">
      <alignment vertical="top"/>
    </xf>
    <xf numFmtId="0" fontId="43" fillId="0" borderId="1" xfId="10" applyFont="1" applyFill="1" applyBorder="1" applyAlignment="1">
      <alignment vertical="top"/>
    </xf>
    <xf numFmtId="1" fontId="44" fillId="0" borderId="1" xfId="10" applyNumberFormat="1" applyFont="1" applyFill="1" applyBorder="1" applyAlignment="1">
      <alignment horizontal="right" vertical="top" wrapText="1"/>
    </xf>
    <xf numFmtId="0" fontId="47" fillId="0" borderId="0" xfId="10" applyFont="1" applyAlignment="1">
      <alignment vertical="top" wrapText="1"/>
    </xf>
    <xf numFmtId="167" fontId="47" fillId="0" borderId="0" xfId="10" applyNumberFormat="1" applyFont="1" applyAlignment="1">
      <alignment vertical="top" wrapText="1"/>
    </xf>
    <xf numFmtId="165" fontId="47" fillId="0" borderId="0" xfId="10" applyNumberFormat="1" applyFont="1" applyAlignment="1">
      <alignment vertical="top" wrapText="1"/>
    </xf>
    <xf numFmtId="0" fontId="47" fillId="0" borderId="0" xfId="10" applyFont="1"/>
    <xf numFmtId="0" fontId="45" fillId="0" borderId="0" xfId="10" applyFont="1" applyFill="1" applyAlignment="1">
      <alignment horizontal="center"/>
    </xf>
    <xf numFmtId="0" fontId="50" fillId="0" borderId="0" xfId="0" applyFont="1" applyFill="1" applyAlignment="1">
      <alignment horizontal="center"/>
    </xf>
    <xf numFmtId="0" fontId="45" fillId="0" borderId="0" xfId="10" applyFont="1" applyAlignment="1">
      <alignment horizontal="center"/>
    </xf>
    <xf numFmtId="0" fontId="45" fillId="0" borderId="0" xfId="10" applyFont="1" applyAlignment="1"/>
    <xf numFmtId="0" fontId="45" fillId="0" borderId="1" xfId="0" applyFont="1" applyFill="1" applyBorder="1" applyAlignment="1">
      <alignment horizontal="justify" vertical="top" wrapText="1"/>
    </xf>
    <xf numFmtId="0" fontId="45" fillId="0" borderId="0" xfId="0" applyFont="1" applyFill="1" applyAlignment="1">
      <alignment horizontal="center"/>
    </xf>
    <xf numFmtId="0" fontId="40" fillId="0" borderId="1" xfId="14" applyFont="1" applyBorder="1" applyAlignment="1">
      <alignment horizontal="justify" vertical="top" wrapText="1"/>
    </xf>
    <xf numFmtId="0" fontId="16" fillId="0" borderId="0" xfId="10" applyFont="1" applyAlignment="1">
      <alignment horizontal="center"/>
    </xf>
    <xf numFmtId="0" fontId="32" fillId="0" borderId="1" xfId="10" applyFont="1" applyBorder="1" applyAlignment="1">
      <alignment horizontal="center" vertical="top" wrapText="1"/>
    </xf>
    <xf numFmtId="0" fontId="32" fillId="0" borderId="1" xfId="10" applyFont="1" applyBorder="1" applyAlignment="1">
      <alignment vertical="top"/>
    </xf>
    <xf numFmtId="0" fontId="31" fillId="0" borderId="4" xfId="10" applyFont="1" applyFill="1" applyBorder="1" applyAlignment="1"/>
    <xf numFmtId="0" fontId="52" fillId="0" borderId="0" xfId="0" applyFont="1" applyFill="1" applyAlignment="1">
      <alignment horizontal="center"/>
    </xf>
    <xf numFmtId="1" fontId="5" fillId="0" borderId="1" xfId="2" applyNumberFormat="1" applyFont="1" applyBorder="1" applyAlignment="1">
      <alignment horizontal="right" vertical="top" wrapText="1"/>
    </xf>
    <xf numFmtId="0" fontId="5" fillId="0" borderId="1" xfId="10" applyFont="1" applyFill="1" applyBorder="1" applyAlignment="1">
      <alignment vertical="top" wrapText="1"/>
    </xf>
    <xf numFmtId="2" fontId="5" fillId="0" borderId="1" xfId="0" applyNumberFormat="1" applyFont="1" applyFill="1" applyBorder="1" applyAlignment="1">
      <alignment vertical="top" wrapText="1"/>
    </xf>
    <xf numFmtId="2" fontId="5" fillId="0" borderId="1" xfId="10" applyNumberFormat="1" applyFont="1" applyFill="1" applyBorder="1" applyAlignment="1">
      <alignment vertical="top" wrapText="1"/>
    </xf>
    <xf numFmtId="0" fontId="5" fillId="0" borderId="1" xfId="0" applyFont="1" applyFill="1" applyBorder="1" applyAlignment="1">
      <alignment vertical="top" wrapText="1"/>
    </xf>
    <xf numFmtId="1" fontId="5" fillId="0" borderId="1" xfId="10" applyNumberFormat="1" applyFont="1" applyFill="1" applyBorder="1" applyAlignment="1">
      <alignment vertical="top" wrapText="1"/>
    </xf>
    <xf numFmtId="166" fontId="5" fillId="0" borderId="1" xfId="10" applyNumberFormat="1" applyFont="1" applyFill="1" applyBorder="1" applyAlignment="1">
      <alignment vertical="top" wrapText="1"/>
    </xf>
    <xf numFmtId="0" fontId="5" fillId="0" borderId="1" xfId="9" applyFont="1" applyBorder="1" applyAlignment="1">
      <alignment vertical="top"/>
    </xf>
    <xf numFmtId="2" fontId="5" fillId="0" borderId="1" xfId="2" applyNumberFormat="1" applyFont="1" applyFill="1" applyBorder="1" applyAlignment="1">
      <alignment vertical="top"/>
    </xf>
    <xf numFmtId="1" fontId="5" fillId="0" borderId="1" xfId="2" applyNumberFormat="1" applyFont="1" applyFill="1" applyBorder="1" applyAlignment="1">
      <alignment vertical="top"/>
    </xf>
    <xf numFmtId="0" fontId="5" fillId="0" borderId="1" xfId="10" applyFont="1" applyFill="1" applyBorder="1" applyAlignment="1">
      <alignment horizontal="center" vertical="top" wrapText="1"/>
    </xf>
    <xf numFmtId="0" fontId="32" fillId="0" borderId="1" xfId="10" applyFont="1" applyBorder="1" applyAlignment="1">
      <alignment horizontal="center" vertical="center" wrapText="1"/>
    </xf>
    <xf numFmtId="0" fontId="4" fillId="0" borderId="1" xfId="2" applyFont="1" applyFill="1" applyBorder="1" applyAlignment="1">
      <alignment horizontal="center" vertical="top" wrapText="1"/>
    </xf>
    <xf numFmtId="0" fontId="4" fillId="0" borderId="1" xfId="2" applyFont="1" applyFill="1" applyBorder="1" applyAlignment="1">
      <alignment vertical="top" wrapText="1"/>
    </xf>
    <xf numFmtId="2" fontId="4" fillId="0" borderId="1" xfId="2" applyNumberFormat="1" applyFont="1" applyFill="1" applyBorder="1" applyAlignment="1">
      <alignment vertical="top"/>
    </xf>
    <xf numFmtId="2" fontId="4" fillId="0" borderId="1" xfId="10" applyNumberFormat="1" applyFont="1" applyFill="1" applyBorder="1" applyAlignment="1">
      <alignment vertical="top" wrapText="1"/>
    </xf>
    <xf numFmtId="2" fontId="4" fillId="0" borderId="1" xfId="0" applyNumberFormat="1" applyFont="1" applyFill="1" applyBorder="1" applyAlignment="1">
      <alignment vertical="top" wrapText="1"/>
    </xf>
    <xf numFmtId="0" fontId="4" fillId="0" borderId="1" xfId="14" applyFont="1" applyFill="1" applyBorder="1" applyAlignment="1">
      <alignment vertical="top" wrapText="1"/>
    </xf>
    <xf numFmtId="1" fontId="4" fillId="0" borderId="1" xfId="2" applyNumberFormat="1" applyFont="1" applyBorder="1" applyAlignment="1">
      <alignment horizontal="right" vertical="top"/>
    </xf>
    <xf numFmtId="0" fontId="4" fillId="0" borderId="1" xfId="2" applyFont="1" applyFill="1" applyBorder="1" applyAlignment="1">
      <alignment horizontal="center" vertical="top"/>
    </xf>
    <xf numFmtId="2" fontId="4" fillId="0" borderId="1" xfId="2" applyNumberFormat="1" applyFont="1" applyFill="1" applyBorder="1" applyAlignment="1">
      <alignment horizontal="center" vertical="top"/>
    </xf>
    <xf numFmtId="2" fontId="4" fillId="0" borderId="1" xfId="10" applyNumberFormat="1" applyFont="1" applyFill="1" applyBorder="1" applyAlignment="1">
      <alignment horizontal="center" vertical="top" wrapText="1"/>
    </xf>
    <xf numFmtId="2" fontId="4" fillId="0" borderId="1" xfId="0" applyNumberFormat="1" applyFont="1" applyFill="1" applyBorder="1" applyAlignment="1">
      <alignment horizontal="center" vertical="top" wrapText="1"/>
    </xf>
    <xf numFmtId="0" fontId="4" fillId="0" borderId="1" xfId="14" applyFont="1" applyFill="1" applyBorder="1" applyAlignment="1">
      <alignment horizontal="center" vertical="top" wrapText="1"/>
    </xf>
    <xf numFmtId="0" fontId="34" fillId="0" borderId="1" xfId="2" applyFont="1" applyFill="1" applyBorder="1" applyAlignment="1">
      <alignment horizontal="center" vertical="top"/>
    </xf>
    <xf numFmtId="165" fontId="32" fillId="3" borderId="1" xfId="0" applyNumberFormat="1" applyFont="1" applyFill="1" applyBorder="1" applyAlignment="1">
      <alignment horizontal="right" vertical="center" wrapText="1"/>
    </xf>
    <xf numFmtId="0" fontId="35" fillId="0" borderId="1" xfId="0" applyFont="1" applyFill="1" applyBorder="1" applyAlignment="1">
      <alignment horizontal="center" vertical="center" wrapText="1"/>
    </xf>
    <xf numFmtId="2" fontId="33" fillId="0" borderId="1" xfId="0" applyNumberFormat="1" applyFont="1" applyFill="1" applyBorder="1" applyAlignment="1">
      <alignment horizontal="right" vertical="center" wrapText="1"/>
    </xf>
    <xf numFmtId="1" fontId="37" fillId="2" borderId="1" xfId="0" applyNumberFormat="1" applyFont="1" applyFill="1" applyBorder="1" applyAlignment="1">
      <alignment vertical="center" wrapText="1"/>
    </xf>
    <xf numFmtId="2" fontId="32" fillId="3" borderId="1" xfId="0" applyNumberFormat="1" applyFont="1" applyFill="1" applyBorder="1" applyAlignment="1">
      <alignment horizontal="right" vertical="center"/>
    </xf>
    <xf numFmtId="2" fontId="34" fillId="3" borderId="1" xfId="0" applyNumberFormat="1" applyFont="1" applyFill="1" applyBorder="1" applyAlignment="1">
      <alignment horizontal="right" vertical="center"/>
    </xf>
    <xf numFmtId="2" fontId="32" fillId="0" borderId="1" xfId="0" applyNumberFormat="1" applyFont="1" applyFill="1" applyBorder="1" applyAlignment="1">
      <alignment vertical="center"/>
    </xf>
    <xf numFmtId="2" fontId="34" fillId="0" borderId="1" xfId="0" applyNumberFormat="1" applyFont="1" applyFill="1" applyBorder="1" applyAlignment="1">
      <alignment vertical="center" wrapText="1"/>
    </xf>
    <xf numFmtId="2" fontId="34" fillId="0" borderId="1" xfId="0" applyNumberFormat="1" applyFont="1" applyFill="1" applyBorder="1" applyAlignment="1">
      <alignment horizontal="center" vertical="center" wrapText="1"/>
    </xf>
    <xf numFmtId="2" fontId="34" fillId="0" borderId="1" xfId="0" applyNumberFormat="1" applyFont="1" applyFill="1" applyBorder="1" applyAlignment="1">
      <alignment horizontal="center" vertical="center"/>
    </xf>
    <xf numFmtId="2" fontId="32" fillId="3" borderId="1" xfId="0" applyNumberFormat="1" applyFont="1" applyFill="1" applyBorder="1" applyAlignment="1">
      <alignment vertical="center"/>
    </xf>
    <xf numFmtId="2" fontId="34" fillId="3" borderId="1" xfId="0" applyNumberFormat="1" applyFont="1" applyFill="1" applyBorder="1" applyAlignment="1">
      <alignment vertical="center"/>
    </xf>
    <xf numFmtId="2" fontId="32" fillId="3" borderId="1" xfId="0" applyNumberFormat="1" applyFont="1" applyFill="1" applyBorder="1" applyAlignment="1">
      <alignment horizontal="right" vertical="center" wrapText="1"/>
    </xf>
    <xf numFmtId="2" fontId="32" fillId="3" borderId="1" xfId="0" applyNumberFormat="1" applyFont="1" applyFill="1" applyBorder="1" applyAlignment="1">
      <alignment horizontal="center" vertical="center" wrapText="1"/>
    </xf>
    <xf numFmtId="1" fontId="37" fillId="4" borderId="1" xfId="0" applyNumberFormat="1" applyFont="1" applyFill="1" applyBorder="1" applyAlignment="1">
      <alignment horizontal="right" vertical="center" wrapText="1"/>
    </xf>
    <xf numFmtId="1" fontId="37" fillId="5" borderId="1" xfId="0" applyNumberFormat="1" applyFont="1" applyFill="1" applyBorder="1" applyAlignment="1">
      <alignment horizontal="right" vertical="center" wrapText="1"/>
    </xf>
    <xf numFmtId="1" fontId="37" fillId="6" borderId="1" xfId="0" applyNumberFormat="1" applyFont="1" applyFill="1" applyBorder="1" applyAlignment="1">
      <alignment horizontal="right" vertical="center" wrapText="1"/>
    </xf>
    <xf numFmtId="1" fontId="37" fillId="6" borderId="1" xfId="0" applyNumberFormat="1" applyFont="1" applyFill="1" applyBorder="1" applyAlignment="1">
      <alignment vertical="center" wrapText="1"/>
    </xf>
    <xf numFmtId="1" fontId="37" fillId="4" borderId="1" xfId="0" applyNumberFormat="1" applyFont="1" applyFill="1" applyBorder="1" applyAlignment="1">
      <alignment vertical="center" wrapText="1"/>
    </xf>
    <xf numFmtId="1" fontId="37" fillId="8" borderId="1" xfId="0" applyNumberFormat="1" applyFont="1" applyFill="1" applyBorder="1" applyAlignment="1">
      <alignment vertical="center" wrapText="1"/>
    </xf>
    <xf numFmtId="1" fontId="37" fillId="7" borderId="1" xfId="0" applyNumberFormat="1" applyFont="1" applyFill="1" applyBorder="1" applyAlignment="1">
      <alignment vertical="center" wrapText="1"/>
    </xf>
    <xf numFmtId="2" fontId="29" fillId="3" borderId="0" xfId="0" applyNumberFormat="1" applyFont="1" applyFill="1"/>
    <xf numFmtId="166" fontId="37" fillId="0" borderId="1" xfId="0" applyNumberFormat="1" applyFont="1" applyFill="1" applyBorder="1" applyAlignment="1">
      <alignment horizontal="right" vertical="center" wrapText="1"/>
    </xf>
    <xf numFmtId="1" fontId="37" fillId="9" borderId="1" xfId="0" applyNumberFormat="1" applyFont="1" applyFill="1" applyBorder="1" applyAlignment="1">
      <alignment horizontal="right" vertical="center" wrapText="1"/>
    </xf>
    <xf numFmtId="1" fontId="33" fillId="5" borderId="1" xfId="0" applyNumberFormat="1" applyFont="1" applyFill="1" applyBorder="1" applyAlignment="1">
      <alignment horizontal="right" vertical="center" wrapText="1"/>
    </xf>
    <xf numFmtId="1" fontId="33" fillId="2" borderId="1" xfId="0" applyNumberFormat="1" applyFont="1" applyFill="1" applyBorder="1" applyAlignment="1">
      <alignment horizontal="right" vertical="center" wrapText="1"/>
    </xf>
    <xf numFmtId="2" fontId="29" fillId="3" borderId="0" xfId="0" applyNumberFormat="1" applyFont="1" applyFill="1" applyAlignment="1">
      <alignment vertical="center"/>
    </xf>
    <xf numFmtId="2" fontId="33" fillId="0" borderId="1" xfId="0" applyNumberFormat="1" applyFont="1" applyFill="1" applyBorder="1" applyAlignment="1">
      <alignment horizontal="right" vertical="center"/>
    </xf>
    <xf numFmtId="0" fontId="19" fillId="0" borderId="0" xfId="14" applyFont="1"/>
    <xf numFmtId="0" fontId="54" fillId="0" borderId="0" xfId="14" applyFont="1" applyAlignment="1">
      <alignment horizontal="right"/>
    </xf>
    <xf numFmtId="0" fontId="53" fillId="0" borderId="1" xfId="14" applyFont="1" applyBorder="1" applyAlignment="1">
      <alignment horizontal="center" vertical="center" wrapText="1"/>
    </xf>
    <xf numFmtId="0" fontId="53" fillId="0" borderId="1" xfId="14" applyFont="1" applyBorder="1" applyAlignment="1">
      <alignment horizontal="center" vertical="top" wrapText="1"/>
    </xf>
    <xf numFmtId="0" fontId="53" fillId="0" borderId="1" xfId="14" applyFont="1" applyBorder="1" applyAlignment="1">
      <alignment horizontal="left" vertical="top" wrapText="1"/>
    </xf>
    <xf numFmtId="0" fontId="19" fillId="0" borderId="1" xfId="14" applyFont="1" applyBorder="1" applyAlignment="1">
      <alignment vertical="top" wrapText="1"/>
    </xf>
    <xf numFmtId="0" fontId="19" fillId="0" borderId="0" xfId="14" applyFont="1" applyAlignment="1">
      <alignment vertical="top"/>
    </xf>
    <xf numFmtId="2" fontId="19" fillId="0" borderId="1" xfId="14" applyNumberFormat="1" applyFont="1" applyBorder="1" applyAlignment="1">
      <alignment horizontal="center" vertical="top" wrapText="1"/>
    </xf>
    <xf numFmtId="1" fontId="19" fillId="0" borderId="1" xfId="14" applyNumberFormat="1" applyFont="1" applyBorder="1" applyAlignment="1">
      <alignment vertical="top" wrapText="1"/>
    </xf>
    <xf numFmtId="2" fontId="19" fillId="0" borderId="1" xfId="14" applyNumberFormat="1" applyFont="1" applyBorder="1" applyAlignment="1">
      <alignment vertical="top" wrapText="1"/>
    </xf>
    <xf numFmtId="166" fontId="19" fillId="0" borderId="1" xfId="14" applyNumberFormat="1" applyFont="1" applyBorder="1" applyAlignment="1">
      <alignment vertical="top" wrapText="1"/>
    </xf>
    <xf numFmtId="2" fontId="19" fillId="0" borderId="1" xfId="14" applyNumberFormat="1" applyFont="1" applyBorder="1" applyAlignment="1">
      <alignment horizontal="right" vertical="top" wrapText="1"/>
    </xf>
    <xf numFmtId="0" fontId="19" fillId="0" borderId="1" xfId="14" applyFont="1" applyBorder="1" applyAlignment="1">
      <alignment horizontal="justify" vertical="top" wrapText="1"/>
    </xf>
    <xf numFmtId="2" fontId="19" fillId="0" borderId="1" xfId="10" applyNumberFormat="1" applyFont="1" applyBorder="1" applyAlignment="1">
      <alignment horizontal="right" vertical="top" wrapText="1"/>
    </xf>
    <xf numFmtId="0" fontId="19" fillId="0" borderId="1" xfId="14" applyFont="1" applyBorder="1" applyAlignment="1">
      <alignment horizontal="right" vertical="top"/>
    </xf>
    <xf numFmtId="0" fontId="19" fillId="0" borderId="1" xfId="14" applyFont="1" applyBorder="1" applyAlignment="1">
      <alignment vertical="top"/>
    </xf>
    <xf numFmtId="0" fontId="53" fillId="0" borderId="1" xfId="14" applyFont="1" applyBorder="1" applyAlignment="1">
      <alignment horizontal="right" vertical="top"/>
    </xf>
    <xf numFmtId="1" fontId="53" fillId="0" borderId="1" xfId="14" applyNumberFormat="1" applyFont="1" applyBorder="1" applyAlignment="1">
      <alignment vertical="top"/>
    </xf>
    <xf numFmtId="0" fontId="18" fillId="0" borderId="1" xfId="10" applyFont="1" applyBorder="1"/>
    <xf numFmtId="167" fontId="19" fillId="0" borderId="0" xfId="14" applyNumberFormat="1" applyFont="1"/>
    <xf numFmtId="0" fontId="19" fillId="0" borderId="0" xfId="14" applyFont="1" applyAlignment="1">
      <alignment horizontal="center"/>
    </xf>
    <xf numFmtId="0" fontId="53" fillId="0" borderId="0" xfId="14" applyFont="1" applyAlignment="1">
      <alignment vertical="center" wrapText="1"/>
    </xf>
    <xf numFmtId="0" fontId="53" fillId="0" borderId="1" xfId="14" applyFont="1" applyBorder="1" applyAlignment="1">
      <alignment vertical="top" wrapText="1"/>
    </xf>
    <xf numFmtId="0" fontId="19" fillId="0" borderId="1" xfId="14" applyFont="1" applyBorder="1" applyAlignment="1">
      <alignment horizontal="right" vertical="top" wrapText="1"/>
    </xf>
    <xf numFmtId="0" fontId="19" fillId="0" borderId="1" xfId="14" applyFont="1" applyBorder="1"/>
    <xf numFmtId="0" fontId="53" fillId="0" borderId="1" xfId="14" applyFont="1" applyBorder="1" applyAlignment="1">
      <alignment horizontal="center" vertical="top"/>
    </xf>
    <xf numFmtId="0" fontId="53" fillId="0" borderId="1" xfId="14" applyFont="1" applyBorder="1" applyAlignment="1">
      <alignment horizontal="justify" vertical="top" wrapText="1"/>
    </xf>
    <xf numFmtId="2" fontId="19" fillId="0" borderId="1" xfId="14" applyNumberFormat="1" applyFont="1" applyBorder="1" applyAlignment="1">
      <alignment horizontal="right" vertical="top"/>
    </xf>
    <xf numFmtId="2" fontId="19" fillId="0" borderId="1" xfId="14" applyNumberFormat="1" applyFont="1" applyBorder="1" applyAlignment="1">
      <alignment horizontal="center" vertical="top"/>
    </xf>
    <xf numFmtId="0" fontId="19" fillId="0" borderId="1" xfId="14" applyFont="1" applyBorder="1" applyAlignment="1">
      <alignment horizontal="center" vertical="top" wrapText="1"/>
    </xf>
    <xf numFmtId="2" fontId="19" fillId="0" borderId="1" xfId="14" applyNumberFormat="1" applyFont="1" applyBorder="1" applyAlignment="1">
      <alignment vertical="top"/>
    </xf>
    <xf numFmtId="1" fontId="19" fillId="0" borderId="1" xfId="14" applyNumberFormat="1" applyFont="1" applyBorder="1" applyAlignment="1">
      <alignment vertical="top"/>
    </xf>
    <xf numFmtId="0" fontId="57" fillId="0" borderId="1" xfId="14" applyFont="1" applyBorder="1" applyAlignment="1">
      <alignment horizontal="center" vertical="top"/>
    </xf>
    <xf numFmtId="0" fontId="57" fillId="0" borderId="1" xfId="14" applyFont="1" applyBorder="1" applyAlignment="1">
      <alignment horizontal="justify" vertical="top" wrapText="1"/>
    </xf>
    <xf numFmtId="0" fontId="24" fillId="0" borderId="1" xfId="14" applyFont="1" applyBorder="1" applyAlignment="1">
      <alignment horizontal="center" vertical="top" wrapText="1"/>
    </xf>
    <xf numFmtId="0" fontId="24" fillId="0" borderId="1" xfId="14" applyFont="1" applyBorder="1" applyAlignment="1">
      <alignment horizontal="right" vertical="top" wrapText="1"/>
    </xf>
    <xf numFmtId="1" fontId="24" fillId="0" borderId="1" xfId="14" applyNumberFormat="1" applyFont="1" applyBorder="1" applyAlignment="1">
      <alignment vertical="top"/>
    </xf>
    <xf numFmtId="2" fontId="24" fillId="0" borderId="1" xfId="14" applyNumberFormat="1" applyFont="1" applyBorder="1" applyAlignment="1">
      <alignment horizontal="right" vertical="top"/>
    </xf>
    <xf numFmtId="2" fontId="60" fillId="0" borderId="1" xfId="14" applyNumberFormat="1" applyFont="1" applyBorder="1" applyAlignment="1">
      <alignment horizontal="right" vertical="top" wrapText="1"/>
    </xf>
    <xf numFmtId="0" fontId="55" fillId="0" borderId="1" xfId="14" applyFont="1" applyBorder="1" applyAlignment="1">
      <alignment horizontal="justify" vertical="top" wrapText="1"/>
    </xf>
    <xf numFmtId="0" fontId="19" fillId="0" borderId="1" xfId="14" applyFont="1" applyBorder="1" applyAlignment="1">
      <alignment horizontal="left" vertical="top" wrapText="1"/>
    </xf>
    <xf numFmtId="1" fontId="63" fillId="0" borderId="1" xfId="10" applyNumberFormat="1" applyFont="1" applyBorder="1"/>
    <xf numFmtId="0" fontId="64" fillId="0" borderId="1" xfId="0" applyFont="1" applyBorder="1" applyAlignment="1">
      <alignment horizontal="center" vertical="top"/>
    </xf>
    <xf numFmtId="0" fontId="63" fillId="0" borderId="1" xfId="0" applyFont="1" applyBorder="1" applyAlignment="1">
      <alignment horizontal="justify" vertical="top" wrapText="1"/>
    </xf>
    <xf numFmtId="0" fontId="19" fillId="0" borderId="1" xfId="10" applyFont="1" applyBorder="1" applyAlignment="1">
      <alignment horizontal="right" vertical="top" wrapText="1"/>
    </xf>
    <xf numFmtId="2" fontId="63" fillId="0" borderId="1" xfId="0" applyNumberFormat="1" applyFont="1" applyBorder="1" applyAlignment="1">
      <alignment horizontal="right" vertical="top" wrapText="1"/>
    </xf>
    <xf numFmtId="0" fontId="63" fillId="0" borderId="1" xfId="0" applyFont="1" applyBorder="1" applyAlignment="1">
      <alignment horizontal="right" vertical="top" wrapText="1"/>
    </xf>
    <xf numFmtId="1" fontId="19" fillId="0" borderId="1" xfId="10" applyNumberFormat="1" applyFont="1" applyBorder="1" applyAlignment="1">
      <alignment horizontal="right" vertical="top" wrapText="1"/>
    </xf>
    <xf numFmtId="1" fontId="18" fillId="0" borderId="1" xfId="10" applyNumberFormat="1" applyFont="1" applyBorder="1"/>
    <xf numFmtId="1" fontId="18" fillId="0" borderId="6" xfId="10" applyNumberFormat="1" applyFont="1" applyBorder="1"/>
    <xf numFmtId="1" fontId="19" fillId="0" borderId="1" xfId="14" applyNumberFormat="1" applyFont="1" applyBorder="1" applyAlignment="1">
      <alignment horizontal="right" vertical="top" wrapText="1"/>
    </xf>
    <xf numFmtId="1" fontId="19" fillId="0" borderId="1" xfId="14" applyNumberFormat="1" applyFont="1" applyBorder="1" applyAlignment="1">
      <alignment horizontal="right" vertical="top"/>
    </xf>
    <xf numFmtId="0" fontId="37" fillId="0" borderId="1" xfId="0" applyFont="1" applyFill="1" applyBorder="1" applyAlignment="1">
      <alignment horizontal="right" vertical="center"/>
    </xf>
    <xf numFmtId="2" fontId="26" fillId="0" borderId="0" xfId="0" applyNumberFormat="1" applyFont="1" applyFill="1"/>
    <xf numFmtId="0" fontId="35"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165" fontId="32" fillId="3" borderId="1" xfId="0" applyNumberFormat="1" applyFont="1" applyFill="1" applyBorder="1" applyAlignment="1">
      <alignment horizontal="right" vertical="center" wrapText="1"/>
    </xf>
    <xf numFmtId="2" fontId="32" fillId="3" borderId="1" xfId="0" applyNumberFormat="1" applyFont="1" applyFill="1" applyBorder="1" applyAlignment="1">
      <alignment horizontal="right" vertical="center" wrapText="1"/>
    </xf>
    <xf numFmtId="0" fontId="65" fillId="0" borderId="1" xfId="0" applyFont="1" applyFill="1" applyBorder="1" applyAlignment="1">
      <alignment horizontal="justify" vertical="top" wrapText="1"/>
    </xf>
    <xf numFmtId="0" fontId="67" fillId="0" borderId="1" xfId="0" applyFont="1" applyFill="1" applyBorder="1" applyAlignment="1">
      <alignment horizontal="justify" vertical="top" wrapText="1"/>
    </xf>
    <xf numFmtId="0" fontId="68" fillId="0" borderId="1" xfId="0" applyFont="1" applyFill="1" applyBorder="1" applyAlignment="1">
      <alignment horizontal="center" vertical="top"/>
    </xf>
    <xf numFmtId="0" fontId="68" fillId="0" borderId="1" xfId="0" applyFont="1" applyFill="1" applyBorder="1" applyAlignment="1">
      <alignment horizontal="justify" vertical="top" wrapText="1"/>
    </xf>
    <xf numFmtId="0" fontId="65" fillId="0" borderId="1" xfId="0" applyFont="1" applyFill="1" applyBorder="1" applyAlignment="1">
      <alignment vertical="top" wrapText="1"/>
    </xf>
    <xf numFmtId="0" fontId="65" fillId="0" borderId="1" xfId="0" applyFont="1" applyFill="1" applyBorder="1" applyAlignment="1">
      <alignment horizontal="center" vertical="top" wrapText="1"/>
    </xf>
    <xf numFmtId="0" fontId="65" fillId="0" borderId="0" xfId="0" applyFont="1" applyFill="1"/>
    <xf numFmtId="2" fontId="65" fillId="0" borderId="1" xfId="0" applyNumberFormat="1" applyFont="1" applyFill="1" applyBorder="1" applyAlignment="1">
      <alignment horizontal="center" vertical="top" wrapText="1"/>
    </xf>
    <xf numFmtId="0" fontId="65" fillId="0" borderId="0" xfId="0" applyFont="1" applyFill="1" applyAlignment="1">
      <alignment vertical="top"/>
    </xf>
    <xf numFmtId="0" fontId="65" fillId="0" borderId="1" xfId="0" applyFont="1" applyFill="1" applyBorder="1" applyAlignment="1">
      <alignment horizontal="center" vertical="top"/>
    </xf>
    <xf numFmtId="2" fontId="65" fillId="0" borderId="1" xfId="0" applyNumberFormat="1" applyFont="1" applyFill="1" applyBorder="1" applyAlignment="1">
      <alignment horizontal="center" vertical="top"/>
    </xf>
    <xf numFmtId="0" fontId="65" fillId="0" borderId="1" xfId="0" applyFont="1" applyFill="1" applyBorder="1"/>
    <xf numFmtId="0" fontId="65" fillId="0" borderId="1" xfId="0" applyFont="1" applyFill="1" applyBorder="1" applyAlignment="1">
      <alignment vertical="top"/>
    </xf>
    <xf numFmtId="0" fontId="68" fillId="0" borderId="7" xfId="0" applyFont="1" applyFill="1" applyBorder="1" applyAlignment="1">
      <alignment horizontal="center" vertical="top"/>
    </xf>
    <xf numFmtId="0" fontId="68" fillId="0" borderId="7" xfId="0" applyFont="1" applyFill="1" applyBorder="1" applyAlignment="1">
      <alignment horizontal="justify" vertical="top" wrapText="1"/>
    </xf>
    <xf numFmtId="2" fontId="65" fillId="0" borderId="8" xfId="0" applyNumberFormat="1" applyFont="1" applyFill="1" applyBorder="1" applyAlignment="1">
      <alignment horizontal="center" vertical="top" wrapText="1"/>
    </xf>
    <xf numFmtId="0" fontId="65" fillId="0" borderId="8" xfId="0" applyFont="1" applyFill="1" applyBorder="1" applyAlignment="1">
      <alignment horizontal="center" vertical="top" wrapText="1"/>
    </xf>
    <xf numFmtId="2" fontId="65" fillId="0" borderId="1" xfId="0" applyNumberFormat="1" applyFont="1" applyFill="1" applyBorder="1"/>
    <xf numFmtId="2" fontId="65" fillId="0" borderId="1" xfId="0" applyNumberFormat="1" applyFont="1" applyFill="1" applyBorder="1" applyAlignment="1">
      <alignment vertical="top"/>
    </xf>
    <xf numFmtId="2" fontId="37" fillId="0" borderId="1" xfId="0" applyNumberFormat="1" applyFont="1" applyFill="1" applyBorder="1" applyAlignment="1">
      <alignment horizontal="center" vertical="center" wrapText="1"/>
    </xf>
    <xf numFmtId="165" fontId="35" fillId="0" borderId="1" xfId="0" applyNumberFormat="1" applyFont="1" applyFill="1" applyBorder="1" applyAlignment="1">
      <alignment horizontal="center" vertical="center"/>
    </xf>
    <xf numFmtId="2" fontId="32" fillId="0" borderId="1" xfId="0" applyNumberFormat="1" applyFont="1" applyFill="1" applyBorder="1" applyAlignment="1">
      <alignment horizontal="center" vertical="center"/>
    </xf>
    <xf numFmtId="165" fontId="72" fillId="0" borderId="0" xfId="0" applyNumberFormat="1" applyFont="1" applyFill="1" applyBorder="1" applyAlignment="1">
      <alignment horizontal="center" vertical="center" wrapText="1"/>
    </xf>
    <xf numFmtId="1" fontId="37" fillId="10" borderId="1" xfId="0" applyNumberFormat="1" applyFont="1" applyFill="1" applyBorder="1" applyAlignment="1">
      <alignment vertical="center" wrapText="1"/>
    </xf>
    <xf numFmtId="1" fontId="37" fillId="11" borderId="1" xfId="0" applyNumberFormat="1" applyFont="1" applyFill="1" applyBorder="1" applyAlignment="1">
      <alignment vertical="center" wrapText="1"/>
    </xf>
    <xf numFmtId="1" fontId="37" fillId="12" borderId="1" xfId="0" applyNumberFormat="1" applyFont="1" applyFill="1" applyBorder="1" applyAlignment="1">
      <alignment vertical="center" wrapText="1"/>
    </xf>
    <xf numFmtId="1" fontId="37" fillId="14" borderId="1" xfId="0" applyNumberFormat="1" applyFont="1" applyFill="1" applyBorder="1" applyAlignment="1">
      <alignment horizontal="right" vertical="center" wrapText="1"/>
    </xf>
    <xf numFmtId="1" fontId="37" fillId="13" borderId="1" xfId="0" applyNumberFormat="1" applyFont="1" applyFill="1" applyBorder="1" applyAlignment="1">
      <alignment horizontal="right" vertical="center" wrapText="1"/>
    </xf>
    <xf numFmtId="1" fontId="37" fillId="15" borderId="1" xfId="0" applyNumberFormat="1" applyFont="1" applyFill="1" applyBorder="1" applyAlignment="1">
      <alignment horizontal="right" vertical="center" wrapText="1"/>
    </xf>
    <xf numFmtId="165" fontId="32" fillId="3" borderId="1" xfId="0" applyNumberFormat="1" applyFont="1" applyFill="1" applyBorder="1" applyAlignment="1">
      <alignment horizontal="right" vertical="center" wrapText="1"/>
    </xf>
    <xf numFmtId="0" fontId="35"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2" fontId="32" fillId="3" borderId="1" xfId="0" applyNumberFormat="1" applyFont="1" applyFill="1" applyBorder="1" applyAlignment="1">
      <alignment horizontal="right" vertical="center" wrapText="1"/>
    </xf>
    <xf numFmtId="0" fontId="35" fillId="0" borderId="1" xfId="0" applyFont="1" applyFill="1" applyBorder="1" applyAlignment="1">
      <alignment horizontal="center" vertical="center" wrapText="1"/>
    </xf>
    <xf numFmtId="2" fontId="32" fillId="3" borderId="1" xfId="0" applyNumberFormat="1" applyFont="1" applyFill="1" applyBorder="1" applyAlignment="1">
      <alignment horizontal="right" vertical="center" wrapText="1"/>
    </xf>
    <xf numFmtId="0" fontId="26" fillId="0" borderId="1" xfId="0" applyFont="1" applyFill="1" applyBorder="1"/>
    <xf numFmtId="1" fontId="26" fillId="0" borderId="1" xfId="0" applyNumberFormat="1" applyFont="1" applyFill="1" applyBorder="1"/>
    <xf numFmtId="0" fontId="27" fillId="0" borderId="1" xfId="0" applyFont="1" applyFill="1" applyBorder="1"/>
    <xf numFmtId="0" fontId="27" fillId="0" borderId="1" xfId="0" applyFont="1" applyFill="1" applyBorder="1" applyAlignment="1">
      <alignment horizontal="right"/>
    </xf>
    <xf numFmtId="166" fontId="34" fillId="0" borderId="1" xfId="0" applyNumberFormat="1" applyFont="1" applyFill="1" applyBorder="1" applyAlignment="1">
      <alignment horizontal="right" vertical="center" wrapText="1"/>
    </xf>
    <xf numFmtId="166" fontId="27" fillId="0" borderId="1" xfId="0" applyNumberFormat="1" applyFont="1" applyFill="1" applyBorder="1"/>
    <xf numFmtId="166" fontId="26" fillId="0" borderId="1" xfId="0" applyNumberFormat="1" applyFont="1" applyFill="1" applyBorder="1"/>
    <xf numFmtId="166" fontId="26" fillId="0" borderId="0" xfId="0" applyNumberFormat="1" applyFont="1" applyFill="1"/>
    <xf numFmtId="166" fontId="45" fillId="0" borderId="0" xfId="10" applyNumberFormat="1" applyFont="1" applyAlignment="1">
      <alignment horizontal="center"/>
    </xf>
    <xf numFmtId="1" fontId="27" fillId="0" borderId="1" xfId="0" applyNumberFormat="1" applyFont="1" applyFill="1" applyBorder="1"/>
    <xf numFmtId="0" fontId="2" fillId="0" borderId="0" xfId="16" applyAlignment="1">
      <alignment vertical="center"/>
    </xf>
    <xf numFmtId="0" fontId="2" fillId="0" borderId="0" xfId="16"/>
    <xf numFmtId="2" fontId="2" fillId="0" borderId="0" xfId="16" applyNumberFormat="1"/>
    <xf numFmtId="1" fontId="2" fillId="0" borderId="0" xfId="16" applyNumberFormat="1"/>
    <xf numFmtId="0" fontId="2" fillId="0" borderId="0" xfId="16" applyAlignment="1">
      <alignment horizontal="center"/>
    </xf>
    <xf numFmtId="0" fontId="75" fillId="0" borderId="1" xfId="16" applyFont="1" applyBorder="1" applyAlignment="1">
      <alignment horizontal="center" vertical="center" wrapText="1"/>
    </xf>
    <xf numFmtId="0" fontId="76" fillId="0" borderId="1" xfId="16" applyFont="1" applyBorder="1" applyAlignment="1">
      <alignment horizontal="center" vertical="center" wrapText="1"/>
    </xf>
    <xf numFmtId="0" fontId="76" fillId="0" borderId="1" xfId="16" applyFont="1" applyBorder="1" applyAlignment="1">
      <alignment horizontal="justify" vertical="center" wrapText="1"/>
    </xf>
    <xf numFmtId="0" fontId="76" fillId="0" borderId="0" xfId="16" applyFont="1" applyFill="1" applyBorder="1" applyAlignment="1">
      <alignment horizontal="justify" vertical="center" wrapText="1"/>
    </xf>
    <xf numFmtId="0" fontId="74" fillId="0" borderId="0" xfId="16" applyFont="1" applyAlignment="1">
      <alignment vertical="center"/>
    </xf>
    <xf numFmtId="0" fontId="26" fillId="0" borderId="1" xfId="0" applyFont="1" applyFill="1" applyBorder="1" applyAlignment="1">
      <alignment vertical="center"/>
    </xf>
    <xf numFmtId="0" fontId="27" fillId="0" borderId="1" xfId="0" applyFont="1" applyFill="1" applyBorder="1" applyAlignment="1">
      <alignment vertical="center"/>
    </xf>
    <xf numFmtId="1" fontId="27" fillId="0" borderId="1" xfId="0" applyNumberFormat="1" applyFont="1" applyFill="1" applyBorder="1" applyAlignment="1">
      <alignment vertical="center"/>
    </xf>
    <xf numFmtId="166" fontId="27" fillId="0" borderId="1" xfId="0" applyNumberFormat="1" applyFont="1" applyFill="1" applyBorder="1" applyAlignment="1">
      <alignment vertical="center"/>
    </xf>
    <xf numFmtId="0" fontId="76" fillId="0" borderId="1" xfId="16" applyFont="1" applyBorder="1" applyAlignment="1">
      <alignment horizontal="right" vertical="center" wrapText="1"/>
    </xf>
    <xf numFmtId="166" fontId="76" fillId="0" borderId="1" xfId="16" applyNumberFormat="1" applyFont="1" applyBorder="1" applyAlignment="1">
      <alignment horizontal="right" vertical="center" wrapText="1"/>
    </xf>
    <xf numFmtId="1" fontId="76" fillId="0" borderId="1" xfId="16" applyNumberFormat="1" applyFont="1" applyBorder="1" applyAlignment="1">
      <alignment horizontal="right" vertical="center" wrapText="1"/>
    </xf>
    <xf numFmtId="0" fontId="76" fillId="0" borderId="0" xfId="16" applyFont="1" applyAlignment="1">
      <alignment vertical="center"/>
    </xf>
    <xf numFmtId="2" fontId="73" fillId="0" borderId="0" xfId="16" applyNumberFormat="1" applyFont="1" applyBorder="1" applyAlignment="1">
      <alignment horizontal="right" vertical="center"/>
    </xf>
    <xf numFmtId="1" fontId="76" fillId="0" borderId="0" xfId="16" applyNumberFormat="1" applyFont="1" applyAlignment="1">
      <alignment vertical="center"/>
    </xf>
    <xf numFmtId="166" fontId="76" fillId="0" borderId="0" xfId="16" applyNumberFormat="1" applyFont="1" applyAlignment="1">
      <alignment vertical="center"/>
    </xf>
    <xf numFmtId="166" fontId="74" fillId="0" borderId="0" xfId="16" applyNumberFormat="1" applyFont="1" applyAlignment="1">
      <alignment vertical="center"/>
    </xf>
    <xf numFmtId="0" fontId="76" fillId="0" borderId="1" xfId="16" applyFont="1" applyBorder="1" applyAlignment="1">
      <alignment vertical="center"/>
    </xf>
    <xf numFmtId="0" fontId="75" fillId="0" borderId="1" xfId="16" applyFont="1" applyBorder="1" applyAlignment="1">
      <alignment horizontal="right" vertical="center"/>
    </xf>
    <xf numFmtId="1" fontId="75" fillId="0" borderId="1" xfId="16" applyNumberFormat="1" applyFont="1" applyBorder="1" applyAlignment="1">
      <alignment horizontal="right" vertical="center"/>
    </xf>
    <xf numFmtId="166" fontId="75" fillId="0" borderId="1" xfId="16" applyNumberFormat="1" applyFont="1" applyBorder="1" applyAlignment="1">
      <alignment horizontal="right" vertical="center"/>
    </xf>
    <xf numFmtId="2" fontId="27" fillId="0" borderId="1" xfId="0" applyNumberFormat="1" applyFont="1" applyFill="1" applyBorder="1" applyAlignment="1">
      <alignment vertical="center"/>
    </xf>
    <xf numFmtId="0" fontId="27" fillId="0" borderId="1" xfId="0" applyFont="1" applyFill="1" applyBorder="1" applyAlignment="1">
      <alignment horizontal="center" vertical="center"/>
    </xf>
    <xf numFmtId="0" fontId="77" fillId="0" borderId="1" xfId="0" applyFont="1" applyFill="1" applyBorder="1" applyAlignment="1">
      <alignment horizontal="center" vertical="center" wrapText="1"/>
    </xf>
    <xf numFmtId="0" fontId="78" fillId="0" borderId="1" xfId="0" applyFont="1" applyFill="1" applyBorder="1" applyAlignment="1">
      <alignment vertical="center"/>
    </xf>
    <xf numFmtId="1" fontId="78" fillId="0" borderId="1" xfId="0" applyNumberFormat="1" applyFont="1" applyFill="1" applyBorder="1" applyAlignment="1">
      <alignment vertical="center"/>
    </xf>
    <xf numFmtId="0" fontId="78" fillId="0" borderId="1" xfId="0" applyFont="1" applyFill="1" applyBorder="1" applyAlignment="1">
      <alignment horizontal="center" vertical="center" wrapText="1"/>
    </xf>
    <xf numFmtId="0" fontId="27" fillId="0" borderId="3" xfId="0" applyFont="1" applyFill="1" applyBorder="1" applyAlignment="1">
      <alignment horizontal="center" vertical="center"/>
    </xf>
    <xf numFmtId="0" fontId="78" fillId="0" borderId="3" xfId="0" applyFont="1" applyFill="1" applyBorder="1" applyAlignment="1">
      <alignment horizontal="center" vertical="center" wrapText="1"/>
    </xf>
    <xf numFmtId="0" fontId="78" fillId="0" borderId="1" xfId="0" applyFont="1" applyFill="1" applyBorder="1" applyAlignment="1">
      <alignment vertical="center" wrapText="1"/>
    </xf>
    <xf numFmtId="0" fontId="81" fillId="0" borderId="1" xfId="16" applyFont="1" applyBorder="1" applyAlignment="1">
      <alignment horizontal="center" vertical="center" wrapText="1"/>
    </xf>
    <xf numFmtId="0" fontId="82" fillId="0" borderId="1" xfId="16" applyFont="1" applyBorder="1" applyAlignment="1">
      <alignment vertical="center" wrapText="1"/>
    </xf>
    <xf numFmtId="166" fontId="82" fillId="0" borderId="1" xfId="16" applyNumberFormat="1" applyFont="1" applyBorder="1" applyAlignment="1">
      <alignment horizontal="right" vertical="center"/>
    </xf>
    <xf numFmtId="2" fontId="82" fillId="0" borderId="1" xfId="16" applyNumberFormat="1" applyFont="1" applyBorder="1" applyAlignment="1">
      <alignment horizontal="right" vertical="center"/>
    </xf>
    <xf numFmtId="1" fontId="82" fillId="0" borderId="1" xfId="16" applyNumberFormat="1" applyFont="1" applyBorder="1" applyAlignment="1">
      <alignment horizontal="right" vertical="center"/>
    </xf>
    <xf numFmtId="0" fontId="82" fillId="0" borderId="1" xfId="16" applyFont="1" applyBorder="1" applyAlignment="1">
      <alignment vertical="center"/>
    </xf>
    <xf numFmtId="2" fontId="82" fillId="0" borderId="1" xfId="16" applyNumberFormat="1" applyFont="1" applyFill="1" applyBorder="1" applyAlignment="1">
      <alignment horizontal="right" vertical="center"/>
    </xf>
    <xf numFmtId="166" fontId="82" fillId="16" borderId="1" xfId="16" applyNumberFormat="1" applyFont="1" applyFill="1" applyBorder="1" applyAlignment="1">
      <alignment horizontal="right" vertical="center"/>
    </xf>
    <xf numFmtId="2" fontId="82" fillId="16" borderId="1" xfId="16" applyNumberFormat="1" applyFont="1" applyFill="1" applyBorder="1" applyAlignment="1">
      <alignment horizontal="right" vertical="center"/>
    </xf>
    <xf numFmtId="1" fontId="82" fillId="16" borderId="1" xfId="16" applyNumberFormat="1" applyFont="1" applyFill="1" applyBorder="1" applyAlignment="1">
      <alignment horizontal="right" vertical="center"/>
    </xf>
    <xf numFmtId="0" fontId="81" fillId="0" borderId="1" xfId="16" applyFont="1" applyBorder="1" applyAlignment="1">
      <alignment horizontal="right" vertical="center"/>
    </xf>
    <xf numFmtId="166" fontId="81" fillId="0" borderId="1" xfId="16" applyNumberFormat="1" applyFont="1" applyBorder="1" applyAlignment="1">
      <alignment horizontal="right" vertical="center"/>
    </xf>
    <xf numFmtId="2" fontId="81" fillId="0" borderId="1" xfId="16" applyNumberFormat="1" applyFont="1" applyBorder="1" applyAlignment="1">
      <alignment horizontal="right" vertical="center"/>
    </xf>
    <xf numFmtId="1" fontId="81" fillId="0" borderId="1" xfId="16" applyNumberFormat="1" applyFont="1" applyBorder="1" applyAlignment="1">
      <alignment horizontal="right" vertical="center"/>
    </xf>
    <xf numFmtId="166" fontId="2" fillId="0" borderId="0" xfId="16" applyNumberFormat="1"/>
    <xf numFmtId="0" fontId="83" fillId="0" borderId="1" xfId="0" applyFont="1" applyBorder="1" applyAlignment="1">
      <alignment horizontal="justify" vertical="center" wrapText="1"/>
    </xf>
    <xf numFmtId="0" fontId="84" fillId="0" borderId="1" xfId="16" applyFont="1" applyBorder="1" applyAlignment="1">
      <alignment horizontal="center" vertical="center" wrapText="1"/>
    </xf>
    <xf numFmtId="0" fontId="85"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86" fillId="0" borderId="0" xfId="0" applyFont="1"/>
    <xf numFmtId="0" fontId="85" fillId="0" borderId="0" xfId="0" applyFont="1"/>
    <xf numFmtId="166" fontId="2" fillId="0" borderId="0" xfId="16" applyNumberFormat="1" applyAlignment="1">
      <alignment vertical="center"/>
    </xf>
    <xf numFmtId="0" fontId="0" fillId="0" borderId="1" xfId="0" applyBorder="1" applyAlignment="1">
      <alignment horizontal="right" vertical="center"/>
    </xf>
    <xf numFmtId="0" fontId="79" fillId="0" borderId="2" xfId="16" applyFont="1" applyBorder="1" applyAlignment="1">
      <alignment horizontal="center"/>
    </xf>
    <xf numFmtId="0" fontId="81" fillId="0" borderId="1" xfId="16" applyFont="1" applyBorder="1" applyAlignment="1">
      <alignment horizontal="center" vertical="center" wrapText="1"/>
    </xf>
    <xf numFmtId="0" fontId="81" fillId="0" borderId="4" xfId="16" applyFont="1" applyBorder="1" applyAlignment="1">
      <alignment horizontal="center" vertical="center"/>
    </xf>
    <xf numFmtId="0" fontId="81" fillId="0" borderId="6" xfId="16" applyFont="1" applyBorder="1" applyAlignment="1">
      <alignment horizontal="center" vertical="center"/>
    </xf>
    <xf numFmtId="0" fontId="80" fillId="0" borderId="2" xfId="16" applyFont="1" applyBorder="1" applyAlignment="1">
      <alignment horizontal="center"/>
    </xf>
    <xf numFmtId="0" fontId="81" fillId="0" borderId="7" xfId="16" applyFont="1" applyBorder="1" applyAlignment="1">
      <alignment horizontal="center" vertical="center"/>
    </xf>
    <xf numFmtId="0" fontId="81" fillId="0" borderId="8" xfId="16" applyFont="1" applyBorder="1" applyAlignment="1">
      <alignment horizontal="center" vertical="center"/>
    </xf>
    <xf numFmtId="0" fontId="81" fillId="0" borderId="3" xfId="16" applyFont="1" applyBorder="1" applyAlignment="1">
      <alignment horizontal="center" vertical="center"/>
    </xf>
    <xf numFmtId="0" fontId="81" fillId="0" borderId="5" xfId="16" applyFont="1" applyBorder="1" applyAlignment="1">
      <alignment horizontal="center" vertical="center"/>
    </xf>
    <xf numFmtId="0" fontId="81" fillId="0" borderId="7" xfId="16" applyFont="1" applyBorder="1" applyAlignment="1">
      <alignment horizontal="center" vertical="center" wrapText="1"/>
    </xf>
    <xf numFmtId="0" fontId="81" fillId="0" borderId="3" xfId="16" applyFont="1" applyBorder="1" applyAlignment="1">
      <alignment horizontal="center" vertical="center" wrapText="1"/>
    </xf>
    <xf numFmtId="0" fontId="53" fillId="0" borderId="0" xfId="14" applyFont="1" applyAlignment="1">
      <alignment horizontal="center" vertical="center"/>
    </xf>
    <xf numFmtId="0" fontId="53" fillId="0" borderId="0" xfId="14" applyFont="1" applyAlignment="1">
      <alignment horizontal="center" vertical="center" wrapText="1"/>
    </xf>
    <xf numFmtId="0" fontId="59" fillId="0" borderId="1" xfId="14" applyFont="1" applyBorder="1" applyAlignment="1">
      <alignment horizontal="center" vertical="top" wrapText="1"/>
    </xf>
    <xf numFmtId="0" fontId="25" fillId="0" borderId="0" xfId="0" applyFont="1" applyFill="1" applyBorder="1" applyAlignment="1">
      <alignment horizontal="center" vertical="center"/>
    </xf>
    <xf numFmtId="0" fontId="35" fillId="0" borderId="1" xfId="0" applyFont="1" applyFill="1" applyBorder="1" applyAlignment="1">
      <alignment horizontal="center" vertical="center" wrapText="1"/>
    </xf>
    <xf numFmtId="0" fontId="35" fillId="0" borderId="7" xfId="0" applyFont="1" applyFill="1" applyBorder="1" applyAlignment="1">
      <alignment horizontal="center" vertical="center" wrapText="1"/>
    </xf>
    <xf numFmtId="0" fontId="35" fillId="0" borderId="3" xfId="0" applyFont="1" applyFill="1" applyBorder="1" applyAlignment="1">
      <alignment horizontal="center" vertical="center" wrapText="1"/>
    </xf>
    <xf numFmtId="0" fontId="35" fillId="0" borderId="4" xfId="0"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0" borderId="6" xfId="0" applyFont="1" applyFill="1" applyBorder="1" applyAlignment="1">
      <alignment horizontal="center" vertical="center" wrapText="1"/>
    </xf>
    <xf numFmtId="0" fontId="32" fillId="0" borderId="4" xfId="0" applyFont="1" applyFill="1" applyBorder="1" applyAlignment="1">
      <alignment horizontal="center" vertical="center" wrapText="1"/>
    </xf>
    <xf numFmtId="0" fontId="32" fillId="0" borderId="6" xfId="0" applyFont="1" applyFill="1" applyBorder="1" applyAlignment="1">
      <alignment horizontal="center" vertical="center" wrapText="1"/>
    </xf>
    <xf numFmtId="2" fontId="32" fillId="3" borderId="1" xfId="0" applyNumberFormat="1" applyFont="1" applyFill="1" applyBorder="1" applyAlignment="1">
      <alignment horizontal="right" vertical="center" wrapText="1"/>
    </xf>
    <xf numFmtId="165" fontId="32" fillId="3" borderId="1" xfId="0" applyNumberFormat="1" applyFont="1" applyFill="1" applyBorder="1" applyAlignment="1">
      <alignment horizontal="right" vertical="center" wrapText="1"/>
    </xf>
    <xf numFmtId="0" fontId="27" fillId="0" borderId="1" xfId="0" applyFont="1" applyFill="1" applyBorder="1" applyAlignment="1">
      <alignment horizontal="center" vertical="center"/>
    </xf>
    <xf numFmtId="0" fontId="27" fillId="0" borderId="1" xfId="0" applyFont="1" applyFill="1" applyBorder="1" applyAlignment="1">
      <alignment horizontal="center" vertical="center" wrapText="1"/>
    </xf>
    <xf numFmtId="0" fontId="27" fillId="0" borderId="1" xfId="0" applyFont="1" applyFill="1" applyBorder="1" applyAlignment="1">
      <alignment horizontal="center"/>
    </xf>
    <xf numFmtId="0" fontId="27" fillId="0" borderId="4" xfId="0" applyFont="1" applyFill="1" applyBorder="1" applyAlignment="1">
      <alignment horizontal="center" vertical="center"/>
    </xf>
    <xf numFmtId="0" fontId="27" fillId="0" borderId="5" xfId="0" applyFont="1" applyFill="1" applyBorder="1" applyAlignment="1">
      <alignment horizontal="center" vertical="center"/>
    </xf>
    <xf numFmtId="0" fontId="27" fillId="0" borderId="6" xfId="0" applyFont="1" applyFill="1" applyBorder="1" applyAlignment="1">
      <alignment horizontal="center" vertical="center"/>
    </xf>
    <xf numFmtId="0" fontId="85" fillId="0" borderId="1" xfId="0" applyFont="1" applyBorder="1" applyAlignment="1">
      <alignment horizontal="center" vertical="center" wrapText="1"/>
    </xf>
    <xf numFmtId="0" fontId="85" fillId="0" borderId="4" xfId="0" applyFont="1" applyBorder="1" applyAlignment="1">
      <alignment horizontal="center" vertical="center"/>
    </xf>
    <xf numFmtId="0" fontId="85" fillId="0" borderId="6" xfId="0" applyFont="1" applyBorder="1" applyAlignment="1">
      <alignment horizontal="center" vertical="center"/>
    </xf>
    <xf numFmtId="0" fontId="85" fillId="0" borderId="4" xfId="0" applyFont="1" applyBorder="1" applyAlignment="1">
      <alignment horizontal="center" vertical="center" wrapText="1"/>
    </xf>
    <xf numFmtId="0" fontId="85" fillId="0" borderId="6" xfId="0" applyFont="1" applyBorder="1" applyAlignment="1">
      <alignment horizontal="center" vertical="center" wrapText="1"/>
    </xf>
    <xf numFmtId="0" fontId="85" fillId="0" borderId="5" xfId="0" applyFont="1" applyBorder="1" applyAlignment="1">
      <alignment horizontal="center" vertical="center"/>
    </xf>
    <xf numFmtId="0" fontId="85" fillId="0" borderId="7" xfId="0" applyFont="1" applyBorder="1" applyAlignment="1">
      <alignment horizontal="center" vertical="center"/>
    </xf>
    <xf numFmtId="0" fontId="85" fillId="0" borderId="3" xfId="0" applyFont="1" applyBorder="1" applyAlignment="1">
      <alignment horizontal="center" vertical="center"/>
    </xf>
    <xf numFmtId="0" fontId="32" fillId="0" borderId="1" xfId="0" applyFont="1" applyFill="1" applyBorder="1" applyAlignment="1">
      <alignment horizontal="center" vertical="center" wrapText="1"/>
    </xf>
    <xf numFmtId="0" fontId="32" fillId="0" borderId="0" xfId="1" applyFont="1" applyBorder="1" applyAlignment="1">
      <alignment horizontal="center" vertical="center" wrapText="1"/>
    </xf>
    <xf numFmtId="0" fontId="13" fillId="0" borderId="2" xfId="1" applyFont="1" applyBorder="1" applyAlignment="1">
      <alignment horizontal="center" vertical="center" wrapText="1"/>
    </xf>
    <xf numFmtId="0" fontId="32" fillId="0" borderId="4" xfId="2" applyFont="1" applyBorder="1" applyAlignment="1">
      <alignment horizontal="center" vertical="center"/>
    </xf>
    <xf numFmtId="0" fontId="32" fillId="0" borderId="5" xfId="2" applyFont="1" applyBorder="1" applyAlignment="1">
      <alignment horizontal="center" vertical="center"/>
    </xf>
    <xf numFmtId="0" fontId="32" fillId="0" borderId="6" xfId="2" applyFont="1" applyBorder="1" applyAlignment="1">
      <alignment horizontal="center" vertical="center"/>
    </xf>
    <xf numFmtId="0" fontId="32" fillId="0" borderId="7" xfId="8" applyFont="1" applyBorder="1" applyAlignment="1">
      <alignment horizontal="center" vertical="center" wrapText="1"/>
    </xf>
    <xf numFmtId="0" fontId="32" fillId="0" borderId="3" xfId="8" applyFont="1" applyBorder="1" applyAlignment="1">
      <alignment horizontal="center" vertical="center" wrapText="1"/>
    </xf>
    <xf numFmtId="0" fontId="32" fillId="0" borderId="1" xfId="2" applyFont="1" applyBorder="1" applyAlignment="1">
      <alignment horizontal="center" vertical="center"/>
    </xf>
    <xf numFmtId="0" fontId="32" fillId="0" borderId="1" xfId="8" applyFont="1" applyBorder="1" applyAlignment="1">
      <alignment horizontal="center" vertical="center" wrapText="1"/>
    </xf>
    <xf numFmtId="0" fontId="32" fillId="0" borderId="0" xfId="10" applyFont="1" applyFill="1" applyAlignment="1">
      <alignment horizontal="center" vertical="center" wrapText="1"/>
    </xf>
    <xf numFmtId="0" fontId="47" fillId="0" borderId="0" xfId="10" applyFont="1" applyFill="1" applyAlignment="1">
      <alignment horizontal="center" vertical="center" wrapText="1"/>
    </xf>
    <xf numFmtId="0" fontId="47" fillId="0" borderId="1" xfId="10" applyFont="1" applyBorder="1" applyAlignment="1">
      <alignment horizontal="center" vertical="center" wrapText="1"/>
    </xf>
    <xf numFmtId="0" fontId="44" fillId="0" borderId="1" xfId="10" applyFont="1" applyBorder="1" applyAlignment="1">
      <alignment horizontal="center" vertical="top"/>
    </xf>
    <xf numFmtId="0" fontId="47" fillId="0" borderId="7" xfId="10" applyFont="1" applyBorder="1" applyAlignment="1">
      <alignment horizontal="center" vertical="center" wrapText="1"/>
    </xf>
    <xf numFmtId="0" fontId="47" fillId="0" borderId="3" xfId="10" applyFont="1" applyBorder="1" applyAlignment="1">
      <alignment horizontal="center" vertical="center" wrapText="1"/>
    </xf>
    <xf numFmtId="0" fontId="5" fillId="0" borderId="1" xfId="10" applyFont="1" applyFill="1" applyBorder="1" applyAlignment="1">
      <alignment horizontal="center" vertical="top" wrapText="1"/>
    </xf>
    <xf numFmtId="0" fontId="31" fillId="0" borderId="1" xfId="10" applyFont="1" applyBorder="1" applyAlignment="1">
      <alignment horizontal="center" vertical="top"/>
    </xf>
    <xf numFmtId="0" fontId="32" fillId="0" borderId="1" xfId="10" applyFont="1" applyBorder="1" applyAlignment="1">
      <alignment horizontal="center" vertical="center" wrapText="1"/>
    </xf>
    <xf numFmtId="0" fontId="46" fillId="0" borderId="0" xfId="10" applyFont="1" applyAlignment="1">
      <alignment horizontal="center" vertical="center" wrapText="1"/>
    </xf>
    <xf numFmtId="0" fontId="5" fillId="0" borderId="4" xfId="10" applyFont="1" applyFill="1" applyBorder="1" applyAlignment="1">
      <alignment horizontal="center" vertical="top" wrapText="1"/>
    </xf>
    <xf numFmtId="0" fontId="5" fillId="0" borderId="5" xfId="10" applyFont="1" applyFill="1" applyBorder="1" applyAlignment="1">
      <alignment horizontal="center" vertical="top" wrapText="1"/>
    </xf>
    <xf numFmtId="0" fontId="5" fillId="0" borderId="6" xfId="10" applyFont="1" applyFill="1" applyBorder="1" applyAlignment="1">
      <alignment horizontal="center" vertical="top" wrapText="1"/>
    </xf>
    <xf numFmtId="0" fontId="32" fillId="0" borderId="7" xfId="10" applyFont="1" applyBorder="1" applyAlignment="1">
      <alignment horizontal="center" vertical="center" wrapText="1"/>
    </xf>
    <xf numFmtId="0" fontId="32" fillId="0" borderId="3" xfId="10" applyFont="1" applyBorder="1" applyAlignment="1">
      <alignment horizontal="center" vertical="center" wrapText="1"/>
    </xf>
    <xf numFmtId="0" fontId="7" fillId="0" borderId="4" xfId="10" applyFont="1" applyFill="1" applyBorder="1" applyAlignment="1">
      <alignment horizontal="center" vertical="top" wrapText="1"/>
    </xf>
    <xf numFmtId="0" fontId="7" fillId="0" borderId="5" xfId="10" applyFont="1" applyFill="1" applyBorder="1" applyAlignment="1">
      <alignment horizontal="center" vertical="top" wrapText="1"/>
    </xf>
    <xf numFmtId="0" fontId="7" fillId="0" borderId="6" xfId="10" applyFont="1" applyFill="1" applyBorder="1" applyAlignment="1">
      <alignment horizontal="center" vertical="top" wrapText="1"/>
    </xf>
    <xf numFmtId="0" fontId="51" fillId="0" borderId="0" xfId="10" applyFont="1" applyAlignment="1">
      <alignment horizontal="center" vertical="center" wrapText="1"/>
    </xf>
  </cellXfs>
  <cellStyles count="17">
    <cellStyle name="Comma 4" xfId="6" xr:uid="{00000000-0005-0000-0000-000000000000}"/>
    <cellStyle name="Normal" xfId="0" builtinId="0"/>
    <cellStyle name="Normal 2" xfId="2" xr:uid="{00000000-0005-0000-0000-000002000000}"/>
    <cellStyle name="Normal 2 12" xfId="8" xr:uid="{00000000-0005-0000-0000-000003000000}"/>
    <cellStyle name="Normal 2 2" xfId="3" xr:uid="{00000000-0005-0000-0000-000004000000}"/>
    <cellStyle name="Normal 2 3" xfId="15" xr:uid="{00000000-0005-0000-0000-000005000000}"/>
    <cellStyle name="Normal 3" xfId="9" xr:uid="{00000000-0005-0000-0000-000006000000}"/>
    <cellStyle name="Normal 3 2" xfId="14" xr:uid="{00000000-0005-0000-0000-000007000000}"/>
    <cellStyle name="Normal 3 3" xfId="13" xr:uid="{00000000-0005-0000-0000-000008000000}"/>
    <cellStyle name="Normal 4" xfId="12" xr:uid="{00000000-0005-0000-0000-000009000000}"/>
    <cellStyle name="Normal 5" xfId="10" xr:uid="{00000000-0005-0000-0000-00000A000000}"/>
    <cellStyle name="Normal 5 2" xfId="11" xr:uid="{00000000-0005-0000-0000-00000B000000}"/>
    <cellStyle name="Normal 5_Data Sheets for Unit Rates" xfId="7" xr:uid="{00000000-0005-0000-0000-00000C000000}"/>
    <cellStyle name="Normal 6" xfId="16" xr:uid="{00000000-0005-0000-0000-00000D000000}"/>
    <cellStyle name="Normal_Estimates ganesh 23.1.20121" xfId="5" xr:uid="{00000000-0005-0000-0000-00000E000000}"/>
    <cellStyle name="Normal_Sheet1_Conversion of bag plants" xfId="1" xr:uid="{00000000-0005-0000-0000-00000F000000}"/>
    <cellStyle name="Normal_Sheet3_Conversion of bag plants" xfId="4" xr:uid="{00000000-0005-0000-0000-00001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990600</xdr:colOff>
      <xdr:row>11</xdr:row>
      <xdr:rowOff>0</xdr:rowOff>
    </xdr:from>
    <xdr:ext cx="186596" cy="283120"/>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1390650" y="3914775"/>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11</xdr:row>
      <xdr:rowOff>0</xdr:rowOff>
    </xdr:from>
    <xdr:ext cx="186596" cy="283120"/>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1390650" y="3914775"/>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11</xdr:row>
      <xdr:rowOff>0</xdr:rowOff>
    </xdr:from>
    <xdr:ext cx="186596" cy="283120"/>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390650" y="3914775"/>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11</xdr:row>
      <xdr:rowOff>0</xdr:rowOff>
    </xdr:from>
    <xdr:ext cx="186596" cy="283120"/>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1390650" y="3724275"/>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11</xdr:row>
      <xdr:rowOff>0</xdr:rowOff>
    </xdr:from>
    <xdr:ext cx="186596" cy="283120"/>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1390650" y="3914775"/>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11</xdr:row>
      <xdr:rowOff>0</xdr:rowOff>
    </xdr:from>
    <xdr:ext cx="186596" cy="283120"/>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1390650" y="3724275"/>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11</xdr:row>
      <xdr:rowOff>0</xdr:rowOff>
    </xdr:from>
    <xdr:ext cx="186596" cy="283120"/>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390650" y="3724275"/>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11</xdr:row>
      <xdr:rowOff>0</xdr:rowOff>
    </xdr:from>
    <xdr:ext cx="186596" cy="283120"/>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1390650" y="3724275"/>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990600</xdr:colOff>
      <xdr:row>21</xdr:row>
      <xdr:rowOff>0</xdr:rowOff>
    </xdr:from>
    <xdr:ext cx="186596" cy="28312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1390650" y="3733800"/>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21</xdr:row>
      <xdr:rowOff>0</xdr:rowOff>
    </xdr:from>
    <xdr:ext cx="186596" cy="28312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388165" y="3735457"/>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21</xdr:row>
      <xdr:rowOff>0</xdr:rowOff>
    </xdr:from>
    <xdr:ext cx="186596" cy="28312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1388165" y="4108174"/>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20</xdr:row>
      <xdr:rowOff>0</xdr:rowOff>
    </xdr:from>
    <xdr:ext cx="186596" cy="283120"/>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1388165" y="3917674"/>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21</xdr:row>
      <xdr:rowOff>0</xdr:rowOff>
    </xdr:from>
    <xdr:ext cx="186596" cy="28312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1388165" y="4108174"/>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20</xdr:row>
      <xdr:rowOff>0</xdr:rowOff>
    </xdr:from>
    <xdr:ext cx="186596" cy="28312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1388165" y="3917674"/>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609600</xdr:colOff>
      <xdr:row>27</xdr:row>
      <xdr:rowOff>0</xdr:rowOff>
    </xdr:from>
    <xdr:ext cx="194453" cy="283120"/>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1009650" y="5419725"/>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609600</xdr:colOff>
      <xdr:row>28</xdr:row>
      <xdr:rowOff>0</xdr:rowOff>
    </xdr:from>
    <xdr:ext cx="194453" cy="283120"/>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1007165" y="5425109"/>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609600</xdr:colOff>
      <xdr:row>27</xdr:row>
      <xdr:rowOff>0</xdr:rowOff>
    </xdr:from>
    <xdr:ext cx="194453" cy="283120"/>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007165" y="5615609"/>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609600</xdr:colOff>
      <xdr:row>27</xdr:row>
      <xdr:rowOff>0</xdr:rowOff>
    </xdr:from>
    <xdr:ext cx="194453" cy="283120"/>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1007165" y="5615609"/>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990600</xdr:colOff>
      <xdr:row>14</xdr:row>
      <xdr:rowOff>0</xdr:rowOff>
    </xdr:from>
    <xdr:ext cx="186596" cy="283120"/>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1390650" y="2781300"/>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14</xdr:row>
      <xdr:rowOff>0</xdr:rowOff>
    </xdr:from>
    <xdr:ext cx="186596" cy="283120"/>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388165" y="2782957"/>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13</xdr:row>
      <xdr:rowOff>0</xdr:rowOff>
    </xdr:from>
    <xdr:ext cx="186596" cy="283120"/>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1388165" y="2965174"/>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14</xdr:row>
      <xdr:rowOff>0</xdr:rowOff>
    </xdr:from>
    <xdr:ext cx="186596" cy="283120"/>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1388165" y="3155674"/>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13</xdr:row>
      <xdr:rowOff>0</xdr:rowOff>
    </xdr:from>
    <xdr:ext cx="186596" cy="283120"/>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1388165" y="2965174"/>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14</xdr:row>
      <xdr:rowOff>0</xdr:rowOff>
    </xdr:from>
    <xdr:ext cx="186596" cy="283120"/>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1388165" y="3155674"/>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990600</xdr:colOff>
      <xdr:row>13</xdr:row>
      <xdr:rowOff>0</xdr:rowOff>
    </xdr:from>
    <xdr:ext cx="186596" cy="283120"/>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1388165" y="2965174"/>
          <a:ext cx="186596"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609600</xdr:colOff>
      <xdr:row>0</xdr:row>
      <xdr:rowOff>2801</xdr:rowOff>
    </xdr:from>
    <xdr:ext cx="194453" cy="283120"/>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1009650" y="5441576"/>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609600</xdr:colOff>
      <xdr:row>33</xdr:row>
      <xdr:rowOff>0</xdr:rowOff>
    </xdr:from>
    <xdr:ext cx="194453" cy="283120"/>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1009650" y="12080501"/>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609600</xdr:colOff>
      <xdr:row>33</xdr:row>
      <xdr:rowOff>0</xdr:rowOff>
    </xdr:from>
    <xdr:ext cx="194453" cy="283120"/>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007165" y="6835953"/>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609600</xdr:colOff>
      <xdr:row>33</xdr:row>
      <xdr:rowOff>0</xdr:rowOff>
    </xdr:from>
    <xdr:ext cx="194453" cy="283120"/>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1007165" y="6835953"/>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609600</xdr:colOff>
      <xdr:row>33</xdr:row>
      <xdr:rowOff>0</xdr:rowOff>
    </xdr:from>
    <xdr:ext cx="194453" cy="283120"/>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1007165" y="6645453"/>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609600</xdr:colOff>
      <xdr:row>20</xdr:row>
      <xdr:rowOff>2801</xdr:rowOff>
    </xdr:from>
    <xdr:ext cx="194453" cy="28312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1009650" y="5632076"/>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oneCellAnchor>
    <xdr:from>
      <xdr:col>1</xdr:col>
      <xdr:colOff>609600</xdr:colOff>
      <xdr:row>21</xdr:row>
      <xdr:rowOff>0</xdr:rowOff>
    </xdr:from>
    <xdr:ext cx="194453" cy="283120"/>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1009650" y="6879851"/>
          <a:ext cx="194453" cy="28312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1\dm%20section%202008-09\DM%20SECTION\DM%20SECTION%202008-09\MEETINGS%202008-09\CCF%20REVIEW%20MEETING%20ON%2003.05.2008\ITEM%20NO.%203%20-%20POP%202008-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G.S"/>
      <sheetName val="SRSP"/>
      <sheetName val="NABARD JFM"/>
      <sheetName val="FFP (2)"/>
      <sheetName val="build-plan"/>
      <sheetName val="NTFP"/>
      <sheetName val="N.P.PROG2"/>
      <sheetName val="N.P.PROG"/>
      <sheetName val="N.P.PRO"/>
      <sheetName val="07-BLTS"/>
      <sheetName val="04 DES"/>
      <sheetName val="09-qgs"/>
      <sheetName val="06 for pro"/>
      <sheetName val="74-bldgs"/>
      <sheetName val="FSP"/>
      <sheetName val="APCFM"/>
      <sheetName val="APCFM-REVISED"/>
      <sheetName val="RIDF IX"/>
      <sheetName val="RIDF X"/>
      <sheetName val="RIDF XII"/>
      <sheetName val="12th F. C."/>
      <sheetName val="IFPS"/>
      <sheetName val="03-D.O."/>
      <sheetName val="USER CHARGES"/>
      <sheetName val="DET"/>
      <sheetName val="44-bldgs-1"/>
      <sheetName val=" REV"/>
      <sheetName val="FSPKNR"/>
      <sheetName val="APFP"/>
      <sheetName val="FFP"/>
      <sheetName val="N.T.F.P."/>
      <sheetName val="Sheet1"/>
      <sheetName val="Sheet5"/>
      <sheetName val="Sheet4"/>
      <sheetName val="Sheet2"/>
      <sheetName val="Sheet3"/>
      <sheetName val="Sheet6"/>
      <sheetName val="(074)"/>
      <sheetName val="(03)"/>
      <sheetName val="FSP-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view="pageBreakPreview" zoomScale="87" zoomScaleNormal="100" zoomScaleSheetLayoutView="87" workbookViewId="0">
      <selection activeCell="B2" sqref="B2"/>
    </sheetView>
  </sheetViews>
  <sheetFormatPr defaultRowHeight="15"/>
  <cols>
    <col min="1" max="1" width="9.140625" style="450"/>
    <col min="2" max="2" width="32.7109375" style="450" customWidth="1"/>
    <col min="3" max="3" width="14.5703125" style="450" customWidth="1"/>
    <col min="4" max="4" width="18.140625" style="450" customWidth="1"/>
    <col min="5" max="5" width="14.28515625" style="450" customWidth="1"/>
    <col min="6" max="6" width="15.42578125" style="450" customWidth="1"/>
    <col min="7" max="7" width="16.7109375" style="450" hidden="1" customWidth="1"/>
    <col min="8" max="8" width="9.140625" style="450"/>
    <col min="9" max="9" width="9.85546875" style="450" bestFit="1" customWidth="1"/>
    <col min="10" max="10" width="12" style="450" bestFit="1" customWidth="1"/>
    <col min="11" max="11" width="9.140625" style="450"/>
    <col min="12" max="13" width="12" style="450" bestFit="1" customWidth="1"/>
    <col min="14" max="16384" width="9.140625" style="450"/>
  </cols>
  <sheetData>
    <row r="1" spans="1:12" ht="21">
      <c r="A1" s="508" t="s">
        <v>549</v>
      </c>
      <c r="B1" s="508"/>
      <c r="C1" s="508"/>
      <c r="D1" s="508"/>
      <c r="E1" s="508"/>
      <c r="F1" s="508"/>
      <c r="G1" s="508"/>
    </row>
    <row r="2" spans="1:12" s="453" customFormat="1" ht="78" customHeight="1">
      <c r="A2" s="454" t="s">
        <v>517</v>
      </c>
      <c r="B2" s="454" t="s">
        <v>518</v>
      </c>
      <c r="C2" s="454" t="s">
        <v>519</v>
      </c>
      <c r="D2" s="454" t="s">
        <v>520</v>
      </c>
      <c r="E2" s="500" t="s">
        <v>548</v>
      </c>
      <c r="F2" s="454" t="s">
        <v>532</v>
      </c>
      <c r="G2" s="454" t="s">
        <v>539</v>
      </c>
    </row>
    <row r="3" spans="1:12" ht="35.25" customHeight="1">
      <c r="A3" s="454">
        <v>1</v>
      </c>
      <c r="B3" s="454">
        <v>2</v>
      </c>
      <c r="C3" s="454">
        <v>3</v>
      </c>
      <c r="D3" s="454">
        <v>4</v>
      </c>
      <c r="E3" s="454">
        <v>5</v>
      </c>
      <c r="F3" s="454">
        <v>6</v>
      </c>
      <c r="G3" s="454">
        <v>7</v>
      </c>
    </row>
    <row r="4" spans="1:12" ht="35.25" customHeight="1">
      <c r="A4" s="455">
        <v>1</v>
      </c>
      <c r="B4" s="499" t="s">
        <v>545</v>
      </c>
      <c r="C4" s="463">
        <v>356340</v>
      </c>
      <c r="D4" s="463">
        <v>107500</v>
      </c>
      <c r="E4" s="463">
        <v>30000</v>
      </c>
      <c r="F4" s="463">
        <f>+D4-E4</f>
        <v>77500</v>
      </c>
      <c r="G4" s="464">
        <f>'RoFR-3Years_ANR'!AN32+'RoFR-3Years_ANR'!AN33</f>
        <v>2815.8035040364566</v>
      </c>
      <c r="I4" s="457"/>
      <c r="J4" s="466"/>
    </row>
    <row r="5" spans="1:12" ht="35.25" customHeight="1">
      <c r="A5" s="455">
        <v>2</v>
      </c>
      <c r="B5" s="499" t="s">
        <v>546</v>
      </c>
      <c r="C5" s="463">
        <v>791341</v>
      </c>
      <c r="D5" s="463">
        <v>509056</v>
      </c>
      <c r="E5" s="463">
        <v>265000</v>
      </c>
      <c r="F5" s="465">
        <f t="shared" ref="F5:F10" si="0">+D5-E5</f>
        <v>244056</v>
      </c>
      <c r="G5" s="464">
        <f>J5+0.001</f>
        <v>1671.4627576055948</v>
      </c>
      <c r="J5" s="470">
        <f>L5/K5*F5</f>
        <v>1671.4617576055948</v>
      </c>
      <c r="K5" s="468">
        <v>758655.2</v>
      </c>
      <c r="L5" s="469">
        <f>'RoFR-3Years_ANR'!$AN$31</f>
        <v>5195.7876635224047</v>
      </c>
    </row>
    <row r="6" spans="1:12" ht="35.25" customHeight="1">
      <c r="A6" s="455">
        <v>3</v>
      </c>
      <c r="B6" s="499" t="s">
        <v>547</v>
      </c>
      <c r="C6" s="463">
        <v>818249</v>
      </c>
      <c r="D6" s="465">
        <v>514599</v>
      </c>
      <c r="E6" s="465"/>
      <c r="F6" s="465">
        <f t="shared" si="0"/>
        <v>514599</v>
      </c>
      <c r="G6" s="464">
        <f>J6+0.001</f>
        <v>3524.325536180555</v>
      </c>
      <c r="I6" s="466"/>
      <c r="J6" s="470">
        <f>L6/K6*F6</f>
        <v>3524.3245361805548</v>
      </c>
      <c r="K6" s="468">
        <v>758655.2</v>
      </c>
      <c r="L6" s="469">
        <f>'RoFR-3Years_ANR'!$AN$31</f>
        <v>5195.7876635224047</v>
      </c>
    </row>
    <row r="7" spans="1:12" ht="35.25" customHeight="1">
      <c r="A7" s="455">
        <v>4</v>
      </c>
      <c r="B7" s="456" t="s">
        <v>521</v>
      </c>
      <c r="C7" s="463">
        <v>124017</v>
      </c>
      <c r="D7" s="463">
        <v>0</v>
      </c>
      <c r="E7" s="463"/>
      <c r="F7" s="463">
        <f t="shared" si="0"/>
        <v>0</v>
      </c>
      <c r="G7" s="463"/>
      <c r="I7" s="466"/>
      <c r="J7" s="466"/>
    </row>
    <row r="8" spans="1:12" ht="35.25" customHeight="1">
      <c r="A8" s="455">
        <v>5</v>
      </c>
      <c r="B8" s="456" t="s">
        <v>522</v>
      </c>
      <c r="C8" s="463">
        <v>123015</v>
      </c>
      <c r="D8" s="463">
        <v>0</v>
      </c>
      <c r="E8" s="463"/>
      <c r="F8" s="463">
        <f t="shared" si="0"/>
        <v>0</v>
      </c>
      <c r="G8" s="463"/>
      <c r="I8" s="466"/>
      <c r="J8" s="466"/>
    </row>
    <row r="9" spans="1:12" ht="35.25" customHeight="1">
      <c r="A9" s="455">
        <v>6</v>
      </c>
      <c r="B9" s="456" t="s">
        <v>523</v>
      </c>
      <c r="C9" s="463">
        <v>183749</v>
      </c>
      <c r="D9" s="465">
        <v>128625</v>
      </c>
      <c r="E9" s="465"/>
      <c r="F9" s="465">
        <f t="shared" si="0"/>
        <v>128625</v>
      </c>
      <c r="G9" s="464">
        <f>'RoFR-3Years_ANR'!AN30</f>
        <v>873.60163617449905</v>
      </c>
      <c r="I9" s="466"/>
      <c r="J9" s="466"/>
      <c r="L9" s="452"/>
    </row>
    <row r="10" spans="1:12" ht="35.25" customHeight="1">
      <c r="A10" s="455">
        <v>7</v>
      </c>
      <c r="B10" s="456" t="s">
        <v>524</v>
      </c>
      <c r="C10" s="463">
        <v>300238</v>
      </c>
      <c r="D10" s="463">
        <v>0</v>
      </c>
      <c r="E10" s="463"/>
      <c r="F10" s="463">
        <f t="shared" si="0"/>
        <v>0</v>
      </c>
      <c r="G10" s="463"/>
      <c r="I10" s="449"/>
      <c r="J10" s="449"/>
    </row>
    <row r="11" spans="1:12" s="458" customFormat="1" ht="35.25" customHeight="1">
      <c r="A11" s="471"/>
      <c r="B11" s="472" t="s">
        <v>516</v>
      </c>
      <c r="C11" s="472">
        <f>SUM(C4:C10)</f>
        <v>2696949</v>
      </c>
      <c r="D11" s="473">
        <f t="shared" ref="D11:G11" si="1">SUM(D4:D10)</f>
        <v>1259780</v>
      </c>
      <c r="E11" s="473">
        <f t="shared" si="1"/>
        <v>295000</v>
      </c>
      <c r="F11" s="473">
        <f t="shared" si="1"/>
        <v>964780</v>
      </c>
      <c r="G11" s="474">
        <f t="shared" si="1"/>
        <v>8885.1934339971049</v>
      </c>
      <c r="J11" s="467"/>
    </row>
  </sheetData>
  <mergeCells count="1">
    <mergeCell ref="A1:G1"/>
  </mergeCells>
  <printOptions horizontalCentered="1"/>
  <pageMargins left="0.70866141732283472" right="0.70866141732283472" top="0.74803149606299213" bottom="0.74803149606299213" header="0.31496062992125984" footer="0.31496062992125984"/>
  <pageSetup scale="85" orientation="landscape" r:id="rId1"/>
  <colBreaks count="1" manualBreakCount="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8"/>
  <sheetViews>
    <sheetView view="pageBreakPreview" zoomScaleNormal="115" zoomScaleSheetLayoutView="100" workbookViewId="0">
      <pane xSplit="1" ySplit="3" topLeftCell="B22" activePane="bottomRight" state="frozen"/>
      <selection pane="topRight" activeCell="C1" sqref="C1"/>
      <selection pane="bottomLeft" activeCell="A5" sqref="A5"/>
      <selection pane="bottomRight" activeCell="H19" sqref="H19"/>
    </sheetView>
  </sheetViews>
  <sheetFormatPr defaultRowHeight="15"/>
  <cols>
    <col min="1" max="1" width="13.7109375" style="346" customWidth="1"/>
    <col min="2" max="2" width="50.28515625" style="346" customWidth="1"/>
    <col min="3" max="3" width="14.28515625" style="346" customWidth="1"/>
    <col min="4" max="4" width="12.85546875" style="346" customWidth="1"/>
    <col min="5" max="5" width="12.28515625" style="346" customWidth="1"/>
    <col min="6" max="6" width="15.42578125" style="346" customWidth="1"/>
    <col min="7" max="256" width="9.140625" style="346"/>
    <col min="257" max="257" width="13.7109375" style="346" customWidth="1"/>
    <col min="258" max="258" width="56.28515625" style="346" customWidth="1"/>
    <col min="259" max="259" width="13.42578125" style="346" customWidth="1"/>
    <col min="260" max="260" width="11.28515625" style="346" customWidth="1"/>
    <col min="261" max="261" width="12.28515625" style="346" customWidth="1"/>
    <col min="262" max="262" width="15.42578125" style="346" customWidth="1"/>
    <col min="263" max="512" width="9.140625" style="346"/>
    <col min="513" max="513" width="13.7109375" style="346" customWidth="1"/>
    <col min="514" max="514" width="56.28515625" style="346" customWidth="1"/>
    <col min="515" max="515" width="13.42578125" style="346" customWidth="1"/>
    <col min="516" max="516" width="11.28515625" style="346" customWidth="1"/>
    <col min="517" max="517" width="12.28515625" style="346" customWidth="1"/>
    <col min="518" max="518" width="15.42578125" style="346" customWidth="1"/>
    <col min="519" max="768" width="9.140625" style="346"/>
    <col min="769" max="769" width="13.7109375" style="346" customWidth="1"/>
    <col min="770" max="770" width="56.28515625" style="346" customWidth="1"/>
    <col min="771" max="771" width="13.42578125" style="346" customWidth="1"/>
    <col min="772" max="772" width="11.28515625" style="346" customWidth="1"/>
    <col min="773" max="773" width="12.28515625" style="346" customWidth="1"/>
    <col min="774" max="774" width="15.42578125" style="346" customWidth="1"/>
    <col min="775" max="1024" width="9.140625" style="346"/>
    <col min="1025" max="1025" width="13.7109375" style="346" customWidth="1"/>
    <col min="1026" max="1026" width="56.28515625" style="346" customWidth="1"/>
    <col min="1027" max="1027" width="13.42578125" style="346" customWidth="1"/>
    <col min="1028" max="1028" width="11.28515625" style="346" customWidth="1"/>
    <col min="1029" max="1029" width="12.28515625" style="346" customWidth="1"/>
    <col min="1030" max="1030" width="15.42578125" style="346" customWidth="1"/>
    <col min="1031" max="1280" width="9.140625" style="346"/>
    <col min="1281" max="1281" width="13.7109375" style="346" customWidth="1"/>
    <col min="1282" max="1282" width="56.28515625" style="346" customWidth="1"/>
    <col min="1283" max="1283" width="13.42578125" style="346" customWidth="1"/>
    <col min="1284" max="1284" width="11.28515625" style="346" customWidth="1"/>
    <col min="1285" max="1285" width="12.28515625" style="346" customWidth="1"/>
    <col min="1286" max="1286" width="15.42578125" style="346" customWidth="1"/>
    <col min="1287" max="1536" width="9.140625" style="346"/>
    <col min="1537" max="1537" width="13.7109375" style="346" customWidth="1"/>
    <col min="1538" max="1538" width="56.28515625" style="346" customWidth="1"/>
    <col min="1539" max="1539" width="13.42578125" style="346" customWidth="1"/>
    <col min="1540" max="1540" width="11.28515625" style="346" customWidth="1"/>
    <col min="1541" max="1541" width="12.28515625" style="346" customWidth="1"/>
    <col min="1542" max="1542" width="15.42578125" style="346" customWidth="1"/>
    <col min="1543" max="1792" width="9.140625" style="346"/>
    <col min="1793" max="1793" width="13.7109375" style="346" customWidth="1"/>
    <col min="1794" max="1794" width="56.28515625" style="346" customWidth="1"/>
    <col min="1795" max="1795" width="13.42578125" style="346" customWidth="1"/>
    <col min="1796" max="1796" width="11.28515625" style="346" customWidth="1"/>
    <col min="1797" max="1797" width="12.28515625" style="346" customWidth="1"/>
    <col min="1798" max="1798" width="15.42578125" style="346" customWidth="1"/>
    <col min="1799" max="2048" width="9.140625" style="346"/>
    <col min="2049" max="2049" width="13.7109375" style="346" customWidth="1"/>
    <col min="2050" max="2050" width="56.28515625" style="346" customWidth="1"/>
    <col min="2051" max="2051" width="13.42578125" style="346" customWidth="1"/>
    <col min="2052" max="2052" width="11.28515625" style="346" customWidth="1"/>
    <col min="2053" max="2053" width="12.28515625" style="346" customWidth="1"/>
    <col min="2054" max="2054" width="15.42578125" style="346" customWidth="1"/>
    <col min="2055" max="2304" width="9.140625" style="346"/>
    <col min="2305" max="2305" width="13.7109375" style="346" customWidth="1"/>
    <col min="2306" max="2306" width="56.28515625" style="346" customWidth="1"/>
    <col min="2307" max="2307" width="13.42578125" style="346" customWidth="1"/>
    <col min="2308" max="2308" width="11.28515625" style="346" customWidth="1"/>
    <col min="2309" max="2309" width="12.28515625" style="346" customWidth="1"/>
    <col min="2310" max="2310" width="15.42578125" style="346" customWidth="1"/>
    <col min="2311" max="2560" width="9.140625" style="346"/>
    <col min="2561" max="2561" width="13.7109375" style="346" customWidth="1"/>
    <col min="2562" max="2562" width="56.28515625" style="346" customWidth="1"/>
    <col min="2563" max="2563" width="13.42578125" style="346" customWidth="1"/>
    <col min="2564" max="2564" width="11.28515625" style="346" customWidth="1"/>
    <col min="2565" max="2565" width="12.28515625" style="346" customWidth="1"/>
    <col min="2566" max="2566" width="15.42578125" style="346" customWidth="1"/>
    <col min="2567" max="2816" width="9.140625" style="346"/>
    <col min="2817" max="2817" width="13.7109375" style="346" customWidth="1"/>
    <col min="2818" max="2818" width="56.28515625" style="346" customWidth="1"/>
    <col min="2819" max="2819" width="13.42578125" style="346" customWidth="1"/>
    <col min="2820" max="2820" width="11.28515625" style="346" customWidth="1"/>
    <col min="2821" max="2821" width="12.28515625" style="346" customWidth="1"/>
    <col min="2822" max="2822" width="15.42578125" style="346" customWidth="1"/>
    <col min="2823" max="3072" width="9.140625" style="346"/>
    <col min="3073" max="3073" width="13.7109375" style="346" customWidth="1"/>
    <col min="3074" max="3074" width="56.28515625" style="346" customWidth="1"/>
    <col min="3075" max="3075" width="13.42578125" style="346" customWidth="1"/>
    <col min="3076" max="3076" width="11.28515625" style="346" customWidth="1"/>
    <col min="3077" max="3077" width="12.28515625" style="346" customWidth="1"/>
    <col min="3078" max="3078" width="15.42578125" style="346" customWidth="1"/>
    <col min="3079" max="3328" width="9.140625" style="346"/>
    <col min="3329" max="3329" width="13.7109375" style="346" customWidth="1"/>
    <col min="3330" max="3330" width="56.28515625" style="346" customWidth="1"/>
    <col min="3331" max="3331" width="13.42578125" style="346" customWidth="1"/>
    <col min="3332" max="3332" width="11.28515625" style="346" customWidth="1"/>
    <col min="3333" max="3333" width="12.28515625" style="346" customWidth="1"/>
    <col min="3334" max="3334" width="15.42578125" style="346" customWidth="1"/>
    <col min="3335" max="3584" width="9.140625" style="346"/>
    <col min="3585" max="3585" width="13.7109375" style="346" customWidth="1"/>
    <col min="3586" max="3586" width="56.28515625" style="346" customWidth="1"/>
    <col min="3587" max="3587" width="13.42578125" style="346" customWidth="1"/>
    <col min="3588" max="3588" width="11.28515625" style="346" customWidth="1"/>
    <col min="3589" max="3589" width="12.28515625" style="346" customWidth="1"/>
    <col min="3590" max="3590" width="15.42578125" style="346" customWidth="1"/>
    <col min="3591" max="3840" width="9.140625" style="346"/>
    <col min="3841" max="3841" width="13.7109375" style="346" customWidth="1"/>
    <col min="3842" max="3842" width="56.28515625" style="346" customWidth="1"/>
    <col min="3843" max="3843" width="13.42578125" style="346" customWidth="1"/>
    <col min="3844" max="3844" width="11.28515625" style="346" customWidth="1"/>
    <col min="3845" max="3845" width="12.28515625" style="346" customWidth="1"/>
    <col min="3846" max="3846" width="15.42578125" style="346" customWidth="1"/>
    <col min="3847" max="4096" width="9.140625" style="346"/>
    <col min="4097" max="4097" width="13.7109375" style="346" customWidth="1"/>
    <col min="4098" max="4098" width="56.28515625" style="346" customWidth="1"/>
    <col min="4099" max="4099" width="13.42578125" style="346" customWidth="1"/>
    <col min="4100" max="4100" width="11.28515625" style="346" customWidth="1"/>
    <col min="4101" max="4101" width="12.28515625" style="346" customWidth="1"/>
    <col min="4102" max="4102" width="15.42578125" style="346" customWidth="1"/>
    <col min="4103" max="4352" width="9.140625" style="346"/>
    <col min="4353" max="4353" width="13.7109375" style="346" customWidth="1"/>
    <col min="4354" max="4354" width="56.28515625" style="346" customWidth="1"/>
    <col min="4355" max="4355" width="13.42578125" style="346" customWidth="1"/>
    <col min="4356" max="4356" width="11.28515625" style="346" customWidth="1"/>
    <col min="4357" max="4357" width="12.28515625" style="346" customWidth="1"/>
    <col min="4358" max="4358" width="15.42578125" style="346" customWidth="1"/>
    <col min="4359" max="4608" width="9.140625" style="346"/>
    <col min="4609" max="4609" width="13.7109375" style="346" customWidth="1"/>
    <col min="4610" max="4610" width="56.28515625" style="346" customWidth="1"/>
    <col min="4611" max="4611" width="13.42578125" style="346" customWidth="1"/>
    <col min="4612" max="4612" width="11.28515625" style="346" customWidth="1"/>
    <col min="4613" max="4613" width="12.28515625" style="346" customWidth="1"/>
    <col min="4614" max="4614" width="15.42578125" style="346" customWidth="1"/>
    <col min="4615" max="4864" width="9.140625" style="346"/>
    <col min="4865" max="4865" width="13.7109375" style="346" customWidth="1"/>
    <col min="4866" max="4866" width="56.28515625" style="346" customWidth="1"/>
    <col min="4867" max="4867" width="13.42578125" style="346" customWidth="1"/>
    <col min="4868" max="4868" width="11.28515625" style="346" customWidth="1"/>
    <col min="4869" max="4869" width="12.28515625" style="346" customWidth="1"/>
    <col min="4870" max="4870" width="15.42578125" style="346" customWidth="1"/>
    <col min="4871" max="5120" width="9.140625" style="346"/>
    <col min="5121" max="5121" width="13.7109375" style="346" customWidth="1"/>
    <col min="5122" max="5122" width="56.28515625" style="346" customWidth="1"/>
    <col min="5123" max="5123" width="13.42578125" style="346" customWidth="1"/>
    <col min="5124" max="5124" width="11.28515625" style="346" customWidth="1"/>
    <col min="5125" max="5125" width="12.28515625" style="346" customWidth="1"/>
    <col min="5126" max="5126" width="15.42578125" style="346" customWidth="1"/>
    <col min="5127" max="5376" width="9.140625" style="346"/>
    <col min="5377" max="5377" width="13.7109375" style="346" customWidth="1"/>
    <col min="5378" max="5378" width="56.28515625" style="346" customWidth="1"/>
    <col min="5379" max="5379" width="13.42578125" style="346" customWidth="1"/>
    <col min="5380" max="5380" width="11.28515625" style="346" customWidth="1"/>
    <col min="5381" max="5381" width="12.28515625" style="346" customWidth="1"/>
    <col min="5382" max="5382" width="15.42578125" style="346" customWidth="1"/>
    <col min="5383" max="5632" width="9.140625" style="346"/>
    <col min="5633" max="5633" width="13.7109375" style="346" customWidth="1"/>
    <col min="5634" max="5634" width="56.28515625" style="346" customWidth="1"/>
    <col min="5635" max="5635" width="13.42578125" style="346" customWidth="1"/>
    <col min="5636" max="5636" width="11.28515625" style="346" customWidth="1"/>
    <col min="5637" max="5637" width="12.28515625" style="346" customWidth="1"/>
    <col min="5638" max="5638" width="15.42578125" style="346" customWidth="1"/>
    <col min="5639" max="5888" width="9.140625" style="346"/>
    <col min="5889" max="5889" width="13.7109375" style="346" customWidth="1"/>
    <col min="5890" max="5890" width="56.28515625" style="346" customWidth="1"/>
    <col min="5891" max="5891" width="13.42578125" style="346" customWidth="1"/>
    <col min="5892" max="5892" width="11.28515625" style="346" customWidth="1"/>
    <col min="5893" max="5893" width="12.28515625" style="346" customWidth="1"/>
    <col min="5894" max="5894" width="15.42578125" style="346" customWidth="1"/>
    <col min="5895" max="6144" width="9.140625" style="346"/>
    <col min="6145" max="6145" width="13.7109375" style="346" customWidth="1"/>
    <col min="6146" max="6146" width="56.28515625" style="346" customWidth="1"/>
    <col min="6147" max="6147" width="13.42578125" style="346" customWidth="1"/>
    <col min="6148" max="6148" width="11.28515625" style="346" customWidth="1"/>
    <col min="6149" max="6149" width="12.28515625" style="346" customWidth="1"/>
    <col min="6150" max="6150" width="15.42578125" style="346" customWidth="1"/>
    <col min="6151" max="6400" width="9.140625" style="346"/>
    <col min="6401" max="6401" width="13.7109375" style="346" customWidth="1"/>
    <col min="6402" max="6402" width="56.28515625" style="346" customWidth="1"/>
    <col min="6403" max="6403" width="13.42578125" style="346" customWidth="1"/>
    <col min="6404" max="6404" width="11.28515625" style="346" customWidth="1"/>
    <col min="6405" max="6405" width="12.28515625" style="346" customWidth="1"/>
    <col min="6406" max="6406" width="15.42578125" style="346" customWidth="1"/>
    <col min="6407" max="6656" width="9.140625" style="346"/>
    <col min="6657" max="6657" width="13.7109375" style="346" customWidth="1"/>
    <col min="6658" max="6658" width="56.28515625" style="346" customWidth="1"/>
    <col min="6659" max="6659" width="13.42578125" style="346" customWidth="1"/>
    <col min="6660" max="6660" width="11.28515625" style="346" customWidth="1"/>
    <col min="6661" max="6661" width="12.28515625" style="346" customWidth="1"/>
    <col min="6662" max="6662" width="15.42578125" style="346" customWidth="1"/>
    <col min="6663" max="6912" width="9.140625" style="346"/>
    <col min="6913" max="6913" width="13.7109375" style="346" customWidth="1"/>
    <col min="6914" max="6914" width="56.28515625" style="346" customWidth="1"/>
    <col min="6915" max="6915" width="13.42578125" style="346" customWidth="1"/>
    <col min="6916" max="6916" width="11.28515625" style="346" customWidth="1"/>
    <col min="6917" max="6917" width="12.28515625" style="346" customWidth="1"/>
    <col min="6918" max="6918" width="15.42578125" style="346" customWidth="1"/>
    <col min="6919" max="7168" width="9.140625" style="346"/>
    <col min="7169" max="7169" width="13.7109375" style="346" customWidth="1"/>
    <col min="7170" max="7170" width="56.28515625" style="346" customWidth="1"/>
    <col min="7171" max="7171" width="13.42578125" style="346" customWidth="1"/>
    <col min="7172" max="7172" width="11.28515625" style="346" customWidth="1"/>
    <col min="7173" max="7173" width="12.28515625" style="346" customWidth="1"/>
    <col min="7174" max="7174" width="15.42578125" style="346" customWidth="1"/>
    <col min="7175" max="7424" width="9.140625" style="346"/>
    <col min="7425" max="7425" width="13.7109375" style="346" customWidth="1"/>
    <col min="7426" max="7426" width="56.28515625" style="346" customWidth="1"/>
    <col min="7427" max="7427" width="13.42578125" style="346" customWidth="1"/>
    <col min="7428" max="7428" width="11.28515625" style="346" customWidth="1"/>
    <col min="7429" max="7429" width="12.28515625" style="346" customWidth="1"/>
    <col min="7430" max="7430" width="15.42578125" style="346" customWidth="1"/>
    <col min="7431" max="7680" width="9.140625" style="346"/>
    <col min="7681" max="7681" width="13.7109375" style="346" customWidth="1"/>
    <col min="7682" max="7682" width="56.28515625" style="346" customWidth="1"/>
    <col min="7683" max="7683" width="13.42578125" style="346" customWidth="1"/>
    <col min="7684" max="7684" width="11.28515625" style="346" customWidth="1"/>
    <col min="7685" max="7685" width="12.28515625" style="346" customWidth="1"/>
    <col min="7686" max="7686" width="15.42578125" style="346" customWidth="1"/>
    <col min="7687" max="7936" width="9.140625" style="346"/>
    <col min="7937" max="7937" width="13.7109375" style="346" customWidth="1"/>
    <col min="7938" max="7938" width="56.28515625" style="346" customWidth="1"/>
    <col min="7939" max="7939" width="13.42578125" style="346" customWidth="1"/>
    <col min="7940" max="7940" width="11.28515625" style="346" customWidth="1"/>
    <col min="7941" max="7941" width="12.28515625" style="346" customWidth="1"/>
    <col min="7942" max="7942" width="15.42578125" style="346" customWidth="1"/>
    <col min="7943" max="8192" width="9.140625" style="346"/>
    <col min="8193" max="8193" width="13.7109375" style="346" customWidth="1"/>
    <col min="8194" max="8194" width="56.28515625" style="346" customWidth="1"/>
    <col min="8195" max="8195" width="13.42578125" style="346" customWidth="1"/>
    <col min="8196" max="8196" width="11.28515625" style="346" customWidth="1"/>
    <col min="8197" max="8197" width="12.28515625" style="346" customWidth="1"/>
    <col min="8198" max="8198" width="15.42578125" style="346" customWidth="1"/>
    <col min="8199" max="8448" width="9.140625" style="346"/>
    <col min="8449" max="8449" width="13.7109375" style="346" customWidth="1"/>
    <col min="8450" max="8450" width="56.28515625" style="346" customWidth="1"/>
    <col min="8451" max="8451" width="13.42578125" style="346" customWidth="1"/>
    <col min="8452" max="8452" width="11.28515625" style="346" customWidth="1"/>
    <col min="8453" max="8453" width="12.28515625" style="346" customWidth="1"/>
    <col min="8454" max="8454" width="15.42578125" style="346" customWidth="1"/>
    <col min="8455" max="8704" width="9.140625" style="346"/>
    <col min="8705" max="8705" width="13.7109375" style="346" customWidth="1"/>
    <col min="8706" max="8706" width="56.28515625" style="346" customWidth="1"/>
    <col min="8707" max="8707" width="13.42578125" style="346" customWidth="1"/>
    <col min="8708" max="8708" width="11.28515625" style="346" customWidth="1"/>
    <col min="8709" max="8709" width="12.28515625" style="346" customWidth="1"/>
    <col min="8710" max="8710" width="15.42578125" style="346" customWidth="1"/>
    <col min="8711" max="8960" width="9.140625" style="346"/>
    <col min="8961" max="8961" width="13.7109375" style="346" customWidth="1"/>
    <col min="8962" max="8962" width="56.28515625" style="346" customWidth="1"/>
    <col min="8963" max="8963" width="13.42578125" style="346" customWidth="1"/>
    <col min="8964" max="8964" width="11.28515625" style="346" customWidth="1"/>
    <col min="8965" max="8965" width="12.28515625" style="346" customWidth="1"/>
    <col min="8966" max="8966" width="15.42578125" style="346" customWidth="1"/>
    <col min="8967" max="9216" width="9.140625" style="346"/>
    <col min="9217" max="9217" width="13.7109375" style="346" customWidth="1"/>
    <col min="9218" max="9218" width="56.28515625" style="346" customWidth="1"/>
    <col min="9219" max="9219" width="13.42578125" style="346" customWidth="1"/>
    <col min="9220" max="9220" width="11.28515625" style="346" customWidth="1"/>
    <col min="9221" max="9221" width="12.28515625" style="346" customWidth="1"/>
    <col min="9222" max="9222" width="15.42578125" style="346" customWidth="1"/>
    <col min="9223" max="9472" width="9.140625" style="346"/>
    <col min="9473" max="9473" width="13.7109375" style="346" customWidth="1"/>
    <col min="9474" max="9474" width="56.28515625" style="346" customWidth="1"/>
    <col min="9475" max="9475" width="13.42578125" style="346" customWidth="1"/>
    <col min="9476" max="9476" width="11.28515625" style="346" customWidth="1"/>
    <col min="9477" max="9477" width="12.28515625" style="346" customWidth="1"/>
    <col min="9478" max="9478" width="15.42578125" style="346" customWidth="1"/>
    <col min="9479" max="9728" width="9.140625" style="346"/>
    <col min="9729" max="9729" width="13.7109375" style="346" customWidth="1"/>
    <col min="9730" max="9730" width="56.28515625" style="346" customWidth="1"/>
    <col min="9731" max="9731" width="13.42578125" style="346" customWidth="1"/>
    <col min="9732" max="9732" width="11.28515625" style="346" customWidth="1"/>
    <col min="9733" max="9733" width="12.28515625" style="346" customWidth="1"/>
    <col min="9734" max="9734" width="15.42578125" style="346" customWidth="1"/>
    <col min="9735" max="9984" width="9.140625" style="346"/>
    <col min="9985" max="9985" width="13.7109375" style="346" customWidth="1"/>
    <col min="9986" max="9986" width="56.28515625" style="346" customWidth="1"/>
    <col min="9987" max="9987" width="13.42578125" style="346" customWidth="1"/>
    <col min="9988" max="9988" width="11.28515625" style="346" customWidth="1"/>
    <col min="9989" max="9989" width="12.28515625" style="346" customWidth="1"/>
    <col min="9990" max="9990" width="15.42578125" style="346" customWidth="1"/>
    <col min="9991" max="10240" width="9.140625" style="346"/>
    <col min="10241" max="10241" width="13.7109375" style="346" customWidth="1"/>
    <col min="10242" max="10242" width="56.28515625" style="346" customWidth="1"/>
    <col min="10243" max="10243" width="13.42578125" style="346" customWidth="1"/>
    <col min="10244" max="10244" width="11.28515625" style="346" customWidth="1"/>
    <col min="10245" max="10245" width="12.28515625" style="346" customWidth="1"/>
    <col min="10246" max="10246" width="15.42578125" style="346" customWidth="1"/>
    <col min="10247" max="10496" width="9.140625" style="346"/>
    <col min="10497" max="10497" width="13.7109375" style="346" customWidth="1"/>
    <col min="10498" max="10498" width="56.28515625" style="346" customWidth="1"/>
    <col min="10499" max="10499" width="13.42578125" style="346" customWidth="1"/>
    <col min="10500" max="10500" width="11.28515625" style="346" customWidth="1"/>
    <col min="10501" max="10501" width="12.28515625" style="346" customWidth="1"/>
    <col min="10502" max="10502" width="15.42578125" style="346" customWidth="1"/>
    <col min="10503" max="10752" width="9.140625" style="346"/>
    <col min="10753" max="10753" width="13.7109375" style="346" customWidth="1"/>
    <col min="10754" max="10754" width="56.28515625" style="346" customWidth="1"/>
    <col min="10755" max="10755" width="13.42578125" style="346" customWidth="1"/>
    <col min="10756" max="10756" width="11.28515625" style="346" customWidth="1"/>
    <col min="10757" max="10757" width="12.28515625" style="346" customWidth="1"/>
    <col min="10758" max="10758" width="15.42578125" style="346" customWidth="1"/>
    <col min="10759" max="11008" width="9.140625" style="346"/>
    <col min="11009" max="11009" width="13.7109375" style="346" customWidth="1"/>
    <col min="11010" max="11010" width="56.28515625" style="346" customWidth="1"/>
    <col min="11011" max="11011" width="13.42578125" style="346" customWidth="1"/>
    <col min="11012" max="11012" width="11.28515625" style="346" customWidth="1"/>
    <col min="11013" max="11013" width="12.28515625" style="346" customWidth="1"/>
    <col min="11014" max="11014" width="15.42578125" style="346" customWidth="1"/>
    <col min="11015" max="11264" width="9.140625" style="346"/>
    <col min="11265" max="11265" width="13.7109375" style="346" customWidth="1"/>
    <col min="11266" max="11266" width="56.28515625" style="346" customWidth="1"/>
    <col min="11267" max="11267" width="13.42578125" style="346" customWidth="1"/>
    <col min="11268" max="11268" width="11.28515625" style="346" customWidth="1"/>
    <col min="11269" max="11269" width="12.28515625" style="346" customWidth="1"/>
    <col min="11270" max="11270" width="15.42578125" style="346" customWidth="1"/>
    <col min="11271" max="11520" width="9.140625" style="346"/>
    <col min="11521" max="11521" width="13.7109375" style="346" customWidth="1"/>
    <col min="11522" max="11522" width="56.28515625" style="346" customWidth="1"/>
    <col min="11523" max="11523" width="13.42578125" style="346" customWidth="1"/>
    <col min="11524" max="11524" width="11.28515625" style="346" customWidth="1"/>
    <col min="11525" max="11525" width="12.28515625" style="346" customWidth="1"/>
    <col min="11526" max="11526" width="15.42578125" style="346" customWidth="1"/>
    <col min="11527" max="11776" width="9.140625" style="346"/>
    <col min="11777" max="11777" width="13.7109375" style="346" customWidth="1"/>
    <col min="11778" max="11778" width="56.28515625" style="346" customWidth="1"/>
    <col min="11779" max="11779" width="13.42578125" style="346" customWidth="1"/>
    <col min="11780" max="11780" width="11.28515625" style="346" customWidth="1"/>
    <col min="11781" max="11781" width="12.28515625" style="346" customWidth="1"/>
    <col min="11782" max="11782" width="15.42578125" style="346" customWidth="1"/>
    <col min="11783" max="12032" width="9.140625" style="346"/>
    <col min="12033" max="12033" width="13.7109375" style="346" customWidth="1"/>
    <col min="12034" max="12034" width="56.28515625" style="346" customWidth="1"/>
    <col min="12035" max="12035" width="13.42578125" style="346" customWidth="1"/>
    <col min="12036" max="12036" width="11.28515625" style="346" customWidth="1"/>
    <col min="12037" max="12037" width="12.28515625" style="346" customWidth="1"/>
    <col min="12038" max="12038" width="15.42578125" style="346" customWidth="1"/>
    <col min="12039" max="12288" width="9.140625" style="346"/>
    <col min="12289" max="12289" width="13.7109375" style="346" customWidth="1"/>
    <col min="12290" max="12290" width="56.28515625" style="346" customWidth="1"/>
    <col min="12291" max="12291" width="13.42578125" style="346" customWidth="1"/>
    <col min="12292" max="12292" width="11.28515625" style="346" customWidth="1"/>
    <col min="12293" max="12293" width="12.28515625" style="346" customWidth="1"/>
    <col min="12294" max="12294" width="15.42578125" style="346" customWidth="1"/>
    <col min="12295" max="12544" width="9.140625" style="346"/>
    <col min="12545" max="12545" width="13.7109375" style="346" customWidth="1"/>
    <col min="12546" max="12546" width="56.28515625" style="346" customWidth="1"/>
    <col min="12547" max="12547" width="13.42578125" style="346" customWidth="1"/>
    <col min="12548" max="12548" width="11.28515625" style="346" customWidth="1"/>
    <col min="12549" max="12549" width="12.28515625" style="346" customWidth="1"/>
    <col min="12550" max="12550" width="15.42578125" style="346" customWidth="1"/>
    <col min="12551" max="12800" width="9.140625" style="346"/>
    <col min="12801" max="12801" width="13.7109375" style="346" customWidth="1"/>
    <col min="12802" max="12802" width="56.28515625" style="346" customWidth="1"/>
    <col min="12803" max="12803" width="13.42578125" style="346" customWidth="1"/>
    <col min="12804" max="12804" width="11.28515625" style="346" customWidth="1"/>
    <col min="12805" max="12805" width="12.28515625" style="346" customWidth="1"/>
    <col min="12806" max="12806" width="15.42578125" style="346" customWidth="1"/>
    <col min="12807" max="13056" width="9.140625" style="346"/>
    <col min="13057" max="13057" width="13.7109375" style="346" customWidth="1"/>
    <col min="13058" max="13058" width="56.28515625" style="346" customWidth="1"/>
    <col min="13059" max="13059" width="13.42578125" style="346" customWidth="1"/>
    <col min="13060" max="13060" width="11.28515625" style="346" customWidth="1"/>
    <col min="13061" max="13061" width="12.28515625" style="346" customWidth="1"/>
    <col min="13062" max="13062" width="15.42578125" style="346" customWidth="1"/>
    <col min="13063" max="13312" width="9.140625" style="346"/>
    <col min="13313" max="13313" width="13.7109375" style="346" customWidth="1"/>
    <col min="13314" max="13314" width="56.28515625" style="346" customWidth="1"/>
    <col min="13315" max="13315" width="13.42578125" style="346" customWidth="1"/>
    <col min="13316" max="13316" width="11.28515625" style="346" customWidth="1"/>
    <col min="13317" max="13317" width="12.28515625" style="346" customWidth="1"/>
    <col min="13318" max="13318" width="15.42578125" style="346" customWidth="1"/>
    <col min="13319" max="13568" width="9.140625" style="346"/>
    <col min="13569" max="13569" width="13.7109375" style="346" customWidth="1"/>
    <col min="13570" max="13570" width="56.28515625" style="346" customWidth="1"/>
    <col min="13571" max="13571" width="13.42578125" style="346" customWidth="1"/>
    <col min="13572" max="13572" width="11.28515625" style="346" customWidth="1"/>
    <col min="13573" max="13573" width="12.28515625" style="346" customWidth="1"/>
    <col min="13574" max="13574" width="15.42578125" style="346" customWidth="1"/>
    <col min="13575" max="13824" width="9.140625" style="346"/>
    <col min="13825" max="13825" width="13.7109375" style="346" customWidth="1"/>
    <col min="13826" max="13826" width="56.28515625" style="346" customWidth="1"/>
    <col min="13827" max="13827" width="13.42578125" style="346" customWidth="1"/>
    <col min="13828" max="13828" width="11.28515625" style="346" customWidth="1"/>
    <col min="13829" max="13829" width="12.28515625" style="346" customWidth="1"/>
    <col min="13830" max="13830" width="15.42578125" style="346" customWidth="1"/>
    <col min="13831" max="14080" width="9.140625" style="346"/>
    <col min="14081" max="14081" width="13.7109375" style="346" customWidth="1"/>
    <col min="14082" max="14082" width="56.28515625" style="346" customWidth="1"/>
    <col min="14083" max="14083" width="13.42578125" style="346" customWidth="1"/>
    <col min="14084" max="14084" width="11.28515625" style="346" customWidth="1"/>
    <col min="14085" max="14085" width="12.28515625" style="346" customWidth="1"/>
    <col min="14086" max="14086" width="15.42578125" style="346" customWidth="1"/>
    <col min="14087" max="14336" width="9.140625" style="346"/>
    <col min="14337" max="14337" width="13.7109375" style="346" customWidth="1"/>
    <col min="14338" max="14338" width="56.28515625" style="346" customWidth="1"/>
    <col min="14339" max="14339" width="13.42578125" style="346" customWidth="1"/>
    <col min="14340" max="14340" width="11.28515625" style="346" customWidth="1"/>
    <col min="14341" max="14341" width="12.28515625" style="346" customWidth="1"/>
    <col min="14342" max="14342" width="15.42578125" style="346" customWidth="1"/>
    <col min="14343" max="14592" width="9.140625" style="346"/>
    <col min="14593" max="14593" width="13.7109375" style="346" customWidth="1"/>
    <col min="14594" max="14594" width="56.28515625" style="346" customWidth="1"/>
    <col min="14595" max="14595" width="13.42578125" style="346" customWidth="1"/>
    <col min="14596" max="14596" width="11.28515625" style="346" customWidth="1"/>
    <col min="14597" max="14597" width="12.28515625" style="346" customWidth="1"/>
    <col min="14598" max="14598" width="15.42578125" style="346" customWidth="1"/>
    <col min="14599" max="14848" width="9.140625" style="346"/>
    <col min="14849" max="14849" width="13.7109375" style="346" customWidth="1"/>
    <col min="14850" max="14850" width="56.28515625" style="346" customWidth="1"/>
    <col min="14851" max="14851" width="13.42578125" style="346" customWidth="1"/>
    <col min="14852" max="14852" width="11.28515625" style="346" customWidth="1"/>
    <col min="14853" max="14853" width="12.28515625" style="346" customWidth="1"/>
    <col min="14854" max="14854" width="15.42578125" style="346" customWidth="1"/>
    <col min="14855" max="15104" width="9.140625" style="346"/>
    <col min="15105" max="15105" width="13.7109375" style="346" customWidth="1"/>
    <col min="15106" max="15106" width="56.28515625" style="346" customWidth="1"/>
    <col min="15107" max="15107" width="13.42578125" style="346" customWidth="1"/>
    <col min="15108" max="15108" width="11.28515625" style="346" customWidth="1"/>
    <col min="15109" max="15109" width="12.28515625" style="346" customWidth="1"/>
    <col min="15110" max="15110" width="15.42578125" style="346" customWidth="1"/>
    <col min="15111" max="15360" width="9.140625" style="346"/>
    <col min="15361" max="15361" width="13.7109375" style="346" customWidth="1"/>
    <col min="15362" max="15362" width="56.28515625" style="346" customWidth="1"/>
    <col min="15363" max="15363" width="13.42578125" style="346" customWidth="1"/>
    <col min="15364" max="15364" width="11.28515625" style="346" customWidth="1"/>
    <col min="15365" max="15365" width="12.28515625" style="346" customWidth="1"/>
    <col min="15366" max="15366" width="15.42578125" style="346" customWidth="1"/>
    <col min="15367" max="15616" width="9.140625" style="346"/>
    <col min="15617" max="15617" width="13.7109375" style="346" customWidth="1"/>
    <col min="15618" max="15618" width="56.28515625" style="346" customWidth="1"/>
    <col min="15619" max="15619" width="13.42578125" style="346" customWidth="1"/>
    <col min="15620" max="15620" width="11.28515625" style="346" customWidth="1"/>
    <col min="15621" max="15621" width="12.28515625" style="346" customWidth="1"/>
    <col min="15622" max="15622" width="15.42578125" style="346" customWidth="1"/>
    <col min="15623" max="15872" width="9.140625" style="346"/>
    <col min="15873" max="15873" width="13.7109375" style="346" customWidth="1"/>
    <col min="15874" max="15874" width="56.28515625" style="346" customWidth="1"/>
    <col min="15875" max="15875" width="13.42578125" style="346" customWidth="1"/>
    <col min="15876" max="15876" width="11.28515625" style="346" customWidth="1"/>
    <col min="15877" max="15877" width="12.28515625" style="346" customWidth="1"/>
    <col min="15878" max="15878" width="15.42578125" style="346" customWidth="1"/>
    <col min="15879" max="16128" width="9.140625" style="346"/>
    <col min="16129" max="16129" width="13.7109375" style="346" customWidth="1"/>
    <col min="16130" max="16130" width="56.28515625" style="346" customWidth="1"/>
    <col min="16131" max="16131" width="13.42578125" style="346" customWidth="1"/>
    <col min="16132" max="16132" width="11.28515625" style="346" customWidth="1"/>
    <col min="16133" max="16133" width="12.28515625" style="346" customWidth="1"/>
    <col min="16134" max="16134" width="15.42578125" style="346" customWidth="1"/>
    <col min="16135" max="16384" width="9.140625" style="346"/>
  </cols>
  <sheetData>
    <row r="1" spans="1:7" ht="27" customHeight="1">
      <c r="A1" s="520" t="s">
        <v>403</v>
      </c>
      <c r="B1" s="520"/>
      <c r="C1" s="520"/>
      <c r="D1" s="520"/>
      <c r="E1" s="520"/>
      <c r="F1" s="520"/>
      <c r="G1" s="367"/>
    </row>
    <row r="2" spans="1:7">
      <c r="F2" s="347" t="s">
        <v>310</v>
      </c>
    </row>
    <row r="3" spans="1:7" ht="36.75" customHeight="1">
      <c r="A3" s="348" t="s">
        <v>311</v>
      </c>
      <c r="B3" s="348" t="s">
        <v>312</v>
      </c>
      <c r="C3" s="348" t="s">
        <v>154</v>
      </c>
      <c r="D3" s="348" t="s">
        <v>64</v>
      </c>
      <c r="E3" s="348" t="s">
        <v>65</v>
      </c>
      <c r="F3" s="348" t="s">
        <v>22</v>
      </c>
    </row>
    <row r="4" spans="1:7">
      <c r="A4" s="349" t="s">
        <v>335</v>
      </c>
      <c r="B4" s="368" t="s">
        <v>336</v>
      </c>
      <c r="C4" s="351"/>
      <c r="D4" s="369"/>
      <c r="E4" s="351"/>
      <c r="F4" s="355"/>
    </row>
    <row r="5" spans="1:7" ht="30">
      <c r="A5" s="349" t="s">
        <v>337</v>
      </c>
      <c r="B5" s="351" t="s">
        <v>338</v>
      </c>
      <c r="C5" s="370"/>
      <c r="D5" s="370"/>
      <c r="E5" s="370"/>
      <c r="F5" s="370"/>
    </row>
    <row r="6" spans="1:7">
      <c r="A6" s="349"/>
      <c r="B6" s="351" t="s">
        <v>339</v>
      </c>
      <c r="C6" s="369">
        <f>Adv_LI!$C$12</f>
        <v>1111</v>
      </c>
      <c r="D6" s="357">
        <v>109.7</v>
      </c>
      <c r="E6" s="351" t="s">
        <v>340</v>
      </c>
      <c r="F6" s="355">
        <f>ROUND(C6*D6/100,0)</f>
        <v>1219</v>
      </c>
    </row>
    <row r="7" spans="1:7" ht="45">
      <c r="A7" s="371" t="s">
        <v>341</v>
      </c>
      <c r="B7" s="372" t="s">
        <v>342</v>
      </c>
      <c r="C7" s="369"/>
      <c r="D7" s="373"/>
      <c r="E7" s="374"/>
      <c r="F7" s="355"/>
    </row>
    <row r="8" spans="1:7">
      <c r="A8" s="371"/>
      <c r="B8" s="351" t="s">
        <v>339</v>
      </c>
      <c r="C8" s="369">
        <f>Adv_LI!$C$12</f>
        <v>1111</v>
      </c>
      <c r="D8" s="357">
        <f>3.85*20</f>
        <v>77</v>
      </c>
      <c r="E8" s="375" t="s">
        <v>340</v>
      </c>
      <c r="F8" s="355">
        <f>ROUND(C8*D8/100,0)</f>
        <v>855</v>
      </c>
    </row>
    <row r="9" spans="1:7" ht="45">
      <c r="A9" s="371" t="s">
        <v>343</v>
      </c>
      <c r="B9" s="372" t="s">
        <v>344</v>
      </c>
      <c r="C9" s="369"/>
      <c r="D9" s="373"/>
      <c r="E9" s="374"/>
      <c r="F9" s="355"/>
    </row>
    <row r="10" spans="1:7">
      <c r="A10" s="371"/>
      <c r="B10" s="351" t="s">
        <v>339</v>
      </c>
      <c r="C10" s="369">
        <f>Adv_LI!$C$12</f>
        <v>1111</v>
      </c>
      <c r="D10" s="357">
        <f>1.95*20</f>
        <v>39</v>
      </c>
      <c r="E10" s="375" t="s">
        <v>340</v>
      </c>
      <c r="F10" s="355">
        <f>ROUND(C10*D10/100,0)</f>
        <v>433</v>
      </c>
    </row>
    <row r="11" spans="1:7" ht="30.75" customHeight="1">
      <c r="A11" s="371" t="s">
        <v>345</v>
      </c>
      <c r="B11" s="372" t="s">
        <v>346</v>
      </c>
      <c r="C11" s="369"/>
      <c r="D11" s="373"/>
      <c r="E11" s="374"/>
      <c r="F11" s="376"/>
    </row>
    <row r="12" spans="1:7">
      <c r="A12" s="371"/>
      <c r="B12" s="351" t="s">
        <v>339</v>
      </c>
      <c r="C12" s="369">
        <f>Adv_LI!$C$12</f>
        <v>1111</v>
      </c>
      <c r="D12" s="373">
        <v>87.45</v>
      </c>
      <c r="E12" s="375" t="s">
        <v>340</v>
      </c>
      <c r="F12" s="354">
        <f>ROUND(C12*D12/100,0)</f>
        <v>972</v>
      </c>
    </row>
    <row r="13" spans="1:7" ht="75">
      <c r="A13" s="371"/>
      <c r="B13" s="372" t="s">
        <v>347</v>
      </c>
      <c r="C13" s="369"/>
      <c r="D13" s="373"/>
      <c r="E13" s="374"/>
      <c r="F13" s="377"/>
    </row>
    <row r="14" spans="1:7" ht="90">
      <c r="A14" s="371" t="s">
        <v>348</v>
      </c>
      <c r="B14" s="372" t="s">
        <v>349</v>
      </c>
      <c r="C14" s="369">
        <f>Adv_LI!$C$12</f>
        <v>1111</v>
      </c>
      <c r="D14" s="373">
        <v>37.4</v>
      </c>
      <c r="E14" s="374" t="s">
        <v>340</v>
      </c>
      <c r="F14" s="354">
        <f>ROUND(C14*D14/100,0)</f>
        <v>416</v>
      </c>
    </row>
    <row r="15" spans="1:7" ht="30">
      <c r="A15" s="378" t="s">
        <v>350</v>
      </c>
      <c r="B15" s="379" t="s">
        <v>351</v>
      </c>
      <c r="C15" s="380" t="s">
        <v>352</v>
      </c>
      <c r="D15" s="381">
        <f>1111*2</f>
        <v>2222</v>
      </c>
      <c r="E15" s="380" t="s">
        <v>353</v>
      </c>
      <c r="F15" s="382">
        <v>2222</v>
      </c>
    </row>
    <row r="16" spans="1:7" ht="18">
      <c r="A16" s="371" t="s">
        <v>354</v>
      </c>
      <c r="B16" s="358" t="s">
        <v>355</v>
      </c>
      <c r="C16" s="369">
        <f>Adv_LI!$C$12</f>
        <v>1111</v>
      </c>
      <c r="D16" s="373">
        <v>416.65</v>
      </c>
      <c r="E16" s="374" t="s">
        <v>340</v>
      </c>
      <c r="F16" s="354">
        <f>ROUND(C16*D16/100,0)</f>
        <v>4629</v>
      </c>
    </row>
    <row r="17" spans="1:8">
      <c r="A17" s="371" t="s">
        <v>356</v>
      </c>
      <c r="B17" s="358" t="s">
        <v>357</v>
      </c>
      <c r="C17" s="369">
        <f>Adv_LI!$C$12</f>
        <v>1111</v>
      </c>
      <c r="D17" s="383">
        <f>252.25*8</f>
        <v>2018</v>
      </c>
      <c r="E17" s="374" t="s">
        <v>340</v>
      </c>
      <c r="F17" s="354">
        <f>ROUND(C17*D17/100,0)</f>
        <v>22420</v>
      </c>
    </row>
    <row r="18" spans="1:8" ht="81.75" customHeight="1">
      <c r="A18" s="371" t="s">
        <v>358</v>
      </c>
      <c r="B18" s="372" t="s">
        <v>359</v>
      </c>
      <c r="C18" s="521" t="s">
        <v>360</v>
      </c>
      <c r="D18" s="521"/>
      <c r="E18" s="375"/>
      <c r="F18" s="377"/>
    </row>
    <row r="19" spans="1:8" ht="30">
      <c r="A19" s="349" t="s">
        <v>327</v>
      </c>
      <c r="B19" s="351" t="s">
        <v>361</v>
      </c>
      <c r="C19" s="369">
        <f>Adv_LI!$C$12*0.2</f>
        <v>222.20000000000002</v>
      </c>
      <c r="D19" s="369">
        <v>12.175000000000001</v>
      </c>
      <c r="E19" s="375" t="s">
        <v>330</v>
      </c>
      <c r="F19" s="354">
        <f>ROUND(C19*D19,0)</f>
        <v>2705</v>
      </c>
      <c r="G19" s="346">
        <f>0.45*0.45*0.45</f>
        <v>9.1125000000000012E-2</v>
      </c>
      <c r="H19" s="346">
        <f>D19/G19</f>
        <v>133.6076817558299</v>
      </c>
    </row>
    <row r="20" spans="1:8" ht="30">
      <c r="A20" s="371" t="s">
        <v>337</v>
      </c>
      <c r="B20" s="358" t="s">
        <v>362</v>
      </c>
      <c r="C20" s="369">
        <f>Adv_LI!$C$12*0.2</f>
        <v>222.20000000000002</v>
      </c>
      <c r="D20" s="384">
        <f>D6</f>
        <v>109.7</v>
      </c>
      <c r="E20" s="375" t="s">
        <v>340</v>
      </c>
      <c r="F20" s="354">
        <f>ROUND(C20*D20/100,0)</f>
        <v>244</v>
      </c>
    </row>
    <row r="21" spans="1:8" ht="30">
      <c r="A21" s="371" t="s">
        <v>341</v>
      </c>
      <c r="B21" s="358" t="s">
        <v>363</v>
      </c>
      <c r="C21" s="369">
        <f>Adv_LI!$C$12*0.2</f>
        <v>222.20000000000002</v>
      </c>
      <c r="D21" s="384">
        <f>D8</f>
        <v>77</v>
      </c>
      <c r="E21" s="375" t="s">
        <v>340</v>
      </c>
      <c r="F21" s="354">
        <f>ROUND(C21*D21/100,0)</f>
        <v>171</v>
      </c>
    </row>
    <row r="22" spans="1:8" ht="30">
      <c r="A22" s="371" t="s">
        <v>343</v>
      </c>
      <c r="B22" s="358" t="s">
        <v>364</v>
      </c>
      <c r="C22" s="369">
        <f>Adv_LI!$C$12*0.2</f>
        <v>222.20000000000002</v>
      </c>
      <c r="D22" s="384">
        <f>D10</f>
        <v>39</v>
      </c>
      <c r="E22" s="375" t="s">
        <v>340</v>
      </c>
      <c r="F22" s="354">
        <f>ROUND(C22*D22/100,0)</f>
        <v>87</v>
      </c>
    </row>
    <row r="23" spans="1:8" ht="30">
      <c r="A23" s="371" t="s">
        <v>345</v>
      </c>
      <c r="B23" s="358" t="s">
        <v>365</v>
      </c>
      <c r="C23" s="369">
        <f>Adv_LI!$C$12*0.2</f>
        <v>222.20000000000002</v>
      </c>
      <c r="D23" s="384">
        <f>D12</f>
        <v>87.45</v>
      </c>
      <c r="E23" s="375" t="s">
        <v>340</v>
      </c>
      <c r="F23" s="354">
        <f>ROUND(C23*D23/100,0)</f>
        <v>194</v>
      </c>
    </row>
    <row r="24" spans="1:8" ht="18">
      <c r="A24" s="371" t="s">
        <v>354</v>
      </c>
      <c r="B24" s="358" t="s">
        <v>355</v>
      </c>
      <c r="C24" s="369">
        <f>Adv_LI!$C$12*0.2</f>
        <v>222.20000000000002</v>
      </c>
      <c r="D24" s="384">
        <f>D16</f>
        <v>416.65</v>
      </c>
      <c r="E24" s="375" t="s">
        <v>340</v>
      </c>
      <c r="F24" s="354">
        <f>ROUND(C24*D24/100,0)</f>
        <v>926</v>
      </c>
    </row>
    <row r="25" spans="1:8">
      <c r="A25" s="371" t="s">
        <v>366</v>
      </c>
      <c r="B25" s="385" t="s">
        <v>367</v>
      </c>
      <c r="C25" s="369">
        <f>Adv_LI!$C$12</f>
        <v>1111</v>
      </c>
      <c r="D25" s="357">
        <v>1.2</v>
      </c>
      <c r="E25" s="375" t="s">
        <v>330</v>
      </c>
      <c r="F25" s="354">
        <f>ROUND(C25*D25,0)</f>
        <v>1333</v>
      </c>
    </row>
    <row r="26" spans="1:8">
      <c r="A26" s="371" t="s">
        <v>368</v>
      </c>
      <c r="B26" s="385" t="s">
        <v>369</v>
      </c>
      <c r="C26" s="369">
        <f>Adv_LI!$C$12</f>
        <v>1111</v>
      </c>
      <c r="D26" s="373">
        <v>37.4</v>
      </c>
      <c r="E26" s="374" t="s">
        <v>340</v>
      </c>
      <c r="F26" s="354">
        <f>ROUND(C26*D26/100,0)</f>
        <v>416</v>
      </c>
    </row>
    <row r="27" spans="1:8" ht="33">
      <c r="A27" s="371" t="s">
        <v>370</v>
      </c>
      <c r="B27" s="358" t="s">
        <v>371</v>
      </c>
      <c r="C27" s="369">
        <f>Adv_LI!$C$12</f>
        <v>1111</v>
      </c>
      <c r="D27" s="373">
        <v>119.05</v>
      </c>
      <c r="E27" s="374" t="s">
        <v>340</v>
      </c>
      <c r="F27" s="354">
        <f>ROUND(C27*D27/100,0)</f>
        <v>1323</v>
      </c>
    </row>
    <row r="28" spans="1:8" ht="33">
      <c r="A28" s="371" t="s">
        <v>372</v>
      </c>
      <c r="B28" s="358" t="s">
        <v>373</v>
      </c>
      <c r="C28" s="369">
        <f>Adv_LI!$C$12</f>
        <v>1111</v>
      </c>
      <c r="D28" s="373">
        <v>119.05</v>
      </c>
      <c r="E28" s="374" t="s">
        <v>340</v>
      </c>
      <c r="F28" s="354">
        <f>ROUND(C28*D28/100,0)</f>
        <v>1323</v>
      </c>
    </row>
    <row r="29" spans="1:8" ht="62.25" customHeight="1">
      <c r="A29" s="371" t="s">
        <v>374</v>
      </c>
      <c r="B29" s="358" t="s">
        <v>375</v>
      </c>
      <c r="C29" s="375"/>
      <c r="D29" s="374"/>
      <c r="E29" s="374"/>
      <c r="F29" s="377"/>
    </row>
    <row r="30" spans="1:8">
      <c r="A30" s="371"/>
      <c r="B30" s="358" t="s">
        <v>376</v>
      </c>
      <c r="C30" s="369">
        <f>Adv_LI!$C$12</f>
        <v>1111</v>
      </c>
      <c r="D30" s="373">
        <v>625</v>
      </c>
      <c r="E30" s="374" t="s">
        <v>340</v>
      </c>
      <c r="F30" s="354">
        <f>ROUND(C30*D30/100,0)</f>
        <v>6944</v>
      </c>
    </row>
    <row r="31" spans="1:8" ht="75">
      <c r="A31" s="371" t="s">
        <v>377</v>
      </c>
      <c r="B31" s="372" t="s">
        <v>378</v>
      </c>
      <c r="C31" s="375"/>
      <c r="D31" s="373"/>
      <c r="E31" s="374"/>
      <c r="F31" s="377"/>
    </row>
    <row r="32" spans="1:8" ht="30">
      <c r="A32" s="371"/>
      <c r="B32" s="385" t="s">
        <v>379</v>
      </c>
      <c r="C32" s="369">
        <v>1</v>
      </c>
      <c r="D32" s="373">
        <v>1393.6</v>
      </c>
      <c r="E32" s="374" t="s">
        <v>353</v>
      </c>
      <c r="F32" s="354">
        <f>ROUND(C32*D32,0)</f>
        <v>1394</v>
      </c>
    </row>
    <row r="33" spans="1:7" ht="45">
      <c r="A33" s="371" t="s">
        <v>380</v>
      </c>
      <c r="B33" s="372" t="s">
        <v>381</v>
      </c>
      <c r="C33" s="352">
        <v>1</v>
      </c>
      <c r="D33" s="373">
        <f>8757*12/15</f>
        <v>7005.6</v>
      </c>
      <c r="E33" s="386" t="s">
        <v>79</v>
      </c>
      <c r="F33" s="377"/>
    </row>
    <row r="34" spans="1:7" ht="21" customHeight="1">
      <c r="A34" s="361"/>
      <c r="B34" s="361"/>
      <c r="C34" s="361"/>
      <c r="D34" s="362" t="s">
        <v>38</v>
      </c>
      <c r="E34" s="361"/>
      <c r="F34" s="363">
        <f>SUM(F4:F33)</f>
        <v>50226</v>
      </c>
    </row>
    <row r="35" spans="1:7" ht="15.75">
      <c r="C35" s="364" t="s">
        <v>333</v>
      </c>
      <c r="D35" s="364"/>
      <c r="E35" s="364"/>
      <c r="F35" s="387">
        <f>F34</f>
        <v>50226</v>
      </c>
      <c r="G35" s="365">
        <f>F35/100000</f>
        <v>0.50226000000000004</v>
      </c>
    </row>
    <row r="37" spans="1:7">
      <c r="D37" s="366" t="s">
        <v>334</v>
      </c>
      <c r="E37" s="366"/>
    </row>
    <row r="38" spans="1:7">
      <c r="D38" s="366"/>
      <c r="E38" s="366"/>
    </row>
  </sheetData>
  <mergeCells count="2">
    <mergeCell ref="A1:F1"/>
    <mergeCell ref="C18:D18"/>
  </mergeCells>
  <printOptions horizontalCentered="1"/>
  <pageMargins left="0.42" right="0.23622047244094499" top="0.86614173228346503" bottom="0.47244094488188998" header="0.511811023622047" footer="0.511811023622047"/>
  <pageSetup paperSize="5" scale="7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1"/>
  <sheetViews>
    <sheetView view="pageBreakPreview" zoomScale="115" zoomScaleNormal="140" zoomScaleSheetLayoutView="115" workbookViewId="0">
      <pane xSplit="1" ySplit="3" topLeftCell="B4" activePane="bottomRight" state="frozen"/>
      <selection pane="topRight" activeCell="C1" sqref="C1"/>
      <selection pane="bottomLeft" activeCell="A5" sqref="A5"/>
      <selection pane="bottomRight" activeCell="C13" sqref="C13"/>
    </sheetView>
  </sheetViews>
  <sheetFormatPr defaultRowHeight="15"/>
  <cols>
    <col min="1" max="1" width="10.140625" style="346" bestFit="1" customWidth="1"/>
    <col min="2" max="2" width="49.42578125" style="346" customWidth="1"/>
    <col min="3" max="3" width="10" style="346" customWidth="1"/>
    <col min="4" max="4" width="10.7109375" style="346" bestFit="1" customWidth="1"/>
    <col min="5" max="5" width="10.85546875" style="346" bestFit="1" customWidth="1"/>
    <col min="6" max="6" width="14.42578125" style="346" customWidth="1"/>
    <col min="7" max="255" width="9.140625" style="346"/>
    <col min="256" max="256" width="4.85546875" style="346" customWidth="1"/>
    <col min="257" max="257" width="13.7109375" style="346" customWidth="1"/>
    <col min="258" max="258" width="58.28515625" style="346" customWidth="1"/>
    <col min="259" max="259" width="13.42578125" style="346" customWidth="1"/>
    <col min="260" max="260" width="9.140625" style="346"/>
    <col min="261" max="261" width="11" style="346" customWidth="1"/>
    <col min="262" max="262" width="15.42578125" style="346" customWidth="1"/>
    <col min="263" max="511" width="9.140625" style="346"/>
    <col min="512" max="512" width="4.85546875" style="346" customWidth="1"/>
    <col min="513" max="513" width="13.7109375" style="346" customWidth="1"/>
    <col min="514" max="514" width="58.28515625" style="346" customWidth="1"/>
    <col min="515" max="515" width="13.42578125" style="346" customWidth="1"/>
    <col min="516" max="516" width="9.140625" style="346"/>
    <col min="517" max="517" width="11" style="346" customWidth="1"/>
    <col min="518" max="518" width="15.42578125" style="346" customWidth="1"/>
    <col min="519" max="767" width="9.140625" style="346"/>
    <col min="768" max="768" width="4.85546875" style="346" customWidth="1"/>
    <col min="769" max="769" width="13.7109375" style="346" customWidth="1"/>
    <col min="770" max="770" width="58.28515625" style="346" customWidth="1"/>
    <col min="771" max="771" width="13.42578125" style="346" customWidth="1"/>
    <col min="772" max="772" width="9.140625" style="346"/>
    <col min="773" max="773" width="11" style="346" customWidth="1"/>
    <col min="774" max="774" width="15.42578125" style="346" customWidth="1"/>
    <col min="775" max="1023" width="9.140625" style="346"/>
    <col min="1024" max="1024" width="4.85546875" style="346" customWidth="1"/>
    <col min="1025" max="1025" width="13.7109375" style="346" customWidth="1"/>
    <col min="1026" max="1026" width="58.28515625" style="346" customWidth="1"/>
    <col min="1027" max="1027" width="13.42578125" style="346" customWidth="1"/>
    <col min="1028" max="1028" width="9.140625" style="346"/>
    <col min="1029" max="1029" width="11" style="346" customWidth="1"/>
    <col min="1030" max="1030" width="15.42578125" style="346" customWidth="1"/>
    <col min="1031" max="1279" width="9.140625" style="346"/>
    <col min="1280" max="1280" width="4.85546875" style="346" customWidth="1"/>
    <col min="1281" max="1281" width="13.7109375" style="346" customWidth="1"/>
    <col min="1282" max="1282" width="58.28515625" style="346" customWidth="1"/>
    <col min="1283" max="1283" width="13.42578125" style="346" customWidth="1"/>
    <col min="1284" max="1284" width="9.140625" style="346"/>
    <col min="1285" max="1285" width="11" style="346" customWidth="1"/>
    <col min="1286" max="1286" width="15.42578125" style="346" customWidth="1"/>
    <col min="1287" max="1535" width="9.140625" style="346"/>
    <col min="1536" max="1536" width="4.85546875" style="346" customWidth="1"/>
    <col min="1537" max="1537" width="13.7109375" style="346" customWidth="1"/>
    <col min="1538" max="1538" width="58.28515625" style="346" customWidth="1"/>
    <col min="1539" max="1539" width="13.42578125" style="346" customWidth="1"/>
    <col min="1540" max="1540" width="9.140625" style="346"/>
    <col min="1541" max="1541" width="11" style="346" customWidth="1"/>
    <col min="1542" max="1542" width="15.42578125" style="346" customWidth="1"/>
    <col min="1543" max="1791" width="9.140625" style="346"/>
    <col min="1792" max="1792" width="4.85546875" style="346" customWidth="1"/>
    <col min="1793" max="1793" width="13.7109375" style="346" customWidth="1"/>
    <col min="1794" max="1794" width="58.28515625" style="346" customWidth="1"/>
    <col min="1795" max="1795" width="13.42578125" style="346" customWidth="1"/>
    <col min="1796" max="1796" width="9.140625" style="346"/>
    <col min="1797" max="1797" width="11" style="346" customWidth="1"/>
    <col min="1798" max="1798" width="15.42578125" style="346" customWidth="1"/>
    <col min="1799" max="2047" width="9.140625" style="346"/>
    <col min="2048" max="2048" width="4.85546875" style="346" customWidth="1"/>
    <col min="2049" max="2049" width="13.7109375" style="346" customWidth="1"/>
    <col min="2050" max="2050" width="58.28515625" style="346" customWidth="1"/>
    <col min="2051" max="2051" width="13.42578125" style="346" customWidth="1"/>
    <col min="2052" max="2052" width="9.140625" style="346"/>
    <col min="2053" max="2053" width="11" style="346" customWidth="1"/>
    <col min="2054" max="2054" width="15.42578125" style="346" customWidth="1"/>
    <col min="2055" max="2303" width="9.140625" style="346"/>
    <col min="2304" max="2304" width="4.85546875" style="346" customWidth="1"/>
    <col min="2305" max="2305" width="13.7109375" style="346" customWidth="1"/>
    <col min="2306" max="2306" width="58.28515625" style="346" customWidth="1"/>
    <col min="2307" max="2307" width="13.42578125" style="346" customWidth="1"/>
    <col min="2308" max="2308" width="9.140625" style="346"/>
    <col min="2309" max="2309" width="11" style="346" customWidth="1"/>
    <col min="2310" max="2310" width="15.42578125" style="346" customWidth="1"/>
    <col min="2311" max="2559" width="9.140625" style="346"/>
    <col min="2560" max="2560" width="4.85546875" style="346" customWidth="1"/>
    <col min="2561" max="2561" width="13.7109375" style="346" customWidth="1"/>
    <col min="2562" max="2562" width="58.28515625" style="346" customWidth="1"/>
    <col min="2563" max="2563" width="13.42578125" style="346" customWidth="1"/>
    <col min="2564" max="2564" width="9.140625" style="346"/>
    <col min="2565" max="2565" width="11" style="346" customWidth="1"/>
    <col min="2566" max="2566" width="15.42578125" style="346" customWidth="1"/>
    <col min="2567" max="2815" width="9.140625" style="346"/>
    <col min="2816" max="2816" width="4.85546875" style="346" customWidth="1"/>
    <col min="2817" max="2817" width="13.7109375" style="346" customWidth="1"/>
    <col min="2818" max="2818" width="58.28515625" style="346" customWidth="1"/>
    <col min="2819" max="2819" width="13.42578125" style="346" customWidth="1"/>
    <col min="2820" max="2820" width="9.140625" style="346"/>
    <col min="2821" max="2821" width="11" style="346" customWidth="1"/>
    <col min="2822" max="2822" width="15.42578125" style="346" customWidth="1"/>
    <col min="2823" max="3071" width="9.140625" style="346"/>
    <col min="3072" max="3072" width="4.85546875" style="346" customWidth="1"/>
    <col min="3073" max="3073" width="13.7109375" style="346" customWidth="1"/>
    <col min="3074" max="3074" width="58.28515625" style="346" customWidth="1"/>
    <col min="3075" max="3075" width="13.42578125" style="346" customWidth="1"/>
    <col min="3076" max="3076" width="9.140625" style="346"/>
    <col min="3077" max="3077" width="11" style="346" customWidth="1"/>
    <col min="3078" max="3078" width="15.42578125" style="346" customWidth="1"/>
    <col min="3079" max="3327" width="9.140625" style="346"/>
    <col min="3328" max="3328" width="4.85546875" style="346" customWidth="1"/>
    <col min="3329" max="3329" width="13.7109375" style="346" customWidth="1"/>
    <col min="3330" max="3330" width="58.28515625" style="346" customWidth="1"/>
    <col min="3331" max="3331" width="13.42578125" style="346" customWidth="1"/>
    <col min="3332" max="3332" width="9.140625" style="346"/>
    <col min="3333" max="3333" width="11" style="346" customWidth="1"/>
    <col min="3334" max="3334" width="15.42578125" style="346" customWidth="1"/>
    <col min="3335" max="3583" width="9.140625" style="346"/>
    <col min="3584" max="3584" width="4.85546875" style="346" customWidth="1"/>
    <col min="3585" max="3585" width="13.7109375" style="346" customWidth="1"/>
    <col min="3586" max="3586" width="58.28515625" style="346" customWidth="1"/>
    <col min="3587" max="3587" width="13.42578125" style="346" customWidth="1"/>
    <col min="3588" max="3588" width="9.140625" style="346"/>
    <col min="3589" max="3589" width="11" style="346" customWidth="1"/>
    <col min="3590" max="3590" width="15.42578125" style="346" customWidth="1"/>
    <col min="3591" max="3839" width="9.140625" style="346"/>
    <col min="3840" max="3840" width="4.85546875" style="346" customWidth="1"/>
    <col min="3841" max="3841" width="13.7109375" style="346" customWidth="1"/>
    <col min="3842" max="3842" width="58.28515625" style="346" customWidth="1"/>
    <col min="3843" max="3843" width="13.42578125" style="346" customWidth="1"/>
    <col min="3844" max="3844" width="9.140625" style="346"/>
    <col min="3845" max="3845" width="11" style="346" customWidth="1"/>
    <col min="3846" max="3846" width="15.42578125" style="346" customWidth="1"/>
    <col min="3847" max="4095" width="9.140625" style="346"/>
    <col min="4096" max="4096" width="4.85546875" style="346" customWidth="1"/>
    <col min="4097" max="4097" width="13.7109375" style="346" customWidth="1"/>
    <col min="4098" max="4098" width="58.28515625" style="346" customWidth="1"/>
    <col min="4099" max="4099" width="13.42578125" style="346" customWidth="1"/>
    <col min="4100" max="4100" width="9.140625" style="346"/>
    <col min="4101" max="4101" width="11" style="346" customWidth="1"/>
    <col min="4102" max="4102" width="15.42578125" style="346" customWidth="1"/>
    <col min="4103" max="4351" width="9.140625" style="346"/>
    <col min="4352" max="4352" width="4.85546875" style="346" customWidth="1"/>
    <col min="4353" max="4353" width="13.7109375" style="346" customWidth="1"/>
    <col min="4354" max="4354" width="58.28515625" style="346" customWidth="1"/>
    <col min="4355" max="4355" width="13.42578125" style="346" customWidth="1"/>
    <col min="4356" max="4356" width="9.140625" style="346"/>
    <col min="4357" max="4357" width="11" style="346" customWidth="1"/>
    <col min="4358" max="4358" width="15.42578125" style="346" customWidth="1"/>
    <col min="4359" max="4607" width="9.140625" style="346"/>
    <col min="4608" max="4608" width="4.85546875" style="346" customWidth="1"/>
    <col min="4609" max="4609" width="13.7109375" style="346" customWidth="1"/>
    <col min="4610" max="4610" width="58.28515625" style="346" customWidth="1"/>
    <col min="4611" max="4611" width="13.42578125" style="346" customWidth="1"/>
    <col min="4612" max="4612" width="9.140625" style="346"/>
    <col min="4613" max="4613" width="11" style="346" customWidth="1"/>
    <col min="4614" max="4614" width="15.42578125" style="346" customWidth="1"/>
    <col min="4615" max="4863" width="9.140625" style="346"/>
    <col min="4864" max="4864" width="4.85546875" style="346" customWidth="1"/>
    <col min="4865" max="4865" width="13.7109375" style="346" customWidth="1"/>
    <col min="4866" max="4866" width="58.28515625" style="346" customWidth="1"/>
    <col min="4867" max="4867" width="13.42578125" style="346" customWidth="1"/>
    <col min="4868" max="4868" width="9.140625" style="346"/>
    <col min="4869" max="4869" width="11" style="346" customWidth="1"/>
    <col min="4870" max="4870" width="15.42578125" style="346" customWidth="1"/>
    <col min="4871" max="5119" width="9.140625" style="346"/>
    <col min="5120" max="5120" width="4.85546875" style="346" customWidth="1"/>
    <col min="5121" max="5121" width="13.7109375" style="346" customWidth="1"/>
    <col min="5122" max="5122" width="58.28515625" style="346" customWidth="1"/>
    <col min="5123" max="5123" width="13.42578125" style="346" customWidth="1"/>
    <col min="5124" max="5124" width="9.140625" style="346"/>
    <col min="5125" max="5125" width="11" style="346" customWidth="1"/>
    <col min="5126" max="5126" width="15.42578125" style="346" customWidth="1"/>
    <col min="5127" max="5375" width="9.140625" style="346"/>
    <col min="5376" max="5376" width="4.85546875" style="346" customWidth="1"/>
    <col min="5377" max="5377" width="13.7109375" style="346" customWidth="1"/>
    <col min="5378" max="5378" width="58.28515625" style="346" customWidth="1"/>
    <col min="5379" max="5379" width="13.42578125" style="346" customWidth="1"/>
    <col min="5380" max="5380" width="9.140625" style="346"/>
    <col min="5381" max="5381" width="11" style="346" customWidth="1"/>
    <col min="5382" max="5382" width="15.42578125" style="346" customWidth="1"/>
    <col min="5383" max="5631" width="9.140625" style="346"/>
    <col min="5632" max="5632" width="4.85546875" style="346" customWidth="1"/>
    <col min="5633" max="5633" width="13.7109375" style="346" customWidth="1"/>
    <col min="5634" max="5634" width="58.28515625" style="346" customWidth="1"/>
    <col min="5635" max="5635" width="13.42578125" style="346" customWidth="1"/>
    <col min="5636" max="5636" width="9.140625" style="346"/>
    <col min="5637" max="5637" width="11" style="346" customWidth="1"/>
    <col min="5638" max="5638" width="15.42578125" style="346" customWidth="1"/>
    <col min="5639" max="5887" width="9.140625" style="346"/>
    <col min="5888" max="5888" width="4.85546875" style="346" customWidth="1"/>
    <col min="5889" max="5889" width="13.7109375" style="346" customWidth="1"/>
    <col min="5890" max="5890" width="58.28515625" style="346" customWidth="1"/>
    <col min="5891" max="5891" width="13.42578125" style="346" customWidth="1"/>
    <col min="5892" max="5892" width="9.140625" style="346"/>
    <col min="5893" max="5893" width="11" style="346" customWidth="1"/>
    <col min="5894" max="5894" width="15.42578125" style="346" customWidth="1"/>
    <col min="5895" max="6143" width="9.140625" style="346"/>
    <col min="6144" max="6144" width="4.85546875" style="346" customWidth="1"/>
    <col min="6145" max="6145" width="13.7109375" style="346" customWidth="1"/>
    <col min="6146" max="6146" width="58.28515625" style="346" customWidth="1"/>
    <col min="6147" max="6147" width="13.42578125" style="346" customWidth="1"/>
    <col min="6148" max="6148" width="9.140625" style="346"/>
    <col min="6149" max="6149" width="11" style="346" customWidth="1"/>
    <col min="6150" max="6150" width="15.42578125" style="346" customWidth="1"/>
    <col min="6151" max="6399" width="9.140625" style="346"/>
    <col min="6400" max="6400" width="4.85546875" style="346" customWidth="1"/>
    <col min="6401" max="6401" width="13.7109375" style="346" customWidth="1"/>
    <col min="6402" max="6402" width="58.28515625" style="346" customWidth="1"/>
    <col min="6403" max="6403" width="13.42578125" style="346" customWidth="1"/>
    <col min="6404" max="6404" width="9.140625" style="346"/>
    <col min="6405" max="6405" width="11" style="346" customWidth="1"/>
    <col min="6406" max="6406" width="15.42578125" style="346" customWidth="1"/>
    <col min="6407" max="6655" width="9.140625" style="346"/>
    <col min="6656" max="6656" width="4.85546875" style="346" customWidth="1"/>
    <col min="6657" max="6657" width="13.7109375" style="346" customWidth="1"/>
    <col min="6658" max="6658" width="58.28515625" style="346" customWidth="1"/>
    <col min="6659" max="6659" width="13.42578125" style="346" customWidth="1"/>
    <col min="6660" max="6660" width="9.140625" style="346"/>
    <col min="6661" max="6661" width="11" style="346" customWidth="1"/>
    <col min="6662" max="6662" width="15.42578125" style="346" customWidth="1"/>
    <col min="6663" max="6911" width="9.140625" style="346"/>
    <col min="6912" max="6912" width="4.85546875" style="346" customWidth="1"/>
    <col min="6913" max="6913" width="13.7109375" style="346" customWidth="1"/>
    <col min="6914" max="6914" width="58.28515625" style="346" customWidth="1"/>
    <col min="6915" max="6915" width="13.42578125" style="346" customWidth="1"/>
    <col min="6916" max="6916" width="9.140625" style="346"/>
    <col min="6917" max="6917" width="11" style="346" customWidth="1"/>
    <col min="6918" max="6918" width="15.42578125" style="346" customWidth="1"/>
    <col min="6919" max="7167" width="9.140625" style="346"/>
    <col min="7168" max="7168" width="4.85546875" style="346" customWidth="1"/>
    <col min="7169" max="7169" width="13.7109375" style="346" customWidth="1"/>
    <col min="7170" max="7170" width="58.28515625" style="346" customWidth="1"/>
    <col min="7171" max="7171" width="13.42578125" style="346" customWidth="1"/>
    <col min="7172" max="7172" width="9.140625" style="346"/>
    <col min="7173" max="7173" width="11" style="346" customWidth="1"/>
    <col min="7174" max="7174" width="15.42578125" style="346" customWidth="1"/>
    <col min="7175" max="7423" width="9.140625" style="346"/>
    <col min="7424" max="7424" width="4.85546875" style="346" customWidth="1"/>
    <col min="7425" max="7425" width="13.7109375" style="346" customWidth="1"/>
    <col min="7426" max="7426" width="58.28515625" style="346" customWidth="1"/>
    <col min="7427" max="7427" width="13.42578125" style="346" customWidth="1"/>
    <col min="7428" max="7428" width="9.140625" style="346"/>
    <col min="7429" max="7429" width="11" style="346" customWidth="1"/>
    <col min="7430" max="7430" width="15.42578125" style="346" customWidth="1"/>
    <col min="7431" max="7679" width="9.140625" style="346"/>
    <col min="7680" max="7680" width="4.85546875" style="346" customWidth="1"/>
    <col min="7681" max="7681" width="13.7109375" style="346" customWidth="1"/>
    <col min="7682" max="7682" width="58.28515625" style="346" customWidth="1"/>
    <col min="7683" max="7683" width="13.42578125" style="346" customWidth="1"/>
    <col min="7684" max="7684" width="9.140625" style="346"/>
    <col min="7685" max="7685" width="11" style="346" customWidth="1"/>
    <col min="7686" max="7686" width="15.42578125" style="346" customWidth="1"/>
    <col min="7687" max="7935" width="9.140625" style="346"/>
    <col min="7936" max="7936" width="4.85546875" style="346" customWidth="1"/>
    <col min="7937" max="7937" width="13.7109375" style="346" customWidth="1"/>
    <col min="7938" max="7938" width="58.28515625" style="346" customWidth="1"/>
    <col min="7939" max="7939" width="13.42578125" style="346" customWidth="1"/>
    <col min="7940" max="7940" width="9.140625" style="346"/>
    <col min="7941" max="7941" width="11" style="346" customWidth="1"/>
    <col min="7942" max="7942" width="15.42578125" style="346" customWidth="1"/>
    <col min="7943" max="8191" width="9.140625" style="346"/>
    <col min="8192" max="8192" width="4.85546875" style="346" customWidth="1"/>
    <col min="8193" max="8193" width="13.7109375" style="346" customWidth="1"/>
    <col min="8194" max="8194" width="58.28515625" style="346" customWidth="1"/>
    <col min="8195" max="8195" width="13.42578125" style="346" customWidth="1"/>
    <col min="8196" max="8196" width="9.140625" style="346"/>
    <col min="8197" max="8197" width="11" style="346" customWidth="1"/>
    <col min="8198" max="8198" width="15.42578125" style="346" customWidth="1"/>
    <col min="8199" max="8447" width="9.140625" style="346"/>
    <col min="8448" max="8448" width="4.85546875" style="346" customWidth="1"/>
    <col min="8449" max="8449" width="13.7109375" style="346" customWidth="1"/>
    <col min="8450" max="8450" width="58.28515625" style="346" customWidth="1"/>
    <col min="8451" max="8451" width="13.42578125" style="346" customWidth="1"/>
    <col min="8452" max="8452" width="9.140625" style="346"/>
    <col min="8453" max="8453" width="11" style="346" customWidth="1"/>
    <col min="8454" max="8454" width="15.42578125" style="346" customWidth="1"/>
    <col min="8455" max="8703" width="9.140625" style="346"/>
    <col min="8704" max="8704" width="4.85546875" style="346" customWidth="1"/>
    <col min="8705" max="8705" width="13.7109375" style="346" customWidth="1"/>
    <col min="8706" max="8706" width="58.28515625" style="346" customWidth="1"/>
    <col min="8707" max="8707" width="13.42578125" style="346" customWidth="1"/>
    <col min="8708" max="8708" width="9.140625" style="346"/>
    <col min="8709" max="8709" width="11" style="346" customWidth="1"/>
    <col min="8710" max="8710" width="15.42578125" style="346" customWidth="1"/>
    <col min="8711" max="8959" width="9.140625" style="346"/>
    <col min="8960" max="8960" width="4.85546875" style="346" customWidth="1"/>
    <col min="8961" max="8961" width="13.7109375" style="346" customWidth="1"/>
    <col min="8962" max="8962" width="58.28515625" style="346" customWidth="1"/>
    <col min="8963" max="8963" width="13.42578125" style="346" customWidth="1"/>
    <col min="8964" max="8964" width="9.140625" style="346"/>
    <col min="8965" max="8965" width="11" style="346" customWidth="1"/>
    <col min="8966" max="8966" width="15.42578125" style="346" customWidth="1"/>
    <col min="8967" max="9215" width="9.140625" style="346"/>
    <col min="9216" max="9216" width="4.85546875" style="346" customWidth="1"/>
    <col min="9217" max="9217" width="13.7109375" style="346" customWidth="1"/>
    <col min="9218" max="9218" width="58.28515625" style="346" customWidth="1"/>
    <col min="9219" max="9219" width="13.42578125" style="346" customWidth="1"/>
    <col min="9220" max="9220" width="9.140625" style="346"/>
    <col min="9221" max="9221" width="11" style="346" customWidth="1"/>
    <col min="9222" max="9222" width="15.42578125" style="346" customWidth="1"/>
    <col min="9223" max="9471" width="9.140625" style="346"/>
    <col min="9472" max="9472" width="4.85546875" style="346" customWidth="1"/>
    <col min="9473" max="9473" width="13.7109375" style="346" customWidth="1"/>
    <col min="9474" max="9474" width="58.28515625" style="346" customWidth="1"/>
    <col min="9475" max="9475" width="13.42578125" style="346" customWidth="1"/>
    <col min="9476" max="9476" width="9.140625" style="346"/>
    <col min="9477" max="9477" width="11" style="346" customWidth="1"/>
    <col min="9478" max="9478" width="15.42578125" style="346" customWidth="1"/>
    <col min="9479" max="9727" width="9.140625" style="346"/>
    <col min="9728" max="9728" width="4.85546875" style="346" customWidth="1"/>
    <col min="9729" max="9729" width="13.7109375" style="346" customWidth="1"/>
    <col min="9730" max="9730" width="58.28515625" style="346" customWidth="1"/>
    <col min="9731" max="9731" width="13.42578125" style="346" customWidth="1"/>
    <col min="9732" max="9732" width="9.140625" style="346"/>
    <col min="9733" max="9733" width="11" style="346" customWidth="1"/>
    <col min="9734" max="9734" width="15.42578125" style="346" customWidth="1"/>
    <col min="9735" max="9983" width="9.140625" style="346"/>
    <col min="9984" max="9984" width="4.85546875" style="346" customWidth="1"/>
    <col min="9985" max="9985" width="13.7109375" style="346" customWidth="1"/>
    <col min="9986" max="9986" width="58.28515625" style="346" customWidth="1"/>
    <col min="9987" max="9987" width="13.42578125" style="346" customWidth="1"/>
    <col min="9988" max="9988" width="9.140625" style="346"/>
    <col min="9989" max="9989" width="11" style="346" customWidth="1"/>
    <col min="9990" max="9990" width="15.42578125" style="346" customWidth="1"/>
    <col min="9991" max="10239" width="9.140625" style="346"/>
    <col min="10240" max="10240" width="4.85546875" style="346" customWidth="1"/>
    <col min="10241" max="10241" width="13.7109375" style="346" customWidth="1"/>
    <col min="10242" max="10242" width="58.28515625" style="346" customWidth="1"/>
    <col min="10243" max="10243" width="13.42578125" style="346" customWidth="1"/>
    <col min="10244" max="10244" width="9.140625" style="346"/>
    <col min="10245" max="10245" width="11" style="346" customWidth="1"/>
    <col min="10246" max="10246" width="15.42578125" style="346" customWidth="1"/>
    <col min="10247" max="10495" width="9.140625" style="346"/>
    <col min="10496" max="10496" width="4.85546875" style="346" customWidth="1"/>
    <col min="10497" max="10497" width="13.7109375" style="346" customWidth="1"/>
    <col min="10498" max="10498" width="58.28515625" style="346" customWidth="1"/>
    <col min="10499" max="10499" width="13.42578125" style="346" customWidth="1"/>
    <col min="10500" max="10500" width="9.140625" style="346"/>
    <col min="10501" max="10501" width="11" style="346" customWidth="1"/>
    <col min="10502" max="10502" width="15.42578125" style="346" customWidth="1"/>
    <col min="10503" max="10751" width="9.140625" style="346"/>
    <col min="10752" max="10752" width="4.85546875" style="346" customWidth="1"/>
    <col min="10753" max="10753" width="13.7109375" style="346" customWidth="1"/>
    <col min="10754" max="10754" width="58.28515625" style="346" customWidth="1"/>
    <col min="10755" max="10755" width="13.42578125" style="346" customWidth="1"/>
    <col min="10756" max="10756" width="9.140625" style="346"/>
    <col min="10757" max="10757" width="11" style="346" customWidth="1"/>
    <col min="10758" max="10758" width="15.42578125" style="346" customWidth="1"/>
    <col min="10759" max="11007" width="9.140625" style="346"/>
    <col min="11008" max="11008" width="4.85546875" style="346" customWidth="1"/>
    <col min="11009" max="11009" width="13.7109375" style="346" customWidth="1"/>
    <col min="11010" max="11010" width="58.28515625" style="346" customWidth="1"/>
    <col min="11011" max="11011" width="13.42578125" style="346" customWidth="1"/>
    <col min="11012" max="11012" width="9.140625" style="346"/>
    <col min="11013" max="11013" width="11" style="346" customWidth="1"/>
    <col min="11014" max="11014" width="15.42578125" style="346" customWidth="1"/>
    <col min="11015" max="11263" width="9.140625" style="346"/>
    <col min="11264" max="11264" width="4.85546875" style="346" customWidth="1"/>
    <col min="11265" max="11265" width="13.7109375" style="346" customWidth="1"/>
    <col min="11266" max="11266" width="58.28515625" style="346" customWidth="1"/>
    <col min="11267" max="11267" width="13.42578125" style="346" customWidth="1"/>
    <col min="11268" max="11268" width="9.140625" style="346"/>
    <col min="11269" max="11269" width="11" style="346" customWidth="1"/>
    <col min="11270" max="11270" width="15.42578125" style="346" customWidth="1"/>
    <col min="11271" max="11519" width="9.140625" style="346"/>
    <col min="11520" max="11520" width="4.85546875" style="346" customWidth="1"/>
    <col min="11521" max="11521" width="13.7109375" style="346" customWidth="1"/>
    <col min="11522" max="11522" width="58.28515625" style="346" customWidth="1"/>
    <col min="11523" max="11523" width="13.42578125" style="346" customWidth="1"/>
    <col min="11524" max="11524" width="9.140625" style="346"/>
    <col min="11525" max="11525" width="11" style="346" customWidth="1"/>
    <col min="11526" max="11526" width="15.42578125" style="346" customWidth="1"/>
    <col min="11527" max="11775" width="9.140625" style="346"/>
    <col min="11776" max="11776" width="4.85546875" style="346" customWidth="1"/>
    <col min="11777" max="11777" width="13.7109375" style="346" customWidth="1"/>
    <col min="11778" max="11778" width="58.28515625" style="346" customWidth="1"/>
    <col min="11779" max="11779" width="13.42578125" style="346" customWidth="1"/>
    <col min="11780" max="11780" width="9.140625" style="346"/>
    <col min="11781" max="11781" width="11" style="346" customWidth="1"/>
    <col min="11782" max="11782" width="15.42578125" style="346" customWidth="1"/>
    <col min="11783" max="12031" width="9.140625" style="346"/>
    <col min="12032" max="12032" width="4.85546875" style="346" customWidth="1"/>
    <col min="12033" max="12033" width="13.7109375" style="346" customWidth="1"/>
    <col min="12034" max="12034" width="58.28515625" style="346" customWidth="1"/>
    <col min="12035" max="12035" width="13.42578125" style="346" customWidth="1"/>
    <col min="12036" max="12036" width="9.140625" style="346"/>
    <col min="12037" max="12037" width="11" style="346" customWidth="1"/>
    <col min="12038" max="12038" width="15.42578125" style="346" customWidth="1"/>
    <col min="12039" max="12287" width="9.140625" style="346"/>
    <col min="12288" max="12288" width="4.85546875" style="346" customWidth="1"/>
    <col min="12289" max="12289" width="13.7109375" style="346" customWidth="1"/>
    <col min="12290" max="12290" width="58.28515625" style="346" customWidth="1"/>
    <col min="12291" max="12291" width="13.42578125" style="346" customWidth="1"/>
    <col min="12292" max="12292" width="9.140625" style="346"/>
    <col min="12293" max="12293" width="11" style="346" customWidth="1"/>
    <col min="12294" max="12294" width="15.42578125" style="346" customWidth="1"/>
    <col min="12295" max="12543" width="9.140625" style="346"/>
    <col min="12544" max="12544" width="4.85546875" style="346" customWidth="1"/>
    <col min="12545" max="12545" width="13.7109375" style="346" customWidth="1"/>
    <col min="12546" max="12546" width="58.28515625" style="346" customWidth="1"/>
    <col min="12547" max="12547" width="13.42578125" style="346" customWidth="1"/>
    <col min="12548" max="12548" width="9.140625" style="346"/>
    <col min="12549" max="12549" width="11" style="346" customWidth="1"/>
    <col min="12550" max="12550" width="15.42578125" style="346" customWidth="1"/>
    <col min="12551" max="12799" width="9.140625" style="346"/>
    <col min="12800" max="12800" width="4.85546875" style="346" customWidth="1"/>
    <col min="12801" max="12801" width="13.7109375" style="346" customWidth="1"/>
    <col min="12802" max="12802" width="58.28515625" style="346" customWidth="1"/>
    <col min="12803" max="12803" width="13.42578125" style="346" customWidth="1"/>
    <col min="12804" max="12804" width="9.140625" style="346"/>
    <col min="12805" max="12805" width="11" style="346" customWidth="1"/>
    <col min="12806" max="12806" width="15.42578125" style="346" customWidth="1"/>
    <col min="12807" max="13055" width="9.140625" style="346"/>
    <col min="13056" max="13056" width="4.85546875" style="346" customWidth="1"/>
    <col min="13057" max="13057" width="13.7109375" style="346" customWidth="1"/>
    <col min="13058" max="13058" width="58.28515625" style="346" customWidth="1"/>
    <col min="13059" max="13059" width="13.42578125" style="346" customWidth="1"/>
    <col min="13060" max="13060" width="9.140625" style="346"/>
    <col min="13061" max="13061" width="11" style="346" customWidth="1"/>
    <col min="13062" max="13062" width="15.42578125" style="346" customWidth="1"/>
    <col min="13063" max="13311" width="9.140625" style="346"/>
    <col min="13312" max="13312" width="4.85546875" style="346" customWidth="1"/>
    <col min="13313" max="13313" width="13.7109375" style="346" customWidth="1"/>
    <col min="13314" max="13314" width="58.28515625" style="346" customWidth="1"/>
    <col min="13315" max="13315" width="13.42578125" style="346" customWidth="1"/>
    <col min="13316" max="13316" width="9.140625" style="346"/>
    <col min="13317" max="13317" width="11" style="346" customWidth="1"/>
    <col min="13318" max="13318" width="15.42578125" style="346" customWidth="1"/>
    <col min="13319" max="13567" width="9.140625" style="346"/>
    <col min="13568" max="13568" width="4.85546875" style="346" customWidth="1"/>
    <col min="13569" max="13569" width="13.7109375" style="346" customWidth="1"/>
    <col min="13570" max="13570" width="58.28515625" style="346" customWidth="1"/>
    <col min="13571" max="13571" width="13.42578125" style="346" customWidth="1"/>
    <col min="13572" max="13572" width="9.140625" style="346"/>
    <col min="13573" max="13573" width="11" style="346" customWidth="1"/>
    <col min="13574" max="13574" width="15.42578125" style="346" customWidth="1"/>
    <col min="13575" max="13823" width="9.140625" style="346"/>
    <col min="13824" max="13824" width="4.85546875" style="346" customWidth="1"/>
    <col min="13825" max="13825" width="13.7109375" style="346" customWidth="1"/>
    <col min="13826" max="13826" width="58.28515625" style="346" customWidth="1"/>
    <col min="13827" max="13827" width="13.42578125" style="346" customWidth="1"/>
    <col min="13828" max="13828" width="9.140625" style="346"/>
    <col min="13829" max="13829" width="11" style="346" customWidth="1"/>
    <col min="13830" max="13830" width="15.42578125" style="346" customWidth="1"/>
    <col min="13831" max="14079" width="9.140625" style="346"/>
    <col min="14080" max="14080" width="4.85546875" style="346" customWidth="1"/>
    <col min="14081" max="14081" width="13.7109375" style="346" customWidth="1"/>
    <col min="14082" max="14082" width="58.28515625" style="346" customWidth="1"/>
    <col min="14083" max="14083" width="13.42578125" style="346" customWidth="1"/>
    <col min="14084" max="14084" width="9.140625" style="346"/>
    <col min="14085" max="14085" width="11" style="346" customWidth="1"/>
    <col min="14086" max="14086" width="15.42578125" style="346" customWidth="1"/>
    <col min="14087" max="14335" width="9.140625" style="346"/>
    <col min="14336" max="14336" width="4.85546875" style="346" customWidth="1"/>
    <col min="14337" max="14337" width="13.7109375" style="346" customWidth="1"/>
    <col min="14338" max="14338" width="58.28515625" style="346" customWidth="1"/>
    <col min="14339" max="14339" width="13.42578125" style="346" customWidth="1"/>
    <col min="14340" max="14340" width="9.140625" style="346"/>
    <col min="14341" max="14341" width="11" style="346" customWidth="1"/>
    <col min="14342" max="14342" width="15.42578125" style="346" customWidth="1"/>
    <col min="14343" max="14591" width="9.140625" style="346"/>
    <col min="14592" max="14592" width="4.85546875" style="346" customWidth="1"/>
    <col min="14593" max="14593" width="13.7109375" style="346" customWidth="1"/>
    <col min="14594" max="14594" width="58.28515625" style="346" customWidth="1"/>
    <col min="14595" max="14595" width="13.42578125" style="346" customWidth="1"/>
    <col min="14596" max="14596" width="9.140625" style="346"/>
    <col min="14597" max="14597" width="11" style="346" customWidth="1"/>
    <col min="14598" max="14598" width="15.42578125" style="346" customWidth="1"/>
    <col min="14599" max="14847" width="9.140625" style="346"/>
    <col min="14848" max="14848" width="4.85546875" style="346" customWidth="1"/>
    <col min="14849" max="14849" width="13.7109375" style="346" customWidth="1"/>
    <col min="14850" max="14850" width="58.28515625" style="346" customWidth="1"/>
    <col min="14851" max="14851" width="13.42578125" style="346" customWidth="1"/>
    <col min="14852" max="14852" width="9.140625" style="346"/>
    <col min="14853" max="14853" width="11" style="346" customWidth="1"/>
    <col min="14854" max="14854" width="15.42578125" style="346" customWidth="1"/>
    <col min="14855" max="15103" width="9.140625" style="346"/>
    <col min="15104" max="15104" width="4.85546875" style="346" customWidth="1"/>
    <col min="15105" max="15105" width="13.7109375" style="346" customWidth="1"/>
    <col min="15106" max="15106" width="58.28515625" style="346" customWidth="1"/>
    <col min="15107" max="15107" width="13.42578125" style="346" customWidth="1"/>
    <col min="15108" max="15108" width="9.140625" style="346"/>
    <col min="15109" max="15109" width="11" style="346" customWidth="1"/>
    <col min="15110" max="15110" width="15.42578125" style="346" customWidth="1"/>
    <col min="15111" max="15359" width="9.140625" style="346"/>
    <col min="15360" max="15360" width="4.85546875" style="346" customWidth="1"/>
    <col min="15361" max="15361" width="13.7109375" style="346" customWidth="1"/>
    <col min="15362" max="15362" width="58.28515625" style="346" customWidth="1"/>
    <col min="15363" max="15363" width="13.42578125" style="346" customWidth="1"/>
    <col min="15364" max="15364" width="9.140625" style="346"/>
    <col min="15365" max="15365" width="11" style="346" customWidth="1"/>
    <col min="15366" max="15366" width="15.42578125" style="346" customWidth="1"/>
    <col min="15367" max="15615" width="9.140625" style="346"/>
    <col min="15616" max="15616" width="4.85546875" style="346" customWidth="1"/>
    <col min="15617" max="15617" width="13.7109375" style="346" customWidth="1"/>
    <col min="15618" max="15618" width="58.28515625" style="346" customWidth="1"/>
    <col min="15619" max="15619" width="13.42578125" style="346" customWidth="1"/>
    <col min="15620" max="15620" width="9.140625" style="346"/>
    <col min="15621" max="15621" width="11" style="346" customWidth="1"/>
    <col min="15622" max="15622" width="15.42578125" style="346" customWidth="1"/>
    <col min="15623" max="15871" width="9.140625" style="346"/>
    <col min="15872" max="15872" width="4.85546875" style="346" customWidth="1"/>
    <col min="15873" max="15873" width="13.7109375" style="346" customWidth="1"/>
    <col min="15874" max="15874" width="58.28515625" style="346" customWidth="1"/>
    <col min="15875" max="15875" width="13.42578125" style="346" customWidth="1"/>
    <col min="15876" max="15876" width="9.140625" style="346"/>
    <col min="15877" max="15877" width="11" style="346" customWidth="1"/>
    <col min="15878" max="15878" width="15.42578125" style="346" customWidth="1"/>
    <col min="15879" max="16127" width="9.140625" style="346"/>
    <col min="16128" max="16128" width="4.85546875" style="346" customWidth="1"/>
    <col min="16129" max="16129" width="13.7109375" style="346" customWidth="1"/>
    <col min="16130" max="16130" width="58.28515625" style="346" customWidth="1"/>
    <col min="16131" max="16131" width="13.42578125" style="346" customWidth="1"/>
    <col min="16132" max="16132" width="9.140625" style="346"/>
    <col min="16133" max="16133" width="11" style="346" customWidth="1"/>
    <col min="16134" max="16134" width="15.42578125" style="346" customWidth="1"/>
    <col min="16135" max="16384" width="9.140625" style="346"/>
  </cols>
  <sheetData>
    <row r="1" spans="1:6" ht="27" customHeight="1">
      <c r="A1" s="520" t="s">
        <v>402</v>
      </c>
      <c r="B1" s="520"/>
      <c r="C1" s="520"/>
      <c r="D1" s="520"/>
      <c r="E1" s="520"/>
      <c r="F1" s="520"/>
    </row>
    <row r="2" spans="1:6">
      <c r="F2" s="347" t="s">
        <v>310</v>
      </c>
    </row>
    <row r="3" spans="1:6" ht="36.75" customHeight="1">
      <c r="A3" s="348" t="s">
        <v>311</v>
      </c>
      <c r="B3" s="348" t="s">
        <v>312</v>
      </c>
      <c r="C3" s="348" t="s">
        <v>154</v>
      </c>
      <c r="D3" s="348" t="s">
        <v>64</v>
      </c>
      <c r="E3" s="348" t="s">
        <v>65</v>
      </c>
      <c r="F3" s="348" t="s">
        <v>22</v>
      </c>
    </row>
    <row r="4" spans="1:6" ht="28.5">
      <c r="A4" s="349" t="s">
        <v>313</v>
      </c>
      <c r="B4" s="350" t="s">
        <v>314</v>
      </c>
      <c r="C4" s="351"/>
      <c r="D4" s="351"/>
      <c r="E4" s="351"/>
      <c r="F4" s="351"/>
    </row>
    <row r="5" spans="1:6" ht="30">
      <c r="A5" s="349" t="s">
        <v>315</v>
      </c>
      <c r="B5" s="351" t="s">
        <v>316</v>
      </c>
      <c r="C5" s="352">
        <v>1</v>
      </c>
      <c r="D5" s="353">
        <v>356.65</v>
      </c>
      <c r="E5" s="353" t="s">
        <v>69</v>
      </c>
      <c r="F5" s="354">
        <f>ROUND(D5,0)</f>
        <v>357</v>
      </c>
    </row>
    <row r="6" spans="1:6" ht="45">
      <c r="A6" s="349" t="s">
        <v>317</v>
      </c>
      <c r="B6" s="351" t="s">
        <v>318</v>
      </c>
      <c r="C6" s="351"/>
      <c r="D6" s="351"/>
      <c r="E6" s="351"/>
      <c r="F6" s="354"/>
    </row>
    <row r="7" spans="1:6" ht="18.75" customHeight="1">
      <c r="A7" s="351"/>
      <c r="B7" s="351" t="s">
        <v>319</v>
      </c>
      <c r="C7" s="355">
        <v>0.4</v>
      </c>
      <c r="D7" s="351">
        <v>1982.25</v>
      </c>
      <c r="E7" s="351" t="s">
        <v>79</v>
      </c>
      <c r="F7" s="354">
        <f>ROUND(C7*D7,0)</f>
        <v>793</v>
      </c>
    </row>
    <row r="8" spans="1:6" ht="18.75" customHeight="1">
      <c r="A8" s="351"/>
      <c r="B8" s="351" t="s">
        <v>320</v>
      </c>
      <c r="C8" s="355">
        <v>0.4</v>
      </c>
      <c r="D8" s="351">
        <v>2979.55</v>
      </c>
      <c r="E8" s="351" t="s">
        <v>79</v>
      </c>
      <c r="F8" s="354">
        <f>ROUND(C8*D8,0)</f>
        <v>1192</v>
      </c>
    </row>
    <row r="9" spans="1:6">
      <c r="A9" s="351"/>
      <c r="B9" s="351" t="s">
        <v>321</v>
      </c>
      <c r="C9" s="355">
        <v>0.2</v>
      </c>
      <c r="D9" s="355">
        <v>7000</v>
      </c>
      <c r="E9" s="351" t="s">
        <v>79</v>
      </c>
      <c r="F9" s="354">
        <f>ROUND(C9*D9,0)</f>
        <v>1400</v>
      </c>
    </row>
    <row r="10" spans="1:6" ht="60">
      <c r="A10" s="349" t="s">
        <v>70</v>
      </c>
      <c r="B10" s="351" t="s">
        <v>105</v>
      </c>
      <c r="C10" s="351">
        <v>100</v>
      </c>
      <c r="D10" s="351">
        <v>5.85</v>
      </c>
      <c r="E10" s="351" t="s">
        <v>66</v>
      </c>
      <c r="F10" s="354">
        <f>ROUND(C10*D10,0)</f>
        <v>585</v>
      </c>
    </row>
    <row r="11" spans="1:6" ht="30">
      <c r="A11" s="349" t="s">
        <v>322</v>
      </c>
      <c r="B11" s="351" t="s">
        <v>323</v>
      </c>
      <c r="C11" s="351"/>
      <c r="D11" s="351"/>
      <c r="E11" s="351"/>
      <c r="F11" s="354"/>
    </row>
    <row r="12" spans="1:6">
      <c r="A12" s="351"/>
      <c r="B12" s="351" t="s">
        <v>408</v>
      </c>
      <c r="C12" s="351">
        <v>1111</v>
      </c>
      <c r="D12" s="355">
        <v>113.25</v>
      </c>
      <c r="E12" s="351" t="s">
        <v>324</v>
      </c>
      <c r="F12" s="354">
        <f>ROUND(C12*D12/100,0)</f>
        <v>1258</v>
      </c>
    </row>
    <row r="13" spans="1:6" ht="30">
      <c r="A13" s="349" t="s">
        <v>325</v>
      </c>
      <c r="B13" s="351" t="s">
        <v>326</v>
      </c>
      <c r="C13" s="354">
        <f>$C$12</f>
        <v>1111</v>
      </c>
      <c r="D13" s="356">
        <v>54.25</v>
      </c>
      <c r="E13" s="351" t="s">
        <v>324</v>
      </c>
      <c r="F13" s="354">
        <f>ROUND(C13*D13/100,0)</f>
        <v>603</v>
      </c>
    </row>
    <row r="14" spans="1:6">
      <c r="A14" s="349" t="s">
        <v>327</v>
      </c>
      <c r="B14" s="351" t="s">
        <v>328</v>
      </c>
      <c r="C14" s="351"/>
      <c r="D14" s="351"/>
      <c r="E14" s="351"/>
      <c r="F14" s="354"/>
    </row>
    <row r="15" spans="1:6" ht="30">
      <c r="A15" s="349"/>
      <c r="B15" s="351" t="s">
        <v>329</v>
      </c>
      <c r="C15" s="354">
        <f>$C$12</f>
        <v>1111</v>
      </c>
      <c r="D15" s="355">
        <v>24.35</v>
      </c>
      <c r="E15" s="357" t="s">
        <v>330</v>
      </c>
      <c r="F15" s="354">
        <f>ROUND(C15*D15,0)</f>
        <v>27053</v>
      </c>
    </row>
    <row r="16" spans="1:6" ht="45">
      <c r="A16" s="349" t="s">
        <v>331</v>
      </c>
      <c r="B16" s="358" t="s">
        <v>332</v>
      </c>
      <c r="C16" s="355">
        <f>$C$12*0.45*0.45*0.45</f>
        <v>101.239875</v>
      </c>
      <c r="D16" s="359">
        <v>169</v>
      </c>
      <c r="E16" s="360" t="s">
        <v>67</v>
      </c>
      <c r="F16" s="354">
        <f>ROUND(C16*D16,0)</f>
        <v>17110</v>
      </c>
    </row>
    <row r="17" spans="1:7" ht="21" customHeight="1">
      <c r="A17" s="361"/>
      <c r="B17" s="361"/>
      <c r="C17" s="361"/>
      <c r="D17" s="362" t="s">
        <v>38</v>
      </c>
      <c r="E17" s="361"/>
      <c r="F17" s="363">
        <f>SUM(F5:F16)</f>
        <v>50351</v>
      </c>
    </row>
    <row r="18" spans="1:7" ht="15.75">
      <c r="C18" s="364" t="s">
        <v>333</v>
      </c>
      <c r="D18" s="364"/>
      <c r="E18" s="364"/>
      <c r="F18" s="363">
        <f>F17</f>
        <v>50351</v>
      </c>
      <c r="G18" s="365">
        <f>F18/100000</f>
        <v>0.50351000000000001</v>
      </c>
    </row>
    <row r="20" spans="1:7">
      <c r="C20" s="366" t="s">
        <v>334</v>
      </c>
      <c r="D20" s="366"/>
      <c r="E20" s="366"/>
    </row>
    <row r="21" spans="1:7">
      <c r="C21" s="366"/>
      <c r="D21" s="366"/>
      <c r="E21" s="366"/>
    </row>
  </sheetData>
  <mergeCells count="1">
    <mergeCell ref="A1:F1"/>
  </mergeCells>
  <printOptions horizontalCentered="1"/>
  <pageMargins left="0.15748031496063" right="0.23622047244094499" top="0.86614173228346503" bottom="0.47244094488188998" header="0.511811023622047" footer="0.511811023622047"/>
  <pageSetup paperSize="5" scale="9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pageSetUpPr fitToPage="1"/>
  </sheetPr>
  <dimension ref="B1:AP51"/>
  <sheetViews>
    <sheetView view="pageBreakPreview" topLeftCell="A19" zoomScale="70" zoomScaleSheetLayoutView="70" workbookViewId="0">
      <selection activeCell="M52" sqref="M52"/>
    </sheetView>
  </sheetViews>
  <sheetFormatPr defaultRowHeight="14.25"/>
  <cols>
    <col min="1" max="1" width="3.85546875" style="32" customWidth="1"/>
    <col min="2" max="2" width="4.42578125" style="32" customWidth="1"/>
    <col min="3" max="3" width="32.5703125" style="32" customWidth="1"/>
    <col min="4" max="4" width="6.5703125" style="32" customWidth="1"/>
    <col min="5" max="5" width="10.42578125" style="32" customWidth="1"/>
    <col min="6" max="6" width="9.85546875" style="32" bestFit="1" customWidth="1"/>
    <col min="7" max="7" width="10" style="32" customWidth="1"/>
    <col min="8" max="8" width="10.85546875" style="32" bestFit="1" customWidth="1"/>
    <col min="9" max="9" width="9.85546875" style="32" bestFit="1" customWidth="1"/>
    <col min="10" max="10" width="11.85546875" style="32" customWidth="1"/>
    <col min="11" max="11" width="12.28515625" style="32" customWidth="1"/>
    <col min="12" max="12" width="9.85546875" style="32" bestFit="1" customWidth="1"/>
    <col min="13" max="13" width="11.28515625" style="32" customWidth="1"/>
    <col min="14" max="14" width="13" style="32" customWidth="1"/>
    <col min="15" max="15" width="9.85546875" style="32" bestFit="1" customWidth="1"/>
    <col min="16" max="16" width="10.42578125" style="32" customWidth="1"/>
    <col min="17" max="17" width="13.5703125" style="32" bestFit="1" customWidth="1"/>
    <col min="18" max="18" width="11.42578125" style="32" customWidth="1"/>
    <col min="19" max="19" width="10.7109375" style="32" bestFit="1" customWidth="1"/>
    <col min="20" max="20" width="12.42578125" style="32" bestFit="1" customWidth="1"/>
    <col min="21" max="21" width="13.5703125" style="32" customWidth="1"/>
    <col min="22" max="22" width="11" style="32" customWidth="1"/>
    <col min="23" max="23" width="12.42578125" style="32" bestFit="1" customWidth="1"/>
    <col min="24" max="24" width="9.85546875" style="32" bestFit="1" customWidth="1"/>
    <col min="25" max="25" width="9.5703125" style="32" bestFit="1" customWidth="1"/>
    <col min="26" max="26" width="12.42578125" style="32" bestFit="1" customWidth="1"/>
    <col min="27" max="27" width="9.140625" style="32" customWidth="1"/>
    <col min="28" max="28" width="9.5703125" style="32" customWidth="1"/>
    <col min="29" max="29" width="10.85546875" style="32" customWidth="1"/>
    <col min="30" max="30" width="8.7109375" style="32" bestFit="1" customWidth="1"/>
    <col min="31" max="31" width="10.28515625" style="32" customWidth="1"/>
    <col min="32" max="32" width="10.42578125" style="32" customWidth="1"/>
    <col min="33" max="33" width="8.7109375" style="32" bestFit="1" customWidth="1"/>
    <col min="34" max="34" width="9.28515625" style="32" customWidth="1"/>
    <col min="35" max="35" width="12.42578125" style="32" bestFit="1" customWidth="1"/>
    <col min="36" max="36" width="8.140625" style="32" customWidth="1"/>
    <col min="37" max="37" width="9.5703125" style="32" bestFit="1" customWidth="1"/>
    <col min="38" max="38" width="12.42578125" style="32" bestFit="1" customWidth="1"/>
    <col min="39" max="39" width="10.85546875" style="41" bestFit="1" customWidth="1"/>
    <col min="40" max="40" width="13.42578125" style="41" customWidth="1"/>
    <col min="41" max="41" width="10.7109375" style="32" bestFit="1" customWidth="1"/>
    <col min="42" max="42" width="10.85546875" style="32" bestFit="1" customWidth="1"/>
    <col min="43" max="16384" width="9.140625" style="32"/>
  </cols>
  <sheetData>
    <row r="1" spans="2:42" ht="24" customHeight="1">
      <c r="B1" s="522" t="s">
        <v>482</v>
      </c>
      <c r="C1" s="522"/>
      <c r="D1" s="522"/>
      <c r="E1" s="522"/>
      <c r="F1" s="522"/>
      <c r="G1" s="522"/>
      <c r="H1" s="522"/>
      <c r="I1" s="522"/>
      <c r="J1" s="522"/>
      <c r="K1" s="522"/>
      <c r="L1" s="522"/>
      <c r="M1" s="522"/>
      <c r="N1" s="522"/>
      <c r="O1" s="522"/>
      <c r="P1" s="522"/>
      <c r="Q1" s="522"/>
      <c r="R1" s="522"/>
      <c r="S1" s="522"/>
      <c r="T1" s="522"/>
      <c r="U1" s="522"/>
      <c r="V1" s="522"/>
      <c r="W1" s="522"/>
      <c r="X1" s="522"/>
      <c r="Y1" s="522"/>
      <c r="Z1" s="522"/>
      <c r="AA1" s="522"/>
      <c r="AB1" s="522"/>
      <c r="AC1" s="522"/>
      <c r="AD1" s="522"/>
      <c r="AE1" s="522"/>
      <c r="AF1" s="522"/>
      <c r="AG1" s="522"/>
      <c r="AH1" s="522"/>
      <c r="AI1" s="522"/>
      <c r="AJ1" s="522"/>
      <c r="AK1" s="522"/>
      <c r="AL1" s="522"/>
      <c r="AM1" s="522"/>
      <c r="AN1" s="522"/>
    </row>
    <row r="2" spans="2:42" ht="12.75">
      <c r="B2" s="33"/>
      <c r="C2" s="33"/>
      <c r="D2" s="34"/>
      <c r="E2" s="34"/>
      <c r="F2" s="33">
        <v>35</v>
      </c>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2:42" s="35" customFormat="1" ht="24.75" customHeight="1">
      <c r="B3" s="523" t="s">
        <v>0</v>
      </c>
      <c r="C3" s="523" t="s">
        <v>1</v>
      </c>
      <c r="D3" s="524" t="s">
        <v>10</v>
      </c>
      <c r="E3" s="524" t="s">
        <v>145</v>
      </c>
      <c r="F3" s="526" t="s">
        <v>308</v>
      </c>
      <c r="G3" s="527"/>
      <c r="H3" s="528"/>
      <c r="I3" s="526" t="s">
        <v>2</v>
      </c>
      <c r="J3" s="527"/>
      <c r="K3" s="528"/>
      <c r="L3" s="526" t="s">
        <v>3</v>
      </c>
      <c r="M3" s="527"/>
      <c r="N3" s="528"/>
      <c r="O3" s="526" t="s">
        <v>4</v>
      </c>
      <c r="P3" s="527"/>
      <c r="Q3" s="528"/>
      <c r="R3" s="526" t="s">
        <v>5</v>
      </c>
      <c r="S3" s="527"/>
      <c r="T3" s="528"/>
      <c r="U3" s="526" t="s">
        <v>6</v>
      </c>
      <c r="V3" s="527"/>
      <c r="W3" s="528"/>
      <c r="X3" s="526" t="s">
        <v>7</v>
      </c>
      <c r="Y3" s="527"/>
      <c r="Z3" s="528"/>
      <c r="AA3" s="526" t="s">
        <v>8</v>
      </c>
      <c r="AB3" s="527"/>
      <c r="AC3" s="528"/>
      <c r="AD3" s="526" t="s">
        <v>474</v>
      </c>
      <c r="AE3" s="527"/>
      <c r="AF3" s="528"/>
      <c r="AG3" s="526" t="s">
        <v>489</v>
      </c>
      <c r="AH3" s="527"/>
      <c r="AI3" s="528"/>
      <c r="AJ3" s="526" t="s">
        <v>490</v>
      </c>
      <c r="AK3" s="527"/>
      <c r="AL3" s="528"/>
      <c r="AM3" s="529" t="s">
        <v>9</v>
      </c>
      <c r="AN3" s="530"/>
    </row>
    <row r="4" spans="2:42" s="35" customFormat="1" ht="38.25" customHeight="1">
      <c r="B4" s="523"/>
      <c r="C4" s="523"/>
      <c r="D4" s="525"/>
      <c r="E4" s="525"/>
      <c r="F4" s="434" t="s">
        <v>10</v>
      </c>
      <c r="G4" s="434" t="s">
        <v>99</v>
      </c>
      <c r="H4" s="434" t="s">
        <v>100</v>
      </c>
      <c r="I4" s="434" t="s">
        <v>10</v>
      </c>
      <c r="J4" s="434" t="s">
        <v>99</v>
      </c>
      <c r="K4" s="434" t="s">
        <v>100</v>
      </c>
      <c r="L4" s="434" t="s">
        <v>10</v>
      </c>
      <c r="M4" s="434" t="s">
        <v>99</v>
      </c>
      <c r="N4" s="434" t="s">
        <v>100</v>
      </c>
      <c r="O4" s="434" t="s">
        <v>10</v>
      </c>
      <c r="P4" s="434" t="s">
        <v>99</v>
      </c>
      <c r="Q4" s="434" t="s">
        <v>100</v>
      </c>
      <c r="R4" s="434" t="s">
        <v>10</v>
      </c>
      <c r="S4" s="434" t="s">
        <v>99</v>
      </c>
      <c r="T4" s="434" t="s">
        <v>100</v>
      </c>
      <c r="U4" s="434" t="s">
        <v>10</v>
      </c>
      <c r="V4" s="434" t="s">
        <v>99</v>
      </c>
      <c r="W4" s="434" t="s">
        <v>100</v>
      </c>
      <c r="X4" s="434" t="s">
        <v>10</v>
      </c>
      <c r="Y4" s="434" t="s">
        <v>99</v>
      </c>
      <c r="Z4" s="434" t="s">
        <v>100</v>
      </c>
      <c r="AA4" s="434" t="s">
        <v>10</v>
      </c>
      <c r="AB4" s="434" t="s">
        <v>99</v>
      </c>
      <c r="AC4" s="434" t="s">
        <v>100</v>
      </c>
      <c r="AD4" s="434" t="s">
        <v>10</v>
      </c>
      <c r="AE4" s="434" t="s">
        <v>99</v>
      </c>
      <c r="AF4" s="434" t="s">
        <v>100</v>
      </c>
      <c r="AG4" s="434" t="s">
        <v>10</v>
      </c>
      <c r="AH4" s="434" t="s">
        <v>99</v>
      </c>
      <c r="AI4" s="434" t="s">
        <v>100</v>
      </c>
      <c r="AJ4" s="434" t="s">
        <v>10</v>
      </c>
      <c r="AK4" s="434" t="s">
        <v>99</v>
      </c>
      <c r="AL4" s="434" t="s">
        <v>100</v>
      </c>
      <c r="AM4" s="435" t="s">
        <v>10</v>
      </c>
      <c r="AN4" s="434" t="s">
        <v>100</v>
      </c>
    </row>
    <row r="5" spans="2:42" s="35" customFormat="1" ht="18" customHeight="1">
      <c r="B5" s="434">
        <v>1</v>
      </c>
      <c r="C5" s="434">
        <v>2</v>
      </c>
      <c r="D5" s="434">
        <v>3</v>
      </c>
      <c r="E5" s="434">
        <v>4</v>
      </c>
      <c r="F5" s="434">
        <v>5</v>
      </c>
      <c r="G5" s="434">
        <v>6</v>
      </c>
      <c r="H5" s="434">
        <v>7</v>
      </c>
      <c r="I5" s="434">
        <v>5</v>
      </c>
      <c r="J5" s="434">
        <v>6</v>
      </c>
      <c r="K5" s="434">
        <v>7</v>
      </c>
      <c r="L5" s="434">
        <v>8</v>
      </c>
      <c r="M5" s="434">
        <v>9</v>
      </c>
      <c r="N5" s="434">
        <v>10</v>
      </c>
      <c r="O5" s="434">
        <v>11</v>
      </c>
      <c r="P5" s="434">
        <v>12</v>
      </c>
      <c r="Q5" s="434">
        <v>13</v>
      </c>
      <c r="R5" s="434">
        <v>14</v>
      </c>
      <c r="S5" s="434">
        <v>15</v>
      </c>
      <c r="T5" s="434">
        <v>16</v>
      </c>
      <c r="U5" s="434">
        <v>17</v>
      </c>
      <c r="V5" s="434">
        <v>18</v>
      </c>
      <c r="W5" s="434">
        <v>19</v>
      </c>
      <c r="X5" s="434">
        <v>20</v>
      </c>
      <c r="Y5" s="434">
        <v>21</v>
      </c>
      <c r="Z5" s="434">
        <v>22</v>
      </c>
      <c r="AA5" s="434">
        <v>23</v>
      </c>
      <c r="AB5" s="434">
        <v>24</v>
      </c>
      <c r="AC5" s="434">
        <v>25</v>
      </c>
      <c r="AD5" s="434">
        <v>26</v>
      </c>
      <c r="AE5" s="434">
        <v>27</v>
      </c>
      <c r="AF5" s="434">
        <v>28</v>
      </c>
      <c r="AG5" s="434">
        <v>29</v>
      </c>
      <c r="AH5" s="434">
        <v>30</v>
      </c>
      <c r="AI5" s="434">
        <v>31</v>
      </c>
      <c r="AJ5" s="434">
        <v>32</v>
      </c>
      <c r="AK5" s="434">
        <v>33</v>
      </c>
      <c r="AL5" s="434">
        <v>34</v>
      </c>
      <c r="AM5" s="434">
        <v>38</v>
      </c>
      <c r="AN5" s="434">
        <v>39</v>
      </c>
    </row>
    <row r="6" spans="2:42" ht="31.5" customHeight="1">
      <c r="B6" s="435" t="s">
        <v>11</v>
      </c>
      <c r="C6" s="57" t="s">
        <v>63</v>
      </c>
      <c r="D6" s="57"/>
      <c r="E6" s="57"/>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435"/>
      <c r="AN6" s="435"/>
    </row>
    <row r="7" spans="2:42" ht="31.5" customHeight="1">
      <c r="B7" s="59">
        <v>1</v>
      </c>
      <c r="C7" s="60" t="s">
        <v>148</v>
      </c>
      <c r="D7" s="60" t="s">
        <v>98</v>
      </c>
      <c r="E7" s="75">
        <f>Primary!H20</f>
        <v>0.38566</v>
      </c>
      <c r="F7" s="341">
        <f>F14*1.4*F2</f>
        <v>0</v>
      </c>
      <c r="G7" s="70">
        <f>B7*1.1</f>
        <v>1.1000000000000001</v>
      </c>
      <c r="H7" s="70"/>
      <c r="I7" s="342">
        <f>(F14*0.2+I14*1.4)*F2</f>
        <v>1261750</v>
      </c>
      <c r="J7" s="70">
        <f>G7*1.1</f>
        <v>1.2100000000000002</v>
      </c>
      <c r="K7" s="70">
        <f>I7*J7/100000</f>
        <v>15.267175000000002</v>
      </c>
      <c r="L7" s="343">
        <f>(I14*0.2+L14*1.4)*F2</f>
        <v>1442000</v>
      </c>
      <c r="M7" s="70">
        <f>J7*1.1</f>
        <v>1.3310000000000004</v>
      </c>
      <c r="N7" s="70">
        <f>L7*M7/100000</f>
        <v>19.193020000000008</v>
      </c>
      <c r="O7" s="334">
        <f>(L14*0.2+O14*1.4)*F2</f>
        <v>1442000</v>
      </c>
      <c r="P7" s="320">
        <f t="shared" ref="P7:P11" si="0">M7*1.1</f>
        <v>1.4641000000000006</v>
      </c>
      <c r="Q7" s="70">
        <f t="shared" ref="Q7:Q10" si="1">O7*P7/100000</f>
        <v>21.11232200000001</v>
      </c>
      <c r="R7" s="332">
        <f>(O14*0.2+R14*1.4)*F2</f>
        <v>1435875</v>
      </c>
      <c r="S7" s="70">
        <f>P7*1.1</f>
        <v>1.6105100000000008</v>
      </c>
      <c r="T7" s="340">
        <f>R7*S7/100000</f>
        <v>23.124910462500011</v>
      </c>
      <c r="U7" s="430">
        <f>(R14*0.2+U14*1.4)*F2</f>
        <v>1441125</v>
      </c>
      <c r="V7" s="70">
        <f t="shared" ref="V7:V11" si="2">S7*1.1</f>
        <v>1.7715610000000011</v>
      </c>
      <c r="W7" s="340">
        <f t="shared" ref="W7:W11" si="3">U7*V7/100000</f>
        <v>25.530408461250016</v>
      </c>
      <c r="X7" s="431">
        <f>(U14*0.2+X14*1.4)*$F$2</f>
        <v>180250</v>
      </c>
      <c r="Y7" s="70">
        <f t="shared" ref="Y7:Y11" si="4">V7*1.1</f>
        <v>1.9487171000000014</v>
      </c>
      <c r="Z7" s="70">
        <f t="shared" ref="Z7:Z11" si="5">X7*Y7/100000</f>
        <v>3.5125625727500029</v>
      </c>
      <c r="AA7" s="432">
        <f>(X14*0.2+AA14*1.4)*$F$2</f>
        <v>0</v>
      </c>
      <c r="AB7" s="70">
        <f t="shared" ref="AB7:AB10" si="6">Y7*1.1</f>
        <v>2.1435888100000016</v>
      </c>
      <c r="AC7" s="70">
        <f t="shared" ref="AC7:AC11" si="7">AA7*AB7/100000</f>
        <v>0</v>
      </c>
      <c r="AD7" s="72"/>
      <c r="AE7" s="72"/>
      <c r="AF7" s="72"/>
      <c r="AG7" s="72"/>
      <c r="AH7" s="72"/>
      <c r="AI7" s="72"/>
      <c r="AJ7" s="72"/>
      <c r="AK7" s="72"/>
      <c r="AL7" s="72"/>
      <c r="AM7" s="186">
        <f>AD7+AA7+X7+U7+R7+O7+L7+I7+F7+AG7+AJ7</f>
        <v>7203000</v>
      </c>
      <c r="AN7" s="188">
        <f>AF7+AC7+Z7+W7+T7+Q7+N7+K7+H7+AI7+AL7</f>
        <v>107.74039849650003</v>
      </c>
    </row>
    <row r="8" spans="2:42" ht="31.5" customHeight="1">
      <c r="B8" s="59">
        <v>2</v>
      </c>
      <c r="C8" s="60" t="s">
        <v>177</v>
      </c>
      <c r="D8" s="60" t="s">
        <v>98</v>
      </c>
      <c r="E8" s="75">
        <f>R_4x7!J32</f>
        <v>3.8060435294117649</v>
      </c>
      <c r="F8" s="341">
        <f>$F$7</f>
        <v>0</v>
      </c>
      <c r="G8" s="70">
        <f t="shared" ref="G8:G11" si="8">B8*1.1</f>
        <v>2.2000000000000002</v>
      </c>
      <c r="H8" s="70"/>
      <c r="I8" s="333">
        <f>$I$7</f>
        <v>1261750</v>
      </c>
      <c r="J8" s="70">
        <f>G8*1.1</f>
        <v>2.4200000000000004</v>
      </c>
      <c r="K8" s="70">
        <f>I8*J8/100000</f>
        <v>30.534350000000003</v>
      </c>
      <c r="L8" s="343">
        <f>$L$7</f>
        <v>1442000</v>
      </c>
      <c r="M8" s="70">
        <f>J8*1.1</f>
        <v>2.6620000000000008</v>
      </c>
      <c r="N8" s="70">
        <f>L8*M8/100000</f>
        <v>38.386040000000015</v>
      </c>
      <c r="O8" s="334">
        <f>$O$7</f>
        <v>1442000</v>
      </c>
      <c r="P8" s="320">
        <f t="shared" si="0"/>
        <v>2.9282000000000012</v>
      </c>
      <c r="Q8" s="70">
        <f t="shared" si="1"/>
        <v>42.224644000000019</v>
      </c>
      <c r="R8" s="332">
        <f>$R$7</f>
        <v>1435875</v>
      </c>
      <c r="S8" s="70">
        <f t="shared" ref="S8:S11" si="9">P8*1.1</f>
        <v>3.2210200000000015</v>
      </c>
      <c r="T8" s="340">
        <f t="shared" ref="T8:T11" si="10">R8*S8/100000</f>
        <v>46.249820925000023</v>
      </c>
      <c r="U8" s="430">
        <f>$U$7</f>
        <v>1441125</v>
      </c>
      <c r="V8" s="70">
        <f t="shared" si="2"/>
        <v>3.5431220000000021</v>
      </c>
      <c r="W8" s="340">
        <f t="shared" si="3"/>
        <v>51.060816922500031</v>
      </c>
      <c r="X8" s="431">
        <f>$X$7</f>
        <v>180250</v>
      </c>
      <c r="Y8" s="70">
        <f t="shared" si="4"/>
        <v>3.8974342000000028</v>
      </c>
      <c r="Z8" s="70">
        <f t="shared" si="5"/>
        <v>7.0251251455000059</v>
      </c>
      <c r="AA8" s="432">
        <f>$AA$7</f>
        <v>0</v>
      </c>
      <c r="AB8" s="70">
        <f t="shared" si="6"/>
        <v>4.2871776200000031</v>
      </c>
      <c r="AC8" s="70">
        <f t="shared" si="7"/>
        <v>0</v>
      </c>
      <c r="AD8" s="72"/>
      <c r="AE8" s="72"/>
      <c r="AF8" s="72"/>
      <c r="AG8" s="72"/>
      <c r="AH8" s="72"/>
      <c r="AI8" s="72"/>
      <c r="AJ8" s="72"/>
      <c r="AK8" s="72"/>
      <c r="AL8" s="72"/>
      <c r="AM8" s="186">
        <f t="shared" ref="AM8:AM11" si="11">AD8+AA8+X8+U8+R8+O8+L8+I8+F8+AG8+AJ8</f>
        <v>7203000</v>
      </c>
      <c r="AN8" s="188">
        <f t="shared" ref="AN8:AN11" si="12">AF8+AC8+Z8+W8+T8+Q8+N8+K8+H8+AI8+AL8</f>
        <v>215.48079699300007</v>
      </c>
    </row>
    <row r="9" spans="2:42" ht="31.5" customHeight="1">
      <c r="B9" s="59">
        <v>3</v>
      </c>
      <c r="C9" s="60" t="s">
        <v>178</v>
      </c>
      <c r="D9" s="60" t="s">
        <v>98</v>
      </c>
      <c r="E9" s="75">
        <f>M_4x7!J13</f>
        <v>0.90393615384615378</v>
      </c>
      <c r="F9" s="62"/>
      <c r="G9" s="70">
        <f t="shared" si="8"/>
        <v>3.3000000000000003</v>
      </c>
      <c r="H9" s="70"/>
      <c r="I9" s="341">
        <f>$F$7</f>
        <v>0</v>
      </c>
      <c r="J9" s="70">
        <f t="shared" ref="J9:J11" si="13">G9*1.1</f>
        <v>3.6300000000000008</v>
      </c>
      <c r="K9" s="70">
        <f t="shared" ref="K9:K10" si="14">I9*J9/100000</f>
        <v>0</v>
      </c>
      <c r="L9" s="333">
        <f>$I$7</f>
        <v>1261750</v>
      </c>
      <c r="M9" s="70">
        <f t="shared" ref="M9:M11" si="15">J9*1.1</f>
        <v>3.9930000000000012</v>
      </c>
      <c r="N9" s="70">
        <f>L9*M9/100000</f>
        <v>50.381677500000016</v>
      </c>
      <c r="O9" s="343">
        <f t="shared" ref="O9:O10" si="16">$L$7</f>
        <v>1442000</v>
      </c>
      <c r="P9" s="320">
        <f t="shared" si="0"/>
        <v>4.3923000000000014</v>
      </c>
      <c r="Q9" s="70">
        <f t="shared" si="1"/>
        <v>63.336966000000025</v>
      </c>
      <c r="R9" s="334">
        <f t="shared" ref="R9:R10" si="17">$O$7</f>
        <v>1442000</v>
      </c>
      <c r="S9" s="70">
        <f t="shared" si="9"/>
        <v>4.8315300000000017</v>
      </c>
      <c r="T9" s="340">
        <f t="shared" si="10"/>
        <v>69.670662600000028</v>
      </c>
      <c r="U9" s="332">
        <f>$R$7</f>
        <v>1435875</v>
      </c>
      <c r="V9" s="70">
        <f t="shared" si="2"/>
        <v>5.3146830000000023</v>
      </c>
      <c r="W9" s="340">
        <f t="shared" si="3"/>
        <v>76.312204526250042</v>
      </c>
      <c r="X9" s="430">
        <f t="shared" ref="X9:X10" si="18">$U$7</f>
        <v>1441125</v>
      </c>
      <c r="Y9" s="70">
        <f t="shared" si="4"/>
        <v>5.8461513000000034</v>
      </c>
      <c r="Z9" s="70">
        <f t="shared" si="5"/>
        <v>84.250347922125044</v>
      </c>
      <c r="AA9" s="431">
        <f t="shared" ref="AA9:AA10" si="19">$X$7</f>
        <v>180250</v>
      </c>
      <c r="AB9" s="70">
        <f t="shared" si="6"/>
        <v>6.4307664300000038</v>
      </c>
      <c r="AC9" s="70">
        <f t="shared" si="7"/>
        <v>11.591456490075005</v>
      </c>
      <c r="AD9" s="432">
        <f t="shared" ref="AD9:AD10" si="20">$AA$7</f>
        <v>0</v>
      </c>
      <c r="AE9" s="70">
        <f t="shared" ref="AE9:AE10" si="21">AB9*1.1</f>
        <v>7.0738430730000044</v>
      </c>
      <c r="AF9" s="70">
        <f t="shared" ref="AF9:AF11" si="22">AD9*AE9/100000</f>
        <v>0</v>
      </c>
      <c r="AG9" s="72"/>
      <c r="AH9" s="72"/>
      <c r="AI9" s="72"/>
      <c r="AJ9" s="72"/>
      <c r="AK9" s="72"/>
      <c r="AL9" s="72"/>
      <c r="AM9" s="186">
        <f t="shared" si="11"/>
        <v>7203000</v>
      </c>
      <c r="AN9" s="188">
        <f t="shared" si="12"/>
        <v>355.54331503845015</v>
      </c>
    </row>
    <row r="10" spans="2:42" ht="31.5" customHeight="1">
      <c r="B10" s="59">
        <v>4</v>
      </c>
      <c r="C10" s="60" t="s">
        <v>179</v>
      </c>
      <c r="D10" s="60" t="s">
        <v>98</v>
      </c>
      <c r="E10" s="75">
        <f>Conversion!J27</f>
        <v>6.5721304090909092</v>
      </c>
      <c r="F10" s="62"/>
      <c r="G10" s="70">
        <f t="shared" si="8"/>
        <v>4.4000000000000004</v>
      </c>
      <c r="H10" s="70"/>
      <c r="I10" s="341">
        <f>$F$7</f>
        <v>0</v>
      </c>
      <c r="J10" s="70">
        <f t="shared" si="13"/>
        <v>4.8400000000000007</v>
      </c>
      <c r="K10" s="70">
        <f t="shared" si="14"/>
        <v>0</v>
      </c>
      <c r="L10" s="333">
        <f>$I$7</f>
        <v>1261750</v>
      </c>
      <c r="M10" s="70">
        <f t="shared" si="15"/>
        <v>5.3240000000000016</v>
      </c>
      <c r="N10" s="70">
        <f>L10*M10/100000</f>
        <v>67.175570000000022</v>
      </c>
      <c r="O10" s="343">
        <f t="shared" si="16"/>
        <v>1442000</v>
      </c>
      <c r="P10" s="320">
        <f t="shared" si="0"/>
        <v>5.8564000000000025</v>
      </c>
      <c r="Q10" s="70">
        <f t="shared" si="1"/>
        <v>84.449288000000038</v>
      </c>
      <c r="R10" s="334">
        <f t="shared" si="17"/>
        <v>1442000</v>
      </c>
      <c r="S10" s="70">
        <f t="shared" si="9"/>
        <v>6.4420400000000031</v>
      </c>
      <c r="T10" s="340">
        <f t="shared" si="10"/>
        <v>92.894216800000052</v>
      </c>
      <c r="U10" s="332">
        <f>$R$7</f>
        <v>1435875</v>
      </c>
      <c r="V10" s="70">
        <f t="shared" si="2"/>
        <v>7.0862440000000042</v>
      </c>
      <c r="W10" s="340">
        <f t="shared" si="3"/>
        <v>101.74960603500007</v>
      </c>
      <c r="X10" s="430">
        <f t="shared" si="18"/>
        <v>1441125</v>
      </c>
      <c r="Y10" s="70">
        <f t="shared" si="4"/>
        <v>7.7948684000000057</v>
      </c>
      <c r="Z10" s="70">
        <f t="shared" si="5"/>
        <v>112.33379722950008</v>
      </c>
      <c r="AA10" s="431">
        <f t="shared" si="19"/>
        <v>180250</v>
      </c>
      <c r="AB10" s="70">
        <f t="shared" si="6"/>
        <v>8.5743552400000063</v>
      </c>
      <c r="AC10" s="70">
        <f t="shared" si="7"/>
        <v>15.455275320100011</v>
      </c>
      <c r="AD10" s="432">
        <f t="shared" si="20"/>
        <v>0</v>
      </c>
      <c r="AE10" s="70">
        <f t="shared" si="21"/>
        <v>9.4317907640000076</v>
      </c>
      <c r="AF10" s="70">
        <f t="shared" si="22"/>
        <v>0</v>
      </c>
      <c r="AG10" s="72"/>
      <c r="AH10" s="72"/>
      <c r="AI10" s="72"/>
      <c r="AJ10" s="72"/>
      <c r="AK10" s="72"/>
      <c r="AL10" s="72"/>
      <c r="AM10" s="186">
        <f t="shared" si="11"/>
        <v>7203000</v>
      </c>
      <c r="AN10" s="188">
        <f t="shared" si="12"/>
        <v>474.05775338460023</v>
      </c>
    </row>
    <row r="11" spans="2:42" ht="31.5" customHeight="1">
      <c r="B11" s="59">
        <v>5</v>
      </c>
      <c r="C11" s="60" t="s">
        <v>180</v>
      </c>
      <c r="D11" s="60" t="s">
        <v>98</v>
      </c>
      <c r="E11" s="75">
        <f>M_6x12!J20+'M_6x12 (2)'!J11</f>
        <v>3.6430051818181814</v>
      </c>
      <c r="F11" s="62"/>
      <c r="G11" s="70">
        <f t="shared" si="8"/>
        <v>5.5</v>
      </c>
      <c r="H11" s="70"/>
      <c r="I11" s="62"/>
      <c r="J11" s="70">
        <f t="shared" si="13"/>
        <v>6.0500000000000007</v>
      </c>
      <c r="K11" s="70"/>
      <c r="L11" s="341">
        <f>$F$7</f>
        <v>0</v>
      </c>
      <c r="M11" s="320">
        <f t="shared" si="15"/>
        <v>6.6550000000000011</v>
      </c>
      <c r="N11" s="70">
        <f>L11*M11/100000</f>
        <v>0</v>
      </c>
      <c r="O11" s="333">
        <f>$I$7</f>
        <v>1261750</v>
      </c>
      <c r="P11" s="320">
        <f t="shared" si="0"/>
        <v>7.3205000000000018</v>
      </c>
      <c r="Q11" s="70">
        <f>O11*P11/100000</f>
        <v>92.366408750000019</v>
      </c>
      <c r="R11" s="343">
        <f>$L$7</f>
        <v>1442000</v>
      </c>
      <c r="S11" s="70">
        <f t="shared" si="9"/>
        <v>8.0525500000000019</v>
      </c>
      <c r="T11" s="340">
        <f t="shared" si="10"/>
        <v>116.11777100000003</v>
      </c>
      <c r="U11" s="334">
        <f>$O$7</f>
        <v>1442000</v>
      </c>
      <c r="V11" s="70">
        <f t="shared" si="2"/>
        <v>8.8578050000000026</v>
      </c>
      <c r="W11" s="340">
        <f t="shared" si="3"/>
        <v>127.72954810000004</v>
      </c>
      <c r="X11" s="332">
        <f>$R$7</f>
        <v>1435875</v>
      </c>
      <c r="Y11" s="70">
        <f t="shared" si="4"/>
        <v>9.7435855000000036</v>
      </c>
      <c r="Z11" s="70">
        <f t="shared" si="5"/>
        <v>139.90570829812503</v>
      </c>
      <c r="AA11" s="430">
        <f>$U$7</f>
        <v>1441125</v>
      </c>
      <c r="AB11" s="70">
        <f>Y11*1.1</f>
        <v>10.717944050000005</v>
      </c>
      <c r="AC11" s="70">
        <f t="shared" si="7"/>
        <v>154.45897119056258</v>
      </c>
      <c r="AD11" s="431">
        <f>$X$7</f>
        <v>180250</v>
      </c>
      <c r="AE11" s="70">
        <f>AB11*1.1</f>
        <v>11.789738455000007</v>
      </c>
      <c r="AF11" s="70">
        <f t="shared" si="22"/>
        <v>21.251003565137513</v>
      </c>
      <c r="AG11" s="432">
        <f>$AA$7</f>
        <v>0</v>
      </c>
      <c r="AH11" s="70">
        <f>AE11*1.1</f>
        <v>12.968712300500009</v>
      </c>
      <c r="AI11" s="70">
        <f t="shared" ref="AI11" si="23">AG11*AH11/100000</f>
        <v>0</v>
      </c>
      <c r="AJ11" s="72"/>
      <c r="AK11" s="72"/>
      <c r="AL11" s="72"/>
      <c r="AM11" s="186">
        <f t="shared" si="11"/>
        <v>7203000</v>
      </c>
      <c r="AN11" s="188">
        <f t="shared" si="12"/>
        <v>651.82941090382519</v>
      </c>
    </row>
    <row r="12" spans="2:42" s="339" customFormat="1" ht="31.5" customHeight="1">
      <c r="B12" s="531" t="s">
        <v>12</v>
      </c>
      <c r="C12" s="531"/>
      <c r="D12" s="436"/>
      <c r="E12" s="436"/>
      <c r="F12" s="331"/>
      <c r="G12" s="331"/>
      <c r="H12" s="436">
        <f>SUM(H7:H11)</f>
        <v>0</v>
      </c>
      <c r="I12" s="331"/>
      <c r="J12" s="331"/>
      <c r="K12" s="436">
        <f>SUM(K7:K11)</f>
        <v>45.801525000000005</v>
      </c>
      <c r="L12" s="331"/>
      <c r="M12" s="331"/>
      <c r="N12" s="436">
        <f>SUM(N7:N11)</f>
        <v>175.13630750000007</v>
      </c>
      <c r="O12" s="331"/>
      <c r="P12" s="331"/>
      <c r="Q12" s="436">
        <f>SUM(Q7:Q11)</f>
        <v>303.48962875000012</v>
      </c>
      <c r="R12" s="331"/>
      <c r="S12" s="331"/>
      <c r="T12" s="436">
        <f>SUM(T7:T11)</f>
        <v>348.05738178750016</v>
      </c>
      <c r="U12" s="331"/>
      <c r="V12" s="331"/>
      <c r="W12" s="436">
        <f>SUM(W7:W11)</f>
        <v>382.38258404500021</v>
      </c>
      <c r="X12" s="331"/>
      <c r="Y12" s="331"/>
      <c r="Z12" s="436">
        <f>SUM(Z7:Z11)</f>
        <v>347.0275411680002</v>
      </c>
      <c r="AA12" s="331"/>
      <c r="AB12" s="331"/>
      <c r="AC12" s="436">
        <f>SUM(AC7:AC11)</f>
        <v>181.50570300073758</v>
      </c>
      <c r="AD12" s="331"/>
      <c r="AE12" s="331"/>
      <c r="AF12" s="436">
        <f>SUM(AF7:AF11)</f>
        <v>21.251003565137513</v>
      </c>
      <c r="AG12" s="331"/>
      <c r="AH12" s="331"/>
      <c r="AI12" s="436">
        <f>SUM(AI7:AI11)</f>
        <v>0</v>
      </c>
      <c r="AJ12" s="331"/>
      <c r="AK12" s="331"/>
      <c r="AL12" s="436">
        <f>SUM(AL7:AL11)</f>
        <v>0</v>
      </c>
      <c r="AM12" s="436"/>
      <c r="AN12" s="436">
        <f>SUM(AN7:AN11)</f>
        <v>1804.6516748163758</v>
      </c>
      <c r="AO12" s="344">
        <f>AN12/AM11*100000</f>
        <v>25.054167358272608</v>
      </c>
      <c r="AP12" s="344" t="s">
        <v>98</v>
      </c>
    </row>
    <row r="13" spans="2:42" ht="31.5" customHeight="1">
      <c r="B13" s="435" t="s">
        <v>124</v>
      </c>
      <c r="C13" s="57" t="s">
        <v>481</v>
      </c>
      <c r="D13" s="57"/>
      <c r="E13" s="57"/>
      <c r="F13" s="66"/>
      <c r="G13" s="66"/>
      <c r="H13" s="66"/>
      <c r="I13" s="66"/>
      <c r="J13" s="66"/>
      <c r="K13" s="66"/>
      <c r="L13" s="66"/>
      <c r="M13" s="66"/>
      <c r="N13" s="66"/>
      <c r="O13" s="66"/>
      <c r="P13" s="66"/>
      <c r="Q13" s="66"/>
      <c r="R13" s="66"/>
      <c r="S13" s="66"/>
      <c r="T13" s="67"/>
      <c r="U13" s="66"/>
      <c r="V13" s="66"/>
      <c r="W13" s="66"/>
      <c r="X13" s="66"/>
      <c r="Y13" s="66"/>
      <c r="Z13" s="66"/>
      <c r="AA13" s="66"/>
      <c r="AB13" s="66"/>
      <c r="AC13" s="66"/>
      <c r="AD13" s="66"/>
      <c r="AE13" s="66"/>
      <c r="AF13" s="66"/>
      <c r="AG13" s="66"/>
      <c r="AH13" s="66"/>
      <c r="AI13" s="66"/>
      <c r="AJ13" s="66"/>
      <c r="AK13" s="66"/>
      <c r="AL13" s="66"/>
      <c r="AM13" s="186"/>
      <c r="AN13" s="187"/>
    </row>
    <row r="14" spans="2:42" ht="31.5" customHeight="1">
      <c r="B14" s="59">
        <v>6</v>
      </c>
      <c r="C14" s="60" t="s">
        <v>480</v>
      </c>
      <c r="D14" s="60" t="s">
        <v>79</v>
      </c>
      <c r="E14" s="69">
        <f>Zero_ANR!F13</f>
        <v>24626.480307270231</v>
      </c>
      <c r="F14" s="334"/>
      <c r="G14" s="184">
        <f>E14*1.1</f>
        <v>27089.128337997256</v>
      </c>
      <c r="H14" s="70"/>
      <c r="I14" s="332">
        <v>25750</v>
      </c>
      <c r="J14" s="184">
        <f>G14*1.1</f>
        <v>29798.041171796984</v>
      </c>
      <c r="K14" s="70">
        <f>I14*J14/100000</f>
        <v>7672.9956017377235</v>
      </c>
      <c r="L14" s="321">
        <v>25750</v>
      </c>
      <c r="M14" s="69">
        <f>J14*1.1</f>
        <v>32777.845288976685</v>
      </c>
      <c r="N14" s="70">
        <f>L14*M14/100000</f>
        <v>8440.2951619114956</v>
      </c>
      <c r="O14" s="337">
        <v>25750</v>
      </c>
      <c r="P14" s="81">
        <f>M14*1.1</f>
        <v>36055.62981787436</v>
      </c>
      <c r="Q14" s="70">
        <f>O14*P14/100000</f>
        <v>9284.3246781026482</v>
      </c>
      <c r="R14" s="338">
        <f>25675-50</f>
        <v>25625</v>
      </c>
      <c r="S14" s="81">
        <f>P14*1.1</f>
        <v>39661.192799661796</v>
      </c>
      <c r="T14" s="70">
        <f>R14*S14/100000</f>
        <v>10163.180654913334</v>
      </c>
      <c r="U14" s="428">
        <v>25750</v>
      </c>
      <c r="V14" s="69">
        <f t="shared" ref="V14:V17" si="24">S14*1.1</f>
        <v>43627.312079627976</v>
      </c>
      <c r="W14" s="70">
        <f t="shared" ref="W14:W17" si="25">U14*V14/100000</f>
        <v>11234.032860504203</v>
      </c>
      <c r="X14" s="427"/>
      <c r="Y14" s="69">
        <f t="shared" ref="Y14:Y17" si="26">V14*1.1</f>
        <v>47990.043287590779</v>
      </c>
      <c r="Z14" s="70">
        <f t="shared" ref="Z14:Z17" si="27">X14*Y14/100000</f>
        <v>0</v>
      </c>
      <c r="AA14" s="429"/>
      <c r="AB14" s="69">
        <f t="shared" ref="AB14:AB17" si="28">Y14*1.1</f>
        <v>52789.047616349861</v>
      </c>
      <c r="AC14" s="70">
        <f t="shared" ref="AC14:AC17" si="29">AA14*AB14/100000</f>
        <v>0</v>
      </c>
      <c r="AD14" s="72"/>
      <c r="AE14" s="72"/>
      <c r="AF14" s="70"/>
      <c r="AG14" s="72"/>
      <c r="AH14" s="72"/>
      <c r="AI14" s="70"/>
      <c r="AJ14" s="72"/>
      <c r="AK14" s="72"/>
      <c r="AL14" s="70"/>
      <c r="AM14" s="186">
        <f t="shared" ref="AM14:AM17" si="30">AD14+AA14+X14+U14+R14+O14+L14+I14+F14+AG14+AJ14</f>
        <v>128625</v>
      </c>
      <c r="AN14" s="188">
        <f t="shared" ref="AN14:AN17" si="31">AF14+AC14+Z14+W14+T14+Q14+N14+K14+H14+AI14+AL14</f>
        <v>46794.828957169411</v>
      </c>
    </row>
    <row r="15" spans="2:42" ht="31.5" customHeight="1">
      <c r="B15" s="59">
        <v>7</v>
      </c>
      <c r="C15" s="60" t="s">
        <v>14</v>
      </c>
      <c r="D15" s="60" t="s">
        <v>79</v>
      </c>
      <c r="E15" s="81">
        <f>I_ANR!F27</f>
        <v>5642.3775000000005</v>
      </c>
      <c r="F15" s="69"/>
      <c r="G15" s="184">
        <f t="shared" ref="G15:G17" si="32">E15*1.1</f>
        <v>6206.6152500000007</v>
      </c>
      <c r="H15" s="70"/>
      <c r="I15" s="335">
        <f>$F$14</f>
        <v>0</v>
      </c>
      <c r="J15" s="184">
        <f t="shared" ref="J15:J17" si="33">G15*1.1</f>
        <v>6827.2767750000012</v>
      </c>
      <c r="K15" s="70">
        <f>I15*J15/100000</f>
        <v>0</v>
      </c>
      <c r="L15" s="336">
        <f>$I$14</f>
        <v>25750</v>
      </c>
      <c r="M15" s="69">
        <f t="shared" ref="M15:M17" si="34">J15*1.1</f>
        <v>7510.0044525000021</v>
      </c>
      <c r="N15" s="70">
        <f t="shared" ref="N15:N16" si="35">L15*M15/100000</f>
        <v>1933.8261465187504</v>
      </c>
      <c r="O15" s="321">
        <f>$L$14</f>
        <v>25750</v>
      </c>
      <c r="P15" s="81">
        <f t="shared" ref="P15:P17" si="36">M15*1.1</f>
        <v>8261.0048977500028</v>
      </c>
      <c r="Q15" s="70">
        <f>O15*P15/100000</f>
        <v>2127.2087611706256</v>
      </c>
      <c r="R15" s="337">
        <f>$O$14</f>
        <v>25750</v>
      </c>
      <c r="S15" s="81">
        <f t="shared" ref="S15:S17" si="37">P15*1.1</f>
        <v>9087.1053875250036</v>
      </c>
      <c r="T15" s="70">
        <f t="shared" ref="T15:T17" si="38">R15*S15/100000</f>
        <v>2339.9296372876884</v>
      </c>
      <c r="U15" s="338">
        <f>$R$14</f>
        <v>25625</v>
      </c>
      <c r="V15" s="69">
        <f t="shared" si="24"/>
        <v>9995.8159262775043</v>
      </c>
      <c r="W15" s="70">
        <f t="shared" si="25"/>
        <v>2561.4278311086105</v>
      </c>
      <c r="X15" s="428">
        <f>$U$14</f>
        <v>25750</v>
      </c>
      <c r="Y15" s="69">
        <f t="shared" si="26"/>
        <v>10995.397518905256</v>
      </c>
      <c r="Z15" s="70">
        <f t="shared" si="27"/>
        <v>2831.3148611181032</v>
      </c>
      <c r="AA15" s="427">
        <f>$X$14</f>
        <v>0</v>
      </c>
      <c r="AB15" s="69">
        <f t="shared" si="28"/>
        <v>12094.937270795783</v>
      </c>
      <c r="AC15" s="70">
        <f t="shared" si="29"/>
        <v>0</v>
      </c>
      <c r="AD15" s="429"/>
      <c r="AE15" s="69">
        <f t="shared" ref="AE15:AE17" si="39">AB15*1.1</f>
        <v>13304.430997875363</v>
      </c>
      <c r="AF15" s="70">
        <f t="shared" ref="AF15:AF17" si="40">AD15*AE15/100000</f>
        <v>0</v>
      </c>
      <c r="AG15" s="59"/>
      <c r="AH15" s="59"/>
      <c r="AI15" s="423"/>
      <c r="AJ15" s="59"/>
      <c r="AK15" s="59"/>
      <c r="AL15" s="423"/>
      <c r="AM15" s="186">
        <f t="shared" si="30"/>
        <v>128625</v>
      </c>
      <c r="AN15" s="188">
        <f t="shared" si="31"/>
        <v>11793.707237203776</v>
      </c>
    </row>
    <row r="16" spans="2:42" ht="31.5" customHeight="1">
      <c r="B16" s="59">
        <v>8</v>
      </c>
      <c r="C16" s="60" t="s">
        <v>15</v>
      </c>
      <c r="D16" s="60" t="s">
        <v>79</v>
      </c>
      <c r="E16" s="81">
        <f>II_ANR!F6</f>
        <v>579.29999999999995</v>
      </c>
      <c r="F16" s="69"/>
      <c r="G16" s="184">
        <f t="shared" si="32"/>
        <v>637.23</v>
      </c>
      <c r="H16" s="71"/>
      <c r="I16" s="69"/>
      <c r="J16" s="63">
        <f t="shared" si="33"/>
        <v>700.95300000000009</v>
      </c>
      <c r="K16" s="71"/>
      <c r="L16" s="335">
        <f>$F$14</f>
        <v>0</v>
      </c>
      <c r="M16" s="69">
        <f t="shared" si="34"/>
        <v>771.04830000000015</v>
      </c>
      <c r="N16" s="70">
        <f t="shared" si="35"/>
        <v>0</v>
      </c>
      <c r="O16" s="336">
        <f>$I$14</f>
        <v>25750</v>
      </c>
      <c r="P16" s="81">
        <f t="shared" si="36"/>
        <v>848.15313000000026</v>
      </c>
      <c r="Q16" s="70">
        <f t="shared" ref="Q16:Q17" si="41">O16*P16/100000</f>
        <v>218.39943097500009</v>
      </c>
      <c r="R16" s="321">
        <f>$L$14</f>
        <v>25750</v>
      </c>
      <c r="S16" s="81">
        <f t="shared" si="37"/>
        <v>932.96844300000032</v>
      </c>
      <c r="T16" s="70">
        <f t="shared" si="38"/>
        <v>240.23937407250008</v>
      </c>
      <c r="U16" s="337">
        <f>$O$14</f>
        <v>25750</v>
      </c>
      <c r="V16" s="69">
        <f t="shared" si="24"/>
        <v>1026.2652873000004</v>
      </c>
      <c r="W16" s="70">
        <f t="shared" si="25"/>
        <v>264.26331147975009</v>
      </c>
      <c r="X16" s="338">
        <f>$R$14</f>
        <v>25625</v>
      </c>
      <c r="Y16" s="69">
        <f t="shared" si="26"/>
        <v>1128.8918160300007</v>
      </c>
      <c r="Z16" s="70">
        <f t="shared" si="27"/>
        <v>289.27852785768766</v>
      </c>
      <c r="AA16" s="428">
        <f>$U$14</f>
        <v>25750</v>
      </c>
      <c r="AB16" s="69">
        <f t="shared" si="28"/>
        <v>1241.7809976330009</v>
      </c>
      <c r="AC16" s="70">
        <f t="shared" si="29"/>
        <v>319.75860689049773</v>
      </c>
      <c r="AD16" s="427">
        <f>$X$14</f>
        <v>0</v>
      </c>
      <c r="AE16" s="69">
        <f t="shared" si="39"/>
        <v>1365.9590973963011</v>
      </c>
      <c r="AF16" s="70">
        <f t="shared" si="40"/>
        <v>0</v>
      </c>
      <c r="AG16" s="429"/>
      <c r="AH16" s="69">
        <f t="shared" ref="AH16:AH17" si="42">Y16*1.1</f>
        <v>1241.7809976330009</v>
      </c>
      <c r="AI16" s="70">
        <f t="shared" ref="AI16:AI17" si="43">AG16*AH16/100000</f>
        <v>0</v>
      </c>
      <c r="AJ16" s="69"/>
      <c r="AK16" s="69"/>
      <c r="AL16" s="70"/>
      <c r="AM16" s="186">
        <f t="shared" si="30"/>
        <v>128625</v>
      </c>
      <c r="AN16" s="188">
        <f t="shared" si="31"/>
        <v>1331.9392512754357</v>
      </c>
    </row>
    <row r="17" spans="2:41" ht="31.5" customHeight="1">
      <c r="B17" s="59">
        <v>9</v>
      </c>
      <c r="C17" s="60" t="s">
        <v>475</v>
      </c>
      <c r="D17" s="60" t="s">
        <v>79</v>
      </c>
      <c r="E17" s="81">
        <f>III_ANR!F9</f>
        <v>3051.3249999999998</v>
      </c>
      <c r="F17" s="69"/>
      <c r="G17" s="184">
        <f t="shared" si="32"/>
        <v>3356.4575</v>
      </c>
      <c r="H17" s="71"/>
      <c r="I17" s="69"/>
      <c r="J17" s="63">
        <f t="shared" si="33"/>
        <v>3692.1032500000001</v>
      </c>
      <c r="K17" s="71"/>
      <c r="L17" s="58"/>
      <c r="M17" s="73">
        <f t="shared" si="34"/>
        <v>4061.3135750000006</v>
      </c>
      <c r="N17" s="71"/>
      <c r="O17" s="335">
        <f>$F$14</f>
        <v>0</v>
      </c>
      <c r="P17" s="81">
        <f t="shared" si="36"/>
        <v>4467.4449325000014</v>
      </c>
      <c r="Q17" s="70">
        <f t="shared" si="41"/>
        <v>0</v>
      </c>
      <c r="R17" s="336">
        <f>$I$14</f>
        <v>25750</v>
      </c>
      <c r="S17" s="81">
        <f t="shared" si="37"/>
        <v>4914.1894257500016</v>
      </c>
      <c r="T17" s="70">
        <f t="shared" si="38"/>
        <v>1265.4037771306255</v>
      </c>
      <c r="U17" s="321">
        <f>$L$14</f>
        <v>25750</v>
      </c>
      <c r="V17" s="69">
        <f t="shared" si="24"/>
        <v>5405.6083683250026</v>
      </c>
      <c r="W17" s="70">
        <f t="shared" si="25"/>
        <v>1391.9441548436882</v>
      </c>
      <c r="X17" s="337">
        <f>$O$14</f>
        <v>25750</v>
      </c>
      <c r="Y17" s="69">
        <f t="shared" si="26"/>
        <v>5946.1692051575037</v>
      </c>
      <c r="Z17" s="70">
        <f t="shared" si="27"/>
        <v>1531.1385703280571</v>
      </c>
      <c r="AA17" s="338">
        <f>$R$14</f>
        <v>25625</v>
      </c>
      <c r="AB17" s="69">
        <f t="shared" si="28"/>
        <v>6540.7861256732549</v>
      </c>
      <c r="AC17" s="70">
        <f t="shared" si="29"/>
        <v>1676.0764447037716</v>
      </c>
      <c r="AD17" s="428">
        <f>$U$14</f>
        <v>25750</v>
      </c>
      <c r="AE17" s="69">
        <f t="shared" si="39"/>
        <v>7194.8647382405807</v>
      </c>
      <c r="AF17" s="70">
        <f t="shared" si="40"/>
        <v>1852.6776700969497</v>
      </c>
      <c r="AG17" s="427">
        <f>$X$14</f>
        <v>0</v>
      </c>
      <c r="AH17" s="69">
        <f t="shared" si="42"/>
        <v>6540.7861256732549</v>
      </c>
      <c r="AI17" s="70">
        <f t="shared" si="43"/>
        <v>0</v>
      </c>
      <c r="AJ17" s="429"/>
      <c r="AK17" s="69">
        <f t="shared" ref="AK17" si="44">AB17*1.1</f>
        <v>7194.8647382405807</v>
      </c>
      <c r="AL17" s="70">
        <f t="shared" ref="AL17" si="45">AJ17*AK17/100000</f>
        <v>0</v>
      </c>
      <c r="AM17" s="186">
        <f t="shared" si="30"/>
        <v>128625</v>
      </c>
      <c r="AN17" s="188">
        <f t="shared" si="31"/>
        <v>7717.2406171030916</v>
      </c>
    </row>
    <row r="18" spans="2:41" s="37" customFormat="1" ht="31.5" customHeight="1">
      <c r="B18" s="532" t="s">
        <v>12</v>
      </c>
      <c r="C18" s="532"/>
      <c r="D18" s="433"/>
      <c r="E18" s="433"/>
      <c r="F18" s="433"/>
      <c r="G18" s="65"/>
      <c r="H18" s="436">
        <f>SUM(H14:H17)</f>
        <v>0</v>
      </c>
      <c r="I18" s="436"/>
      <c r="J18" s="331"/>
      <c r="K18" s="436">
        <f>SUM(K14:K17)</f>
        <v>7672.9956017377235</v>
      </c>
      <c r="L18" s="436"/>
      <c r="M18" s="436"/>
      <c r="N18" s="436">
        <f>SUM(N14:N17)</f>
        <v>10374.121308430245</v>
      </c>
      <c r="O18" s="436"/>
      <c r="P18" s="436"/>
      <c r="Q18" s="436">
        <f>SUM(Q14:Q17)</f>
        <v>11629.932870248273</v>
      </c>
      <c r="R18" s="436"/>
      <c r="S18" s="436"/>
      <c r="T18" s="436">
        <f>SUM(T14:T17)</f>
        <v>14008.753443404148</v>
      </c>
      <c r="U18" s="436"/>
      <c r="V18" s="436"/>
      <c r="W18" s="436">
        <f>SUM(W14:W17)</f>
        <v>15451.668157936252</v>
      </c>
      <c r="X18" s="436"/>
      <c r="Y18" s="436"/>
      <c r="Z18" s="436">
        <f>SUM(Z14:Z17)</f>
        <v>4651.7319593038483</v>
      </c>
      <c r="AA18" s="436"/>
      <c r="AB18" s="436"/>
      <c r="AC18" s="436">
        <f>SUM(AC14:AC17)</f>
        <v>1995.8350515942693</v>
      </c>
      <c r="AD18" s="436"/>
      <c r="AE18" s="436"/>
      <c r="AF18" s="436">
        <f>SUM(AF14:AF17)</f>
        <v>1852.6776700969497</v>
      </c>
      <c r="AG18" s="436"/>
      <c r="AH18" s="436"/>
      <c r="AI18" s="436">
        <f>SUM(AI14:AI17)</f>
        <v>0</v>
      </c>
      <c r="AJ18" s="436"/>
      <c r="AK18" s="436"/>
      <c r="AL18" s="436">
        <f>SUM(AL14:AL17)</f>
        <v>0</v>
      </c>
      <c r="AM18" s="436"/>
      <c r="AN18" s="436">
        <f>SUM(AN14:AN17)</f>
        <v>67637.716062751715</v>
      </c>
    </row>
    <row r="19" spans="2:41" ht="31.5" customHeight="1">
      <c r="B19" s="435" t="s">
        <v>16</v>
      </c>
      <c r="C19" s="57" t="s">
        <v>300</v>
      </c>
      <c r="D19" s="57"/>
      <c r="E19" s="57"/>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72"/>
      <c r="AN19" s="185"/>
    </row>
    <row r="20" spans="2:41" ht="31.5" customHeight="1">
      <c r="B20" s="59">
        <v>18</v>
      </c>
      <c r="C20" s="74" t="s">
        <v>407</v>
      </c>
      <c r="D20" s="74" t="s">
        <v>103</v>
      </c>
      <c r="E20" s="72">
        <v>150000</v>
      </c>
      <c r="F20" s="398"/>
      <c r="G20" s="62">
        <f>E20*1.1</f>
        <v>165000</v>
      </c>
      <c r="H20" s="70">
        <f t="shared" ref="H20:H21" si="46">F20*G20/100000</f>
        <v>0</v>
      </c>
      <c r="I20" s="398"/>
      <c r="J20" s="62">
        <f t="shared" ref="J20:J21" si="47">E20*1.1*1.1</f>
        <v>181500.00000000003</v>
      </c>
      <c r="K20" s="70">
        <f t="shared" ref="K20" si="48">I20*J20/100000</f>
        <v>0</v>
      </c>
      <c r="L20" s="398"/>
      <c r="M20" s="62">
        <f t="shared" ref="M20:M21" si="49">J20*1.1</f>
        <v>199650.00000000006</v>
      </c>
      <c r="N20" s="70">
        <f t="shared" ref="N20:N21" si="50">L20*M20/100000</f>
        <v>0</v>
      </c>
      <c r="O20" s="398"/>
      <c r="P20" s="62">
        <f t="shared" ref="P20:P21" si="51">M20*1.1</f>
        <v>219615.00000000009</v>
      </c>
      <c r="Q20" s="70">
        <f t="shared" ref="Q20:Q21" si="52">O20*P20/100000</f>
        <v>0</v>
      </c>
      <c r="R20" s="398"/>
      <c r="S20" s="62">
        <f t="shared" ref="S20:S21" si="53">P20*1.1</f>
        <v>241576.50000000012</v>
      </c>
      <c r="T20" s="70">
        <f t="shared" ref="T20:T21" si="54">R20*S20/100000</f>
        <v>0</v>
      </c>
      <c r="U20" s="59"/>
      <c r="V20" s="59"/>
      <c r="W20" s="76"/>
      <c r="X20" s="77"/>
      <c r="Y20" s="77"/>
      <c r="Z20" s="76"/>
      <c r="AA20" s="76"/>
      <c r="AB20" s="76"/>
      <c r="AC20" s="76"/>
      <c r="AD20" s="424"/>
      <c r="AE20" s="424"/>
      <c r="AF20" s="76"/>
      <c r="AG20" s="424"/>
      <c r="AH20" s="424"/>
      <c r="AI20" s="76"/>
      <c r="AJ20" s="424"/>
      <c r="AK20" s="424"/>
      <c r="AL20" s="76"/>
      <c r="AM20" s="186">
        <f t="shared" ref="AM20:AM21" si="55">AD20+AA20+X20+U20+R20+O20+L20+I20+F20+AG20+AJ20</f>
        <v>0</v>
      </c>
      <c r="AN20" s="188">
        <f t="shared" ref="AN20:AN21" si="56">AF20+AC20+Z20+W20+T20+Q20+N20+K20+H20+AI20+AL20</f>
        <v>0</v>
      </c>
    </row>
    <row r="21" spans="2:41" s="36" customFormat="1" ht="31.5" customHeight="1">
      <c r="B21" s="59">
        <v>23</v>
      </c>
      <c r="C21" s="78" t="s">
        <v>199</v>
      </c>
      <c r="D21" s="78" t="s">
        <v>120</v>
      </c>
      <c r="E21" s="78">
        <v>210</v>
      </c>
      <c r="F21" s="183"/>
      <c r="G21" s="62">
        <f>E21*1.1</f>
        <v>231.00000000000003</v>
      </c>
      <c r="H21" s="70">
        <f t="shared" si="46"/>
        <v>0</v>
      </c>
      <c r="I21" s="183">
        <f>I14*$D$26</f>
        <v>643750</v>
      </c>
      <c r="J21" s="62">
        <f t="shared" si="47"/>
        <v>254.10000000000005</v>
      </c>
      <c r="K21" s="345">
        <f>I21*J21/100000</f>
        <v>1635.7687500000004</v>
      </c>
      <c r="L21" s="183">
        <f>L14*$D$26</f>
        <v>643750</v>
      </c>
      <c r="M21" s="184">
        <f t="shared" si="49"/>
        <v>279.5100000000001</v>
      </c>
      <c r="N21" s="320">
        <f t="shared" si="50"/>
        <v>1799.3456250000006</v>
      </c>
      <c r="O21" s="183">
        <f>O14*$D$26</f>
        <v>643750</v>
      </c>
      <c r="P21" s="184">
        <f t="shared" si="51"/>
        <v>307.46100000000013</v>
      </c>
      <c r="Q21" s="320">
        <f t="shared" si="52"/>
        <v>1979.2801875000009</v>
      </c>
      <c r="R21" s="183">
        <f>R14*$D$26</f>
        <v>640625</v>
      </c>
      <c r="S21" s="62">
        <f t="shared" si="53"/>
        <v>338.20710000000014</v>
      </c>
      <c r="T21" s="320">
        <f t="shared" si="54"/>
        <v>2166.6392343750008</v>
      </c>
      <c r="U21" s="183">
        <f>U14*$D$26</f>
        <v>643750</v>
      </c>
      <c r="V21" s="79">
        <f>S21*1.1</f>
        <v>372.02781000000016</v>
      </c>
      <c r="W21" s="320">
        <f t="shared" ref="W21" si="57">U21*V21/100000</f>
        <v>2394.929026875001</v>
      </c>
      <c r="X21" s="183">
        <f>X14*$D$26</f>
        <v>0</v>
      </c>
      <c r="Y21" s="79">
        <f t="shared" ref="Y21" si="58">V21*1.1</f>
        <v>409.23059100000023</v>
      </c>
      <c r="Z21" s="320">
        <f t="shared" ref="Z21" si="59">X21*Y21/100000</f>
        <v>0</v>
      </c>
      <c r="AA21" s="183">
        <f>AA14*$D$26</f>
        <v>0</v>
      </c>
      <c r="AB21" s="79">
        <f t="shared" ref="AB21" si="60">Y21*1.1</f>
        <v>450.15365010000028</v>
      </c>
      <c r="AC21" s="320">
        <f t="shared" ref="AC21" si="61">AA21*AB21/100000</f>
        <v>0</v>
      </c>
      <c r="AD21" s="79"/>
      <c r="AE21" s="79"/>
      <c r="AF21" s="82"/>
      <c r="AG21" s="79"/>
      <c r="AH21" s="79"/>
      <c r="AI21" s="82"/>
      <c r="AJ21" s="79"/>
      <c r="AK21" s="79"/>
      <c r="AL21" s="82"/>
      <c r="AM21" s="186">
        <f t="shared" si="55"/>
        <v>3215625</v>
      </c>
      <c r="AN21" s="188">
        <f t="shared" si="56"/>
        <v>9975.9628237500037</v>
      </c>
    </row>
    <row r="22" spans="2:41" s="37" customFormat="1" ht="31.5" customHeight="1">
      <c r="B22" s="83"/>
      <c r="C22" s="433" t="s">
        <v>17</v>
      </c>
      <c r="D22" s="84"/>
      <c r="E22" s="84"/>
      <c r="F22" s="85"/>
      <c r="G22" s="85"/>
      <c r="H22" s="322">
        <f>SUM(H20:H21)</f>
        <v>0</v>
      </c>
      <c r="I22" s="323"/>
      <c r="J22" s="323"/>
      <c r="K22" s="322">
        <f>SUM(K20:K21)</f>
        <v>1635.7687500000004</v>
      </c>
      <c r="L22" s="323"/>
      <c r="M22" s="323"/>
      <c r="N22" s="322">
        <f>SUM(N20:N21)</f>
        <v>1799.3456250000006</v>
      </c>
      <c r="O22" s="323"/>
      <c r="P22" s="323"/>
      <c r="Q22" s="322">
        <f>SUM(Q20:Q21)</f>
        <v>1979.2801875000009</v>
      </c>
      <c r="R22" s="323"/>
      <c r="S22" s="323"/>
      <c r="T22" s="322">
        <f>SUM(T20:T21)</f>
        <v>2166.6392343750008</v>
      </c>
      <c r="U22" s="323"/>
      <c r="V22" s="323"/>
      <c r="W22" s="322">
        <f>SUM(W20:W21)</f>
        <v>2394.929026875001</v>
      </c>
      <c r="X22" s="323"/>
      <c r="Y22" s="323"/>
      <c r="Z22" s="322">
        <f>SUM(Z20:Z21)</f>
        <v>0</v>
      </c>
      <c r="AA22" s="323"/>
      <c r="AB22" s="323"/>
      <c r="AC22" s="322">
        <f>SUM(AC20:AC21)</f>
        <v>0</v>
      </c>
      <c r="AD22" s="323"/>
      <c r="AE22" s="323"/>
      <c r="AF22" s="322">
        <f>SUM(AF20:AF21)</f>
        <v>0</v>
      </c>
      <c r="AG22" s="323"/>
      <c r="AH22" s="323"/>
      <c r="AI22" s="322">
        <f>SUM(AI20:AI21)</f>
        <v>0</v>
      </c>
      <c r="AJ22" s="323"/>
      <c r="AK22" s="323"/>
      <c r="AL22" s="322">
        <f>SUM(AL20:AL21)</f>
        <v>0</v>
      </c>
      <c r="AM22" s="322"/>
      <c r="AN22" s="322">
        <f>SUM(AN19:AN21)</f>
        <v>9975.9628237500037</v>
      </c>
    </row>
    <row r="23" spans="2:41" s="45" customFormat="1" ht="31.5" customHeight="1">
      <c r="B23" s="68" t="s">
        <v>125</v>
      </c>
      <c r="C23" s="87" t="s">
        <v>104</v>
      </c>
      <c r="D23" s="88"/>
      <c r="E23" s="88"/>
      <c r="F23" s="88"/>
      <c r="G23" s="88"/>
      <c r="H23" s="324">
        <f>(H18+H22+H12)*0.1</f>
        <v>0</v>
      </c>
      <c r="I23" s="325"/>
      <c r="J23" s="325"/>
      <c r="K23" s="324">
        <f>(K18+K22+K12)*0.1</f>
        <v>935.45658767377245</v>
      </c>
      <c r="L23" s="325"/>
      <c r="M23" s="325"/>
      <c r="N23" s="324">
        <f>(N18+N22+N12)*0.1</f>
        <v>1234.8603240930247</v>
      </c>
      <c r="O23" s="325"/>
      <c r="P23" s="325"/>
      <c r="Q23" s="324">
        <f>(Q18+Q22+Q12)*0.1</f>
        <v>1391.2702686498274</v>
      </c>
      <c r="R23" s="325"/>
      <c r="S23" s="325"/>
      <c r="T23" s="324">
        <f>(T18+T22+T12)*0.1</f>
        <v>1652.3450059566651</v>
      </c>
      <c r="U23" s="326"/>
      <c r="V23" s="326"/>
      <c r="W23" s="324">
        <f>(W18+W22+W12)*0.1</f>
        <v>1822.8979768856254</v>
      </c>
      <c r="X23" s="327"/>
      <c r="Y23" s="327"/>
      <c r="Z23" s="324">
        <f>(Z18+Z22+Z12)*0.1</f>
        <v>499.87595004718492</v>
      </c>
      <c r="AA23" s="327"/>
      <c r="AB23" s="327"/>
      <c r="AC23" s="324">
        <f>(AC18+AC22+AC12)*0.1</f>
        <v>217.73407545950067</v>
      </c>
      <c r="AD23" s="425"/>
      <c r="AE23" s="425"/>
      <c r="AF23" s="324">
        <f>(AF18+AF22+AF12)*0.1</f>
        <v>187.39286736620875</v>
      </c>
      <c r="AG23" s="425"/>
      <c r="AH23" s="425"/>
      <c r="AI23" s="324">
        <f>(AI18+AI22+AI12)*0.1</f>
        <v>0</v>
      </c>
      <c r="AJ23" s="425"/>
      <c r="AK23" s="425"/>
      <c r="AL23" s="324">
        <f>(AL18+AL22+AL12)*0.1</f>
        <v>0</v>
      </c>
      <c r="AM23" s="188"/>
      <c r="AN23" s="324">
        <f>(AN18+AN22+AN12)*0.1</f>
        <v>7941.8330561318089</v>
      </c>
    </row>
    <row r="24" spans="2:41" s="44" customFormat="1" ht="31.5" customHeight="1">
      <c r="B24" s="86"/>
      <c r="C24" s="433" t="s">
        <v>476</v>
      </c>
      <c r="D24" s="433"/>
      <c r="E24" s="433"/>
      <c r="F24" s="89"/>
      <c r="G24" s="89"/>
      <c r="H24" s="328">
        <f>H23+H22+H18+H12</f>
        <v>0</v>
      </c>
      <c r="I24" s="329"/>
      <c r="J24" s="329"/>
      <c r="K24" s="328">
        <f>K23+K22+K18+K12</f>
        <v>10290.022464411497</v>
      </c>
      <c r="L24" s="329"/>
      <c r="M24" s="329"/>
      <c r="N24" s="328">
        <f>N23+N22+N18+N12</f>
        <v>13583.46356502327</v>
      </c>
      <c r="O24" s="329"/>
      <c r="P24" s="329"/>
      <c r="Q24" s="328">
        <f>Q23+Q22+Q18+Q12</f>
        <v>15303.972955148101</v>
      </c>
      <c r="R24" s="329"/>
      <c r="S24" s="329"/>
      <c r="T24" s="328">
        <f>T23+T22+T18+T12</f>
        <v>18175.795065523314</v>
      </c>
      <c r="U24" s="329"/>
      <c r="V24" s="329"/>
      <c r="W24" s="328">
        <f>W23+W22+W18+W12</f>
        <v>20051.87774574188</v>
      </c>
      <c r="X24" s="329"/>
      <c r="Y24" s="329"/>
      <c r="Z24" s="328">
        <f>Z23+Z22+Z18+Z12</f>
        <v>5498.6354505190338</v>
      </c>
      <c r="AA24" s="329"/>
      <c r="AB24" s="329"/>
      <c r="AC24" s="328">
        <f>AC23+AC22+AC18+AC12</f>
        <v>2395.0748300545074</v>
      </c>
      <c r="AD24" s="329"/>
      <c r="AE24" s="329"/>
      <c r="AF24" s="328">
        <f>AF23+AF22+AF18+AF12</f>
        <v>2061.321541028296</v>
      </c>
      <c r="AG24" s="329"/>
      <c r="AH24" s="329"/>
      <c r="AI24" s="328">
        <f>AI23+AI22+AI18+AI12</f>
        <v>0</v>
      </c>
      <c r="AJ24" s="329"/>
      <c r="AK24" s="329"/>
      <c r="AL24" s="328">
        <f>AL23+AL22+AL18+AL12</f>
        <v>0</v>
      </c>
      <c r="AM24" s="322"/>
      <c r="AN24" s="328">
        <f>AN23+AN22+AN18+AN12</f>
        <v>87360.1636174499</v>
      </c>
      <c r="AO24" s="44">
        <f>AN24/AM14</f>
        <v>0.67918494551953279</v>
      </c>
    </row>
    <row r="25" spans="2:41">
      <c r="N25" s="38"/>
      <c r="AM25" s="39"/>
      <c r="AN25" s="40"/>
    </row>
    <row r="26" spans="2:41" ht="15">
      <c r="C26" s="32" t="s">
        <v>477</v>
      </c>
      <c r="D26" s="32">
        <v>25</v>
      </c>
      <c r="AM26" s="283"/>
      <c r="AN26" s="426" t="e">
        <f>#REF!*0.25</f>
        <v>#REF!</v>
      </c>
    </row>
    <row r="27" spans="2:41" ht="15">
      <c r="C27" s="32" t="s">
        <v>478</v>
      </c>
      <c r="H27" s="446">
        <f>H24/100</f>
        <v>0</v>
      </c>
      <c r="I27" s="446"/>
      <c r="J27" s="446"/>
      <c r="K27" s="446">
        <f>K24/100</f>
        <v>102.90022464411497</v>
      </c>
      <c r="L27" s="446"/>
      <c r="M27" s="446"/>
      <c r="N27" s="446">
        <f>N24/100</f>
        <v>135.83463565023271</v>
      </c>
      <c r="O27" s="446"/>
      <c r="P27" s="446"/>
      <c r="Q27" s="446">
        <f>Q24/100</f>
        <v>153.039729551481</v>
      </c>
      <c r="R27" s="446"/>
      <c r="S27" s="446"/>
      <c r="T27" s="446">
        <f>T24/100</f>
        <v>181.75795065523315</v>
      </c>
      <c r="U27" s="446"/>
      <c r="V27" s="446"/>
      <c r="W27" s="446">
        <f>W24/100</f>
        <v>200.51877745741879</v>
      </c>
      <c r="X27" s="446"/>
      <c r="Y27" s="446"/>
      <c r="Z27" s="446">
        <f>Z24/100</f>
        <v>54.986354505190342</v>
      </c>
      <c r="AA27" s="446"/>
      <c r="AB27" s="446"/>
      <c r="AC27" s="446">
        <f>AC24/100</f>
        <v>23.950748300545072</v>
      </c>
      <c r="AD27" s="446"/>
      <c r="AE27" s="446"/>
      <c r="AF27" s="446">
        <f>AF24/100</f>
        <v>20.613215410282962</v>
      </c>
      <c r="AG27" s="446"/>
      <c r="AH27" s="446"/>
      <c r="AI27" s="446">
        <f>AI24/100</f>
        <v>0</v>
      </c>
      <c r="AJ27" s="446"/>
      <c r="AK27" s="446"/>
      <c r="AL27" s="446">
        <f>AL24/100</f>
        <v>0</v>
      </c>
      <c r="AM27" s="447"/>
      <c r="AN27" s="446">
        <f>AN24/100</f>
        <v>873.60163617449905</v>
      </c>
    </row>
    <row r="28" spans="2:41">
      <c r="AN28" s="42"/>
    </row>
    <row r="29" spans="2:41" ht="12.75">
      <c r="C29" s="441" t="s">
        <v>484</v>
      </c>
      <c r="D29" s="439"/>
      <c r="E29" s="439"/>
      <c r="F29" s="523" t="s">
        <v>308</v>
      </c>
      <c r="G29" s="523"/>
      <c r="H29" s="523"/>
      <c r="I29" s="526" t="s">
        <v>2</v>
      </c>
      <c r="J29" s="527"/>
      <c r="K29" s="528"/>
      <c r="L29" s="526" t="s">
        <v>3</v>
      </c>
      <c r="M29" s="527"/>
      <c r="N29" s="528"/>
      <c r="O29" s="526" t="s">
        <v>4</v>
      </c>
      <c r="P29" s="527"/>
      <c r="Q29" s="528"/>
      <c r="R29" s="526" t="s">
        <v>5</v>
      </c>
      <c r="S29" s="527"/>
      <c r="T29" s="528"/>
      <c r="U29" s="526" t="s">
        <v>6</v>
      </c>
      <c r="V29" s="527"/>
      <c r="W29" s="528"/>
      <c r="X29" s="526" t="s">
        <v>7</v>
      </c>
      <c r="Y29" s="527"/>
      <c r="Z29" s="528"/>
      <c r="AA29" s="526" t="s">
        <v>8</v>
      </c>
      <c r="AB29" s="527"/>
      <c r="AC29" s="528"/>
      <c r="AD29" s="526" t="s">
        <v>474</v>
      </c>
      <c r="AE29" s="527"/>
      <c r="AF29" s="528"/>
      <c r="AG29" s="526" t="s">
        <v>489</v>
      </c>
      <c r="AH29" s="527"/>
      <c r="AI29" s="528"/>
      <c r="AJ29" s="526" t="s">
        <v>490</v>
      </c>
      <c r="AK29" s="527"/>
      <c r="AL29" s="528"/>
      <c r="AM29" s="535" t="s">
        <v>38</v>
      </c>
      <c r="AN29" s="535"/>
    </row>
    <row r="30" spans="2:41" ht="15">
      <c r="C30" s="441" t="s">
        <v>485</v>
      </c>
      <c r="D30" s="439"/>
      <c r="E30" s="439"/>
      <c r="F30" s="440">
        <f>F14</f>
        <v>0</v>
      </c>
      <c r="G30" s="439"/>
      <c r="H30" s="445">
        <f>H27</f>
        <v>0</v>
      </c>
      <c r="I30" s="440">
        <f>I14</f>
        <v>25750</v>
      </c>
      <c r="J30" s="439"/>
      <c r="K30" s="445">
        <f>K27</f>
        <v>102.90022464411497</v>
      </c>
      <c r="L30" s="440">
        <f>L14</f>
        <v>25750</v>
      </c>
      <c r="M30" s="439"/>
      <c r="N30" s="445">
        <f>N27</f>
        <v>135.83463565023271</v>
      </c>
      <c r="O30" s="440">
        <f>O14</f>
        <v>25750</v>
      </c>
      <c r="P30" s="439"/>
      <c r="Q30" s="445">
        <f>Q27</f>
        <v>153.039729551481</v>
      </c>
      <c r="R30" s="440">
        <f>R14</f>
        <v>25625</v>
      </c>
      <c r="S30" s="439"/>
      <c r="T30" s="445">
        <f>T27</f>
        <v>181.75795065523315</v>
      </c>
      <c r="U30" s="440">
        <f>U14</f>
        <v>25750</v>
      </c>
      <c r="V30" s="439"/>
      <c r="W30" s="445">
        <f>W27</f>
        <v>200.51877745741879</v>
      </c>
      <c r="X30" s="440">
        <f>X14</f>
        <v>0</v>
      </c>
      <c r="Y30" s="439"/>
      <c r="Z30" s="445">
        <f>Z27</f>
        <v>54.986354505190342</v>
      </c>
      <c r="AA30" s="440">
        <f>AA14</f>
        <v>0</v>
      </c>
      <c r="AB30" s="439"/>
      <c r="AC30" s="445">
        <f>AC27</f>
        <v>23.950748300545072</v>
      </c>
      <c r="AD30" s="440">
        <f>AD14</f>
        <v>0</v>
      </c>
      <c r="AE30" s="439"/>
      <c r="AF30" s="445">
        <f>AF27</f>
        <v>20.613215410282962</v>
      </c>
      <c r="AG30" s="440">
        <f>AG14</f>
        <v>0</v>
      </c>
      <c r="AH30" s="439"/>
      <c r="AI30" s="445">
        <f>AI27</f>
        <v>0</v>
      </c>
      <c r="AJ30" s="440">
        <f>AJ14</f>
        <v>0</v>
      </c>
      <c r="AK30" s="439"/>
      <c r="AL30" s="445">
        <f>AL27</f>
        <v>0</v>
      </c>
      <c r="AM30" s="186">
        <f t="shared" ref="AM30:AM33" si="62">AD30+AA30+X30+U30+R30+O30+L30+I30+F30+AG30+AJ30</f>
        <v>128625</v>
      </c>
      <c r="AN30" s="443">
        <f>AF30+AC30+Z30+W30+T30+Q30+N30+K30+H30+AI30+AL30</f>
        <v>873.60163617449905</v>
      </c>
    </row>
    <row r="31" spans="2:41" ht="15">
      <c r="C31" s="441" t="s">
        <v>486</v>
      </c>
      <c r="D31" s="439"/>
      <c r="E31" s="439"/>
      <c r="F31" s="440">
        <f>'ANR-3Years'!F14</f>
        <v>80000</v>
      </c>
      <c r="G31" s="439"/>
      <c r="H31" s="445">
        <f>'ANR-3Years'!H27</f>
        <v>0</v>
      </c>
      <c r="I31" s="440">
        <f>'ANR-3Years'!I14</f>
        <v>96555</v>
      </c>
      <c r="J31" s="439"/>
      <c r="K31" s="445">
        <f>'ANR-3Years'!K27</f>
        <v>449.80177909621437</v>
      </c>
      <c r="L31" s="440">
        <f>'ANR-3Years'!L14</f>
        <v>96950</v>
      </c>
      <c r="M31" s="439"/>
      <c r="N31" s="445">
        <f>'ANR-3Years'!N27</f>
        <v>521.30542485421711</v>
      </c>
      <c r="O31" s="440">
        <f>'ANR-3Years'!O14</f>
        <v>96950</v>
      </c>
      <c r="P31" s="439"/>
      <c r="Q31" s="445">
        <f>'ANR-3Years'!Q27</f>
        <v>615.91091397428261</v>
      </c>
      <c r="R31" s="440">
        <f>'ANR-3Years'!R14</f>
        <v>96950</v>
      </c>
      <c r="S31" s="439"/>
      <c r="T31" s="445">
        <f>'ANR-3Years'!T27</f>
        <v>686.61474931545672</v>
      </c>
      <c r="U31" s="440">
        <f>'ANR-3Years'!U14</f>
        <v>96950</v>
      </c>
      <c r="V31" s="439"/>
      <c r="W31" s="445">
        <f>'ANR-3Years'!W27</f>
        <v>755.5137920319969</v>
      </c>
      <c r="X31" s="440">
        <f>'ANR-3Years'!X14</f>
        <v>96950</v>
      </c>
      <c r="Y31" s="439"/>
      <c r="Z31" s="445">
        <f>'ANR-3Years'!Z27</f>
        <v>831.06517123519677</v>
      </c>
      <c r="AA31" s="440">
        <f>'ANR-3Years'!AA14</f>
        <v>97350</v>
      </c>
      <c r="AB31" s="439"/>
      <c r="AC31" s="445">
        <f>'ANR-3Years'!AC27</f>
        <v>917.00344020136913</v>
      </c>
      <c r="AD31" s="440">
        <f>'ANR-3Years'!AD14</f>
        <v>0</v>
      </c>
      <c r="AE31" s="439"/>
      <c r="AF31" s="445">
        <f>'ANR-3Years'!AF27</f>
        <v>250.70132715970033</v>
      </c>
      <c r="AG31" s="440">
        <f>'ANR-3Years'!AG14</f>
        <v>0</v>
      </c>
      <c r="AH31" s="439"/>
      <c r="AI31" s="445">
        <f>'ANR-3Years'!AI27</f>
        <v>90.824856604521514</v>
      </c>
      <c r="AJ31" s="440">
        <f>'ANR-3Years'!AJ14</f>
        <v>0</v>
      </c>
      <c r="AK31" s="439"/>
      <c r="AL31" s="445">
        <f>'ANR-3Years'!AL27</f>
        <v>77.04620904944926</v>
      </c>
      <c r="AM31" s="186">
        <f t="shared" si="62"/>
        <v>758655</v>
      </c>
      <c r="AN31" s="443">
        <f t="shared" ref="AN31:AN33" si="63">AF31+AC31+Z31+W31+T31+Q31+N31+K31+H31+AI31+AL31</f>
        <v>5195.7876635224047</v>
      </c>
    </row>
    <row r="32" spans="2:41" ht="15">
      <c r="C32" s="441" t="s">
        <v>487</v>
      </c>
      <c r="D32" s="439"/>
      <c r="E32" s="439"/>
      <c r="F32" s="440">
        <f>'AR-LI'!F14</f>
        <v>2800</v>
      </c>
      <c r="G32" s="439"/>
      <c r="H32" s="445">
        <f>'AR-LI'!H26</f>
        <v>0</v>
      </c>
      <c r="I32" s="440">
        <f>'AR-LI'!I14</f>
        <v>8080</v>
      </c>
      <c r="J32" s="439"/>
      <c r="K32" s="445">
        <f>'AR-LI'!K26</f>
        <v>130.10845717760003</v>
      </c>
      <c r="L32" s="440">
        <f>'AR-LI'!L14</f>
        <v>8080</v>
      </c>
      <c r="M32" s="439"/>
      <c r="N32" s="445">
        <f>'AR-LI'!N26</f>
        <v>241.16036881288011</v>
      </c>
      <c r="O32" s="440">
        <f>'AR-LI'!O14</f>
        <v>8080</v>
      </c>
      <c r="P32" s="439"/>
      <c r="Q32" s="445">
        <f>'AR-LI'!Q26</f>
        <v>308.53645266382415</v>
      </c>
      <c r="R32" s="440">
        <f>'AR-LI'!R14</f>
        <v>3960</v>
      </c>
      <c r="S32" s="439"/>
      <c r="T32" s="445">
        <f>'AR-LI'!T26</f>
        <v>290.42284802131059</v>
      </c>
      <c r="U32" s="440">
        <f>'AR-LI'!U14</f>
        <v>0</v>
      </c>
      <c r="V32" s="439"/>
      <c r="W32" s="445">
        <f>'AR-LI'!W26</f>
        <v>170.02131253582738</v>
      </c>
      <c r="X32" s="440">
        <f>'AR-LI'!X14</f>
        <v>0</v>
      </c>
      <c r="Y32" s="439"/>
      <c r="Z32" s="445">
        <f>'AR-LI'!Z26</f>
        <v>59.796432775530164</v>
      </c>
      <c r="AA32" s="440">
        <f>'AR-LI'!AA14</f>
        <v>0</v>
      </c>
      <c r="AB32" s="439"/>
      <c r="AC32" s="445">
        <f>'AR-LI'!AC26</f>
        <v>12.025077668606105</v>
      </c>
      <c r="AD32" s="440">
        <f>'AR-LI'!AD14</f>
        <v>0</v>
      </c>
      <c r="AE32" s="439"/>
      <c r="AF32" s="445">
        <f>'AR-LI'!AF26</f>
        <v>0</v>
      </c>
      <c r="AG32" s="440">
        <f>'AR-LI'!AG14</f>
        <v>0</v>
      </c>
      <c r="AH32" s="439"/>
      <c r="AI32" s="445">
        <f>'AR-LI'!AI26</f>
        <v>0</v>
      </c>
      <c r="AJ32" s="440">
        <f>'AR-LI'!AJ14</f>
        <v>0</v>
      </c>
      <c r="AK32" s="439"/>
      <c r="AL32" s="445">
        <f>'AR-LI'!AL26</f>
        <v>0</v>
      </c>
      <c r="AM32" s="186">
        <f t="shared" si="62"/>
        <v>31000</v>
      </c>
      <c r="AN32" s="443">
        <f t="shared" si="63"/>
        <v>1212.0709496555785</v>
      </c>
    </row>
    <row r="33" spans="3:40" ht="15">
      <c r="C33" s="441" t="s">
        <v>488</v>
      </c>
      <c r="D33" s="439"/>
      <c r="E33" s="439"/>
      <c r="F33" s="440">
        <f>'AR-SMM'!F14</f>
        <v>4200</v>
      </c>
      <c r="G33" s="439"/>
      <c r="H33" s="445">
        <f>'AR-SMM'!H26</f>
        <v>0</v>
      </c>
      <c r="I33" s="440">
        <f>'AR-SMM'!I14</f>
        <v>12120</v>
      </c>
      <c r="J33" s="439"/>
      <c r="K33" s="445">
        <f>'AR-SMM'!K26</f>
        <v>174.63761161440002</v>
      </c>
      <c r="L33" s="440">
        <f>'AR-SMM'!L14</f>
        <v>12120</v>
      </c>
      <c r="M33" s="439"/>
      <c r="N33" s="445">
        <f>'AR-SMM'!N26</f>
        <v>326.12895317112014</v>
      </c>
      <c r="O33" s="440">
        <f>'AR-SMM'!O14</f>
        <v>12120</v>
      </c>
      <c r="P33" s="439"/>
      <c r="Q33" s="445">
        <f>'AR-SMM'!Q26</f>
        <v>404.81611866960009</v>
      </c>
      <c r="R33" s="440">
        <f>'AR-SMM'!R14</f>
        <v>5940</v>
      </c>
      <c r="S33" s="439"/>
      <c r="T33" s="445">
        <f>'AR-SMM'!T26</f>
        <v>386.52389912712863</v>
      </c>
      <c r="U33" s="440">
        <f>'AR-SMM'!U14</f>
        <v>0</v>
      </c>
      <c r="V33" s="439"/>
      <c r="W33" s="445">
        <f>'AR-SMM'!W26</f>
        <v>218.1776649778441</v>
      </c>
      <c r="X33" s="440">
        <f>'AR-SMM'!X14</f>
        <v>0</v>
      </c>
      <c r="Y33" s="439"/>
      <c r="Z33" s="445">
        <f>'AR-SMM'!Z26</f>
        <v>73.514669767028209</v>
      </c>
      <c r="AA33" s="440">
        <f>'AR-SMM'!AA14</f>
        <v>0</v>
      </c>
      <c r="AB33" s="439"/>
      <c r="AC33" s="445">
        <f>'AR-SMM'!AC26</f>
        <v>19.933637053757334</v>
      </c>
      <c r="AD33" s="440">
        <f>'AR-SMM'!AD14</f>
        <v>0</v>
      </c>
      <c r="AE33" s="439"/>
      <c r="AF33" s="445">
        <f>'AR-SMM'!AF26</f>
        <v>0</v>
      </c>
      <c r="AG33" s="440">
        <f>'AR-SMM'!AG14</f>
        <v>0</v>
      </c>
      <c r="AH33" s="439"/>
      <c r="AI33" s="445">
        <f>'AR-SMM'!AI26</f>
        <v>0</v>
      </c>
      <c r="AJ33" s="440">
        <f>'AR-SMM'!AJ14</f>
        <v>0</v>
      </c>
      <c r="AK33" s="439"/>
      <c r="AL33" s="445">
        <f>'AR-SMM'!AL26</f>
        <v>0</v>
      </c>
      <c r="AM33" s="186">
        <f t="shared" si="62"/>
        <v>46500</v>
      </c>
      <c r="AN33" s="443">
        <f t="shared" si="63"/>
        <v>1603.7325543808784</v>
      </c>
    </row>
    <row r="34" spans="3:40" s="35" customFormat="1" ht="12.75">
      <c r="C34" s="442" t="s">
        <v>38</v>
      </c>
      <c r="D34" s="441"/>
      <c r="E34" s="441"/>
      <c r="F34" s="448">
        <f>SUM(F30:F33)</f>
        <v>87000</v>
      </c>
      <c r="G34" s="441"/>
      <c r="H34" s="444">
        <f>SUM(H30:H33)</f>
        <v>0</v>
      </c>
      <c r="I34" s="448">
        <f>SUM(I30:I33)</f>
        <v>142505</v>
      </c>
      <c r="J34" s="441"/>
      <c r="K34" s="444">
        <f>SUM(K30:K33)</f>
        <v>857.44807253232943</v>
      </c>
      <c r="L34" s="448">
        <f>SUM(L30:L33)</f>
        <v>142900</v>
      </c>
      <c r="M34" s="441"/>
      <c r="N34" s="444">
        <f>SUM(N30:N33)</f>
        <v>1224.4293824884501</v>
      </c>
      <c r="O34" s="448">
        <f>SUM(O30:O33)</f>
        <v>142900</v>
      </c>
      <c r="P34" s="441"/>
      <c r="Q34" s="444">
        <f>SUM(Q30:Q33)</f>
        <v>1482.3032148591878</v>
      </c>
      <c r="R34" s="448">
        <f>SUM(R30:R33)</f>
        <v>132475</v>
      </c>
      <c r="S34" s="441"/>
      <c r="T34" s="444">
        <f>SUM(T30:T33)</f>
        <v>1545.3194471191291</v>
      </c>
      <c r="U34" s="448">
        <f>SUM(U30:U33)</f>
        <v>122700</v>
      </c>
      <c r="V34" s="441"/>
      <c r="W34" s="444">
        <f>SUM(W30:W33)</f>
        <v>1344.2315470030871</v>
      </c>
      <c r="X34" s="448">
        <f>SUM(X30:X33)</f>
        <v>96950</v>
      </c>
      <c r="Y34" s="441"/>
      <c r="Z34" s="444">
        <f>SUM(Z30:Z33)</f>
        <v>1019.3626282829455</v>
      </c>
      <c r="AA34" s="448">
        <f>SUM(AA30:AA33)</f>
        <v>97350</v>
      </c>
      <c r="AB34" s="441"/>
      <c r="AC34" s="444">
        <f>SUM(AC30:AC33)</f>
        <v>972.91290322427767</v>
      </c>
      <c r="AD34" s="448">
        <f>SUM(AD30:AD33)</f>
        <v>0</v>
      </c>
      <c r="AE34" s="441"/>
      <c r="AF34" s="444">
        <f>SUM(AF30:AF33)</f>
        <v>271.3145425699833</v>
      </c>
      <c r="AG34" s="448">
        <f>SUM(AG30:AG33)</f>
        <v>0</v>
      </c>
      <c r="AH34" s="441"/>
      <c r="AI34" s="444">
        <f>SUM(AI30:AI33)</f>
        <v>90.824856604521514</v>
      </c>
      <c r="AJ34" s="448">
        <f>SUM(AJ30:AJ33)</f>
        <v>0</v>
      </c>
      <c r="AK34" s="441"/>
      <c r="AL34" s="444">
        <f>SUM(AL30:AL33)</f>
        <v>77.04620904944926</v>
      </c>
      <c r="AM34" s="448">
        <f>SUM(AM30:AM33)</f>
        <v>964780</v>
      </c>
      <c r="AN34" s="444">
        <f>SUM(AN30:AN33)</f>
        <v>8885.1928037333601</v>
      </c>
    </row>
    <row r="36" spans="3:40" ht="30" customHeight="1">
      <c r="E36" s="459"/>
      <c r="F36" s="533" t="s">
        <v>533</v>
      </c>
      <c r="G36" s="533"/>
      <c r="I36" s="534" t="s">
        <v>534</v>
      </c>
      <c r="J36" s="534"/>
      <c r="L36" s="536" t="s">
        <v>543</v>
      </c>
      <c r="M36" s="537"/>
      <c r="N36" s="538"/>
      <c r="O36" s="534" t="s">
        <v>535</v>
      </c>
      <c r="P36" s="534"/>
      <c r="Q36" s="534"/>
      <c r="R36" s="534"/>
      <c r="S36" s="534" t="s">
        <v>536</v>
      </c>
      <c r="T36" s="534"/>
      <c r="U36" s="534"/>
      <c r="V36" s="534"/>
    </row>
    <row r="37" spans="3:40" ht="30" customHeight="1">
      <c r="E37" s="459"/>
      <c r="F37" s="476" t="s">
        <v>10</v>
      </c>
      <c r="G37" s="476" t="s">
        <v>537</v>
      </c>
      <c r="I37" s="476" t="s">
        <v>10</v>
      </c>
      <c r="J37" s="476" t="s">
        <v>537</v>
      </c>
      <c r="L37" s="476" t="s">
        <v>10</v>
      </c>
      <c r="M37" s="476" t="s">
        <v>537</v>
      </c>
      <c r="N37" s="477" t="s">
        <v>538</v>
      </c>
      <c r="O37" s="481" t="s">
        <v>10</v>
      </c>
      <c r="P37" s="481" t="s">
        <v>537</v>
      </c>
      <c r="Q37" s="482" t="s">
        <v>541</v>
      </c>
      <c r="R37" s="483" t="s">
        <v>540</v>
      </c>
      <c r="S37" s="476" t="s">
        <v>10</v>
      </c>
      <c r="T37" s="476" t="s">
        <v>537</v>
      </c>
      <c r="U37" s="480" t="s">
        <v>540</v>
      </c>
      <c r="V37" s="480" t="s">
        <v>542</v>
      </c>
    </row>
    <row r="38" spans="3:40" ht="26.25" customHeight="1">
      <c r="E38" s="460" t="s">
        <v>308</v>
      </c>
      <c r="F38" s="461">
        <f>F34</f>
        <v>87000</v>
      </c>
      <c r="G38" s="462">
        <f>+J38+M38</f>
        <v>188.93</v>
      </c>
      <c r="I38" s="461">
        <f>F30+F31</f>
        <v>80000</v>
      </c>
      <c r="J38" s="462">
        <v>87.23</v>
      </c>
      <c r="L38" s="461">
        <f>F38-I38</f>
        <v>7000</v>
      </c>
      <c r="M38" s="462">
        <v>101.7</v>
      </c>
      <c r="N38" s="478">
        <f>L38*1111</f>
        <v>7777000</v>
      </c>
      <c r="O38" s="461">
        <f>F31</f>
        <v>80000</v>
      </c>
      <c r="P38" s="462">
        <v>87.23</v>
      </c>
      <c r="Q38" s="478">
        <f>O38*1000</f>
        <v>80000000</v>
      </c>
      <c r="R38" s="478">
        <f>O38*35</f>
        <v>2800000</v>
      </c>
      <c r="S38" s="461">
        <f t="shared" ref="S38:S48" si="64">I38-O38</f>
        <v>0</v>
      </c>
      <c r="T38" s="462">
        <f t="shared" ref="T38:T48" si="65">J38-P38</f>
        <v>0</v>
      </c>
      <c r="U38" s="478">
        <f>S38*35</f>
        <v>0</v>
      </c>
      <c r="V38" s="478">
        <f>S38*200</f>
        <v>0</v>
      </c>
    </row>
    <row r="39" spans="3:40" ht="26.25" customHeight="1">
      <c r="E39" s="460" t="s">
        <v>525</v>
      </c>
      <c r="F39" s="461">
        <f>I34</f>
        <v>142505</v>
      </c>
      <c r="G39" s="462">
        <f>K34</f>
        <v>857.44807253232943</v>
      </c>
      <c r="I39" s="461">
        <f>I30+I31</f>
        <v>122305</v>
      </c>
      <c r="J39" s="462">
        <f>K30+K31</f>
        <v>552.70200374032936</v>
      </c>
      <c r="L39" s="461">
        <f t="shared" ref="L39:L48" si="66">F39-I39</f>
        <v>20200</v>
      </c>
      <c r="M39" s="462">
        <f t="shared" ref="M39:M48" si="67">G39-J39</f>
        <v>304.74606879200007</v>
      </c>
      <c r="N39" s="478">
        <f t="shared" ref="N39:N48" si="68">L39*1111</f>
        <v>22442200</v>
      </c>
      <c r="O39" s="461">
        <f>I31</f>
        <v>96555</v>
      </c>
      <c r="P39" s="462">
        <f>K31</f>
        <v>449.80177909621437</v>
      </c>
      <c r="Q39" s="478">
        <f t="shared" ref="Q39:Q48" si="69">O39*1000</f>
        <v>96555000</v>
      </c>
      <c r="R39" s="478">
        <f t="shared" ref="R39:R48" si="70">O39*35</f>
        <v>3379425</v>
      </c>
      <c r="S39" s="461">
        <f t="shared" si="64"/>
        <v>25750</v>
      </c>
      <c r="T39" s="462">
        <f t="shared" si="65"/>
        <v>102.90022464411499</v>
      </c>
      <c r="U39" s="478">
        <f t="shared" ref="U39:U48" si="71">S39*35</f>
        <v>901250</v>
      </c>
      <c r="V39" s="478">
        <f t="shared" ref="V39:V48" si="72">S39*200</f>
        <v>5150000</v>
      </c>
    </row>
    <row r="40" spans="3:40" ht="26.25" customHeight="1">
      <c r="E40" s="460" t="s">
        <v>526</v>
      </c>
      <c r="F40" s="461">
        <f>L34</f>
        <v>142900</v>
      </c>
      <c r="G40" s="462">
        <f>N34</f>
        <v>1224.4293824884501</v>
      </c>
      <c r="I40" s="461">
        <f>L30+L31</f>
        <v>122700</v>
      </c>
      <c r="J40" s="462">
        <f>N30+N31</f>
        <v>657.14006050444982</v>
      </c>
      <c r="L40" s="461">
        <f t="shared" si="66"/>
        <v>20200</v>
      </c>
      <c r="M40" s="462">
        <f t="shared" si="67"/>
        <v>567.28932198400025</v>
      </c>
      <c r="N40" s="478">
        <f t="shared" si="68"/>
        <v>22442200</v>
      </c>
      <c r="O40" s="461">
        <f>L31</f>
        <v>96950</v>
      </c>
      <c r="P40" s="462">
        <f>N31</f>
        <v>521.30542485421711</v>
      </c>
      <c r="Q40" s="478">
        <f t="shared" si="69"/>
        <v>96950000</v>
      </c>
      <c r="R40" s="478">
        <f t="shared" si="70"/>
        <v>3393250</v>
      </c>
      <c r="S40" s="461">
        <f t="shared" si="64"/>
        <v>25750</v>
      </c>
      <c r="T40" s="462">
        <f t="shared" si="65"/>
        <v>135.83463565023271</v>
      </c>
      <c r="U40" s="478">
        <f t="shared" si="71"/>
        <v>901250</v>
      </c>
      <c r="V40" s="478">
        <f t="shared" si="72"/>
        <v>5150000</v>
      </c>
    </row>
    <row r="41" spans="3:40" ht="26.25" customHeight="1">
      <c r="E41" s="460" t="s">
        <v>527</v>
      </c>
      <c r="F41" s="461">
        <f>O34</f>
        <v>142900</v>
      </c>
      <c r="G41" s="462">
        <f>Q34</f>
        <v>1482.3032148591878</v>
      </c>
      <c r="I41" s="461">
        <f>O30+O31</f>
        <v>122700</v>
      </c>
      <c r="J41" s="462">
        <f>Q30+Q31</f>
        <v>768.95064352576355</v>
      </c>
      <c r="L41" s="461">
        <f t="shared" si="66"/>
        <v>20200</v>
      </c>
      <c r="M41" s="462">
        <f t="shared" si="67"/>
        <v>713.35257133342429</v>
      </c>
      <c r="N41" s="478">
        <f t="shared" si="68"/>
        <v>22442200</v>
      </c>
      <c r="O41" s="461">
        <f>O31</f>
        <v>96950</v>
      </c>
      <c r="P41" s="462">
        <f>Q31</f>
        <v>615.91091397428261</v>
      </c>
      <c r="Q41" s="478">
        <f t="shared" si="69"/>
        <v>96950000</v>
      </c>
      <c r="R41" s="478">
        <f t="shared" si="70"/>
        <v>3393250</v>
      </c>
      <c r="S41" s="461">
        <f t="shared" si="64"/>
        <v>25750</v>
      </c>
      <c r="T41" s="462">
        <f t="shared" si="65"/>
        <v>153.03972955148095</v>
      </c>
      <c r="U41" s="478">
        <f t="shared" si="71"/>
        <v>901250</v>
      </c>
      <c r="V41" s="478">
        <f t="shared" si="72"/>
        <v>5150000</v>
      </c>
    </row>
    <row r="42" spans="3:40" ht="26.25" customHeight="1">
      <c r="E42" s="460" t="s">
        <v>528</v>
      </c>
      <c r="F42" s="461">
        <f>R34</f>
        <v>132475</v>
      </c>
      <c r="G42" s="462">
        <f>T34</f>
        <v>1545.3194471191291</v>
      </c>
      <c r="I42" s="461">
        <f>R30+R31</f>
        <v>122575</v>
      </c>
      <c r="J42" s="462">
        <f>T30+T31</f>
        <v>868.37269997068984</v>
      </c>
      <c r="L42" s="461">
        <f t="shared" si="66"/>
        <v>9900</v>
      </c>
      <c r="M42" s="462">
        <f t="shared" si="67"/>
        <v>676.94674714843927</v>
      </c>
      <c r="N42" s="478">
        <f t="shared" si="68"/>
        <v>10998900</v>
      </c>
      <c r="O42" s="461">
        <f>R31</f>
        <v>96950</v>
      </c>
      <c r="P42" s="462">
        <f>T31</f>
        <v>686.61474931545672</v>
      </c>
      <c r="Q42" s="478">
        <f t="shared" si="69"/>
        <v>96950000</v>
      </c>
      <c r="R42" s="478">
        <f t="shared" si="70"/>
        <v>3393250</v>
      </c>
      <c r="S42" s="461">
        <f t="shared" si="64"/>
        <v>25625</v>
      </c>
      <c r="T42" s="462">
        <f t="shared" si="65"/>
        <v>181.75795065523312</v>
      </c>
      <c r="U42" s="478">
        <f t="shared" si="71"/>
        <v>896875</v>
      </c>
      <c r="V42" s="478">
        <f t="shared" si="72"/>
        <v>5125000</v>
      </c>
    </row>
    <row r="43" spans="3:40" ht="26.25" customHeight="1">
      <c r="E43" s="460" t="s">
        <v>529</v>
      </c>
      <c r="F43" s="461">
        <f>U34</f>
        <v>122700</v>
      </c>
      <c r="G43" s="462">
        <f>W34</f>
        <v>1344.2315470030871</v>
      </c>
      <c r="I43" s="461">
        <f>U30+U31</f>
        <v>122700</v>
      </c>
      <c r="J43" s="475">
        <f>W30+W31</f>
        <v>956.03256948941566</v>
      </c>
      <c r="L43" s="461">
        <f t="shared" si="66"/>
        <v>0</v>
      </c>
      <c r="M43" s="462">
        <f t="shared" si="67"/>
        <v>388.19897751367148</v>
      </c>
      <c r="N43" s="478">
        <f t="shared" si="68"/>
        <v>0</v>
      </c>
      <c r="O43" s="461">
        <f>U31</f>
        <v>96950</v>
      </c>
      <c r="P43" s="462">
        <f>W31</f>
        <v>755.5137920319969</v>
      </c>
      <c r="Q43" s="478">
        <f t="shared" si="69"/>
        <v>96950000</v>
      </c>
      <c r="R43" s="478">
        <f t="shared" si="70"/>
        <v>3393250</v>
      </c>
      <c r="S43" s="461">
        <f t="shared" si="64"/>
        <v>25750</v>
      </c>
      <c r="T43" s="462">
        <f t="shared" si="65"/>
        <v>200.51877745741876</v>
      </c>
      <c r="U43" s="478">
        <f t="shared" si="71"/>
        <v>901250</v>
      </c>
      <c r="V43" s="478">
        <f t="shared" si="72"/>
        <v>5150000</v>
      </c>
      <c r="AN43" s="42"/>
    </row>
    <row r="44" spans="3:40" ht="26.25" customHeight="1">
      <c r="E44" s="460" t="s">
        <v>530</v>
      </c>
      <c r="F44" s="461">
        <f>X34</f>
        <v>96950</v>
      </c>
      <c r="G44" s="462">
        <f>Z34</f>
        <v>1019.3626282829455</v>
      </c>
      <c r="I44" s="461">
        <f>X30+X31</f>
        <v>96950</v>
      </c>
      <c r="J44" s="462">
        <f>Z30+Z31</f>
        <v>886.05152574038709</v>
      </c>
      <c r="L44" s="461">
        <f t="shared" si="66"/>
        <v>0</v>
      </c>
      <c r="M44" s="462">
        <f t="shared" si="67"/>
        <v>133.31110254255839</v>
      </c>
      <c r="N44" s="478">
        <f t="shared" si="68"/>
        <v>0</v>
      </c>
      <c r="O44" s="461">
        <f>X31</f>
        <v>96950</v>
      </c>
      <c r="P44" s="462">
        <f>Z31</f>
        <v>831.06517123519677</v>
      </c>
      <c r="Q44" s="478">
        <f t="shared" si="69"/>
        <v>96950000</v>
      </c>
      <c r="R44" s="478">
        <f t="shared" si="70"/>
        <v>3393250</v>
      </c>
      <c r="S44" s="461">
        <f t="shared" si="64"/>
        <v>0</v>
      </c>
      <c r="T44" s="462">
        <f t="shared" si="65"/>
        <v>54.98635450519032</v>
      </c>
      <c r="U44" s="478">
        <f t="shared" si="71"/>
        <v>0</v>
      </c>
      <c r="V44" s="478">
        <f t="shared" si="72"/>
        <v>0</v>
      </c>
    </row>
    <row r="45" spans="3:40" ht="26.25" customHeight="1">
      <c r="E45" s="460" t="s">
        <v>531</v>
      </c>
      <c r="F45" s="461">
        <f>AA34</f>
        <v>97350</v>
      </c>
      <c r="G45" s="462">
        <f>AC34</f>
        <v>972.91290322427767</v>
      </c>
      <c r="I45" s="461">
        <f>AA30+AA31</f>
        <v>97350</v>
      </c>
      <c r="J45" s="462">
        <f>AC30+AC31</f>
        <v>940.95418850191425</v>
      </c>
      <c r="L45" s="461">
        <f t="shared" si="66"/>
        <v>0</v>
      </c>
      <c r="M45" s="462">
        <f t="shared" si="67"/>
        <v>31.958714722363425</v>
      </c>
      <c r="N45" s="478">
        <f t="shared" si="68"/>
        <v>0</v>
      </c>
      <c r="O45" s="461">
        <f>AA31</f>
        <v>97350</v>
      </c>
      <c r="P45" s="462">
        <f>AC31</f>
        <v>917.00344020136913</v>
      </c>
      <c r="Q45" s="478">
        <f t="shared" si="69"/>
        <v>97350000</v>
      </c>
      <c r="R45" s="478">
        <f t="shared" si="70"/>
        <v>3407250</v>
      </c>
      <c r="S45" s="461">
        <f t="shared" si="64"/>
        <v>0</v>
      </c>
      <c r="T45" s="462">
        <f t="shared" si="65"/>
        <v>23.950748300545115</v>
      </c>
      <c r="U45" s="478">
        <f t="shared" si="71"/>
        <v>0</v>
      </c>
      <c r="V45" s="478">
        <f t="shared" si="72"/>
        <v>0</v>
      </c>
    </row>
    <row r="46" spans="3:40" ht="26.25" customHeight="1">
      <c r="E46" s="460" t="s">
        <v>491</v>
      </c>
      <c r="F46" s="461">
        <f>AD34</f>
        <v>0</v>
      </c>
      <c r="G46" s="462">
        <f>AF34</f>
        <v>271.3145425699833</v>
      </c>
      <c r="I46" s="461">
        <f>AD30+AD31</f>
        <v>0</v>
      </c>
      <c r="J46" s="462">
        <f>AF30+AF31</f>
        <v>271.3145425699833</v>
      </c>
      <c r="L46" s="461">
        <f t="shared" si="66"/>
        <v>0</v>
      </c>
      <c r="M46" s="462">
        <f t="shared" si="67"/>
        <v>0</v>
      </c>
      <c r="N46" s="478">
        <f t="shared" si="68"/>
        <v>0</v>
      </c>
      <c r="O46" s="461">
        <f>AD31</f>
        <v>0</v>
      </c>
      <c r="P46" s="462">
        <f>AF31</f>
        <v>250.70132715970033</v>
      </c>
      <c r="Q46" s="478">
        <f t="shared" si="69"/>
        <v>0</v>
      </c>
      <c r="R46" s="478">
        <f t="shared" si="70"/>
        <v>0</v>
      </c>
      <c r="S46" s="461">
        <f t="shared" si="64"/>
        <v>0</v>
      </c>
      <c r="T46" s="462">
        <f t="shared" si="65"/>
        <v>20.613215410282976</v>
      </c>
      <c r="U46" s="478">
        <f t="shared" si="71"/>
        <v>0</v>
      </c>
      <c r="V46" s="478">
        <f t="shared" si="72"/>
        <v>0</v>
      </c>
    </row>
    <row r="47" spans="3:40" ht="26.25" customHeight="1">
      <c r="E47" s="460" t="s">
        <v>489</v>
      </c>
      <c r="F47" s="461">
        <f>AG34</f>
        <v>0</v>
      </c>
      <c r="G47" s="462">
        <f>AI34</f>
        <v>90.824856604521514</v>
      </c>
      <c r="I47" s="461">
        <f>AG30+AG31</f>
        <v>0</v>
      </c>
      <c r="J47" s="462">
        <f>AI30+AI31</f>
        <v>90.824856604521514</v>
      </c>
      <c r="L47" s="461">
        <f t="shared" si="66"/>
        <v>0</v>
      </c>
      <c r="M47" s="462">
        <f t="shared" si="67"/>
        <v>0</v>
      </c>
      <c r="N47" s="478">
        <f t="shared" si="68"/>
        <v>0</v>
      </c>
      <c r="O47" s="461">
        <f>AG31</f>
        <v>0</v>
      </c>
      <c r="P47" s="462">
        <f>AI31</f>
        <v>90.824856604521514</v>
      </c>
      <c r="Q47" s="478">
        <f t="shared" si="69"/>
        <v>0</v>
      </c>
      <c r="R47" s="478">
        <f t="shared" si="70"/>
        <v>0</v>
      </c>
      <c r="S47" s="461">
        <f t="shared" si="64"/>
        <v>0</v>
      </c>
      <c r="T47" s="462">
        <f t="shared" si="65"/>
        <v>0</v>
      </c>
      <c r="U47" s="478">
        <f t="shared" si="71"/>
        <v>0</v>
      </c>
      <c r="V47" s="478">
        <f t="shared" si="72"/>
        <v>0</v>
      </c>
    </row>
    <row r="48" spans="3:40" ht="26.25" customHeight="1">
      <c r="E48" s="460" t="s">
        <v>490</v>
      </c>
      <c r="F48" s="461">
        <f>AJ34</f>
        <v>0</v>
      </c>
      <c r="G48" s="462">
        <f>AL34</f>
        <v>77.04620904944926</v>
      </c>
      <c r="I48" s="461">
        <f>AJ30+AJ31</f>
        <v>0</v>
      </c>
      <c r="J48" s="462">
        <f>AL30+AL31</f>
        <v>77.04620904944926</v>
      </c>
      <c r="L48" s="461">
        <f t="shared" si="66"/>
        <v>0</v>
      </c>
      <c r="M48" s="462">
        <f t="shared" si="67"/>
        <v>0</v>
      </c>
      <c r="N48" s="478">
        <f t="shared" si="68"/>
        <v>0</v>
      </c>
      <c r="O48" s="461">
        <f>AJ31</f>
        <v>0</v>
      </c>
      <c r="P48" s="462">
        <f>AL31</f>
        <v>77.04620904944926</v>
      </c>
      <c r="Q48" s="478">
        <f t="shared" si="69"/>
        <v>0</v>
      </c>
      <c r="R48" s="478">
        <f t="shared" si="70"/>
        <v>0</v>
      </c>
      <c r="S48" s="461">
        <f t="shared" si="64"/>
        <v>0</v>
      </c>
      <c r="T48" s="462">
        <f t="shared" si="65"/>
        <v>0</v>
      </c>
      <c r="U48" s="478">
        <f t="shared" si="71"/>
        <v>0</v>
      </c>
      <c r="V48" s="478">
        <f t="shared" si="72"/>
        <v>0</v>
      </c>
    </row>
    <row r="49" spans="5:22" ht="27" customHeight="1">
      <c r="E49" s="460" t="s">
        <v>38</v>
      </c>
      <c r="F49" s="461">
        <f>SUM(F38:F48)</f>
        <v>964780</v>
      </c>
      <c r="G49" s="462">
        <f>SUM(G38:G48)</f>
        <v>9074.1228037333622</v>
      </c>
      <c r="I49" s="461">
        <f>SUM(I38:I48)</f>
        <v>887280</v>
      </c>
      <c r="J49" s="462">
        <f>SUM(J38:J48)</f>
        <v>6156.619299696903</v>
      </c>
      <c r="L49" s="461">
        <f t="shared" ref="L49:R49" si="73">SUM(L38:L48)</f>
        <v>77500</v>
      </c>
      <c r="M49" s="462">
        <f t="shared" si="73"/>
        <v>2917.5035040364573</v>
      </c>
      <c r="N49" s="479">
        <f t="shared" si="73"/>
        <v>86102500</v>
      </c>
      <c r="O49" s="461">
        <f t="shared" si="73"/>
        <v>758655</v>
      </c>
      <c r="P49" s="462">
        <f t="shared" si="73"/>
        <v>5283.0176635224052</v>
      </c>
      <c r="Q49" s="479">
        <f t="shared" si="73"/>
        <v>758655000</v>
      </c>
      <c r="R49" s="479">
        <f t="shared" si="73"/>
        <v>26552925</v>
      </c>
      <c r="S49" s="461">
        <f>SUM(S38:S48)</f>
        <v>128625</v>
      </c>
      <c r="T49" s="462">
        <f>SUM(T38:T48)</f>
        <v>873.60163617449894</v>
      </c>
      <c r="U49" s="479">
        <f>SUM(U38:U48)</f>
        <v>4501875</v>
      </c>
      <c r="V49" s="479">
        <f>SUM(V38:V48)</f>
        <v>25725000</v>
      </c>
    </row>
    <row r="50" spans="5:22">
      <c r="G50" s="32">
        <v>120</v>
      </c>
      <c r="J50" s="32">
        <v>120</v>
      </c>
      <c r="M50" s="32">
        <v>345.54</v>
      </c>
    </row>
    <row r="51" spans="5:22">
      <c r="I51" s="38"/>
      <c r="J51" s="446">
        <f>+J50+J49</f>
        <v>6276.619299696903</v>
      </c>
      <c r="M51" s="446">
        <f>+M50+M49</f>
        <v>3263.0435040364573</v>
      </c>
    </row>
  </sheetData>
  <mergeCells count="36">
    <mergeCell ref="F36:G36"/>
    <mergeCell ref="I36:J36"/>
    <mergeCell ref="AM29:AN29"/>
    <mergeCell ref="L36:N36"/>
    <mergeCell ref="U29:W29"/>
    <mergeCell ref="X29:Z29"/>
    <mergeCell ref="AA29:AC29"/>
    <mergeCell ref="AD29:AF29"/>
    <mergeCell ref="AG29:AI29"/>
    <mergeCell ref="F29:H29"/>
    <mergeCell ref="I29:K29"/>
    <mergeCell ref="L29:N29"/>
    <mergeCell ref="O29:Q29"/>
    <mergeCell ref="O36:R36"/>
    <mergeCell ref="S36:V36"/>
    <mergeCell ref="B12:C12"/>
    <mergeCell ref="B18:C18"/>
    <mergeCell ref="U3:W3"/>
    <mergeCell ref="X3:Z3"/>
    <mergeCell ref="AJ29:AL29"/>
    <mergeCell ref="R29:T29"/>
    <mergeCell ref="B1:AN1"/>
    <mergeCell ref="B3:B4"/>
    <mergeCell ref="C3:C4"/>
    <mergeCell ref="D3:D4"/>
    <mergeCell ref="E3:E4"/>
    <mergeCell ref="F3:H3"/>
    <mergeCell ref="I3:K3"/>
    <mergeCell ref="L3:N3"/>
    <mergeCell ref="O3:Q3"/>
    <mergeCell ref="R3:T3"/>
    <mergeCell ref="AM3:AN3"/>
    <mergeCell ref="AA3:AC3"/>
    <mergeCell ref="AD3:AF3"/>
    <mergeCell ref="AG3:AI3"/>
    <mergeCell ref="AJ3:AL3"/>
  </mergeCells>
  <printOptions horizontalCentered="1"/>
  <pageMargins left="0.5" right="0.5" top="0.5" bottom="0.5" header="0.5" footer="0.5"/>
  <pageSetup paperSize="5" scale="37" fitToHeight="4"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03EC7-8F6B-493C-931B-B33E14F24E13}">
  <sheetPr>
    <tabColor rgb="FFC00000"/>
    <pageSetUpPr fitToPage="1"/>
  </sheetPr>
  <dimension ref="A1:Q18"/>
  <sheetViews>
    <sheetView workbookViewId="0">
      <selection activeCell="C15" sqref="C15"/>
    </sheetView>
  </sheetViews>
  <sheetFormatPr defaultRowHeight="15"/>
  <cols>
    <col min="1" max="1" width="9.42578125" customWidth="1"/>
    <col min="11" max="11" width="10.28515625" customWidth="1"/>
    <col min="17" max="17" width="12.28515625" customWidth="1"/>
  </cols>
  <sheetData>
    <row r="1" spans="1:17" ht="21">
      <c r="B1" s="504" t="s">
        <v>555</v>
      </c>
    </row>
    <row r="2" spans="1:17" ht="36.75" customHeight="1">
      <c r="A2" s="545" t="s">
        <v>552</v>
      </c>
      <c r="B2" s="540" t="s">
        <v>533</v>
      </c>
      <c r="C2" s="541"/>
      <c r="D2" s="542" t="s">
        <v>534</v>
      </c>
      <c r="E2" s="543"/>
      <c r="F2" s="540" t="s">
        <v>551</v>
      </c>
      <c r="G2" s="544"/>
      <c r="H2" s="541"/>
      <c r="I2" s="540" t="s">
        <v>535</v>
      </c>
      <c r="J2" s="544"/>
      <c r="K2" s="544"/>
      <c r="L2" s="541"/>
      <c r="M2" s="540" t="s">
        <v>536</v>
      </c>
      <c r="N2" s="544"/>
      <c r="O2" s="544"/>
      <c r="P2" s="541"/>
      <c r="Q2" s="539" t="s">
        <v>556</v>
      </c>
    </row>
    <row r="3" spans="1:17" ht="45">
      <c r="A3" s="546"/>
      <c r="B3" s="502" t="s">
        <v>554</v>
      </c>
      <c r="C3" s="502" t="s">
        <v>537</v>
      </c>
      <c r="D3" s="502" t="s">
        <v>554</v>
      </c>
      <c r="E3" s="502" t="s">
        <v>537</v>
      </c>
      <c r="F3" s="502" t="s">
        <v>554</v>
      </c>
      <c r="G3" s="502" t="s">
        <v>537</v>
      </c>
      <c r="H3" s="503" t="s">
        <v>538</v>
      </c>
      <c r="I3" s="502" t="s">
        <v>554</v>
      </c>
      <c r="J3" s="502" t="s">
        <v>537</v>
      </c>
      <c r="K3" s="503" t="s">
        <v>541</v>
      </c>
      <c r="L3" s="503" t="s">
        <v>553</v>
      </c>
      <c r="M3" s="502" t="s">
        <v>554</v>
      </c>
      <c r="N3" s="502" t="s">
        <v>537</v>
      </c>
      <c r="O3" s="503" t="s">
        <v>553</v>
      </c>
      <c r="P3" s="503" t="s">
        <v>542</v>
      </c>
      <c r="Q3" s="539"/>
    </row>
    <row r="4" spans="1:17" ht="29.25" customHeight="1">
      <c r="A4" s="502" t="s">
        <v>308</v>
      </c>
      <c r="B4" s="507">
        <v>87000</v>
      </c>
      <c r="C4" s="507">
        <v>188.93</v>
      </c>
      <c r="D4" s="507">
        <v>80000</v>
      </c>
      <c r="E4" s="507">
        <v>87.23</v>
      </c>
      <c r="F4" s="507">
        <v>7000</v>
      </c>
      <c r="G4" s="507">
        <v>101.7</v>
      </c>
      <c r="H4" s="507">
        <v>7777000</v>
      </c>
      <c r="I4" s="507">
        <v>80000</v>
      </c>
      <c r="J4" s="507">
        <f>+C4-G4</f>
        <v>87.23</v>
      </c>
      <c r="K4" s="507">
        <v>80000000</v>
      </c>
      <c r="L4" s="507">
        <v>2800000</v>
      </c>
      <c r="M4" s="507">
        <v>0</v>
      </c>
      <c r="N4" s="507">
        <v>0</v>
      </c>
      <c r="O4" s="507">
        <v>0</v>
      </c>
      <c r="P4" s="507">
        <v>0</v>
      </c>
      <c r="Q4" s="507">
        <f>+H4+K4+L4+O4+P4</f>
        <v>90577000</v>
      </c>
    </row>
    <row r="5" spans="1:17" ht="29.25" customHeight="1">
      <c r="A5" s="502" t="s">
        <v>525</v>
      </c>
      <c r="B5" s="507">
        <v>142505</v>
      </c>
      <c r="C5" s="507">
        <v>857.44807253232943</v>
      </c>
      <c r="D5" s="507">
        <v>122305</v>
      </c>
      <c r="E5" s="507">
        <v>552.70200374032936</v>
      </c>
      <c r="F5" s="507">
        <v>20200</v>
      </c>
      <c r="G5" s="507">
        <v>304.74606879200007</v>
      </c>
      <c r="H5" s="507">
        <v>22442200</v>
      </c>
      <c r="I5" s="507">
        <v>96555</v>
      </c>
      <c r="J5" s="507">
        <v>449.80177909621437</v>
      </c>
      <c r="K5" s="507">
        <v>96555000</v>
      </c>
      <c r="L5" s="507">
        <v>3379425</v>
      </c>
      <c r="M5" s="507">
        <v>25750</v>
      </c>
      <c r="N5" s="507">
        <v>102.90022464411499</v>
      </c>
      <c r="O5" s="507">
        <v>901250</v>
      </c>
      <c r="P5" s="507">
        <v>5150000</v>
      </c>
      <c r="Q5" s="507">
        <f t="shared" ref="Q5:Q14" si="0">+H5+K5+L5+O5+P5</f>
        <v>128427875</v>
      </c>
    </row>
    <row r="6" spans="1:17" ht="29.25" customHeight="1">
      <c r="A6" s="502" t="s">
        <v>526</v>
      </c>
      <c r="B6" s="507">
        <v>142900</v>
      </c>
      <c r="C6" s="507">
        <v>1224.4293824884501</v>
      </c>
      <c r="D6" s="507">
        <v>122700</v>
      </c>
      <c r="E6" s="507">
        <v>657.14006050444982</v>
      </c>
      <c r="F6" s="507">
        <v>20200</v>
      </c>
      <c r="G6" s="507">
        <v>567.28932198400025</v>
      </c>
      <c r="H6" s="507">
        <v>22442200</v>
      </c>
      <c r="I6" s="507">
        <v>96950</v>
      </c>
      <c r="J6" s="507">
        <v>521.30542485421711</v>
      </c>
      <c r="K6" s="507">
        <v>96950000</v>
      </c>
      <c r="L6" s="507">
        <v>3393250</v>
      </c>
      <c r="M6" s="507">
        <v>25750</v>
      </c>
      <c r="N6" s="507">
        <v>135.83463565023271</v>
      </c>
      <c r="O6" s="507">
        <v>901250</v>
      </c>
      <c r="P6" s="507">
        <v>5150000</v>
      </c>
      <c r="Q6" s="507">
        <f t="shared" si="0"/>
        <v>128836700</v>
      </c>
    </row>
    <row r="7" spans="1:17" ht="29.25" customHeight="1">
      <c r="A7" s="502" t="s">
        <v>527</v>
      </c>
      <c r="B7" s="507">
        <v>142900</v>
      </c>
      <c r="C7" s="507">
        <v>1482.3032148591878</v>
      </c>
      <c r="D7" s="507">
        <v>122700</v>
      </c>
      <c r="E7" s="507">
        <v>768.95064352576355</v>
      </c>
      <c r="F7" s="507">
        <v>20200</v>
      </c>
      <c r="G7" s="507">
        <v>713.35257133342429</v>
      </c>
      <c r="H7" s="507">
        <v>22442200</v>
      </c>
      <c r="I7" s="507">
        <v>96950</v>
      </c>
      <c r="J7" s="507">
        <v>615.91091397428261</v>
      </c>
      <c r="K7" s="507">
        <v>96950000</v>
      </c>
      <c r="L7" s="507">
        <v>3393250</v>
      </c>
      <c r="M7" s="507">
        <v>25750</v>
      </c>
      <c r="N7" s="507">
        <v>153.03972955148095</v>
      </c>
      <c r="O7" s="507">
        <v>901250</v>
      </c>
      <c r="P7" s="507">
        <v>5150000</v>
      </c>
      <c r="Q7" s="507">
        <f t="shared" si="0"/>
        <v>128836700</v>
      </c>
    </row>
    <row r="8" spans="1:17" ht="29.25" customHeight="1">
      <c r="A8" s="502" t="s">
        <v>528</v>
      </c>
      <c r="B8" s="507">
        <v>132475</v>
      </c>
      <c r="C8" s="507">
        <v>1545.3194471191291</v>
      </c>
      <c r="D8" s="507">
        <v>122575</v>
      </c>
      <c r="E8" s="507">
        <v>868.37269997068984</v>
      </c>
      <c r="F8" s="507">
        <v>9900</v>
      </c>
      <c r="G8" s="507">
        <v>676.94674714843927</v>
      </c>
      <c r="H8" s="507">
        <v>10998900</v>
      </c>
      <c r="I8" s="507">
        <v>96950</v>
      </c>
      <c r="J8" s="507">
        <v>686.61474931545672</v>
      </c>
      <c r="K8" s="507">
        <v>96950000</v>
      </c>
      <c r="L8" s="507">
        <v>3393250</v>
      </c>
      <c r="M8" s="507">
        <v>25625</v>
      </c>
      <c r="N8" s="507">
        <v>181.75795065523312</v>
      </c>
      <c r="O8" s="507">
        <v>896875</v>
      </c>
      <c r="P8" s="507">
        <v>5125000</v>
      </c>
      <c r="Q8" s="507">
        <f t="shared" si="0"/>
        <v>117364025</v>
      </c>
    </row>
    <row r="9" spans="1:17" ht="29.25" customHeight="1">
      <c r="A9" s="502" t="s">
        <v>529</v>
      </c>
      <c r="B9" s="507">
        <v>122700</v>
      </c>
      <c r="C9" s="507">
        <v>1344.2315470030871</v>
      </c>
      <c r="D9" s="507">
        <v>122700</v>
      </c>
      <c r="E9" s="507">
        <v>956.03256948941566</v>
      </c>
      <c r="F9" s="507">
        <v>0</v>
      </c>
      <c r="G9" s="507">
        <v>388.19897751367148</v>
      </c>
      <c r="H9" s="507">
        <v>0</v>
      </c>
      <c r="I9" s="507">
        <v>96950</v>
      </c>
      <c r="J9" s="507">
        <v>755.5137920319969</v>
      </c>
      <c r="K9" s="507">
        <v>96950000</v>
      </c>
      <c r="L9" s="507">
        <v>3393250</v>
      </c>
      <c r="M9" s="507">
        <v>25750</v>
      </c>
      <c r="N9" s="507">
        <v>200.51877745741876</v>
      </c>
      <c r="O9" s="507">
        <v>901250</v>
      </c>
      <c r="P9" s="507">
        <v>5150000</v>
      </c>
      <c r="Q9" s="507">
        <f t="shared" si="0"/>
        <v>106394500</v>
      </c>
    </row>
    <row r="10" spans="1:17" ht="29.25" customHeight="1">
      <c r="A10" s="502" t="s">
        <v>530</v>
      </c>
      <c r="B10" s="507">
        <v>96950</v>
      </c>
      <c r="C10" s="507">
        <v>1019.3626282829455</v>
      </c>
      <c r="D10" s="507">
        <v>96950</v>
      </c>
      <c r="E10" s="507">
        <v>886.05152574038709</v>
      </c>
      <c r="F10" s="507">
        <v>0</v>
      </c>
      <c r="G10" s="507">
        <v>133.31110254255839</v>
      </c>
      <c r="H10" s="507">
        <v>0</v>
      </c>
      <c r="I10" s="507">
        <v>96950</v>
      </c>
      <c r="J10" s="507">
        <v>831.06517123519677</v>
      </c>
      <c r="K10" s="507">
        <v>96950000</v>
      </c>
      <c r="L10" s="507">
        <v>3393250</v>
      </c>
      <c r="M10" s="507">
        <v>0</v>
      </c>
      <c r="N10" s="507">
        <v>54.98635450519032</v>
      </c>
      <c r="O10" s="507">
        <v>0</v>
      </c>
      <c r="P10" s="507">
        <v>0</v>
      </c>
      <c r="Q10" s="507">
        <f t="shared" si="0"/>
        <v>100343250</v>
      </c>
    </row>
    <row r="11" spans="1:17" ht="29.25" customHeight="1">
      <c r="A11" s="502" t="s">
        <v>531</v>
      </c>
      <c r="B11" s="507">
        <v>97350</v>
      </c>
      <c r="C11" s="507">
        <v>972.91290322427767</v>
      </c>
      <c r="D11" s="507">
        <v>97350</v>
      </c>
      <c r="E11" s="507">
        <v>940.95418850191425</v>
      </c>
      <c r="F11" s="507">
        <v>0</v>
      </c>
      <c r="G11" s="507">
        <v>31.958714722363425</v>
      </c>
      <c r="H11" s="507">
        <v>0</v>
      </c>
      <c r="I11" s="507">
        <v>97350</v>
      </c>
      <c r="J11" s="507">
        <v>917.00344020136913</v>
      </c>
      <c r="K11" s="507">
        <v>97350000</v>
      </c>
      <c r="L11" s="507">
        <v>3407250</v>
      </c>
      <c r="M11" s="507">
        <v>0</v>
      </c>
      <c r="N11" s="507">
        <v>23.950748300545115</v>
      </c>
      <c r="O11" s="507">
        <v>0</v>
      </c>
      <c r="P11" s="507">
        <v>0</v>
      </c>
      <c r="Q11" s="507">
        <f t="shared" si="0"/>
        <v>100757250</v>
      </c>
    </row>
    <row r="12" spans="1:17" ht="29.25" customHeight="1">
      <c r="A12" s="502" t="s">
        <v>491</v>
      </c>
      <c r="B12" s="507">
        <v>0</v>
      </c>
      <c r="C12" s="507">
        <v>271.3145425699833</v>
      </c>
      <c r="D12" s="507">
        <v>0</v>
      </c>
      <c r="E12" s="507">
        <v>271.3145425699833</v>
      </c>
      <c r="F12" s="507">
        <v>0</v>
      </c>
      <c r="G12" s="507">
        <v>0</v>
      </c>
      <c r="H12" s="507">
        <v>0</v>
      </c>
      <c r="I12" s="507">
        <v>0</v>
      </c>
      <c r="J12" s="507">
        <v>250.70132715970033</v>
      </c>
      <c r="K12" s="507">
        <v>0</v>
      </c>
      <c r="L12" s="507">
        <v>0</v>
      </c>
      <c r="M12" s="507">
        <v>0</v>
      </c>
      <c r="N12" s="507">
        <v>20.613215410282976</v>
      </c>
      <c r="O12" s="507">
        <v>0</v>
      </c>
      <c r="P12" s="507">
        <v>0</v>
      </c>
      <c r="Q12" s="507">
        <f t="shared" si="0"/>
        <v>0</v>
      </c>
    </row>
    <row r="13" spans="1:17" ht="29.25" customHeight="1">
      <c r="A13" s="502" t="s">
        <v>489</v>
      </c>
      <c r="B13" s="507">
        <v>0</v>
      </c>
      <c r="C13" s="507">
        <v>90.824856604521514</v>
      </c>
      <c r="D13" s="507">
        <v>0</v>
      </c>
      <c r="E13" s="507">
        <v>90.824856604521514</v>
      </c>
      <c r="F13" s="507">
        <v>0</v>
      </c>
      <c r="G13" s="507">
        <v>0</v>
      </c>
      <c r="H13" s="507">
        <v>0</v>
      </c>
      <c r="I13" s="507">
        <v>0</v>
      </c>
      <c r="J13" s="507">
        <v>90.824856604521514</v>
      </c>
      <c r="K13" s="507">
        <v>0</v>
      </c>
      <c r="L13" s="507">
        <v>0</v>
      </c>
      <c r="M13" s="507">
        <v>0</v>
      </c>
      <c r="N13" s="507">
        <v>0</v>
      </c>
      <c r="O13" s="507">
        <v>0</v>
      </c>
      <c r="P13" s="507">
        <v>0</v>
      </c>
      <c r="Q13" s="507">
        <f t="shared" si="0"/>
        <v>0</v>
      </c>
    </row>
    <row r="14" spans="1:17" ht="29.25" customHeight="1">
      <c r="A14" s="502" t="s">
        <v>490</v>
      </c>
      <c r="B14" s="507">
        <v>0</v>
      </c>
      <c r="C14" s="507">
        <v>77.04620904944926</v>
      </c>
      <c r="D14" s="507">
        <v>0</v>
      </c>
      <c r="E14" s="507">
        <v>77.04620904944926</v>
      </c>
      <c r="F14" s="507">
        <v>0</v>
      </c>
      <c r="G14" s="507">
        <v>0</v>
      </c>
      <c r="H14" s="507">
        <v>0</v>
      </c>
      <c r="I14" s="507">
        <v>0</v>
      </c>
      <c r="J14" s="507">
        <v>77.04620904944926</v>
      </c>
      <c r="K14" s="507">
        <v>0</v>
      </c>
      <c r="L14" s="507">
        <v>0</v>
      </c>
      <c r="M14" s="507">
        <v>0</v>
      </c>
      <c r="N14" s="507">
        <v>0</v>
      </c>
      <c r="O14" s="507">
        <v>0</v>
      </c>
      <c r="P14" s="507">
        <v>0</v>
      </c>
      <c r="Q14" s="507">
        <f t="shared" si="0"/>
        <v>0</v>
      </c>
    </row>
    <row r="15" spans="1:17" ht="29.25" customHeight="1">
      <c r="A15" s="501" t="s">
        <v>38</v>
      </c>
      <c r="B15" s="501">
        <f>SUM(B4:B14)</f>
        <v>964780</v>
      </c>
      <c r="C15" s="501">
        <f t="shared" ref="C15:P15" si="1">SUM(C4:C14)</f>
        <v>9074.1228037333622</v>
      </c>
      <c r="D15" s="501">
        <f t="shared" si="1"/>
        <v>887280</v>
      </c>
      <c r="E15" s="501">
        <f t="shared" si="1"/>
        <v>6156.619299696903</v>
      </c>
      <c r="F15" s="501">
        <f t="shared" si="1"/>
        <v>77500</v>
      </c>
      <c r="G15" s="501">
        <f t="shared" si="1"/>
        <v>2917.5035040364573</v>
      </c>
      <c r="H15" s="501">
        <f t="shared" si="1"/>
        <v>86102500</v>
      </c>
      <c r="I15" s="501">
        <f t="shared" si="1"/>
        <v>758655</v>
      </c>
      <c r="J15" s="501">
        <f t="shared" si="1"/>
        <v>5283.0176635224052</v>
      </c>
      <c r="K15" s="501">
        <f t="shared" si="1"/>
        <v>758655000</v>
      </c>
      <c r="L15" s="501">
        <f t="shared" si="1"/>
        <v>26552925</v>
      </c>
      <c r="M15" s="501">
        <f t="shared" si="1"/>
        <v>128625</v>
      </c>
      <c r="N15" s="501">
        <f t="shared" si="1"/>
        <v>873.60163617449894</v>
      </c>
      <c r="O15" s="501">
        <f t="shared" si="1"/>
        <v>4501875</v>
      </c>
      <c r="P15" s="501">
        <f t="shared" si="1"/>
        <v>25725000</v>
      </c>
      <c r="Q15" s="501">
        <f>SUM(Q4:Q14)</f>
        <v>901537300</v>
      </c>
    </row>
    <row r="17" spans="3:17">
      <c r="C17">
        <f>+C15-C4</f>
        <v>8885.1928037333619</v>
      </c>
      <c r="E17">
        <f>+E15-E4</f>
        <v>6069.3892996969034</v>
      </c>
      <c r="G17">
        <f>+G15-G4</f>
        <v>2815.8035040364575</v>
      </c>
      <c r="J17">
        <f>+J15-J4</f>
        <v>5195.7876635224056</v>
      </c>
      <c r="N17">
        <f>+N15-N4</f>
        <v>873.60163617449894</v>
      </c>
    </row>
    <row r="18" spans="3:17">
      <c r="G18" s="505" t="s">
        <v>557</v>
      </c>
      <c r="H18" s="505">
        <f>+H15/10000000</f>
        <v>8.6102500000000006</v>
      </c>
      <c r="I18" s="505"/>
      <c r="J18" s="505"/>
      <c r="K18" s="505">
        <f>+K15/10000000</f>
        <v>75.865499999999997</v>
      </c>
      <c r="L18" s="505">
        <f>+L15/10000000</f>
        <v>2.6552924999999998</v>
      </c>
      <c r="M18" s="505"/>
      <c r="N18" s="505"/>
      <c r="O18" s="505">
        <f>+O15/10000000</f>
        <v>0.45018750000000002</v>
      </c>
      <c r="P18" s="505">
        <f>+P15/10000000</f>
        <v>2.5724999999999998</v>
      </c>
      <c r="Q18" s="505">
        <f>+Q15/10000000</f>
        <v>90.153729999999996</v>
      </c>
    </row>
  </sheetData>
  <mergeCells count="7">
    <mergeCell ref="Q2:Q3"/>
    <mergeCell ref="B2:C2"/>
    <mergeCell ref="D2:E2"/>
    <mergeCell ref="F2:H2"/>
    <mergeCell ref="A2:A3"/>
    <mergeCell ref="I2:L2"/>
    <mergeCell ref="M2:P2"/>
  </mergeCells>
  <pageMargins left="0.7" right="0.7" top="0.75" bottom="0.75" header="0.3" footer="0.3"/>
  <pageSetup scale="7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00000"/>
    <pageSetUpPr fitToPage="1"/>
  </sheetPr>
  <dimension ref="B1:AP41"/>
  <sheetViews>
    <sheetView view="pageBreakPreview" topLeftCell="K7" zoomScale="80" zoomScaleSheetLayoutView="80" workbookViewId="0">
      <selection activeCell="W15" sqref="W14:W15"/>
    </sheetView>
  </sheetViews>
  <sheetFormatPr defaultRowHeight="14.25"/>
  <cols>
    <col min="1" max="1" width="3.85546875" style="32" customWidth="1"/>
    <col min="2" max="2" width="4.42578125" style="32" customWidth="1"/>
    <col min="3" max="3" width="32.5703125" style="32" customWidth="1"/>
    <col min="4" max="4" width="6.5703125" style="32" customWidth="1"/>
    <col min="5" max="5" width="10.42578125" style="32" customWidth="1"/>
    <col min="6" max="6" width="9.85546875" style="32" bestFit="1" customWidth="1"/>
    <col min="7" max="7" width="10" style="32" customWidth="1"/>
    <col min="8" max="8" width="10.85546875" style="32" bestFit="1" customWidth="1"/>
    <col min="9" max="9" width="9.85546875" style="32" bestFit="1" customWidth="1"/>
    <col min="10" max="10" width="10" style="32" customWidth="1"/>
    <col min="11" max="11" width="11.42578125" style="32" bestFit="1" customWidth="1"/>
    <col min="12" max="12" width="9.85546875" style="32" bestFit="1" customWidth="1"/>
    <col min="13" max="13" width="11.28515625" style="32" customWidth="1"/>
    <col min="14" max="14" width="13" style="32" customWidth="1"/>
    <col min="15" max="15" width="9.85546875" style="32" bestFit="1" customWidth="1"/>
    <col min="16" max="16" width="10.42578125" style="32" customWidth="1"/>
    <col min="17" max="17" width="13.5703125" style="32" bestFit="1" customWidth="1"/>
    <col min="18" max="18" width="9.85546875" style="32" bestFit="1" customWidth="1"/>
    <col min="19" max="19" width="10.7109375" style="32" bestFit="1" customWidth="1"/>
    <col min="20" max="20" width="12.42578125" style="32" bestFit="1" customWidth="1"/>
    <col min="21" max="21" width="9.85546875" style="32" bestFit="1" customWidth="1"/>
    <col min="22" max="22" width="9.5703125" style="32" bestFit="1" customWidth="1"/>
    <col min="23" max="23" width="12.42578125" style="32" bestFit="1" customWidth="1"/>
    <col min="24" max="24" width="9.85546875" style="32" bestFit="1" customWidth="1"/>
    <col min="25" max="25" width="9.5703125" style="32" bestFit="1" customWidth="1"/>
    <col min="26" max="26" width="12.42578125" style="32" bestFit="1" customWidth="1"/>
    <col min="27" max="27" width="9.140625" style="32" customWidth="1"/>
    <col min="28" max="28" width="9.5703125" style="32" customWidth="1"/>
    <col min="29" max="29" width="10.85546875" style="32" customWidth="1"/>
    <col min="30" max="30" width="8.7109375" style="32" bestFit="1" customWidth="1"/>
    <col min="31" max="31" width="10.28515625" style="32" customWidth="1"/>
    <col min="32" max="32" width="10.42578125" style="32" customWidth="1"/>
    <col min="33" max="33" width="8.7109375" style="32" bestFit="1" customWidth="1"/>
    <col min="34" max="34" width="9.28515625" style="32" customWidth="1"/>
    <col min="35" max="35" width="12.42578125" style="32" bestFit="1" customWidth="1"/>
    <col min="36" max="36" width="8.140625" style="32" customWidth="1"/>
    <col min="37" max="37" width="9.5703125" style="32" bestFit="1" customWidth="1"/>
    <col min="38" max="38" width="12.42578125" style="32" bestFit="1" customWidth="1"/>
    <col min="39" max="39" width="10.85546875" style="41" bestFit="1" customWidth="1"/>
    <col min="40" max="40" width="13.42578125" style="41" customWidth="1"/>
    <col min="41" max="41" width="10.7109375" style="32" bestFit="1" customWidth="1"/>
    <col min="42" max="42" width="10.85546875" style="32" bestFit="1" customWidth="1"/>
    <col min="43" max="16384" width="9.140625" style="32"/>
  </cols>
  <sheetData>
    <row r="1" spans="2:42" ht="24" customHeight="1">
      <c r="B1" s="522" t="s">
        <v>401</v>
      </c>
      <c r="C1" s="522"/>
      <c r="D1" s="522"/>
      <c r="E1" s="522"/>
      <c r="F1" s="522"/>
      <c r="G1" s="522"/>
      <c r="H1" s="522"/>
      <c r="I1" s="522"/>
      <c r="J1" s="522"/>
      <c r="K1" s="522"/>
      <c r="L1" s="522"/>
      <c r="M1" s="522"/>
      <c r="N1" s="522"/>
      <c r="O1" s="522"/>
      <c r="P1" s="522"/>
      <c r="Q1" s="522"/>
      <c r="R1" s="522"/>
      <c r="S1" s="522"/>
      <c r="T1" s="522"/>
      <c r="U1" s="522"/>
      <c r="V1" s="522"/>
      <c r="W1" s="522"/>
      <c r="X1" s="522"/>
      <c r="Y1" s="522"/>
      <c r="Z1" s="522"/>
      <c r="AA1" s="522"/>
      <c r="AB1" s="522"/>
      <c r="AC1" s="522"/>
      <c r="AD1" s="522"/>
      <c r="AE1" s="522"/>
      <c r="AF1" s="522"/>
      <c r="AG1" s="522"/>
      <c r="AH1" s="522"/>
      <c r="AI1" s="522"/>
      <c r="AJ1" s="522"/>
      <c r="AK1" s="522"/>
      <c r="AL1" s="522"/>
      <c r="AM1" s="522"/>
      <c r="AN1" s="522"/>
    </row>
    <row r="2" spans="2:42" ht="12.75">
      <c r="B2" s="33"/>
      <c r="C2" s="33"/>
      <c r="D2" s="34"/>
      <c r="E2" s="34"/>
      <c r="F2" s="33">
        <v>35</v>
      </c>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2:42" s="35" customFormat="1" ht="24.75" customHeight="1">
      <c r="B3" s="523" t="s">
        <v>0</v>
      </c>
      <c r="C3" s="523" t="s">
        <v>1</v>
      </c>
      <c r="D3" s="524" t="s">
        <v>10</v>
      </c>
      <c r="E3" s="524" t="s">
        <v>145</v>
      </c>
      <c r="F3" s="526" t="s">
        <v>308</v>
      </c>
      <c r="G3" s="527"/>
      <c r="H3" s="528"/>
      <c r="I3" s="526" t="s">
        <v>2</v>
      </c>
      <c r="J3" s="527"/>
      <c r="K3" s="528"/>
      <c r="L3" s="526" t="s">
        <v>3</v>
      </c>
      <c r="M3" s="527"/>
      <c r="N3" s="528"/>
      <c r="O3" s="526" t="s">
        <v>4</v>
      </c>
      <c r="P3" s="527"/>
      <c r="Q3" s="528"/>
      <c r="R3" s="526" t="s">
        <v>5</v>
      </c>
      <c r="S3" s="527"/>
      <c r="T3" s="528"/>
      <c r="U3" s="526" t="s">
        <v>6</v>
      </c>
      <c r="V3" s="527"/>
      <c r="W3" s="528"/>
      <c r="X3" s="526" t="s">
        <v>7</v>
      </c>
      <c r="Y3" s="527"/>
      <c r="Z3" s="528"/>
      <c r="AA3" s="526" t="s">
        <v>8</v>
      </c>
      <c r="AB3" s="527"/>
      <c r="AC3" s="528"/>
      <c r="AD3" s="526" t="s">
        <v>474</v>
      </c>
      <c r="AE3" s="527"/>
      <c r="AF3" s="528"/>
      <c r="AG3" s="526" t="s">
        <v>489</v>
      </c>
      <c r="AH3" s="527"/>
      <c r="AI3" s="528"/>
      <c r="AJ3" s="526" t="s">
        <v>490</v>
      </c>
      <c r="AK3" s="527"/>
      <c r="AL3" s="528"/>
      <c r="AM3" s="529" t="s">
        <v>9</v>
      </c>
      <c r="AN3" s="530"/>
    </row>
    <row r="4" spans="2:42" s="35" customFormat="1" ht="38.25" customHeight="1">
      <c r="B4" s="523"/>
      <c r="C4" s="523"/>
      <c r="D4" s="525"/>
      <c r="E4" s="525"/>
      <c r="F4" s="400" t="s">
        <v>10</v>
      </c>
      <c r="G4" s="400" t="s">
        <v>99</v>
      </c>
      <c r="H4" s="400" t="s">
        <v>100</v>
      </c>
      <c r="I4" s="400" t="s">
        <v>10</v>
      </c>
      <c r="J4" s="400" t="s">
        <v>99</v>
      </c>
      <c r="K4" s="400" t="s">
        <v>100</v>
      </c>
      <c r="L4" s="400" t="s">
        <v>10</v>
      </c>
      <c r="M4" s="400" t="s">
        <v>99</v>
      </c>
      <c r="N4" s="400" t="s">
        <v>100</v>
      </c>
      <c r="O4" s="400" t="s">
        <v>10</v>
      </c>
      <c r="P4" s="400" t="s">
        <v>99</v>
      </c>
      <c r="Q4" s="400" t="s">
        <v>100</v>
      </c>
      <c r="R4" s="400" t="s">
        <v>10</v>
      </c>
      <c r="S4" s="400" t="s">
        <v>99</v>
      </c>
      <c r="T4" s="400" t="s">
        <v>100</v>
      </c>
      <c r="U4" s="400" t="s">
        <v>10</v>
      </c>
      <c r="V4" s="400" t="s">
        <v>99</v>
      </c>
      <c r="W4" s="400" t="s">
        <v>100</v>
      </c>
      <c r="X4" s="400" t="s">
        <v>10</v>
      </c>
      <c r="Y4" s="400" t="s">
        <v>99</v>
      </c>
      <c r="Z4" s="400" t="s">
        <v>100</v>
      </c>
      <c r="AA4" s="400" t="s">
        <v>10</v>
      </c>
      <c r="AB4" s="400" t="s">
        <v>99</v>
      </c>
      <c r="AC4" s="400" t="s">
        <v>100</v>
      </c>
      <c r="AD4" s="400" t="s">
        <v>10</v>
      </c>
      <c r="AE4" s="400" t="s">
        <v>99</v>
      </c>
      <c r="AF4" s="400" t="s">
        <v>100</v>
      </c>
      <c r="AG4" s="400" t="s">
        <v>10</v>
      </c>
      <c r="AH4" s="400" t="s">
        <v>99</v>
      </c>
      <c r="AI4" s="400" t="s">
        <v>100</v>
      </c>
      <c r="AJ4" s="400" t="s">
        <v>10</v>
      </c>
      <c r="AK4" s="400" t="s">
        <v>99</v>
      </c>
      <c r="AL4" s="400" t="s">
        <v>100</v>
      </c>
      <c r="AM4" s="401" t="s">
        <v>10</v>
      </c>
      <c r="AN4" s="400" t="s">
        <v>100</v>
      </c>
    </row>
    <row r="5" spans="2:42" s="35" customFormat="1" ht="18" customHeight="1">
      <c r="B5" s="400">
        <v>1</v>
      </c>
      <c r="C5" s="400">
        <v>2</v>
      </c>
      <c r="D5" s="400">
        <v>3</v>
      </c>
      <c r="E5" s="400">
        <v>4</v>
      </c>
      <c r="F5" s="400">
        <v>5</v>
      </c>
      <c r="G5" s="400">
        <v>6</v>
      </c>
      <c r="H5" s="400">
        <v>7</v>
      </c>
      <c r="I5" s="400">
        <v>5</v>
      </c>
      <c r="J5" s="400">
        <v>6</v>
      </c>
      <c r="K5" s="400">
        <v>7</v>
      </c>
      <c r="L5" s="400">
        <v>8</v>
      </c>
      <c r="M5" s="400">
        <v>9</v>
      </c>
      <c r="N5" s="400">
        <v>10</v>
      </c>
      <c r="O5" s="400">
        <v>11</v>
      </c>
      <c r="P5" s="400">
        <v>12</v>
      </c>
      <c r="Q5" s="400">
        <v>13</v>
      </c>
      <c r="R5" s="400">
        <v>14</v>
      </c>
      <c r="S5" s="400">
        <v>15</v>
      </c>
      <c r="T5" s="400">
        <v>16</v>
      </c>
      <c r="U5" s="400">
        <v>17</v>
      </c>
      <c r="V5" s="400">
        <v>18</v>
      </c>
      <c r="W5" s="400">
        <v>19</v>
      </c>
      <c r="X5" s="400">
        <v>20</v>
      </c>
      <c r="Y5" s="400">
        <v>21</v>
      </c>
      <c r="Z5" s="400">
        <v>22</v>
      </c>
      <c r="AA5" s="400">
        <v>23</v>
      </c>
      <c r="AB5" s="400">
        <v>24</v>
      </c>
      <c r="AC5" s="400">
        <v>25</v>
      </c>
      <c r="AD5" s="437">
        <v>26</v>
      </c>
      <c r="AE5" s="437">
        <v>27</v>
      </c>
      <c r="AF5" s="437">
        <v>28</v>
      </c>
      <c r="AG5" s="437">
        <v>29</v>
      </c>
      <c r="AH5" s="437">
        <v>30</v>
      </c>
      <c r="AI5" s="437">
        <v>31</v>
      </c>
      <c r="AJ5" s="437">
        <v>32</v>
      </c>
      <c r="AK5" s="437">
        <v>33</v>
      </c>
      <c r="AL5" s="437">
        <v>34</v>
      </c>
      <c r="AM5" s="437">
        <v>35</v>
      </c>
      <c r="AN5" s="437">
        <v>36</v>
      </c>
    </row>
    <row r="6" spans="2:42" ht="31.5" customHeight="1">
      <c r="B6" s="401" t="s">
        <v>11</v>
      </c>
      <c r="C6" s="57" t="s">
        <v>63</v>
      </c>
      <c r="D6" s="57"/>
      <c r="E6" s="57"/>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401"/>
      <c r="AN6" s="401"/>
    </row>
    <row r="7" spans="2:42" ht="31.5" customHeight="1">
      <c r="B7" s="59">
        <v>1</v>
      </c>
      <c r="C7" s="60" t="s">
        <v>148</v>
      </c>
      <c r="D7" s="60" t="s">
        <v>98</v>
      </c>
      <c r="E7" s="75">
        <f>Primary!H20</f>
        <v>0.38566</v>
      </c>
      <c r="F7" s="341">
        <f>F14*1.4*F2</f>
        <v>3920000</v>
      </c>
      <c r="G7" s="70">
        <f>B7*1.1</f>
        <v>1.1000000000000001</v>
      </c>
      <c r="H7" s="70"/>
      <c r="I7" s="342">
        <f>(F14*0.2+I14*1.4)*F2</f>
        <v>5291195</v>
      </c>
      <c r="J7" s="70">
        <f>G7*1.1</f>
        <v>1.2100000000000002</v>
      </c>
      <c r="K7" s="70">
        <f>I7*J7/100000</f>
        <v>64.023459500000016</v>
      </c>
      <c r="L7" s="343">
        <f>(I14*0.2+L14*1.4)*F2</f>
        <v>5426435</v>
      </c>
      <c r="M7" s="70">
        <f>J7*1.1</f>
        <v>1.3310000000000004</v>
      </c>
      <c r="N7" s="70">
        <f>L7*M7/100000</f>
        <v>72.225849850000017</v>
      </c>
      <c r="O7" s="334">
        <f>(L14*0.2+O14*1.4)*F2</f>
        <v>5429200</v>
      </c>
      <c r="P7" s="320">
        <f t="shared" ref="P7:P11" si="0">M7*1.1</f>
        <v>1.4641000000000006</v>
      </c>
      <c r="Q7" s="70">
        <f t="shared" ref="Q7:Q10" si="1">O7*P7/100000</f>
        <v>79.488917200000031</v>
      </c>
      <c r="R7" s="332">
        <f>(O14*0.2+R14*1.4)*F2</f>
        <v>5429200</v>
      </c>
      <c r="S7" s="70">
        <f>P7*1.1</f>
        <v>1.6105100000000008</v>
      </c>
      <c r="T7" s="340">
        <f>R7*S7/100000</f>
        <v>87.437808920000052</v>
      </c>
      <c r="U7" s="430">
        <f>(R14*0.2+U14*1.4)*F2</f>
        <v>5429200</v>
      </c>
      <c r="V7" s="70">
        <f t="shared" ref="V7:V11" si="2">S7*1.1</f>
        <v>1.7715610000000011</v>
      </c>
      <c r="W7" s="340">
        <f t="shared" ref="W7:W11" si="3">U7*V7/100000</f>
        <v>96.181589812000055</v>
      </c>
      <c r="X7" s="431">
        <f>(U14*0.2+X14*1.4)*$F$2</f>
        <v>5429200</v>
      </c>
      <c r="Y7" s="70">
        <f t="shared" ref="Y7:Y11" si="4">V7*1.1</f>
        <v>1.9487171000000014</v>
      </c>
      <c r="Z7" s="70">
        <f t="shared" ref="Z7:Z11" si="5">X7*Y7/100000</f>
        <v>105.79974879320007</v>
      </c>
      <c r="AA7" s="432">
        <f>(X14*0.2+AA14*1.4)*$F$2</f>
        <v>5448800</v>
      </c>
      <c r="AB7" s="70">
        <f t="shared" ref="AB7:AB10" si="6">Y7*1.1</f>
        <v>2.1435888100000016</v>
      </c>
      <c r="AC7" s="70">
        <f t="shared" ref="AC7:AC10" si="7">AA7*AB7/100000</f>
        <v>116.79986707928009</v>
      </c>
      <c r="AD7" s="72"/>
      <c r="AE7" s="72"/>
      <c r="AF7" s="72"/>
      <c r="AG7" s="72"/>
      <c r="AH7" s="72"/>
      <c r="AI7" s="72"/>
      <c r="AJ7" s="72"/>
      <c r="AK7" s="72"/>
      <c r="AL7" s="72"/>
      <c r="AM7" s="186">
        <f>AD7+AA7+X7+U7+R7+O7+L7+I7+F7+AG7+AJ7</f>
        <v>41803230</v>
      </c>
      <c r="AN7" s="188">
        <f>AF7+AC7+Z7+W7+T7+Q7+N7+K7+H7+AI7+AL7</f>
        <v>621.95724115448047</v>
      </c>
    </row>
    <row r="8" spans="2:42" ht="31.5" customHeight="1">
      <c r="B8" s="59">
        <v>2</v>
      </c>
      <c r="C8" s="60" t="s">
        <v>177</v>
      </c>
      <c r="D8" s="60" t="s">
        <v>98</v>
      </c>
      <c r="E8" s="75">
        <f>R_4x7!J32</f>
        <v>3.8060435294117649</v>
      </c>
      <c r="F8" s="341">
        <f>$F$7</f>
        <v>3920000</v>
      </c>
      <c r="G8" s="70">
        <f t="shared" ref="G8:G11" si="8">B8*1.1</f>
        <v>2.2000000000000002</v>
      </c>
      <c r="H8" s="70"/>
      <c r="I8" s="333">
        <f>$I$7</f>
        <v>5291195</v>
      </c>
      <c r="J8" s="70">
        <f>G8*1.1</f>
        <v>2.4200000000000004</v>
      </c>
      <c r="K8" s="70">
        <f>I8*J8/100000</f>
        <v>128.04691900000003</v>
      </c>
      <c r="L8" s="343">
        <f>$L$7</f>
        <v>5426435</v>
      </c>
      <c r="M8" s="70">
        <f>J8*1.1</f>
        <v>2.6620000000000008</v>
      </c>
      <c r="N8" s="70">
        <f>L8*M8/100000</f>
        <v>144.45169970000003</v>
      </c>
      <c r="O8" s="334">
        <f>$O$7</f>
        <v>5429200</v>
      </c>
      <c r="P8" s="320">
        <f t="shared" si="0"/>
        <v>2.9282000000000012</v>
      </c>
      <c r="Q8" s="70">
        <f t="shared" si="1"/>
        <v>158.97783440000006</v>
      </c>
      <c r="R8" s="332">
        <f>$R$7</f>
        <v>5429200</v>
      </c>
      <c r="S8" s="70">
        <f t="shared" ref="S8:S11" si="9">P8*1.1</f>
        <v>3.2210200000000015</v>
      </c>
      <c r="T8" s="340">
        <f t="shared" ref="T8:T11" si="10">R8*S8/100000</f>
        <v>174.8756178400001</v>
      </c>
      <c r="U8" s="430">
        <f>$U$7</f>
        <v>5429200</v>
      </c>
      <c r="V8" s="70">
        <f t="shared" si="2"/>
        <v>3.5431220000000021</v>
      </c>
      <c r="W8" s="340">
        <f t="shared" si="3"/>
        <v>192.36317962400011</v>
      </c>
      <c r="X8" s="431">
        <f>$X$7</f>
        <v>5429200</v>
      </c>
      <c r="Y8" s="70">
        <f t="shared" si="4"/>
        <v>3.8974342000000028</v>
      </c>
      <c r="Z8" s="70">
        <f t="shared" si="5"/>
        <v>211.59949758640013</v>
      </c>
      <c r="AA8" s="432">
        <f>$AA$7</f>
        <v>5448800</v>
      </c>
      <c r="AB8" s="70">
        <f t="shared" si="6"/>
        <v>4.2871776200000031</v>
      </c>
      <c r="AC8" s="70">
        <f t="shared" si="7"/>
        <v>233.59973415856018</v>
      </c>
      <c r="AD8" s="72"/>
      <c r="AE8" s="72"/>
      <c r="AF8" s="72"/>
      <c r="AG8" s="72"/>
      <c r="AH8" s="72"/>
      <c r="AI8" s="72"/>
      <c r="AJ8" s="72"/>
      <c r="AK8" s="72"/>
      <c r="AL8" s="72"/>
      <c r="AM8" s="186">
        <f>AD8+AA8+X8+U8+R8+O8+L8+I8+F8+AG8+AJ8</f>
        <v>41803230</v>
      </c>
      <c r="AN8" s="188">
        <f>AF8+AC8+Z8+W8+T8+Q8+N8+K8+H8+AI8+AL8</f>
        <v>1243.9144823089609</v>
      </c>
    </row>
    <row r="9" spans="2:42" ht="31.5" customHeight="1">
      <c r="B9" s="59">
        <v>3</v>
      </c>
      <c r="C9" s="60" t="s">
        <v>178</v>
      </c>
      <c r="D9" s="60" t="s">
        <v>98</v>
      </c>
      <c r="E9" s="75">
        <f>M_4x7!J13</f>
        <v>0.90393615384615378</v>
      </c>
      <c r="F9" s="62"/>
      <c r="G9" s="70">
        <f t="shared" si="8"/>
        <v>3.3000000000000003</v>
      </c>
      <c r="H9" s="70"/>
      <c r="I9" s="341">
        <f>$F$7</f>
        <v>3920000</v>
      </c>
      <c r="J9" s="70">
        <f t="shared" ref="J9:J11" si="11">G9*1.1</f>
        <v>3.6300000000000008</v>
      </c>
      <c r="K9" s="70">
        <f t="shared" ref="K9:K10" si="12">I9*J9/100000</f>
        <v>142.29600000000005</v>
      </c>
      <c r="L9" s="333">
        <f>$I$7</f>
        <v>5291195</v>
      </c>
      <c r="M9" s="70">
        <f t="shared" ref="M9:M11" si="13">J9*1.1</f>
        <v>3.9930000000000012</v>
      </c>
      <c r="N9" s="70">
        <f>L9*M9/100000</f>
        <v>211.27741635000007</v>
      </c>
      <c r="O9" s="343">
        <f t="shared" ref="O9:O10" si="14">$L$7</f>
        <v>5426435</v>
      </c>
      <c r="P9" s="320">
        <f t="shared" si="0"/>
        <v>4.3923000000000014</v>
      </c>
      <c r="Q9" s="70">
        <f t="shared" si="1"/>
        <v>238.34530450500009</v>
      </c>
      <c r="R9" s="334">
        <f t="shared" ref="R9:R10" si="15">$O$7</f>
        <v>5429200</v>
      </c>
      <c r="S9" s="70">
        <f t="shared" si="9"/>
        <v>4.8315300000000017</v>
      </c>
      <c r="T9" s="340">
        <f t="shared" si="10"/>
        <v>262.31342676000008</v>
      </c>
      <c r="U9" s="332">
        <f>$R$7</f>
        <v>5429200</v>
      </c>
      <c r="V9" s="70">
        <f t="shared" si="2"/>
        <v>5.3146830000000023</v>
      </c>
      <c r="W9" s="340">
        <f t="shared" si="3"/>
        <v>288.54476943600014</v>
      </c>
      <c r="X9" s="430">
        <f t="shared" ref="X9:X10" si="16">$U$7</f>
        <v>5429200</v>
      </c>
      <c r="Y9" s="70">
        <f t="shared" si="4"/>
        <v>5.8461513000000034</v>
      </c>
      <c r="Z9" s="70">
        <f t="shared" si="5"/>
        <v>317.39924637960019</v>
      </c>
      <c r="AA9" s="431">
        <f t="shared" ref="AA9:AA10" si="17">$X$7</f>
        <v>5429200</v>
      </c>
      <c r="AB9" s="70">
        <f t="shared" si="6"/>
        <v>6.4307664300000038</v>
      </c>
      <c r="AC9" s="70">
        <f t="shared" si="7"/>
        <v>349.13917101756022</v>
      </c>
      <c r="AD9" s="432">
        <f t="shared" ref="AD9:AD10" si="18">$AA$7</f>
        <v>5448800</v>
      </c>
      <c r="AE9" s="70">
        <f t="shared" ref="AE9:AE10" si="19">AB9*1.1</f>
        <v>7.0738430730000044</v>
      </c>
      <c r="AF9" s="70">
        <f t="shared" ref="AF9:AF11" si="20">AD9*AE9/100000</f>
        <v>385.43956136162421</v>
      </c>
      <c r="AG9" s="72"/>
      <c r="AH9" s="72"/>
      <c r="AI9" s="72"/>
      <c r="AJ9" s="72"/>
      <c r="AK9" s="72"/>
      <c r="AL9" s="72"/>
      <c r="AM9" s="186">
        <f>AD9+AA9+X9+U9+R9+O9+L9+I9+F9+AG9+AJ9</f>
        <v>41803230</v>
      </c>
      <c r="AN9" s="188">
        <f>AF9+AC9+Z9+W9+T9+Q9+N9+K9+H9+AI9+AL9</f>
        <v>2194.754895809785</v>
      </c>
    </row>
    <row r="10" spans="2:42" ht="31.5" customHeight="1">
      <c r="B10" s="59">
        <v>4</v>
      </c>
      <c r="C10" s="60" t="s">
        <v>179</v>
      </c>
      <c r="D10" s="60" t="s">
        <v>98</v>
      </c>
      <c r="E10" s="75">
        <f>Conversion!J27</f>
        <v>6.5721304090909092</v>
      </c>
      <c r="F10" s="62"/>
      <c r="G10" s="70">
        <f t="shared" si="8"/>
        <v>4.4000000000000004</v>
      </c>
      <c r="H10" s="70"/>
      <c r="I10" s="341">
        <f>$F$7</f>
        <v>3920000</v>
      </c>
      <c r="J10" s="70">
        <f t="shared" si="11"/>
        <v>4.8400000000000007</v>
      </c>
      <c r="K10" s="70">
        <f t="shared" si="12"/>
        <v>189.72800000000004</v>
      </c>
      <c r="L10" s="333">
        <f>$I$7</f>
        <v>5291195</v>
      </c>
      <c r="M10" s="70">
        <f t="shared" si="13"/>
        <v>5.3240000000000016</v>
      </c>
      <c r="N10" s="70">
        <f>L10*M10/100000</f>
        <v>281.70322180000005</v>
      </c>
      <c r="O10" s="343">
        <f t="shared" si="14"/>
        <v>5426435</v>
      </c>
      <c r="P10" s="320">
        <f t="shared" si="0"/>
        <v>5.8564000000000025</v>
      </c>
      <c r="Q10" s="70">
        <f t="shared" si="1"/>
        <v>317.79373934000017</v>
      </c>
      <c r="R10" s="334">
        <f t="shared" si="15"/>
        <v>5429200</v>
      </c>
      <c r="S10" s="70">
        <f t="shared" si="9"/>
        <v>6.4420400000000031</v>
      </c>
      <c r="T10" s="340">
        <f t="shared" si="10"/>
        <v>349.75123568000021</v>
      </c>
      <c r="U10" s="332">
        <f>$R$7</f>
        <v>5429200</v>
      </c>
      <c r="V10" s="70">
        <f t="shared" si="2"/>
        <v>7.0862440000000042</v>
      </c>
      <c r="W10" s="340">
        <f t="shared" si="3"/>
        <v>384.72635924800022</v>
      </c>
      <c r="X10" s="430">
        <f t="shared" si="16"/>
        <v>5429200</v>
      </c>
      <c r="Y10" s="70">
        <f t="shared" si="4"/>
        <v>7.7948684000000057</v>
      </c>
      <c r="Z10" s="70">
        <f t="shared" si="5"/>
        <v>423.19899517280027</v>
      </c>
      <c r="AA10" s="431">
        <f t="shared" si="17"/>
        <v>5429200</v>
      </c>
      <c r="AB10" s="70">
        <f t="shared" si="6"/>
        <v>8.5743552400000063</v>
      </c>
      <c r="AC10" s="70">
        <f t="shared" si="7"/>
        <v>465.51889469008034</v>
      </c>
      <c r="AD10" s="432">
        <f t="shared" si="18"/>
        <v>5448800</v>
      </c>
      <c r="AE10" s="70">
        <f t="shared" si="19"/>
        <v>9.4317907640000076</v>
      </c>
      <c r="AF10" s="70">
        <f t="shared" si="20"/>
        <v>513.9194151488324</v>
      </c>
      <c r="AG10" s="72"/>
      <c r="AH10" s="72"/>
      <c r="AI10" s="72"/>
      <c r="AJ10" s="72"/>
      <c r="AK10" s="72"/>
      <c r="AL10" s="72"/>
      <c r="AM10" s="186">
        <f>AD10+AA10+X10+U10+R10+O10+L10+I10+F10+AG10+AJ10</f>
        <v>41803230</v>
      </c>
      <c r="AN10" s="188">
        <f>AF10+AC10+Z10+W10+T10+Q10+N10+K10+H10+AI10+AL10</f>
        <v>2926.339861079714</v>
      </c>
    </row>
    <row r="11" spans="2:42" ht="31.5" customHeight="1">
      <c r="B11" s="59">
        <v>5</v>
      </c>
      <c r="C11" s="60" t="s">
        <v>180</v>
      </c>
      <c r="D11" s="60" t="s">
        <v>98</v>
      </c>
      <c r="E11" s="75">
        <f>M_6x12!J20+'M_6x12 (2)'!J11</f>
        <v>3.6430051818181814</v>
      </c>
      <c r="F11" s="62"/>
      <c r="G11" s="70">
        <f t="shared" si="8"/>
        <v>5.5</v>
      </c>
      <c r="H11" s="70"/>
      <c r="I11" s="62"/>
      <c r="J11" s="70">
        <f t="shared" si="11"/>
        <v>6.0500000000000007</v>
      </c>
      <c r="K11" s="70"/>
      <c r="L11" s="341">
        <f>$F$7</f>
        <v>3920000</v>
      </c>
      <c r="M11" s="320">
        <f t="shared" si="13"/>
        <v>6.6550000000000011</v>
      </c>
      <c r="N11" s="70">
        <f>L11*M11/100000</f>
        <v>260.87600000000003</v>
      </c>
      <c r="O11" s="333">
        <f>$I$7</f>
        <v>5291195</v>
      </c>
      <c r="P11" s="320">
        <f t="shared" si="0"/>
        <v>7.3205000000000018</v>
      </c>
      <c r="Q11" s="70">
        <f>O11*P11/100000</f>
        <v>387.34192997500008</v>
      </c>
      <c r="R11" s="343">
        <f>$L$7</f>
        <v>5426435</v>
      </c>
      <c r="S11" s="70">
        <f t="shared" si="9"/>
        <v>8.0525500000000019</v>
      </c>
      <c r="T11" s="340">
        <f t="shared" si="10"/>
        <v>436.96639159250014</v>
      </c>
      <c r="U11" s="334">
        <f>$O$7</f>
        <v>5429200</v>
      </c>
      <c r="V11" s="70">
        <f t="shared" si="2"/>
        <v>8.8578050000000026</v>
      </c>
      <c r="W11" s="340">
        <f t="shared" si="3"/>
        <v>480.90794906000013</v>
      </c>
      <c r="X11" s="332">
        <f>$R$7</f>
        <v>5429200</v>
      </c>
      <c r="Y11" s="70">
        <f t="shared" si="4"/>
        <v>9.7435855000000036</v>
      </c>
      <c r="Z11" s="70">
        <f t="shared" si="5"/>
        <v>528.99874396600023</v>
      </c>
      <c r="AA11" s="430">
        <f>$U$7</f>
        <v>5429200</v>
      </c>
      <c r="AB11" s="70">
        <f>Y11*1.1</f>
        <v>10.717944050000005</v>
      </c>
      <c r="AC11" s="70">
        <f t="shared" ref="AC11" si="21">AA11*AB11/100000</f>
        <v>581.89861836260025</v>
      </c>
      <c r="AD11" s="431">
        <f>$X$7</f>
        <v>5429200</v>
      </c>
      <c r="AE11" s="70">
        <f>AB11*1.1</f>
        <v>11.789738455000007</v>
      </c>
      <c r="AF11" s="70">
        <f t="shared" si="20"/>
        <v>640.08848019886034</v>
      </c>
      <c r="AG11" s="432">
        <f>$AA$7</f>
        <v>5448800</v>
      </c>
      <c r="AH11" s="70">
        <f>AE11*1.1</f>
        <v>12.968712300500009</v>
      </c>
      <c r="AI11" s="70">
        <f t="shared" ref="AI11" si="22">AG11*AH11/100000</f>
        <v>706.63919582964445</v>
      </c>
      <c r="AJ11" s="72"/>
      <c r="AK11" s="72"/>
      <c r="AL11" s="72"/>
      <c r="AM11" s="186">
        <f>AD11+AA11+X11+U11+R11+O11+L11+I11+F11+AG11+AJ11</f>
        <v>41803230</v>
      </c>
      <c r="AN11" s="188">
        <f>AF11+AC11+Z11+W11+T11+Q11+N11+K11+H11+AI11+AL11</f>
        <v>4023.7173089846065</v>
      </c>
    </row>
    <row r="12" spans="2:42" s="339" customFormat="1" ht="31.5" customHeight="1">
      <c r="B12" s="531" t="s">
        <v>12</v>
      </c>
      <c r="C12" s="531"/>
      <c r="D12" s="403"/>
      <c r="E12" s="403"/>
      <c r="F12" s="331"/>
      <c r="G12" s="331"/>
      <c r="H12" s="403">
        <f>SUM(H7:H11)</f>
        <v>0</v>
      </c>
      <c r="I12" s="331"/>
      <c r="J12" s="331"/>
      <c r="K12" s="403">
        <f>SUM(K7:K11)</f>
        <v>524.09437850000018</v>
      </c>
      <c r="L12" s="331"/>
      <c r="M12" s="331"/>
      <c r="N12" s="403">
        <f>SUM(N7:N11)</f>
        <v>970.53418770000007</v>
      </c>
      <c r="O12" s="331"/>
      <c r="P12" s="331"/>
      <c r="Q12" s="403">
        <f>SUM(Q7:Q11)</f>
        <v>1181.9477254200006</v>
      </c>
      <c r="R12" s="331"/>
      <c r="S12" s="331"/>
      <c r="T12" s="403">
        <f>SUM(T7:T11)</f>
        <v>1311.3444807925007</v>
      </c>
      <c r="U12" s="331"/>
      <c r="V12" s="331"/>
      <c r="W12" s="403">
        <f>SUM(W7:W11)</f>
        <v>1442.7238471800006</v>
      </c>
      <c r="X12" s="331"/>
      <c r="Y12" s="331"/>
      <c r="Z12" s="403">
        <f>SUM(Z7:Z11)</f>
        <v>1586.996231898001</v>
      </c>
      <c r="AA12" s="331"/>
      <c r="AB12" s="331"/>
      <c r="AC12" s="403">
        <f>SUM(AC7:AC11)</f>
        <v>1746.9562853080811</v>
      </c>
      <c r="AD12" s="331"/>
      <c r="AE12" s="331"/>
      <c r="AF12" s="403">
        <f>SUM(AF7:AF11)</f>
        <v>1539.4474567093171</v>
      </c>
      <c r="AG12" s="331"/>
      <c r="AH12" s="331"/>
      <c r="AI12" s="403">
        <f>SUM(AI7:AI11)</f>
        <v>706.63919582964445</v>
      </c>
      <c r="AJ12" s="331"/>
      <c r="AK12" s="331"/>
      <c r="AL12" s="403">
        <f>SUM(AL7:AL11)</f>
        <v>0</v>
      </c>
      <c r="AM12" s="403"/>
      <c r="AN12" s="403">
        <f>SUM(AN7:AN11)</f>
        <v>11010.683789337547</v>
      </c>
      <c r="AO12" s="344">
        <f>AN12/AM11*100000</f>
        <v>26.339313467733348</v>
      </c>
      <c r="AP12" s="344" t="s">
        <v>98</v>
      </c>
    </row>
    <row r="13" spans="2:42" ht="31.5" customHeight="1">
      <c r="B13" s="401" t="s">
        <v>124</v>
      </c>
      <c r="C13" s="57" t="s">
        <v>481</v>
      </c>
      <c r="D13" s="57"/>
      <c r="E13" s="57"/>
      <c r="F13" s="66"/>
      <c r="G13" s="66"/>
      <c r="H13" s="66"/>
      <c r="I13" s="66"/>
      <c r="J13" s="66"/>
      <c r="K13" s="66"/>
      <c r="L13" s="66"/>
      <c r="M13" s="66"/>
      <c r="N13" s="66"/>
      <c r="O13" s="66"/>
      <c r="P13" s="66"/>
      <c r="Q13" s="66"/>
      <c r="R13" s="66"/>
      <c r="S13" s="66"/>
      <c r="T13" s="67"/>
      <c r="U13" s="66"/>
      <c r="V13" s="66"/>
      <c r="W13" s="66"/>
      <c r="X13" s="66"/>
      <c r="Y13" s="66"/>
      <c r="Z13" s="66"/>
      <c r="AA13" s="66"/>
      <c r="AB13" s="66"/>
      <c r="AC13" s="66"/>
      <c r="AD13" s="66"/>
      <c r="AE13" s="66"/>
      <c r="AF13" s="66"/>
      <c r="AG13" s="66"/>
      <c r="AH13" s="66"/>
      <c r="AI13" s="66"/>
      <c r="AJ13" s="66"/>
      <c r="AK13" s="66"/>
      <c r="AL13" s="66"/>
      <c r="AM13" s="186"/>
      <c r="AN13" s="187"/>
    </row>
    <row r="14" spans="2:42" ht="31.5" customHeight="1">
      <c r="B14" s="59">
        <v>6</v>
      </c>
      <c r="C14" s="60" t="s">
        <v>483</v>
      </c>
      <c r="D14" s="60" t="s">
        <v>79</v>
      </c>
      <c r="E14" s="69">
        <f>Zero_ANR!F13</f>
        <v>24626.480307270231</v>
      </c>
      <c r="F14" s="334">
        <v>80000</v>
      </c>
      <c r="G14" s="184">
        <f>E14*1.1</f>
        <v>27089.128337997256</v>
      </c>
      <c r="H14" s="70"/>
      <c r="I14" s="332">
        <v>96555</v>
      </c>
      <c r="J14" s="184">
        <f>G14*1.1</f>
        <v>29798.041171796984</v>
      </c>
      <c r="K14" s="70">
        <f>I14*J14/100000</f>
        <v>28771.498653428578</v>
      </c>
      <c r="L14" s="321">
        <v>96950</v>
      </c>
      <c r="M14" s="69">
        <f>J14*1.1</f>
        <v>32777.845288976685</v>
      </c>
      <c r="N14" s="70">
        <f>L14*M14/100000</f>
        <v>31778.121007662896</v>
      </c>
      <c r="O14" s="337">
        <v>96950</v>
      </c>
      <c r="P14" s="81">
        <f>M14*1.1</f>
        <v>36055.62981787436</v>
      </c>
      <c r="Q14" s="70">
        <f>O14*P14/100000</f>
        <v>34955.933108429192</v>
      </c>
      <c r="R14" s="338">
        <v>96950</v>
      </c>
      <c r="S14" s="81">
        <f>P14*1.1</f>
        <v>39661.192799661796</v>
      </c>
      <c r="T14" s="70">
        <f>R14*S14/100000</f>
        <v>38451.526419272115</v>
      </c>
      <c r="U14" s="428">
        <v>96950</v>
      </c>
      <c r="V14" s="69">
        <f t="shared" ref="V14:V17" si="23">S14*1.1</f>
        <v>43627.312079627976</v>
      </c>
      <c r="W14" s="70">
        <f t="shared" ref="W14:W17" si="24">U14*V14/100000</f>
        <v>42296.67906119932</v>
      </c>
      <c r="X14" s="427">
        <v>96950</v>
      </c>
      <c r="Y14" s="69">
        <f t="shared" ref="Y14:Y17" si="25">V14*1.1</f>
        <v>47990.043287590779</v>
      </c>
      <c r="Z14" s="70">
        <f t="shared" ref="Z14:Z17" si="26">X14*Y14/100000</f>
        <v>46526.346967319259</v>
      </c>
      <c r="AA14" s="429">
        <f>96950+400</f>
        <v>97350</v>
      </c>
      <c r="AB14" s="69">
        <f t="shared" ref="AB14:AB16" si="27">Y14*1.1</f>
        <v>52789.047616349861</v>
      </c>
      <c r="AC14" s="70">
        <f t="shared" ref="AC14:AC17" si="28">AA14*AB14/100000</f>
        <v>51390.137854516594</v>
      </c>
      <c r="AD14" s="72"/>
      <c r="AE14" s="72"/>
      <c r="AF14" s="70"/>
      <c r="AG14" s="72"/>
      <c r="AH14" s="72"/>
      <c r="AI14" s="70"/>
      <c r="AJ14" s="72"/>
      <c r="AK14" s="72"/>
      <c r="AL14" s="70"/>
      <c r="AM14" s="186">
        <f>AD14+AA14+X14+U14+R14+O14+L14+I14+F14+AG14+AJ14</f>
        <v>758655</v>
      </c>
      <c r="AN14" s="188">
        <f>AF14+AC14+Z14+W14+T14+Q14+N14+K14+H14+AI14+AL14</f>
        <v>274170.24307182798</v>
      </c>
    </row>
    <row r="15" spans="2:42" ht="31.5" customHeight="1">
      <c r="B15" s="59">
        <v>7</v>
      </c>
      <c r="C15" s="60" t="s">
        <v>101</v>
      </c>
      <c r="D15" s="60" t="s">
        <v>79</v>
      </c>
      <c r="E15" s="81">
        <f>I_ANR!F27</f>
        <v>5642.3775000000005</v>
      </c>
      <c r="F15" s="69"/>
      <c r="G15" s="184">
        <f t="shared" ref="G15:G17" si="29">E15*1.1</f>
        <v>6206.6152500000007</v>
      </c>
      <c r="H15" s="70"/>
      <c r="I15" s="335">
        <f>$F$14</f>
        <v>80000</v>
      </c>
      <c r="J15" s="184">
        <f t="shared" ref="J15:J17" si="30">G15*1.1</f>
        <v>6827.2767750000012</v>
      </c>
      <c r="K15" s="70">
        <f>I15*J15/100000</f>
        <v>5461.8214200000011</v>
      </c>
      <c r="L15" s="336">
        <f>$I$14</f>
        <v>96555</v>
      </c>
      <c r="M15" s="69">
        <f t="shared" ref="M15:M17" si="31">J15*1.1</f>
        <v>7510.0044525000021</v>
      </c>
      <c r="N15" s="70">
        <f t="shared" ref="N15:N16" si="32">L15*M15/100000</f>
        <v>7251.2847991113767</v>
      </c>
      <c r="O15" s="321">
        <f>$L$14</f>
        <v>96950</v>
      </c>
      <c r="P15" s="81">
        <f t="shared" ref="P15:P17" si="33">M15*1.1</f>
        <v>8261.0048977500028</v>
      </c>
      <c r="Q15" s="70">
        <f>O15*P15/100000</f>
        <v>8009.0442483686284</v>
      </c>
      <c r="R15" s="337">
        <f>$O$14</f>
        <v>96950</v>
      </c>
      <c r="S15" s="81">
        <f t="shared" ref="S15:S17" si="34">P15*1.1</f>
        <v>9087.1053875250036</v>
      </c>
      <c r="T15" s="70">
        <f t="shared" ref="T15:T17" si="35">R15*S15/100000</f>
        <v>8809.948673205492</v>
      </c>
      <c r="U15" s="338">
        <f>$R$14</f>
        <v>96950</v>
      </c>
      <c r="V15" s="69">
        <f t="shared" si="23"/>
        <v>9995.8159262775043</v>
      </c>
      <c r="W15" s="70">
        <f t="shared" si="24"/>
        <v>9690.943540526041</v>
      </c>
      <c r="X15" s="428">
        <f>$U$14</f>
        <v>96950</v>
      </c>
      <c r="Y15" s="69">
        <f t="shared" si="25"/>
        <v>10995.397518905256</v>
      </c>
      <c r="Z15" s="70">
        <f t="shared" si="26"/>
        <v>10660.037894578647</v>
      </c>
      <c r="AA15" s="427">
        <f>$X$14</f>
        <v>96950</v>
      </c>
      <c r="AB15" s="69">
        <f t="shared" si="27"/>
        <v>12094.937270795783</v>
      </c>
      <c r="AC15" s="70">
        <f t="shared" si="28"/>
        <v>11726.041684036512</v>
      </c>
      <c r="AD15" s="429">
        <f>$AA$14</f>
        <v>97350</v>
      </c>
      <c r="AE15" s="69">
        <f t="shared" ref="AE15:AE17" si="36">AB15*1.1</f>
        <v>13304.430997875363</v>
      </c>
      <c r="AF15" s="70">
        <f t="shared" ref="AF15:AF17" si="37">AD15*AE15/100000</f>
        <v>12951.863576431666</v>
      </c>
      <c r="AG15" s="59"/>
      <c r="AH15" s="59"/>
      <c r="AI15" s="423"/>
      <c r="AJ15" s="59"/>
      <c r="AK15" s="59"/>
      <c r="AL15" s="423"/>
      <c r="AM15" s="186">
        <f>AD15+AA15+X15+U15+R15+O15+L15+I15+F15+AG15+AJ15</f>
        <v>758655</v>
      </c>
      <c r="AN15" s="188">
        <f>AF15+AC15+Z15+W15+T15+Q15+N15+K15+H15+AI15+AL15</f>
        <v>74560.985836258376</v>
      </c>
    </row>
    <row r="16" spans="2:42" ht="31.5" customHeight="1">
      <c r="B16" s="59">
        <v>8</v>
      </c>
      <c r="C16" s="60" t="s">
        <v>14</v>
      </c>
      <c r="D16" s="60" t="s">
        <v>79</v>
      </c>
      <c r="E16" s="81">
        <f>II_ANR!F6</f>
        <v>579.29999999999995</v>
      </c>
      <c r="F16" s="69"/>
      <c r="G16" s="184">
        <f t="shared" si="29"/>
        <v>637.23</v>
      </c>
      <c r="H16" s="71"/>
      <c r="I16" s="69"/>
      <c r="J16" s="63">
        <f t="shared" si="30"/>
        <v>700.95300000000009</v>
      </c>
      <c r="K16" s="71"/>
      <c r="L16" s="335">
        <f>$F$14</f>
        <v>80000</v>
      </c>
      <c r="M16" s="69">
        <f t="shared" si="31"/>
        <v>771.04830000000015</v>
      </c>
      <c r="N16" s="70">
        <f t="shared" si="32"/>
        <v>616.83864000000017</v>
      </c>
      <c r="O16" s="336">
        <f>$I$14</f>
        <v>96555</v>
      </c>
      <c r="P16" s="81">
        <f t="shared" si="33"/>
        <v>848.15313000000026</v>
      </c>
      <c r="Q16" s="70">
        <f t="shared" ref="Q16:Q17" si="38">O16*P16/100000</f>
        <v>818.9342546715003</v>
      </c>
      <c r="R16" s="321">
        <f>$L$14</f>
        <v>96950</v>
      </c>
      <c r="S16" s="81">
        <f t="shared" si="34"/>
        <v>932.96844300000032</v>
      </c>
      <c r="T16" s="70">
        <f t="shared" si="35"/>
        <v>904.51290548850034</v>
      </c>
      <c r="U16" s="337">
        <f>$O$14</f>
        <v>96950</v>
      </c>
      <c r="V16" s="69">
        <f t="shared" si="23"/>
        <v>1026.2652873000004</v>
      </c>
      <c r="W16" s="70">
        <f t="shared" si="24"/>
        <v>994.96419603735046</v>
      </c>
      <c r="X16" s="338">
        <f>$R$14</f>
        <v>96950</v>
      </c>
      <c r="Y16" s="69">
        <f t="shared" si="25"/>
        <v>1128.8918160300007</v>
      </c>
      <c r="Z16" s="70">
        <f t="shared" si="26"/>
        <v>1094.4606156410857</v>
      </c>
      <c r="AA16" s="428">
        <f>$U$14</f>
        <v>96950</v>
      </c>
      <c r="AB16" s="69">
        <f t="shared" si="27"/>
        <v>1241.7809976330009</v>
      </c>
      <c r="AC16" s="70">
        <f t="shared" si="28"/>
        <v>1203.9066772051945</v>
      </c>
      <c r="AD16" s="427">
        <f>$X$14</f>
        <v>96950</v>
      </c>
      <c r="AE16" s="69">
        <f t="shared" si="36"/>
        <v>1365.9590973963011</v>
      </c>
      <c r="AF16" s="70">
        <f t="shared" si="37"/>
        <v>1324.297344925714</v>
      </c>
      <c r="AG16" s="429">
        <f>$AA$14</f>
        <v>97350</v>
      </c>
      <c r="AH16" s="69">
        <f t="shared" ref="AH16:AH17" si="39">Y16*1.1</f>
        <v>1241.7809976330009</v>
      </c>
      <c r="AI16" s="70">
        <f t="shared" ref="AI16:AI17" si="40">AG16*AH16/100000</f>
        <v>1208.8738011957264</v>
      </c>
      <c r="AJ16" s="69"/>
      <c r="AK16" s="69"/>
      <c r="AL16" s="70"/>
      <c r="AM16" s="186">
        <f>AD16+AA16+X16+U16+R16+O16+L16+I16+F16+AG16+AJ16</f>
        <v>758655</v>
      </c>
      <c r="AN16" s="188">
        <f>AF16+AC16+Z16+W16+T16+Q16+N16+K16+H16+AI16+AL16</f>
        <v>8166.7884351650719</v>
      </c>
    </row>
    <row r="17" spans="2:41" ht="31.5" customHeight="1">
      <c r="B17" s="59">
        <v>9</v>
      </c>
      <c r="C17" s="60" t="s">
        <v>15</v>
      </c>
      <c r="D17" s="60" t="s">
        <v>79</v>
      </c>
      <c r="E17" s="81">
        <f>III_ANR!F9</f>
        <v>3051.3249999999998</v>
      </c>
      <c r="F17" s="69"/>
      <c r="G17" s="184">
        <f t="shared" si="29"/>
        <v>3356.4575</v>
      </c>
      <c r="H17" s="71"/>
      <c r="I17" s="69"/>
      <c r="J17" s="63">
        <f t="shared" si="30"/>
        <v>3692.1032500000001</v>
      </c>
      <c r="K17" s="71"/>
      <c r="L17" s="58"/>
      <c r="M17" s="73">
        <f t="shared" si="31"/>
        <v>4061.3135750000006</v>
      </c>
      <c r="N17" s="71"/>
      <c r="O17" s="335">
        <f>$F$14</f>
        <v>80000</v>
      </c>
      <c r="P17" s="81">
        <f t="shared" si="33"/>
        <v>4467.4449325000014</v>
      </c>
      <c r="Q17" s="70">
        <f t="shared" si="38"/>
        <v>3573.9559460000009</v>
      </c>
      <c r="R17" s="336">
        <f>$I$14</f>
        <v>96555</v>
      </c>
      <c r="S17" s="81">
        <f t="shared" si="34"/>
        <v>4914.1894257500016</v>
      </c>
      <c r="T17" s="70">
        <f t="shared" si="35"/>
        <v>4744.8956000329144</v>
      </c>
      <c r="U17" s="321">
        <f>$L$14</f>
        <v>96950</v>
      </c>
      <c r="V17" s="69">
        <f t="shared" si="23"/>
        <v>5405.6083683250026</v>
      </c>
      <c r="W17" s="70">
        <f t="shared" si="24"/>
        <v>5240.7373130910901</v>
      </c>
      <c r="X17" s="337">
        <f>$O$14</f>
        <v>96950</v>
      </c>
      <c r="Y17" s="69">
        <f t="shared" si="25"/>
        <v>5946.1692051575037</v>
      </c>
      <c r="Z17" s="70">
        <f t="shared" si="26"/>
        <v>5764.8110444001995</v>
      </c>
      <c r="AA17" s="338">
        <f>$R$14</f>
        <v>96950</v>
      </c>
      <c r="AB17" s="69">
        <f t="shared" ref="AB17" si="41">Y17*1.1</f>
        <v>6540.7861256732549</v>
      </c>
      <c r="AC17" s="70">
        <f t="shared" si="28"/>
        <v>6341.2921488402208</v>
      </c>
      <c r="AD17" s="428">
        <f>$U$14</f>
        <v>96950</v>
      </c>
      <c r="AE17" s="69">
        <f t="shared" si="36"/>
        <v>7194.8647382405807</v>
      </c>
      <c r="AF17" s="70">
        <f t="shared" si="37"/>
        <v>6975.4213637242428</v>
      </c>
      <c r="AG17" s="427">
        <f>$X$14</f>
        <v>96950</v>
      </c>
      <c r="AH17" s="69">
        <f t="shared" si="39"/>
        <v>6540.7861256732549</v>
      </c>
      <c r="AI17" s="70">
        <f t="shared" si="40"/>
        <v>6341.2921488402208</v>
      </c>
      <c r="AJ17" s="429">
        <f>$AA$14</f>
        <v>97350</v>
      </c>
      <c r="AK17" s="69">
        <f t="shared" ref="AK17" si="42">AB17*1.1</f>
        <v>7194.8647382405807</v>
      </c>
      <c r="AL17" s="70">
        <f t="shared" ref="AL17" si="43">AJ17*AK17/100000</f>
        <v>7004.2008226772059</v>
      </c>
      <c r="AM17" s="186">
        <f>AD17+AA17+X17+U17+R17+O17+L17+I17+F17+AG17+AJ17</f>
        <v>758655</v>
      </c>
      <c r="AN17" s="188">
        <f>AF17+AC17+Z17+W17+T17+Q17+N17+K17+H17+AI17+AL17</f>
        <v>45986.606387606102</v>
      </c>
    </row>
    <row r="18" spans="2:41" s="37" customFormat="1" ht="31.5" customHeight="1">
      <c r="B18" s="532" t="s">
        <v>12</v>
      </c>
      <c r="C18" s="532"/>
      <c r="D18" s="402"/>
      <c r="E18" s="402"/>
      <c r="F18" s="402"/>
      <c r="G18" s="65"/>
      <c r="H18" s="403">
        <f>SUM(H14:H17)</f>
        <v>0</v>
      </c>
      <c r="I18" s="403"/>
      <c r="J18" s="331"/>
      <c r="K18" s="403">
        <f>SUM(K14:K17)</f>
        <v>34233.320073428578</v>
      </c>
      <c r="L18" s="403"/>
      <c r="M18" s="403"/>
      <c r="N18" s="403">
        <f>SUM(N14:N17)</f>
        <v>39646.244446774275</v>
      </c>
      <c r="O18" s="403"/>
      <c r="P18" s="403"/>
      <c r="Q18" s="403">
        <f>SUM(Q14:Q17)</f>
        <v>47357.867557469319</v>
      </c>
      <c r="R18" s="403"/>
      <c r="S18" s="403"/>
      <c r="T18" s="403">
        <f>SUM(T14:T17)</f>
        <v>52910.883597999025</v>
      </c>
      <c r="U18" s="403"/>
      <c r="V18" s="403"/>
      <c r="W18" s="403">
        <f>SUM(W14:W17)</f>
        <v>58223.324110853806</v>
      </c>
      <c r="X18" s="403"/>
      <c r="Y18" s="403"/>
      <c r="Z18" s="403">
        <f>SUM(Z14:Z17)</f>
        <v>64045.6565219392</v>
      </c>
      <c r="AA18" s="403"/>
      <c r="AB18" s="403"/>
      <c r="AC18" s="403">
        <f>SUM(AC14:AC17)</f>
        <v>70661.378364598524</v>
      </c>
      <c r="AD18" s="403"/>
      <c r="AE18" s="403"/>
      <c r="AF18" s="403">
        <f>SUM(AF14:AF17)</f>
        <v>21251.582285081622</v>
      </c>
      <c r="AG18" s="403"/>
      <c r="AH18" s="403"/>
      <c r="AI18" s="403">
        <f>SUM(AI14:AI17)</f>
        <v>7550.1659500359474</v>
      </c>
      <c r="AJ18" s="403"/>
      <c r="AK18" s="403"/>
      <c r="AL18" s="403">
        <f>SUM(AL14:AL17)</f>
        <v>7004.2008226772059</v>
      </c>
      <c r="AM18" s="403"/>
      <c r="AN18" s="403">
        <f>SUM(AN14:AN17)</f>
        <v>402884.62373085757</v>
      </c>
    </row>
    <row r="19" spans="2:41" ht="31.5" customHeight="1">
      <c r="B19" s="401" t="s">
        <v>16</v>
      </c>
      <c r="C19" s="57" t="s">
        <v>300</v>
      </c>
      <c r="D19" s="57"/>
      <c r="E19" s="57"/>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72"/>
      <c r="AN19" s="185"/>
    </row>
    <row r="20" spans="2:41" ht="31.5" customHeight="1">
      <c r="B20" s="59">
        <v>18</v>
      </c>
      <c r="C20" s="74" t="s">
        <v>407</v>
      </c>
      <c r="D20" s="74" t="s">
        <v>103</v>
      </c>
      <c r="E20" s="72">
        <v>150000</v>
      </c>
      <c r="F20" s="398"/>
      <c r="G20" s="62">
        <f>E20*1.1</f>
        <v>165000</v>
      </c>
      <c r="H20" s="70">
        <f t="shared" ref="H20:H21" si="44">F20*G20/100000</f>
        <v>0</v>
      </c>
      <c r="I20" s="398"/>
      <c r="J20" s="62">
        <f t="shared" ref="J20:J21" si="45">E20*1.1*1.1</f>
        <v>181500.00000000003</v>
      </c>
      <c r="K20" s="70">
        <f t="shared" ref="K20" si="46">I20*J20/100000</f>
        <v>0</v>
      </c>
      <c r="L20" s="398"/>
      <c r="M20" s="62">
        <f t="shared" ref="M20:M21" si="47">J20*1.1</f>
        <v>199650.00000000006</v>
      </c>
      <c r="N20" s="70">
        <f t="shared" ref="N20:N21" si="48">L20*M20/100000</f>
        <v>0</v>
      </c>
      <c r="O20" s="398"/>
      <c r="P20" s="62">
        <f t="shared" ref="P20:P21" si="49">M20*1.1</f>
        <v>219615.00000000009</v>
      </c>
      <c r="Q20" s="70">
        <f t="shared" ref="Q20:Q21" si="50">O20*P20/100000</f>
        <v>0</v>
      </c>
      <c r="R20" s="398"/>
      <c r="S20" s="62">
        <f t="shared" ref="S20:S21" si="51">P20*1.1</f>
        <v>241576.50000000012</v>
      </c>
      <c r="T20" s="70">
        <f t="shared" ref="T20:T21" si="52">R20*S20/100000</f>
        <v>0</v>
      </c>
      <c r="U20" s="59"/>
      <c r="V20" s="59"/>
      <c r="W20" s="76"/>
      <c r="X20" s="77"/>
      <c r="Y20" s="77"/>
      <c r="Z20" s="76"/>
      <c r="AA20" s="76"/>
      <c r="AB20" s="76"/>
      <c r="AC20" s="76"/>
      <c r="AD20" s="424"/>
      <c r="AE20" s="424"/>
      <c r="AF20" s="76"/>
      <c r="AG20" s="424"/>
      <c r="AH20" s="424"/>
      <c r="AI20" s="76"/>
      <c r="AJ20" s="424"/>
      <c r="AK20" s="424"/>
      <c r="AL20" s="76"/>
      <c r="AM20" s="186">
        <f>AD20+AA20+X20+U20+R20+O20+L20+I20+F20+AG20+AJ20</f>
        <v>0</v>
      </c>
      <c r="AN20" s="188">
        <f>AF20+AC20+Z20+W20+T20+Q20+N20+K20+H20+AI20+AL20</f>
        <v>0</v>
      </c>
    </row>
    <row r="21" spans="2:41" s="36" customFormat="1" ht="31.5" customHeight="1">
      <c r="B21" s="59">
        <v>23</v>
      </c>
      <c r="C21" s="78" t="s">
        <v>199</v>
      </c>
      <c r="D21" s="78" t="s">
        <v>120</v>
      </c>
      <c r="E21" s="78">
        <v>210</v>
      </c>
      <c r="F21" s="183"/>
      <c r="G21" s="62">
        <f>E21*1.1</f>
        <v>231.00000000000003</v>
      </c>
      <c r="H21" s="70">
        <f t="shared" si="44"/>
        <v>0</v>
      </c>
      <c r="I21" s="183">
        <f>I14*$D$26</f>
        <v>2413875</v>
      </c>
      <c r="J21" s="62">
        <f t="shared" si="45"/>
        <v>254.10000000000005</v>
      </c>
      <c r="K21" s="345">
        <f>I21*J21/100000</f>
        <v>6133.6563750000014</v>
      </c>
      <c r="L21" s="183">
        <f>L14*$D$26</f>
        <v>2423750</v>
      </c>
      <c r="M21" s="184">
        <f t="shared" si="47"/>
        <v>279.5100000000001</v>
      </c>
      <c r="N21" s="320">
        <f t="shared" si="48"/>
        <v>6774.623625000002</v>
      </c>
      <c r="O21" s="183">
        <f>O14*$D$26</f>
        <v>2423750</v>
      </c>
      <c r="P21" s="184">
        <f t="shared" si="49"/>
        <v>307.46100000000013</v>
      </c>
      <c r="Q21" s="320">
        <f t="shared" si="50"/>
        <v>7452.0859875000033</v>
      </c>
      <c r="R21" s="183">
        <f>R14*$D$26</f>
        <v>2423750</v>
      </c>
      <c r="S21" s="62">
        <f t="shared" si="51"/>
        <v>338.20710000000014</v>
      </c>
      <c r="T21" s="320">
        <f t="shared" si="52"/>
        <v>8197.2945862500037</v>
      </c>
      <c r="U21" s="183">
        <f>U14*$D$26</f>
        <v>2423750</v>
      </c>
      <c r="V21" s="79">
        <f>S21*1.1</f>
        <v>372.02781000000016</v>
      </c>
      <c r="W21" s="320">
        <f t="shared" ref="W21" si="53">U21*V21/100000</f>
        <v>9017.0240448750046</v>
      </c>
      <c r="X21" s="183">
        <f>X14*$D$26</f>
        <v>2423750</v>
      </c>
      <c r="Y21" s="79">
        <f t="shared" ref="Y21" si="54">V21*1.1</f>
        <v>409.23059100000023</v>
      </c>
      <c r="Z21" s="320">
        <f t="shared" ref="Z21" si="55">X21*Y21/100000</f>
        <v>9918.7264493625062</v>
      </c>
      <c r="AA21" s="183">
        <f>AA14*$D$26</f>
        <v>2433750</v>
      </c>
      <c r="AB21" s="79">
        <f t="shared" ref="AB21" si="56">Y21*1.1</f>
        <v>450.15365010000028</v>
      </c>
      <c r="AC21" s="320">
        <f t="shared" ref="AC21" si="57">AA21*AB21/100000</f>
        <v>10955.614459308757</v>
      </c>
      <c r="AD21" s="79"/>
      <c r="AE21" s="79"/>
      <c r="AF21" s="82"/>
      <c r="AG21" s="79"/>
      <c r="AH21" s="79"/>
      <c r="AI21" s="82"/>
      <c r="AJ21" s="79"/>
      <c r="AK21" s="79"/>
      <c r="AL21" s="82"/>
      <c r="AM21" s="186">
        <f>AD21+AA21+X21+U21+R21+O21+L21+I21+F21+AG21+AJ21</f>
        <v>16966375</v>
      </c>
      <c r="AN21" s="188">
        <f>AF21+AC21+Z21+W21+T21+Q21+N21+K21+H21+AI21+AL21</f>
        <v>58449.025527296275</v>
      </c>
    </row>
    <row r="22" spans="2:41" s="37" customFormat="1" ht="31.5" customHeight="1">
      <c r="B22" s="83"/>
      <c r="C22" s="402" t="s">
        <v>17</v>
      </c>
      <c r="D22" s="84"/>
      <c r="E22" s="84"/>
      <c r="F22" s="85"/>
      <c r="G22" s="85"/>
      <c r="H22" s="322">
        <f>SUM(H20:H21)</f>
        <v>0</v>
      </c>
      <c r="I22" s="323"/>
      <c r="J22" s="323"/>
      <c r="K22" s="322">
        <f>SUM(K20:K21)</f>
        <v>6133.6563750000014</v>
      </c>
      <c r="L22" s="323"/>
      <c r="M22" s="323"/>
      <c r="N22" s="322">
        <f>SUM(N20:N21)</f>
        <v>6774.623625000002</v>
      </c>
      <c r="O22" s="323"/>
      <c r="P22" s="323"/>
      <c r="Q22" s="322">
        <f>SUM(Q20:Q21)</f>
        <v>7452.0859875000033</v>
      </c>
      <c r="R22" s="323"/>
      <c r="S22" s="323"/>
      <c r="T22" s="322">
        <f>SUM(T20:T21)</f>
        <v>8197.2945862500037</v>
      </c>
      <c r="U22" s="323"/>
      <c r="V22" s="323"/>
      <c r="W22" s="322">
        <f>SUM(W20:W21)</f>
        <v>9017.0240448750046</v>
      </c>
      <c r="X22" s="323"/>
      <c r="Y22" s="323"/>
      <c r="Z22" s="322">
        <f>SUM(Z20:Z21)</f>
        <v>9918.7264493625062</v>
      </c>
      <c r="AA22" s="323"/>
      <c r="AB22" s="323"/>
      <c r="AC22" s="322">
        <f>SUM(AC20:AC21)</f>
        <v>10955.614459308757</v>
      </c>
      <c r="AD22" s="323"/>
      <c r="AE22" s="323"/>
      <c r="AF22" s="322">
        <f>SUM(AF20:AF21)</f>
        <v>0</v>
      </c>
      <c r="AG22" s="323"/>
      <c r="AH22" s="323"/>
      <c r="AI22" s="322">
        <f>SUM(AI20:AI21)</f>
        <v>0</v>
      </c>
      <c r="AJ22" s="323"/>
      <c r="AK22" s="323"/>
      <c r="AL22" s="322">
        <f>SUM(AL20:AL21)</f>
        <v>0</v>
      </c>
      <c r="AM22" s="322"/>
      <c r="AN22" s="322">
        <f>SUM(AN19:AN21)</f>
        <v>58449.025527296275</v>
      </c>
    </row>
    <row r="23" spans="2:41" s="45" customFormat="1" ht="31.5" customHeight="1">
      <c r="B23" s="68" t="s">
        <v>125</v>
      </c>
      <c r="C23" s="87" t="s">
        <v>104</v>
      </c>
      <c r="D23" s="88"/>
      <c r="E23" s="88"/>
      <c r="F23" s="88"/>
      <c r="G23" s="88"/>
      <c r="H23" s="324">
        <f>(H18+H22+H12)*0.1</f>
        <v>0</v>
      </c>
      <c r="I23" s="325"/>
      <c r="J23" s="325"/>
      <c r="K23" s="324">
        <f>(K18+K22+K12)*0.1</f>
        <v>4089.1070826928576</v>
      </c>
      <c r="L23" s="325"/>
      <c r="M23" s="325"/>
      <c r="N23" s="324">
        <f>(N18+N22+N12)*0.1</f>
        <v>4739.140225947428</v>
      </c>
      <c r="O23" s="325"/>
      <c r="P23" s="325"/>
      <c r="Q23" s="324">
        <f>(Q18+Q22+Q12)*0.1</f>
        <v>5599.1901270389326</v>
      </c>
      <c r="R23" s="325"/>
      <c r="S23" s="325"/>
      <c r="T23" s="324">
        <f>(T18+T22+T12)*0.1</f>
        <v>6241.9522665041532</v>
      </c>
      <c r="U23" s="326"/>
      <c r="V23" s="326"/>
      <c r="W23" s="324">
        <f>(W18+W22+W12)*0.1</f>
        <v>6868.3072002908802</v>
      </c>
      <c r="X23" s="327"/>
      <c r="Y23" s="327"/>
      <c r="Z23" s="324">
        <f>(Z18+Z22+Z12)*0.1</f>
        <v>7555.1379203199704</v>
      </c>
      <c r="AA23" s="327"/>
      <c r="AB23" s="327"/>
      <c r="AC23" s="324">
        <f>(AC18+AC22+AC12)*0.1</f>
        <v>8336.3949109215373</v>
      </c>
      <c r="AD23" s="425"/>
      <c r="AE23" s="425"/>
      <c r="AF23" s="324">
        <f>(AF18+AF22+AF12)*0.1</f>
        <v>2279.102974179094</v>
      </c>
      <c r="AG23" s="425"/>
      <c r="AH23" s="425"/>
      <c r="AI23" s="324">
        <f>(AI18+AI22+AI12)*0.1</f>
        <v>825.68051458655918</v>
      </c>
      <c r="AJ23" s="425"/>
      <c r="AK23" s="425"/>
      <c r="AL23" s="324">
        <f>(AL18+AL22+AL12)*0.1</f>
        <v>700.42008226772066</v>
      </c>
      <c r="AM23" s="188"/>
      <c r="AN23" s="324">
        <f>(AN18+AN22+AN12)*0.1</f>
        <v>47234.433304749138</v>
      </c>
    </row>
    <row r="24" spans="2:41" s="44" customFormat="1" ht="31.5" customHeight="1">
      <c r="B24" s="86"/>
      <c r="C24" s="402" t="s">
        <v>476</v>
      </c>
      <c r="D24" s="402"/>
      <c r="E24" s="402"/>
      <c r="F24" s="89"/>
      <c r="G24" s="89"/>
      <c r="H24" s="328">
        <f>H23+H22+H18+H12</f>
        <v>0</v>
      </c>
      <c r="I24" s="329"/>
      <c r="J24" s="329"/>
      <c r="K24" s="328">
        <f>K23+K22+K18+K12</f>
        <v>44980.177909621438</v>
      </c>
      <c r="L24" s="329"/>
      <c r="M24" s="329"/>
      <c r="N24" s="328">
        <f>N23+N22+N18+N12</f>
        <v>52130.542485421713</v>
      </c>
      <c r="O24" s="329"/>
      <c r="P24" s="329"/>
      <c r="Q24" s="328">
        <f>Q23+Q22+Q18+Q12</f>
        <v>61591.091397428259</v>
      </c>
      <c r="R24" s="329"/>
      <c r="S24" s="329"/>
      <c r="T24" s="328">
        <f>T23+T22+T18+T12</f>
        <v>68661.474931545672</v>
      </c>
      <c r="U24" s="329"/>
      <c r="V24" s="329"/>
      <c r="W24" s="328">
        <f>W23+W22+W18+W12</f>
        <v>75551.379203199685</v>
      </c>
      <c r="X24" s="329"/>
      <c r="Y24" s="329"/>
      <c r="Z24" s="328">
        <f>Z23+Z22+Z18+Z12</f>
        <v>83106.517123519676</v>
      </c>
      <c r="AA24" s="329"/>
      <c r="AB24" s="329"/>
      <c r="AC24" s="328">
        <f>AC23+AC22+AC18+AC12</f>
        <v>91700.344020136909</v>
      </c>
      <c r="AD24" s="329"/>
      <c r="AE24" s="329"/>
      <c r="AF24" s="328">
        <f>AF23+AF22+AF18+AF12</f>
        <v>25070.132715970034</v>
      </c>
      <c r="AG24" s="329"/>
      <c r="AH24" s="329"/>
      <c r="AI24" s="328">
        <f>AI23+AI22+AI18+AI12</f>
        <v>9082.4856604521519</v>
      </c>
      <c r="AJ24" s="329"/>
      <c r="AK24" s="329"/>
      <c r="AL24" s="328">
        <f>AL23+AL22+AL18+AL12</f>
        <v>7704.6209049449262</v>
      </c>
      <c r="AM24" s="322"/>
      <c r="AN24" s="328">
        <f>AN23+AN22+AN18+AN12</f>
        <v>519578.76635224046</v>
      </c>
      <c r="AO24" s="44">
        <f>AN24/AM14</f>
        <v>0.68486830819310551</v>
      </c>
    </row>
    <row r="25" spans="2:41">
      <c r="N25" s="38"/>
      <c r="AM25" s="39"/>
      <c r="AN25" s="40"/>
    </row>
    <row r="26" spans="2:41" ht="15">
      <c r="C26" s="32" t="s">
        <v>477</v>
      </c>
      <c r="D26" s="32">
        <v>25</v>
      </c>
      <c r="AM26" s="283"/>
      <c r="AN26" s="426" t="e">
        <f>#REF!*0.25</f>
        <v>#REF!</v>
      </c>
    </row>
    <row r="27" spans="2:41" ht="15">
      <c r="C27" s="32" t="s">
        <v>478</v>
      </c>
      <c r="H27" s="399">
        <f>H24/100</f>
        <v>0</v>
      </c>
      <c r="K27" s="399">
        <f>K24/100</f>
        <v>449.80177909621437</v>
      </c>
      <c r="N27" s="399">
        <f>N24/100</f>
        <v>521.30542485421711</v>
      </c>
      <c r="Q27" s="399">
        <f>Q24/100</f>
        <v>615.91091397428261</v>
      </c>
      <c r="T27" s="399">
        <f>T24/100</f>
        <v>686.61474931545672</v>
      </c>
      <c r="W27" s="399">
        <f>W24/100</f>
        <v>755.5137920319969</v>
      </c>
      <c r="Z27" s="399">
        <f>Z24/100</f>
        <v>831.06517123519677</v>
      </c>
      <c r="AC27" s="399">
        <f>AC24/100</f>
        <v>917.00344020136913</v>
      </c>
      <c r="AF27" s="399">
        <f>AF24/100</f>
        <v>250.70132715970033</v>
      </c>
      <c r="AI27" s="399">
        <f>AI24/100</f>
        <v>90.824856604521514</v>
      </c>
      <c r="AL27" s="399">
        <f>AL24/100</f>
        <v>77.04620904944926</v>
      </c>
      <c r="AM27" s="283"/>
      <c r="AN27" s="399">
        <f>AN24/100</f>
        <v>5195.7876635224047</v>
      </c>
    </row>
    <row r="28" spans="2:41">
      <c r="AN28" s="42"/>
    </row>
    <row r="29" spans="2:41" ht="12.75">
      <c r="AM29" s="43"/>
      <c r="AN29" s="43"/>
    </row>
    <row r="30" spans="2:41" ht="12.75">
      <c r="AM30" s="43"/>
      <c r="AN30" s="43"/>
    </row>
    <row r="32" spans="2:41">
      <c r="M32" s="38"/>
      <c r="AN32" s="42"/>
    </row>
    <row r="41" spans="40:40">
      <c r="AN41" s="42"/>
    </row>
  </sheetData>
  <mergeCells count="19">
    <mergeCell ref="B18:C18"/>
    <mergeCell ref="AJ3:AL3"/>
    <mergeCell ref="AG3:AI3"/>
    <mergeCell ref="U3:W3"/>
    <mergeCell ref="X3:Z3"/>
    <mergeCell ref="AA3:AC3"/>
    <mergeCell ref="AD3:AF3"/>
    <mergeCell ref="AM3:AN3"/>
    <mergeCell ref="B12:C12"/>
    <mergeCell ref="B1:AN1"/>
    <mergeCell ref="B3:B4"/>
    <mergeCell ref="C3:C4"/>
    <mergeCell ref="D3:D4"/>
    <mergeCell ref="E3:E4"/>
    <mergeCell ref="F3:H3"/>
    <mergeCell ref="I3:K3"/>
    <mergeCell ref="L3:N3"/>
    <mergeCell ref="O3:Q3"/>
    <mergeCell ref="R3:T3"/>
  </mergeCells>
  <printOptions horizontalCentered="1"/>
  <pageMargins left="0.5" right="0.5" top="0.5" bottom="0.5" header="0.5" footer="0.5"/>
  <pageSetup paperSize="5" scale="38" fitToHeight="4"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pageSetUpPr fitToPage="1"/>
  </sheetPr>
  <dimension ref="B1:AP41"/>
  <sheetViews>
    <sheetView view="pageBreakPreview" topLeftCell="A7" zoomScale="80" zoomScaleSheetLayoutView="80" workbookViewId="0">
      <selection activeCell="AD2" sqref="AD1:AL1048576"/>
    </sheetView>
  </sheetViews>
  <sheetFormatPr defaultRowHeight="14.25"/>
  <cols>
    <col min="1" max="1" width="3.85546875" style="32" customWidth="1"/>
    <col min="2" max="2" width="4.42578125" style="32" customWidth="1"/>
    <col min="3" max="3" width="32.5703125" style="32" customWidth="1"/>
    <col min="4" max="4" width="6.5703125" style="32" customWidth="1"/>
    <col min="5" max="5" width="10.42578125" style="32" customWidth="1"/>
    <col min="6" max="6" width="9.85546875" style="32" bestFit="1" customWidth="1"/>
    <col min="7" max="7" width="10" style="32" customWidth="1"/>
    <col min="8" max="8" width="10.85546875" style="32" bestFit="1" customWidth="1"/>
    <col min="9" max="9" width="9.85546875" style="32" bestFit="1" customWidth="1"/>
    <col min="10" max="10" width="10" style="32" customWidth="1"/>
    <col min="11" max="11" width="11.42578125" style="32" bestFit="1" customWidth="1"/>
    <col min="12" max="12" width="9.85546875" style="32" bestFit="1" customWidth="1"/>
    <col min="13" max="13" width="11.28515625" style="32" customWidth="1"/>
    <col min="14" max="14" width="13" style="32" customWidth="1"/>
    <col min="15" max="15" width="9.85546875" style="32" bestFit="1" customWidth="1"/>
    <col min="16" max="16" width="10.42578125" style="32" customWidth="1"/>
    <col min="17" max="17" width="13.5703125" style="32" bestFit="1" customWidth="1"/>
    <col min="18" max="18" width="9.85546875" style="32" bestFit="1" customWidth="1"/>
    <col min="19" max="19" width="10.7109375" style="32" bestFit="1" customWidth="1"/>
    <col min="20" max="20" width="12.42578125" style="32" bestFit="1" customWidth="1"/>
    <col min="21" max="21" width="9.85546875" style="32" bestFit="1" customWidth="1"/>
    <col min="22" max="22" width="9.5703125" style="32" bestFit="1" customWidth="1"/>
    <col min="23" max="23" width="12.42578125" style="32" bestFit="1" customWidth="1"/>
    <col min="24" max="24" width="9.85546875" style="32" bestFit="1" customWidth="1"/>
    <col min="25" max="25" width="9.5703125" style="32" bestFit="1" customWidth="1"/>
    <col min="26" max="26" width="12.42578125" style="32" bestFit="1" customWidth="1"/>
    <col min="27" max="27" width="6.7109375" style="32" bestFit="1" customWidth="1"/>
    <col min="28" max="28" width="9.5703125" style="32" bestFit="1" customWidth="1"/>
    <col min="29" max="29" width="12.42578125" style="32" bestFit="1" customWidth="1"/>
    <col min="30" max="30" width="6.7109375" style="32" bestFit="1" customWidth="1"/>
    <col min="31" max="31" width="9.5703125" style="32" bestFit="1" customWidth="1"/>
    <col min="32" max="32" width="12.42578125" style="32" bestFit="1" customWidth="1"/>
    <col min="33" max="33" width="6.7109375" style="32" bestFit="1" customWidth="1"/>
    <col min="34" max="34" width="9.5703125" style="32" bestFit="1" customWidth="1"/>
    <col min="35" max="35" width="12.42578125" style="32" bestFit="1" customWidth="1"/>
    <col min="36" max="36" width="6.7109375" style="32" bestFit="1" customWidth="1"/>
    <col min="37" max="37" width="9.5703125" style="32" bestFit="1" customWidth="1"/>
    <col min="38" max="38" width="12.42578125" style="32" bestFit="1" customWidth="1"/>
    <col min="39" max="39" width="10.85546875" style="41" bestFit="1" customWidth="1"/>
    <col min="40" max="40" width="13.42578125" style="41" customWidth="1"/>
    <col min="41" max="41" width="10.7109375" style="32" bestFit="1" customWidth="1"/>
    <col min="42" max="42" width="10.85546875" style="32" bestFit="1" customWidth="1"/>
    <col min="43" max="16384" width="9.140625" style="32"/>
  </cols>
  <sheetData>
    <row r="1" spans="2:42" ht="24" customHeight="1">
      <c r="B1" s="522" t="s">
        <v>309</v>
      </c>
      <c r="C1" s="522"/>
      <c r="D1" s="522"/>
      <c r="E1" s="522"/>
      <c r="F1" s="522"/>
      <c r="G1" s="522"/>
      <c r="H1" s="522"/>
      <c r="I1" s="522"/>
      <c r="J1" s="522"/>
      <c r="K1" s="522"/>
      <c r="L1" s="522"/>
      <c r="M1" s="522"/>
      <c r="N1" s="522"/>
      <c r="O1" s="522"/>
      <c r="P1" s="522"/>
      <c r="Q1" s="522"/>
      <c r="R1" s="522"/>
      <c r="S1" s="522"/>
      <c r="T1" s="522"/>
      <c r="U1" s="522"/>
      <c r="V1" s="522"/>
      <c r="W1" s="522"/>
      <c r="X1" s="522"/>
      <c r="Y1" s="522"/>
      <c r="Z1" s="522"/>
      <c r="AA1" s="522"/>
      <c r="AB1" s="522"/>
      <c r="AC1" s="522"/>
      <c r="AD1" s="522"/>
      <c r="AE1" s="522"/>
      <c r="AF1" s="522"/>
      <c r="AG1" s="522"/>
      <c r="AH1" s="522"/>
      <c r="AI1" s="522"/>
      <c r="AJ1" s="522"/>
      <c r="AK1" s="522"/>
      <c r="AL1" s="522"/>
      <c r="AM1" s="522"/>
      <c r="AN1" s="522"/>
    </row>
    <row r="2" spans="2:42" ht="12.75">
      <c r="B2" s="33"/>
      <c r="C2" s="33"/>
      <c r="D2" s="34"/>
      <c r="E2" s="34"/>
      <c r="F2" s="33">
        <v>1111</v>
      </c>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2:42" s="35" customFormat="1" ht="24.75" customHeight="1">
      <c r="B3" s="523" t="s">
        <v>0</v>
      </c>
      <c r="C3" s="523" t="s">
        <v>1</v>
      </c>
      <c r="D3" s="524" t="s">
        <v>10</v>
      </c>
      <c r="E3" s="524" t="s">
        <v>145</v>
      </c>
      <c r="F3" s="526" t="s">
        <v>308</v>
      </c>
      <c r="G3" s="527"/>
      <c r="H3" s="528"/>
      <c r="I3" s="526" t="s">
        <v>2</v>
      </c>
      <c r="J3" s="527"/>
      <c r="K3" s="528"/>
      <c r="L3" s="526" t="s">
        <v>3</v>
      </c>
      <c r="M3" s="527"/>
      <c r="N3" s="528"/>
      <c r="O3" s="526" t="s">
        <v>4</v>
      </c>
      <c r="P3" s="527"/>
      <c r="Q3" s="528"/>
      <c r="R3" s="526" t="s">
        <v>5</v>
      </c>
      <c r="S3" s="527"/>
      <c r="T3" s="528"/>
      <c r="U3" s="526" t="s">
        <v>6</v>
      </c>
      <c r="V3" s="527"/>
      <c r="W3" s="528"/>
      <c r="X3" s="526" t="s">
        <v>7</v>
      </c>
      <c r="Y3" s="527"/>
      <c r="Z3" s="528"/>
      <c r="AA3" s="526" t="s">
        <v>8</v>
      </c>
      <c r="AB3" s="527"/>
      <c r="AC3" s="528"/>
      <c r="AD3" s="526" t="s">
        <v>491</v>
      </c>
      <c r="AE3" s="527"/>
      <c r="AF3" s="528"/>
      <c r="AG3" s="526" t="s">
        <v>489</v>
      </c>
      <c r="AH3" s="527"/>
      <c r="AI3" s="528"/>
      <c r="AJ3" s="526" t="s">
        <v>490</v>
      </c>
      <c r="AK3" s="527"/>
      <c r="AL3" s="528"/>
      <c r="AM3" s="547" t="s">
        <v>9</v>
      </c>
      <c r="AN3" s="547"/>
    </row>
    <row r="4" spans="2:42" s="35" customFormat="1" ht="38.25" customHeight="1">
      <c r="B4" s="523"/>
      <c r="C4" s="523"/>
      <c r="D4" s="525"/>
      <c r="E4" s="525"/>
      <c r="F4" s="434" t="s">
        <v>10</v>
      </c>
      <c r="G4" s="434" t="s">
        <v>99</v>
      </c>
      <c r="H4" s="434" t="s">
        <v>100</v>
      </c>
      <c r="I4" s="434" t="s">
        <v>10</v>
      </c>
      <c r="J4" s="434" t="s">
        <v>99</v>
      </c>
      <c r="K4" s="434" t="s">
        <v>100</v>
      </c>
      <c r="L4" s="434" t="s">
        <v>10</v>
      </c>
      <c r="M4" s="434" t="s">
        <v>99</v>
      </c>
      <c r="N4" s="434" t="s">
        <v>100</v>
      </c>
      <c r="O4" s="434" t="s">
        <v>10</v>
      </c>
      <c r="P4" s="434" t="s">
        <v>99</v>
      </c>
      <c r="Q4" s="434" t="s">
        <v>100</v>
      </c>
      <c r="R4" s="434" t="s">
        <v>10</v>
      </c>
      <c r="S4" s="434" t="s">
        <v>99</v>
      </c>
      <c r="T4" s="434" t="s">
        <v>100</v>
      </c>
      <c r="U4" s="434" t="s">
        <v>10</v>
      </c>
      <c r="V4" s="434" t="s">
        <v>99</v>
      </c>
      <c r="W4" s="434" t="s">
        <v>100</v>
      </c>
      <c r="X4" s="434" t="s">
        <v>10</v>
      </c>
      <c r="Y4" s="434" t="s">
        <v>99</v>
      </c>
      <c r="Z4" s="434" t="s">
        <v>100</v>
      </c>
      <c r="AA4" s="434" t="s">
        <v>10</v>
      </c>
      <c r="AB4" s="434" t="s">
        <v>99</v>
      </c>
      <c r="AC4" s="434" t="s">
        <v>100</v>
      </c>
      <c r="AD4" s="437" t="s">
        <v>10</v>
      </c>
      <c r="AE4" s="437" t="s">
        <v>99</v>
      </c>
      <c r="AF4" s="437" t="s">
        <v>100</v>
      </c>
      <c r="AG4" s="437" t="s">
        <v>10</v>
      </c>
      <c r="AH4" s="437" t="s">
        <v>99</v>
      </c>
      <c r="AI4" s="437" t="s">
        <v>100</v>
      </c>
      <c r="AJ4" s="437" t="s">
        <v>10</v>
      </c>
      <c r="AK4" s="437" t="s">
        <v>99</v>
      </c>
      <c r="AL4" s="437" t="s">
        <v>100</v>
      </c>
      <c r="AM4" s="435" t="s">
        <v>10</v>
      </c>
      <c r="AN4" s="434" t="s">
        <v>100</v>
      </c>
    </row>
    <row r="5" spans="2:42" s="35" customFormat="1" ht="18" customHeight="1">
      <c r="B5" s="434">
        <v>1</v>
      </c>
      <c r="C5" s="434">
        <v>2</v>
      </c>
      <c r="D5" s="434">
        <v>3</v>
      </c>
      <c r="E5" s="434">
        <v>4</v>
      </c>
      <c r="F5" s="434">
        <v>5</v>
      </c>
      <c r="G5" s="434">
        <v>6</v>
      </c>
      <c r="H5" s="434">
        <v>7</v>
      </c>
      <c r="I5" s="434">
        <v>5</v>
      </c>
      <c r="J5" s="434">
        <v>6</v>
      </c>
      <c r="K5" s="434">
        <v>7</v>
      </c>
      <c r="L5" s="434">
        <v>8</v>
      </c>
      <c r="M5" s="434">
        <v>9</v>
      </c>
      <c r="N5" s="434">
        <v>10</v>
      </c>
      <c r="O5" s="434">
        <v>11</v>
      </c>
      <c r="P5" s="434">
        <v>12</v>
      </c>
      <c r="Q5" s="434">
        <v>13</v>
      </c>
      <c r="R5" s="434">
        <v>14</v>
      </c>
      <c r="S5" s="434">
        <v>15</v>
      </c>
      <c r="T5" s="434">
        <v>16</v>
      </c>
      <c r="U5" s="434">
        <v>17</v>
      </c>
      <c r="V5" s="434">
        <v>18</v>
      </c>
      <c r="W5" s="434">
        <v>19</v>
      </c>
      <c r="X5" s="434">
        <v>20</v>
      </c>
      <c r="Y5" s="434">
        <v>21</v>
      </c>
      <c r="Z5" s="434">
        <v>22</v>
      </c>
      <c r="AA5" s="434">
        <v>23</v>
      </c>
      <c r="AB5" s="434">
        <v>24</v>
      </c>
      <c r="AC5" s="434">
        <v>25</v>
      </c>
      <c r="AD5" s="437">
        <v>26</v>
      </c>
      <c r="AE5" s="437">
        <v>27</v>
      </c>
      <c r="AF5" s="437">
        <v>28</v>
      </c>
      <c r="AG5" s="437">
        <v>29</v>
      </c>
      <c r="AH5" s="437">
        <v>30</v>
      </c>
      <c r="AI5" s="437">
        <v>31</v>
      </c>
      <c r="AJ5" s="437">
        <v>32</v>
      </c>
      <c r="AK5" s="437">
        <v>33</v>
      </c>
      <c r="AL5" s="437">
        <v>34</v>
      </c>
      <c r="AM5" s="437">
        <v>35</v>
      </c>
      <c r="AN5" s="437">
        <v>36</v>
      </c>
    </row>
    <row r="6" spans="2:42" ht="31.5" customHeight="1">
      <c r="B6" s="435" t="s">
        <v>11</v>
      </c>
      <c r="C6" s="57" t="s">
        <v>63</v>
      </c>
      <c r="D6" s="57"/>
      <c r="E6" s="57"/>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435"/>
      <c r="AN6" s="435"/>
    </row>
    <row r="7" spans="2:42" ht="31.5" customHeight="1">
      <c r="B7" s="59">
        <v>1</v>
      </c>
      <c r="C7" s="60" t="s">
        <v>148</v>
      </c>
      <c r="D7" s="60" t="s">
        <v>98</v>
      </c>
      <c r="E7" s="75">
        <f>Primary!H20</f>
        <v>0.38566</v>
      </c>
      <c r="F7" s="341">
        <f>F14*1.4*F2</f>
        <v>4355119.9999999991</v>
      </c>
      <c r="G7" s="70">
        <f>B7*1.1</f>
        <v>1.1000000000000001</v>
      </c>
      <c r="H7" s="70"/>
      <c r="I7" s="342">
        <f>(F14*0.2+I14*1.4)*F2</f>
        <v>13189792</v>
      </c>
      <c r="J7" s="70">
        <f>G7*1.1</f>
        <v>1.2100000000000002</v>
      </c>
      <c r="K7" s="70">
        <f>I7*J7/100000</f>
        <v>159.59648320000002</v>
      </c>
      <c r="L7" s="343">
        <f>(I14*0.2+L14*1.4)*F2</f>
        <v>14363008</v>
      </c>
      <c r="M7" s="70">
        <f>J7*1.1</f>
        <v>1.3310000000000004</v>
      </c>
      <c r="N7" s="70">
        <f>L7*M7/100000</f>
        <v>191.17163648000005</v>
      </c>
      <c r="O7" s="334">
        <f>(L14*0.2+O14*1.4)*F2</f>
        <v>14363008</v>
      </c>
      <c r="P7" s="320">
        <f t="shared" ref="P7:P11" si="0">M7*1.1</f>
        <v>1.4641000000000006</v>
      </c>
      <c r="Q7" s="70">
        <f t="shared" ref="Q7:Q10" si="1">O7*P7/100000</f>
        <v>210.28880012800008</v>
      </c>
      <c r="R7" s="332">
        <f>(O14*0.2+R14*1.4)*F2</f>
        <v>7954760</v>
      </c>
      <c r="S7" s="70">
        <f>P7*1.1</f>
        <v>1.6105100000000008</v>
      </c>
      <c r="T7" s="340">
        <f>R7*S7/100000</f>
        <v>128.11220527600005</v>
      </c>
      <c r="U7" s="62"/>
      <c r="V7" s="70">
        <f t="shared" ref="V7:V11" si="2">S7*1.1</f>
        <v>1.7715610000000011</v>
      </c>
      <c r="W7" s="340"/>
      <c r="X7" s="62"/>
      <c r="Y7" s="70">
        <f t="shared" ref="Y7:Y11" si="3">V7*1.1</f>
        <v>1.9487171000000014</v>
      </c>
      <c r="Z7" s="340"/>
      <c r="AA7" s="72"/>
      <c r="AB7" s="72"/>
      <c r="AC7" s="72"/>
      <c r="AD7" s="72"/>
      <c r="AE7" s="72"/>
      <c r="AF7" s="72"/>
      <c r="AG7" s="72"/>
      <c r="AH7" s="72"/>
      <c r="AI7" s="72"/>
      <c r="AJ7" s="72"/>
      <c r="AK7" s="72"/>
      <c r="AL7" s="72"/>
      <c r="AM7" s="186">
        <f>AA7+X7+U7+R7+O7+L7+I7+F7</f>
        <v>54225688</v>
      </c>
      <c r="AN7" s="188">
        <f>AC7+Z7+W7+T7+Q7+N7+K7+H7</f>
        <v>689.16912508400014</v>
      </c>
    </row>
    <row r="8" spans="2:42" ht="31.5" customHeight="1">
      <c r="B8" s="59">
        <v>2</v>
      </c>
      <c r="C8" s="60" t="s">
        <v>177</v>
      </c>
      <c r="D8" s="60" t="s">
        <v>98</v>
      </c>
      <c r="E8" s="75">
        <f>R_4x7!J32</f>
        <v>3.8060435294117649</v>
      </c>
      <c r="F8" s="341">
        <f>$F$7</f>
        <v>4355119.9999999991</v>
      </c>
      <c r="G8" s="70">
        <f t="shared" ref="G8:G11" si="4">B8*1.1</f>
        <v>2.2000000000000002</v>
      </c>
      <c r="H8" s="70"/>
      <c r="I8" s="333">
        <f>$I$7</f>
        <v>13189792</v>
      </c>
      <c r="J8" s="70">
        <f>G8*1.1</f>
        <v>2.4200000000000004</v>
      </c>
      <c r="K8" s="70">
        <f>I8*J8/100000</f>
        <v>319.19296640000005</v>
      </c>
      <c r="L8" s="343">
        <f>$L$7</f>
        <v>14363008</v>
      </c>
      <c r="M8" s="70">
        <f>J8*1.1</f>
        <v>2.6620000000000008</v>
      </c>
      <c r="N8" s="70">
        <f>L8*M8/100000</f>
        <v>382.34327296000009</v>
      </c>
      <c r="O8" s="334">
        <f>$O$7</f>
        <v>14363008</v>
      </c>
      <c r="P8" s="320">
        <f t="shared" si="0"/>
        <v>2.9282000000000012</v>
      </c>
      <c r="Q8" s="70">
        <f t="shared" si="1"/>
        <v>420.57760025600015</v>
      </c>
      <c r="R8" s="332">
        <f>$R$7</f>
        <v>7954760</v>
      </c>
      <c r="S8" s="70">
        <f t="shared" ref="S8:S11" si="5">P8*1.1</f>
        <v>3.2210200000000015</v>
      </c>
      <c r="T8" s="340">
        <f t="shared" ref="T8:T11" si="6">R8*S8/100000</f>
        <v>256.22441055200011</v>
      </c>
      <c r="U8" s="72"/>
      <c r="V8" s="70">
        <f t="shared" si="2"/>
        <v>3.5431220000000021</v>
      </c>
      <c r="W8" s="72"/>
      <c r="X8" s="72"/>
      <c r="Y8" s="70">
        <f t="shared" si="3"/>
        <v>3.8974342000000028</v>
      </c>
      <c r="Z8" s="72"/>
      <c r="AA8" s="72"/>
      <c r="AB8" s="72"/>
      <c r="AC8" s="72"/>
      <c r="AD8" s="72"/>
      <c r="AE8" s="72"/>
      <c r="AF8" s="72"/>
      <c r="AG8" s="72"/>
      <c r="AH8" s="72"/>
      <c r="AI8" s="72"/>
      <c r="AJ8" s="72"/>
      <c r="AK8" s="72"/>
      <c r="AL8" s="72"/>
      <c r="AM8" s="186">
        <f t="shared" ref="AM8:AM11" si="7">AA8+X8+U8+R8+O8+L8+I8+F8</f>
        <v>54225688</v>
      </c>
      <c r="AN8" s="188">
        <f t="shared" ref="AN8:AN11" si="8">AC8+Z8+W8+T8+Q8+N8+K8+H8</f>
        <v>1378.3382501680003</v>
      </c>
    </row>
    <row r="9" spans="2:42" ht="31.5" customHeight="1">
      <c r="B9" s="59">
        <v>3</v>
      </c>
      <c r="C9" s="60" t="s">
        <v>178</v>
      </c>
      <c r="D9" s="60" t="s">
        <v>98</v>
      </c>
      <c r="E9" s="75">
        <f>M_4x7!J13</f>
        <v>0.90393615384615378</v>
      </c>
      <c r="F9" s="62"/>
      <c r="G9" s="70">
        <f t="shared" si="4"/>
        <v>3.3000000000000003</v>
      </c>
      <c r="H9" s="70"/>
      <c r="I9" s="341">
        <f>$F$7</f>
        <v>4355119.9999999991</v>
      </c>
      <c r="J9" s="70">
        <f t="shared" ref="J9:J11" si="9">G9*1.1</f>
        <v>3.6300000000000008</v>
      </c>
      <c r="K9" s="70">
        <f t="shared" ref="K9:K10" si="10">I9*J9/100000</f>
        <v>158.090856</v>
      </c>
      <c r="L9" s="333">
        <f>$I$7</f>
        <v>13189792</v>
      </c>
      <c r="M9" s="70">
        <f t="shared" ref="M9:M11" si="11">J9*1.1</f>
        <v>3.9930000000000012</v>
      </c>
      <c r="N9" s="70">
        <f>L9*M9/100000</f>
        <v>526.66839456000014</v>
      </c>
      <c r="O9" s="343">
        <f t="shared" ref="O9:O10" si="12">$L$7</f>
        <v>14363008</v>
      </c>
      <c r="P9" s="320">
        <f t="shared" si="0"/>
        <v>4.3923000000000014</v>
      </c>
      <c r="Q9" s="70">
        <f t="shared" si="1"/>
        <v>630.86640038400026</v>
      </c>
      <c r="R9" s="334">
        <f t="shared" ref="R9:R10" si="13">$O$7</f>
        <v>14363008</v>
      </c>
      <c r="S9" s="70">
        <f t="shared" si="5"/>
        <v>4.8315300000000017</v>
      </c>
      <c r="T9" s="340">
        <f t="shared" si="6"/>
        <v>693.95304042240025</v>
      </c>
      <c r="U9" s="332">
        <f>$R$7</f>
        <v>7954760</v>
      </c>
      <c r="V9" s="70">
        <f t="shared" si="2"/>
        <v>5.3146830000000023</v>
      </c>
      <c r="W9" s="340">
        <f t="shared" ref="W9:W11" si="14">U9*V9/100000</f>
        <v>422.77027741080013</v>
      </c>
      <c r="X9" s="340"/>
      <c r="Y9" s="70">
        <f t="shared" si="3"/>
        <v>5.8461513000000034</v>
      </c>
      <c r="Z9" s="72"/>
      <c r="AA9" s="72"/>
      <c r="AB9" s="72"/>
      <c r="AC9" s="72"/>
      <c r="AD9" s="72"/>
      <c r="AE9" s="72"/>
      <c r="AF9" s="72"/>
      <c r="AG9" s="72"/>
      <c r="AH9" s="72"/>
      <c r="AI9" s="72"/>
      <c r="AJ9" s="72"/>
      <c r="AK9" s="72"/>
      <c r="AL9" s="72"/>
      <c r="AM9" s="186">
        <f t="shared" si="7"/>
        <v>54225688</v>
      </c>
      <c r="AN9" s="188">
        <f t="shared" si="8"/>
        <v>2432.3489687772008</v>
      </c>
    </row>
    <row r="10" spans="2:42" ht="31.5" customHeight="1">
      <c r="B10" s="59">
        <v>4</v>
      </c>
      <c r="C10" s="60" t="s">
        <v>179</v>
      </c>
      <c r="D10" s="60" t="s">
        <v>98</v>
      </c>
      <c r="E10" s="75">
        <f>Conversion!J27</f>
        <v>6.5721304090909092</v>
      </c>
      <c r="F10" s="62"/>
      <c r="G10" s="70">
        <f t="shared" si="4"/>
        <v>4.4000000000000004</v>
      </c>
      <c r="H10" s="70"/>
      <c r="I10" s="341">
        <f>$F$7</f>
        <v>4355119.9999999991</v>
      </c>
      <c r="J10" s="70">
        <f t="shared" si="9"/>
        <v>4.8400000000000007</v>
      </c>
      <c r="K10" s="70">
        <f t="shared" si="10"/>
        <v>210.78780799999998</v>
      </c>
      <c r="L10" s="333">
        <f>$I$7</f>
        <v>13189792</v>
      </c>
      <c r="M10" s="70">
        <f t="shared" si="11"/>
        <v>5.3240000000000016</v>
      </c>
      <c r="N10" s="70">
        <f>L10*M10/100000</f>
        <v>702.22452608000026</v>
      </c>
      <c r="O10" s="343">
        <f t="shared" si="12"/>
        <v>14363008</v>
      </c>
      <c r="P10" s="320">
        <f t="shared" si="0"/>
        <v>5.8564000000000025</v>
      </c>
      <c r="Q10" s="70">
        <f t="shared" si="1"/>
        <v>841.15520051200031</v>
      </c>
      <c r="R10" s="334">
        <f t="shared" si="13"/>
        <v>14363008</v>
      </c>
      <c r="S10" s="70">
        <f t="shared" si="5"/>
        <v>6.4420400000000031</v>
      </c>
      <c r="T10" s="340">
        <f t="shared" si="6"/>
        <v>925.27072056320037</v>
      </c>
      <c r="U10" s="332">
        <f>$R$7</f>
        <v>7954760</v>
      </c>
      <c r="V10" s="70">
        <f t="shared" si="2"/>
        <v>7.0862440000000042</v>
      </c>
      <c r="W10" s="340">
        <f t="shared" si="14"/>
        <v>563.69370321440033</v>
      </c>
      <c r="X10" s="340"/>
      <c r="Y10" s="70">
        <f t="shared" si="3"/>
        <v>7.7948684000000057</v>
      </c>
      <c r="Z10" s="72"/>
      <c r="AA10" s="72"/>
      <c r="AB10" s="72"/>
      <c r="AC10" s="72"/>
      <c r="AD10" s="72"/>
      <c r="AE10" s="72"/>
      <c r="AF10" s="72"/>
      <c r="AG10" s="72"/>
      <c r="AH10" s="72"/>
      <c r="AI10" s="72"/>
      <c r="AJ10" s="72"/>
      <c r="AK10" s="72"/>
      <c r="AL10" s="72"/>
      <c r="AM10" s="186">
        <f t="shared" si="7"/>
        <v>54225688</v>
      </c>
      <c r="AN10" s="188">
        <f t="shared" si="8"/>
        <v>3243.1319583696013</v>
      </c>
    </row>
    <row r="11" spans="2:42" ht="31.5" customHeight="1">
      <c r="B11" s="59">
        <v>5</v>
      </c>
      <c r="C11" s="60" t="s">
        <v>180</v>
      </c>
      <c r="D11" s="60" t="s">
        <v>98</v>
      </c>
      <c r="E11" s="75">
        <f>M_6x12!J20+'M_6x12 (2)'!J11</f>
        <v>3.6430051818181814</v>
      </c>
      <c r="F11" s="62"/>
      <c r="G11" s="70">
        <f t="shared" si="4"/>
        <v>5.5</v>
      </c>
      <c r="H11" s="70"/>
      <c r="I11" s="62"/>
      <c r="J11" s="70">
        <f t="shared" si="9"/>
        <v>6.0500000000000007</v>
      </c>
      <c r="K11" s="70"/>
      <c r="L11" s="341">
        <f>$F$7</f>
        <v>4355119.9999999991</v>
      </c>
      <c r="M11" s="320">
        <f t="shared" si="11"/>
        <v>6.6550000000000011</v>
      </c>
      <c r="N11" s="70">
        <f>L11*M11/100000</f>
        <v>289.833236</v>
      </c>
      <c r="O11" s="333">
        <f>$I$7</f>
        <v>13189792</v>
      </c>
      <c r="P11" s="320">
        <f t="shared" si="0"/>
        <v>7.3205000000000018</v>
      </c>
      <c r="Q11" s="70">
        <f>O11*P11/100000</f>
        <v>965.55872336000027</v>
      </c>
      <c r="R11" s="343">
        <f>$L$7</f>
        <v>14363008</v>
      </c>
      <c r="S11" s="70">
        <f t="shared" si="5"/>
        <v>8.0525500000000019</v>
      </c>
      <c r="T11" s="340">
        <f t="shared" si="6"/>
        <v>1156.5884007040004</v>
      </c>
      <c r="U11" s="334">
        <f>$O$7</f>
        <v>14363008</v>
      </c>
      <c r="V11" s="70">
        <f t="shared" si="2"/>
        <v>8.8578050000000026</v>
      </c>
      <c r="W11" s="340">
        <f t="shared" si="14"/>
        <v>1272.2472407744003</v>
      </c>
      <c r="X11" s="332">
        <f>$R$7</f>
        <v>7954760</v>
      </c>
      <c r="Y11" s="70">
        <f t="shared" si="3"/>
        <v>9.7435855000000036</v>
      </c>
      <c r="Z11" s="70">
        <f t="shared" ref="Z11" si="15">X11*Y11/100000</f>
        <v>775.07884191980031</v>
      </c>
      <c r="AA11" s="72"/>
      <c r="AB11" s="72"/>
      <c r="AC11" s="72"/>
      <c r="AD11" s="72"/>
      <c r="AE11" s="72"/>
      <c r="AF11" s="72"/>
      <c r="AG11" s="72"/>
      <c r="AH11" s="72"/>
      <c r="AI11" s="72"/>
      <c r="AJ11" s="72"/>
      <c r="AK11" s="72"/>
      <c r="AL11" s="72"/>
      <c r="AM11" s="186">
        <f t="shared" si="7"/>
        <v>54225688</v>
      </c>
      <c r="AN11" s="188">
        <f t="shared" si="8"/>
        <v>4459.3064427582012</v>
      </c>
    </row>
    <row r="12" spans="2:42" s="339" customFormat="1" ht="31.5" customHeight="1">
      <c r="B12" s="531" t="s">
        <v>12</v>
      </c>
      <c r="C12" s="531"/>
      <c r="D12" s="436"/>
      <c r="E12" s="436"/>
      <c r="F12" s="331"/>
      <c r="G12" s="331"/>
      <c r="H12" s="436">
        <f>SUM(H7:H11)</f>
        <v>0</v>
      </c>
      <c r="I12" s="331"/>
      <c r="J12" s="331"/>
      <c r="K12" s="436">
        <f>SUM(K7:K11)</f>
        <v>847.66811359999997</v>
      </c>
      <c r="L12" s="331"/>
      <c r="M12" s="331"/>
      <c r="N12" s="436">
        <f>SUM(N7:N11)</f>
        <v>2092.2410660800006</v>
      </c>
      <c r="O12" s="331"/>
      <c r="P12" s="331"/>
      <c r="Q12" s="436">
        <f>SUM(Q7:Q11)</f>
        <v>3068.4467246400013</v>
      </c>
      <c r="R12" s="331"/>
      <c r="S12" s="331"/>
      <c r="T12" s="436">
        <f>SUM(T7:T11)</f>
        <v>3160.148777517601</v>
      </c>
      <c r="U12" s="331"/>
      <c r="V12" s="331"/>
      <c r="W12" s="436">
        <f>SUM(W7:W11)</f>
        <v>2258.7112213996006</v>
      </c>
      <c r="X12" s="331"/>
      <c r="Y12" s="331"/>
      <c r="Z12" s="436">
        <f>SUM(Z7:Z11)</f>
        <v>775.07884191980031</v>
      </c>
      <c r="AA12" s="331"/>
      <c r="AB12" s="331"/>
      <c r="AC12" s="436">
        <f>SUM(AC7:AC11)</f>
        <v>0</v>
      </c>
      <c r="AD12" s="331"/>
      <c r="AE12" s="331"/>
      <c r="AF12" s="438">
        <f>SUM(AF7:AF11)</f>
        <v>0</v>
      </c>
      <c r="AG12" s="331"/>
      <c r="AH12" s="331"/>
      <c r="AI12" s="438">
        <f>SUM(AI7:AI11)</f>
        <v>0</v>
      </c>
      <c r="AJ12" s="331"/>
      <c r="AK12" s="331"/>
      <c r="AL12" s="438">
        <f>SUM(AL7:AL11)</f>
        <v>0</v>
      </c>
      <c r="AM12" s="436"/>
      <c r="AN12" s="436">
        <f>SUM(AN7:AN11)</f>
        <v>12202.294745157003</v>
      </c>
      <c r="AO12" s="344">
        <f>AN12/AM11*100000</f>
        <v>22.502793777659406</v>
      </c>
      <c r="AP12" s="344" t="s">
        <v>98</v>
      </c>
    </row>
    <row r="13" spans="2:42" ht="31.5" customHeight="1">
      <c r="B13" s="435" t="s">
        <v>124</v>
      </c>
      <c r="C13" s="57" t="s">
        <v>479</v>
      </c>
      <c r="D13" s="57"/>
      <c r="E13" s="57"/>
      <c r="F13" s="66"/>
      <c r="G13" s="66"/>
      <c r="H13" s="66"/>
      <c r="I13" s="66"/>
      <c r="J13" s="66"/>
      <c r="K13" s="66"/>
      <c r="L13" s="66"/>
      <c r="M13" s="66"/>
      <c r="N13" s="66"/>
      <c r="O13" s="66"/>
      <c r="P13" s="66"/>
      <c r="Q13" s="66"/>
      <c r="R13" s="66"/>
      <c r="S13" s="66"/>
      <c r="T13" s="67"/>
      <c r="U13" s="66"/>
      <c r="V13" s="66"/>
      <c r="W13" s="66"/>
      <c r="X13" s="66"/>
      <c r="Y13" s="66"/>
      <c r="Z13" s="66"/>
      <c r="AA13" s="66"/>
      <c r="AB13" s="66"/>
      <c r="AC13" s="66"/>
      <c r="AD13" s="66"/>
      <c r="AE13" s="66"/>
      <c r="AF13" s="66"/>
      <c r="AG13" s="66"/>
      <c r="AH13" s="66"/>
      <c r="AI13" s="66"/>
      <c r="AJ13" s="66"/>
      <c r="AK13" s="66"/>
      <c r="AL13" s="66"/>
      <c r="AM13" s="186"/>
      <c r="AN13" s="187"/>
    </row>
    <row r="14" spans="2:42" ht="31.5" customHeight="1">
      <c r="B14" s="59">
        <v>6</v>
      </c>
      <c r="C14" s="60" t="s">
        <v>13</v>
      </c>
      <c r="D14" s="60" t="s">
        <v>79</v>
      </c>
      <c r="E14" s="69">
        <f>Adv_LI!F18</f>
        <v>50351</v>
      </c>
      <c r="F14" s="334">
        <f>7000*0.4</f>
        <v>2800</v>
      </c>
      <c r="G14" s="184">
        <f>E14*1.1</f>
        <v>55386.100000000006</v>
      </c>
      <c r="H14" s="70"/>
      <c r="I14" s="332">
        <f>20200*0.4</f>
        <v>8080</v>
      </c>
      <c r="J14" s="184">
        <f t="shared" ref="J14:J17" si="16">E14*1.1*1.1</f>
        <v>60924.710000000014</v>
      </c>
      <c r="K14" s="70">
        <f>I14*J14/100000</f>
        <v>4922.7165680000016</v>
      </c>
      <c r="L14" s="321">
        <f>20200*0.4</f>
        <v>8080</v>
      </c>
      <c r="M14" s="69">
        <f>J14*1.1</f>
        <v>67017.181000000026</v>
      </c>
      <c r="N14" s="70">
        <f>L14*M14/100000</f>
        <v>5414.9882248000022</v>
      </c>
      <c r="O14" s="337">
        <f>20200*0.4</f>
        <v>8080</v>
      </c>
      <c r="P14" s="81">
        <f>M14*1.1</f>
        <v>73718.899100000039</v>
      </c>
      <c r="Q14" s="70">
        <f>O14*P14/100000</f>
        <v>5956.487047280003</v>
      </c>
      <c r="R14" s="338">
        <f>9900*0.4</f>
        <v>3960</v>
      </c>
      <c r="S14" s="81">
        <f>P14*1.1</f>
        <v>81090.789010000051</v>
      </c>
      <c r="T14" s="70">
        <f>R14*S14/100000</f>
        <v>3211.195244796002</v>
      </c>
      <c r="U14" s="71"/>
      <c r="V14" s="71"/>
      <c r="W14" s="71"/>
      <c r="X14" s="71"/>
      <c r="Y14" s="71"/>
      <c r="Z14" s="71"/>
      <c r="AA14" s="58"/>
      <c r="AB14" s="58"/>
      <c r="AC14" s="71"/>
      <c r="AD14" s="58"/>
      <c r="AE14" s="58"/>
      <c r="AF14" s="71"/>
      <c r="AG14" s="58"/>
      <c r="AH14" s="58"/>
      <c r="AI14" s="71"/>
      <c r="AJ14" s="58"/>
      <c r="AK14" s="58"/>
      <c r="AL14" s="71"/>
      <c r="AM14" s="186">
        <f t="shared" ref="AM14:AM17" si="17">AA14+X14+U14+R14+O14+L14+I14+F14</f>
        <v>31000</v>
      </c>
      <c r="AN14" s="188">
        <f t="shared" ref="AN14:AN17" si="18">AC14+Z14+W14+T14+Q14+N14+K14+H14</f>
        <v>19505.387084876013</v>
      </c>
    </row>
    <row r="15" spans="2:42" ht="31.5" customHeight="1">
      <c r="B15" s="59">
        <v>7</v>
      </c>
      <c r="C15" s="60" t="s">
        <v>101</v>
      </c>
      <c r="D15" s="60" t="s">
        <v>79</v>
      </c>
      <c r="E15" s="81">
        <f>R_LI!F35</f>
        <v>50226</v>
      </c>
      <c r="F15" s="69"/>
      <c r="G15" s="63">
        <f t="shared" ref="G15:G17" si="19">E15*1.1</f>
        <v>55248.600000000006</v>
      </c>
      <c r="H15" s="70"/>
      <c r="I15" s="335">
        <f>$F$14</f>
        <v>2800</v>
      </c>
      <c r="J15" s="184">
        <f t="shared" si="16"/>
        <v>60773.460000000014</v>
      </c>
      <c r="K15" s="70">
        <f>I15*J15/100000</f>
        <v>1701.6568800000002</v>
      </c>
      <c r="L15" s="336">
        <f>$I$14</f>
        <v>8080</v>
      </c>
      <c r="M15" s="69">
        <f t="shared" ref="M15:M17" si="20">J15*1.1</f>
        <v>66850.806000000026</v>
      </c>
      <c r="N15" s="70">
        <f t="shared" ref="N15:N16" si="21">L15*M15/100000</f>
        <v>5401.5451248000027</v>
      </c>
      <c r="O15" s="321">
        <f>$L$14</f>
        <v>8080</v>
      </c>
      <c r="P15" s="81">
        <f t="shared" ref="P15:P17" si="22">M15*1.1</f>
        <v>73535.886600000042</v>
      </c>
      <c r="Q15" s="70">
        <f>O15*P15/100000</f>
        <v>5941.6996372800031</v>
      </c>
      <c r="R15" s="337">
        <f>$O$14</f>
        <v>8080</v>
      </c>
      <c r="S15" s="81">
        <f t="shared" ref="S15:S17" si="23">P15*1.1</f>
        <v>80889.47526000005</v>
      </c>
      <c r="T15" s="70">
        <f t="shared" ref="T15:T17" si="24">R15*S15/100000</f>
        <v>6535.8696010080039</v>
      </c>
      <c r="U15" s="338">
        <f>$R$14</f>
        <v>3960</v>
      </c>
      <c r="V15" s="69">
        <f t="shared" ref="V15:V17" si="25">S15*1.1</f>
        <v>88978.422786000068</v>
      </c>
      <c r="W15" s="70">
        <f t="shared" ref="W15:W17" si="26">U15*V15/100000</f>
        <v>3523.5455423256026</v>
      </c>
      <c r="X15" s="71"/>
      <c r="Y15" s="71"/>
      <c r="Z15" s="71"/>
      <c r="AA15" s="71"/>
      <c r="AB15" s="71"/>
      <c r="AC15" s="71"/>
      <c r="AD15" s="71"/>
      <c r="AE15" s="71"/>
      <c r="AF15" s="71"/>
      <c r="AG15" s="71"/>
      <c r="AH15" s="71"/>
      <c r="AI15" s="71"/>
      <c r="AJ15" s="71"/>
      <c r="AK15" s="71"/>
      <c r="AL15" s="71"/>
      <c r="AM15" s="186">
        <f t="shared" si="17"/>
        <v>31000</v>
      </c>
      <c r="AN15" s="188">
        <f t="shared" si="18"/>
        <v>23104.316785413612</v>
      </c>
    </row>
    <row r="16" spans="2:42" ht="31.5" customHeight="1">
      <c r="B16" s="59">
        <v>8</v>
      </c>
      <c r="C16" s="60" t="s">
        <v>14</v>
      </c>
      <c r="D16" s="60" t="s">
        <v>79</v>
      </c>
      <c r="E16" s="81">
        <f>I_LI!F23</f>
        <v>34122.300000000003</v>
      </c>
      <c r="F16" s="69"/>
      <c r="G16" s="63">
        <f t="shared" si="19"/>
        <v>37534.530000000006</v>
      </c>
      <c r="H16" s="71"/>
      <c r="I16" s="69"/>
      <c r="J16" s="63">
        <f t="shared" si="16"/>
        <v>41287.983000000007</v>
      </c>
      <c r="K16" s="71"/>
      <c r="L16" s="335">
        <f>$F$14</f>
        <v>2800</v>
      </c>
      <c r="M16" s="69">
        <f t="shared" si="20"/>
        <v>45416.78130000001</v>
      </c>
      <c r="N16" s="70">
        <f t="shared" si="21"/>
        <v>1271.6698764000002</v>
      </c>
      <c r="O16" s="336">
        <f>$I$14</f>
        <v>8080</v>
      </c>
      <c r="P16" s="81">
        <f t="shared" si="22"/>
        <v>49958.459430000017</v>
      </c>
      <c r="Q16" s="70">
        <f t="shared" ref="Q16:Q17" si="27">O16*P16/100000</f>
        <v>4036.6435219440013</v>
      </c>
      <c r="R16" s="321">
        <f>$L$14</f>
        <v>8080</v>
      </c>
      <c r="S16" s="81">
        <f t="shared" si="23"/>
        <v>54954.305373000025</v>
      </c>
      <c r="T16" s="70">
        <f t="shared" si="24"/>
        <v>4440.3078741384015</v>
      </c>
      <c r="U16" s="337">
        <f>$O$14</f>
        <v>8080</v>
      </c>
      <c r="V16" s="69">
        <f t="shared" si="25"/>
        <v>60449.735910300034</v>
      </c>
      <c r="W16" s="70">
        <f t="shared" si="26"/>
        <v>4884.3386615522422</v>
      </c>
      <c r="X16" s="338">
        <f>$R$14</f>
        <v>3960</v>
      </c>
      <c r="Y16" s="69">
        <f t="shared" ref="Y16:Y17" si="28">V16*1.1</f>
        <v>66494.709501330042</v>
      </c>
      <c r="Z16" s="70">
        <f t="shared" ref="Z16:Z17" si="29">X16*Y16/100000</f>
        <v>2633.1904962526696</v>
      </c>
      <c r="AA16" s="71"/>
      <c r="AB16" s="61"/>
      <c r="AC16" s="71"/>
      <c r="AD16" s="71"/>
      <c r="AE16" s="61"/>
      <c r="AF16" s="71"/>
      <c r="AG16" s="71"/>
      <c r="AH16" s="61"/>
      <c r="AI16" s="71"/>
      <c r="AJ16" s="71"/>
      <c r="AK16" s="61"/>
      <c r="AL16" s="71"/>
      <c r="AM16" s="186">
        <f t="shared" si="17"/>
        <v>31000</v>
      </c>
      <c r="AN16" s="188">
        <f t="shared" si="18"/>
        <v>17266.150430287315</v>
      </c>
    </row>
    <row r="17" spans="2:41" ht="31.5" customHeight="1">
      <c r="B17" s="59">
        <v>9</v>
      </c>
      <c r="C17" s="60" t="s">
        <v>15</v>
      </c>
      <c r="D17" s="60" t="s">
        <v>79</v>
      </c>
      <c r="E17" s="81">
        <f>II_LI!F14</f>
        <v>12878.3</v>
      </c>
      <c r="F17" s="69"/>
      <c r="G17" s="63">
        <f t="shared" si="19"/>
        <v>14166.130000000001</v>
      </c>
      <c r="H17" s="71"/>
      <c r="I17" s="69"/>
      <c r="J17" s="63">
        <f t="shared" si="16"/>
        <v>15582.743000000002</v>
      </c>
      <c r="K17" s="71"/>
      <c r="L17" s="58"/>
      <c r="M17" s="73">
        <f t="shared" si="20"/>
        <v>17141.017300000003</v>
      </c>
      <c r="N17" s="71"/>
      <c r="O17" s="335">
        <f>$F$14</f>
        <v>2800</v>
      </c>
      <c r="P17" s="81">
        <f t="shared" si="22"/>
        <v>18855.119030000005</v>
      </c>
      <c r="Q17" s="70">
        <f t="shared" si="27"/>
        <v>527.94333284000015</v>
      </c>
      <c r="R17" s="336">
        <f>$I$14</f>
        <v>8080</v>
      </c>
      <c r="S17" s="81">
        <f t="shared" si="23"/>
        <v>20740.630933000008</v>
      </c>
      <c r="T17" s="70">
        <f t="shared" si="24"/>
        <v>1675.8429793864007</v>
      </c>
      <c r="U17" s="321">
        <f>$L$14</f>
        <v>8080</v>
      </c>
      <c r="V17" s="69">
        <f t="shared" si="25"/>
        <v>22814.694026300011</v>
      </c>
      <c r="W17" s="70">
        <f t="shared" si="26"/>
        <v>1843.4272773250409</v>
      </c>
      <c r="X17" s="337">
        <f>$O$14</f>
        <v>8080</v>
      </c>
      <c r="Y17" s="69">
        <f t="shared" si="28"/>
        <v>25096.163428930013</v>
      </c>
      <c r="Z17" s="70">
        <f t="shared" si="29"/>
        <v>2027.7700050575449</v>
      </c>
      <c r="AA17" s="338">
        <f>$R$14</f>
        <v>3960</v>
      </c>
      <c r="AB17" s="69">
        <f t="shared" ref="AB17" si="30">Y17*1.1</f>
        <v>27605.779771823018</v>
      </c>
      <c r="AC17" s="70">
        <f t="shared" ref="AC17" si="31">AA17*AB17/100000</f>
        <v>1093.1888789641914</v>
      </c>
      <c r="AD17" s="338"/>
      <c r="AE17" s="69">
        <f t="shared" ref="AE17" si="32">Y17*1.1</f>
        <v>27605.779771823018</v>
      </c>
      <c r="AF17" s="70">
        <f t="shared" ref="AF17" si="33">AD17*AE17/100000</f>
        <v>0</v>
      </c>
      <c r="AG17" s="338"/>
      <c r="AH17" s="69">
        <f t="shared" ref="AH17" si="34">AB17*1.1</f>
        <v>30366.357749005321</v>
      </c>
      <c r="AI17" s="70">
        <f t="shared" ref="AI17" si="35">AG17*AH17/100000</f>
        <v>0</v>
      </c>
      <c r="AJ17" s="338"/>
      <c r="AK17" s="69">
        <f t="shared" ref="AK17" si="36">AE17*1.1</f>
        <v>30366.357749005321</v>
      </c>
      <c r="AL17" s="70">
        <f t="shared" ref="AL17" si="37">AJ17*AK17/100000</f>
        <v>0</v>
      </c>
      <c r="AM17" s="186">
        <f t="shared" si="17"/>
        <v>31000</v>
      </c>
      <c r="AN17" s="188">
        <f t="shared" si="18"/>
        <v>7168.1724735731786</v>
      </c>
    </row>
    <row r="18" spans="2:41" s="37" customFormat="1" ht="31.5" customHeight="1">
      <c r="B18" s="532" t="s">
        <v>12</v>
      </c>
      <c r="C18" s="532"/>
      <c r="D18" s="433"/>
      <c r="E18" s="433"/>
      <c r="F18" s="433"/>
      <c r="G18" s="65"/>
      <c r="H18" s="436">
        <f>SUM(H14:H17)</f>
        <v>0</v>
      </c>
      <c r="I18" s="436"/>
      <c r="J18" s="331"/>
      <c r="K18" s="436">
        <f>SUM(K14:K17)</f>
        <v>6624.3734480000021</v>
      </c>
      <c r="L18" s="436"/>
      <c r="M18" s="436"/>
      <c r="N18" s="436">
        <f>SUM(N14:N17)</f>
        <v>12088.203226000005</v>
      </c>
      <c r="O18" s="436"/>
      <c r="P18" s="436"/>
      <c r="Q18" s="436">
        <f>SUM(Q14:Q17)</f>
        <v>16462.773539344005</v>
      </c>
      <c r="R18" s="436"/>
      <c r="S18" s="436"/>
      <c r="T18" s="436">
        <f>SUM(T14:T17)</f>
        <v>15863.215699328808</v>
      </c>
      <c r="U18" s="436"/>
      <c r="V18" s="436"/>
      <c r="W18" s="436">
        <f>SUM(W14:W17)</f>
        <v>10251.311481202887</v>
      </c>
      <c r="X18" s="436"/>
      <c r="Y18" s="436"/>
      <c r="Z18" s="436">
        <f>SUM(Z14:Z17)</f>
        <v>4660.9605013102146</v>
      </c>
      <c r="AA18" s="436"/>
      <c r="AB18" s="436"/>
      <c r="AC18" s="436">
        <f>SUM(AC14:AC17)</f>
        <v>1093.1888789641914</v>
      </c>
      <c r="AD18" s="438"/>
      <c r="AE18" s="438"/>
      <c r="AF18" s="438">
        <f>SUM(AF14:AF17)</f>
        <v>0</v>
      </c>
      <c r="AG18" s="438"/>
      <c r="AH18" s="438"/>
      <c r="AI18" s="438">
        <f>SUM(AI14:AI17)</f>
        <v>0</v>
      </c>
      <c r="AJ18" s="438"/>
      <c r="AK18" s="438"/>
      <c r="AL18" s="438">
        <f>SUM(AL14:AL17)</f>
        <v>0</v>
      </c>
      <c r="AM18" s="436"/>
      <c r="AN18" s="436">
        <f>SUM(AN14:AN17)</f>
        <v>67044.026774150116</v>
      </c>
    </row>
    <row r="19" spans="2:41" ht="31.5" customHeight="1">
      <c r="B19" s="435" t="s">
        <v>16</v>
      </c>
      <c r="C19" s="57" t="s">
        <v>300</v>
      </c>
      <c r="D19" s="57"/>
      <c r="E19" s="57"/>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72"/>
      <c r="AN19" s="185"/>
    </row>
    <row r="20" spans="2:41" ht="31.5" customHeight="1">
      <c r="B20" s="59">
        <v>18</v>
      </c>
      <c r="C20" s="74" t="s">
        <v>407</v>
      </c>
      <c r="D20" s="74" t="s">
        <v>103</v>
      </c>
      <c r="E20" s="72">
        <v>150000</v>
      </c>
      <c r="F20" s="398">
        <f>F14*0.2</f>
        <v>560</v>
      </c>
      <c r="G20" s="62">
        <f>E20*1.1</f>
        <v>165000</v>
      </c>
      <c r="H20" s="70"/>
      <c r="I20" s="398">
        <f>I14*0.2</f>
        <v>1616</v>
      </c>
      <c r="J20" s="62">
        <f t="shared" ref="J20:J21" si="38">E20*1.1*1.1</f>
        <v>181500.00000000003</v>
      </c>
      <c r="K20" s="70">
        <f t="shared" ref="K20" si="39">I20*J20/100000</f>
        <v>2933.0400000000004</v>
      </c>
      <c r="L20" s="398">
        <f>L14*0.2</f>
        <v>1616</v>
      </c>
      <c r="M20" s="62">
        <f t="shared" ref="M20:M21" si="40">J20*1.1</f>
        <v>199650.00000000006</v>
      </c>
      <c r="N20" s="70">
        <f t="shared" ref="N20:N21" si="41">L20*M20/100000</f>
        <v>3226.3440000000014</v>
      </c>
      <c r="O20" s="398">
        <f>O14*0.2</f>
        <v>1616</v>
      </c>
      <c r="P20" s="62">
        <f t="shared" ref="P20:P21" si="42">M20*1.1</f>
        <v>219615.00000000009</v>
      </c>
      <c r="Q20" s="70">
        <f t="shared" ref="Q20:Q21" si="43">O20*P20/100000</f>
        <v>3548.9784000000013</v>
      </c>
      <c r="R20" s="398">
        <f>R14*0.2</f>
        <v>792</v>
      </c>
      <c r="S20" s="62">
        <f t="shared" ref="S20:S21" si="44">P20*1.1</f>
        <v>241576.50000000012</v>
      </c>
      <c r="T20" s="70">
        <f t="shared" ref="T20:T21" si="45">R20*S20/100000</f>
        <v>1913.2858800000008</v>
      </c>
      <c r="U20" s="59"/>
      <c r="V20" s="59"/>
      <c r="W20" s="76"/>
      <c r="X20" s="77"/>
      <c r="Y20" s="77"/>
      <c r="Z20" s="76"/>
      <c r="AA20" s="76"/>
      <c r="AB20" s="76"/>
      <c r="AC20" s="76"/>
      <c r="AD20" s="76"/>
      <c r="AE20" s="76"/>
      <c r="AF20" s="76"/>
      <c r="AG20" s="76"/>
      <c r="AH20" s="76"/>
      <c r="AI20" s="76"/>
      <c r="AJ20" s="76"/>
      <c r="AK20" s="76"/>
      <c r="AL20" s="76"/>
      <c r="AM20" s="186">
        <f t="shared" ref="AM20:AM21" si="46">AA20+X20+U20+R20+O20+L20+I20+F20</f>
        <v>6200</v>
      </c>
      <c r="AN20" s="188">
        <f t="shared" ref="AN20:AN21" si="47">AC20+Z20+W20+T20+Q20+N20+K20+H20</f>
        <v>11621.648280000005</v>
      </c>
    </row>
    <row r="21" spans="2:41" s="36" customFormat="1" ht="31.5" customHeight="1">
      <c r="B21" s="59">
        <v>23</v>
      </c>
      <c r="C21" s="78" t="s">
        <v>199</v>
      </c>
      <c r="D21" s="78" t="s">
        <v>120</v>
      </c>
      <c r="E21" s="78">
        <v>210</v>
      </c>
      <c r="F21" s="183"/>
      <c r="G21" s="62">
        <f>E21*1.1</f>
        <v>231.00000000000003</v>
      </c>
      <c r="H21" s="80"/>
      <c r="I21" s="183">
        <f>F14*200</f>
        <v>560000</v>
      </c>
      <c r="J21" s="62">
        <f t="shared" si="38"/>
        <v>254.10000000000005</v>
      </c>
      <c r="K21" s="345">
        <f>I21*J21/100000</f>
        <v>1422.9600000000003</v>
      </c>
      <c r="L21" s="183">
        <f>I14*200</f>
        <v>1616000</v>
      </c>
      <c r="M21" s="184">
        <f t="shared" si="40"/>
        <v>279.5100000000001</v>
      </c>
      <c r="N21" s="320">
        <f t="shared" si="41"/>
        <v>4516.8816000000015</v>
      </c>
      <c r="O21" s="72">
        <f>L14*200</f>
        <v>1616000</v>
      </c>
      <c r="P21" s="184">
        <f t="shared" si="42"/>
        <v>307.46100000000013</v>
      </c>
      <c r="Q21" s="320">
        <f t="shared" si="43"/>
        <v>4968.5697600000021</v>
      </c>
      <c r="R21" s="72">
        <f>O14*200</f>
        <v>1616000</v>
      </c>
      <c r="S21" s="62">
        <f t="shared" si="44"/>
        <v>338.20710000000014</v>
      </c>
      <c r="T21" s="320">
        <f t="shared" si="45"/>
        <v>5465.4267360000031</v>
      </c>
      <c r="U21" s="79">
        <f>R14*200</f>
        <v>792000</v>
      </c>
      <c r="V21" s="79">
        <f>S21*1.1</f>
        <v>372.02781000000016</v>
      </c>
      <c r="W21" s="320">
        <f t="shared" ref="W21" si="48">U21*V21/100000</f>
        <v>2946.460255200001</v>
      </c>
      <c r="X21" s="79"/>
      <c r="Y21" s="79"/>
      <c r="Z21" s="82"/>
      <c r="AA21" s="79"/>
      <c r="AB21" s="79"/>
      <c r="AC21" s="82"/>
      <c r="AD21" s="79"/>
      <c r="AE21" s="79"/>
      <c r="AF21" s="82"/>
      <c r="AG21" s="79"/>
      <c r="AH21" s="79"/>
      <c r="AI21" s="82"/>
      <c r="AJ21" s="79"/>
      <c r="AK21" s="79"/>
      <c r="AL21" s="82"/>
      <c r="AM21" s="186">
        <f t="shared" si="46"/>
        <v>6200000</v>
      </c>
      <c r="AN21" s="188">
        <f t="shared" si="47"/>
        <v>19320.298351200006</v>
      </c>
    </row>
    <row r="22" spans="2:41" s="37" customFormat="1" ht="31.5" customHeight="1">
      <c r="B22" s="83"/>
      <c r="C22" s="433" t="s">
        <v>17</v>
      </c>
      <c r="D22" s="84"/>
      <c r="E22" s="84"/>
      <c r="F22" s="85"/>
      <c r="G22" s="85"/>
      <c r="H22" s="322">
        <f>SUM(H20:H21)</f>
        <v>0</v>
      </c>
      <c r="I22" s="323"/>
      <c r="J22" s="323"/>
      <c r="K22" s="322">
        <f>SUM(K20:K21)</f>
        <v>4356.0000000000009</v>
      </c>
      <c r="L22" s="323"/>
      <c r="M22" s="323"/>
      <c r="N22" s="322">
        <f>SUM(N20:N21)</f>
        <v>7743.2256000000034</v>
      </c>
      <c r="O22" s="323"/>
      <c r="P22" s="323"/>
      <c r="Q22" s="322">
        <f>SUM(Q20:Q21)</f>
        <v>8517.5481600000039</v>
      </c>
      <c r="R22" s="323"/>
      <c r="S22" s="323"/>
      <c r="T22" s="322">
        <f>SUM(T20:T21)</f>
        <v>7378.7126160000043</v>
      </c>
      <c r="U22" s="323"/>
      <c r="V22" s="323"/>
      <c r="W22" s="322">
        <f>SUM(W20:W21)</f>
        <v>2946.460255200001</v>
      </c>
      <c r="X22" s="323"/>
      <c r="Y22" s="323"/>
      <c r="Z22" s="322">
        <f>SUM(Z20:Z21)</f>
        <v>0</v>
      </c>
      <c r="AA22" s="323"/>
      <c r="AB22" s="323"/>
      <c r="AC22" s="322">
        <f>SUM(AC20:AC21)</f>
        <v>0</v>
      </c>
      <c r="AD22" s="323"/>
      <c r="AE22" s="323"/>
      <c r="AF22" s="322">
        <f>SUM(AF20:AF21)</f>
        <v>0</v>
      </c>
      <c r="AG22" s="323"/>
      <c r="AH22" s="323"/>
      <c r="AI22" s="322">
        <f>SUM(AI20:AI21)</f>
        <v>0</v>
      </c>
      <c r="AJ22" s="323"/>
      <c r="AK22" s="323"/>
      <c r="AL22" s="322">
        <f>SUM(AL20:AL21)</f>
        <v>0</v>
      </c>
      <c r="AM22" s="322"/>
      <c r="AN22" s="322">
        <f>SUM(AN19:AN21)</f>
        <v>30941.946631200011</v>
      </c>
    </row>
    <row r="23" spans="2:41" s="45" customFormat="1" ht="31.5" customHeight="1">
      <c r="B23" s="68" t="s">
        <v>125</v>
      </c>
      <c r="C23" s="87" t="s">
        <v>104</v>
      </c>
      <c r="D23" s="88"/>
      <c r="E23" s="88"/>
      <c r="F23" s="88"/>
      <c r="G23" s="88"/>
      <c r="H23" s="324">
        <f>(H18+H22+H12)*0.1</f>
        <v>0</v>
      </c>
      <c r="I23" s="325"/>
      <c r="J23" s="325"/>
      <c r="K23" s="324">
        <f>(K18+K22+K12)*0.1</f>
        <v>1182.8041561600003</v>
      </c>
      <c r="L23" s="325"/>
      <c r="M23" s="325"/>
      <c r="N23" s="324">
        <f>(N18+N22+N12)*0.1</f>
        <v>2192.3669892080011</v>
      </c>
      <c r="O23" s="325"/>
      <c r="P23" s="325"/>
      <c r="Q23" s="324">
        <f>(Q18+Q22+Q12)*0.1</f>
        <v>2804.8768423984011</v>
      </c>
      <c r="R23" s="325"/>
      <c r="S23" s="325"/>
      <c r="T23" s="324">
        <f>(T18+T22+T12)*0.1</f>
        <v>2640.2077092846412</v>
      </c>
      <c r="U23" s="326"/>
      <c r="V23" s="326"/>
      <c r="W23" s="324">
        <f>(W18+W22+W12)*0.1</f>
        <v>1545.6482957802491</v>
      </c>
      <c r="X23" s="327"/>
      <c r="Y23" s="327"/>
      <c r="Z23" s="324">
        <f>(Z18+Z22+Z12)*0.1</f>
        <v>543.60393432300157</v>
      </c>
      <c r="AA23" s="327"/>
      <c r="AB23" s="327"/>
      <c r="AC23" s="324">
        <f>(AC18+AC22+AC12)*0.1</f>
        <v>109.31888789641914</v>
      </c>
      <c r="AD23" s="327"/>
      <c r="AE23" s="327"/>
      <c r="AF23" s="324">
        <f>(AF18+AF22+AF12)*0.1</f>
        <v>0</v>
      </c>
      <c r="AG23" s="327"/>
      <c r="AH23" s="327"/>
      <c r="AI23" s="324">
        <f>(AI18+AI22+AI12)*0.1</f>
        <v>0</v>
      </c>
      <c r="AJ23" s="327"/>
      <c r="AK23" s="327"/>
      <c r="AL23" s="324">
        <f>(AL18+AL22+AL12)*0.1</f>
        <v>0</v>
      </c>
      <c r="AM23" s="188"/>
      <c r="AN23" s="324">
        <f>(AN18+AN22+AN12)*0.1</f>
        <v>11018.826815050714</v>
      </c>
    </row>
    <row r="24" spans="2:41" s="44" customFormat="1" ht="31.5" customHeight="1">
      <c r="B24" s="86"/>
      <c r="C24" s="433" t="s">
        <v>409</v>
      </c>
      <c r="D24" s="433"/>
      <c r="E24" s="433"/>
      <c r="F24" s="89"/>
      <c r="G24" s="89"/>
      <c r="H24" s="328">
        <f>H23+H22+H18+H12</f>
        <v>0</v>
      </c>
      <c r="I24" s="329"/>
      <c r="J24" s="329"/>
      <c r="K24" s="328">
        <f>K23+K22+K18+K12</f>
        <v>13010.845717760003</v>
      </c>
      <c r="L24" s="329"/>
      <c r="M24" s="329"/>
      <c r="N24" s="328">
        <f>N23+N22+N18+N12</f>
        <v>24116.036881288012</v>
      </c>
      <c r="O24" s="329"/>
      <c r="P24" s="329"/>
      <c r="Q24" s="328">
        <f>Q23+Q22+Q18+Q12</f>
        <v>30853.645266382413</v>
      </c>
      <c r="R24" s="329"/>
      <c r="S24" s="329"/>
      <c r="T24" s="328">
        <f>T23+T22+T18+T12</f>
        <v>29042.284802131056</v>
      </c>
      <c r="U24" s="329"/>
      <c r="V24" s="329"/>
      <c r="W24" s="328">
        <f>W23+W22+W18+W12</f>
        <v>17002.131253582738</v>
      </c>
      <c r="X24" s="329"/>
      <c r="Y24" s="329"/>
      <c r="Z24" s="328">
        <f>Z23+Z22+Z18+Z12</f>
        <v>5979.6432775530166</v>
      </c>
      <c r="AA24" s="329"/>
      <c r="AB24" s="329"/>
      <c r="AC24" s="328">
        <f>AC23+AC22+AC18+AC12</f>
        <v>1202.5077668606104</v>
      </c>
      <c r="AD24" s="329"/>
      <c r="AE24" s="329"/>
      <c r="AF24" s="328">
        <f>AF23+AF22+AF18+AF12</f>
        <v>0</v>
      </c>
      <c r="AG24" s="329"/>
      <c r="AH24" s="329"/>
      <c r="AI24" s="328">
        <f>AI23+AI22+AI18+AI12</f>
        <v>0</v>
      </c>
      <c r="AJ24" s="329"/>
      <c r="AK24" s="329"/>
      <c r="AL24" s="328">
        <f>AL23+AL22+AL18+AL12</f>
        <v>0</v>
      </c>
      <c r="AM24" s="322"/>
      <c r="AN24" s="328">
        <f>AN23+AN22+AN18+AN12</f>
        <v>121207.09496555784</v>
      </c>
      <c r="AO24" s="44">
        <f>AN24/AM14</f>
        <v>3.9099062892115435</v>
      </c>
    </row>
    <row r="25" spans="2:41">
      <c r="N25" s="38"/>
      <c r="AM25" s="39"/>
      <c r="AN25" s="40"/>
    </row>
    <row r="26" spans="2:41" ht="15">
      <c r="C26" s="32" t="s">
        <v>410</v>
      </c>
      <c r="H26" s="399">
        <f>H24/100</f>
        <v>0</v>
      </c>
      <c r="K26" s="399">
        <f>K24/100</f>
        <v>130.10845717760003</v>
      </c>
      <c r="N26" s="399">
        <f>N24/100</f>
        <v>241.16036881288011</v>
      </c>
      <c r="Q26" s="399">
        <f>Q24/100</f>
        <v>308.53645266382415</v>
      </c>
      <c r="T26" s="399">
        <f>T24/100</f>
        <v>290.42284802131059</v>
      </c>
      <c r="W26" s="399">
        <f>W24/100</f>
        <v>170.02131253582738</v>
      </c>
      <c r="Z26" s="399">
        <f>Z24/100</f>
        <v>59.796432775530164</v>
      </c>
      <c r="AC26" s="399">
        <f>AC24/100</f>
        <v>12.025077668606105</v>
      </c>
      <c r="AF26" s="399">
        <f>AF24/100</f>
        <v>0</v>
      </c>
      <c r="AI26" s="399">
        <f>AI24/100</f>
        <v>0</v>
      </c>
      <c r="AL26" s="399">
        <f>AL24/100</f>
        <v>0</v>
      </c>
      <c r="AM26" s="283"/>
      <c r="AN26" s="399">
        <f>AN24/100</f>
        <v>1212.0709496555785</v>
      </c>
    </row>
    <row r="27" spans="2:41" ht="15">
      <c r="AM27" s="283"/>
      <c r="AN27" s="42"/>
    </row>
    <row r="28" spans="2:41">
      <c r="AN28" s="42"/>
    </row>
    <row r="29" spans="2:41" ht="12.75">
      <c r="AM29" s="43"/>
      <c r="AN29" s="43"/>
    </row>
    <row r="30" spans="2:41" ht="12.75">
      <c r="AM30" s="43"/>
      <c r="AN30" s="43"/>
    </row>
    <row r="32" spans="2:41">
      <c r="M32" s="38"/>
      <c r="AN32" s="42"/>
    </row>
    <row r="41" spans="40:40">
      <c r="AN41" s="42"/>
    </row>
  </sheetData>
  <mergeCells count="19">
    <mergeCell ref="AM3:AN3"/>
    <mergeCell ref="B12:C12"/>
    <mergeCell ref="B18:C18"/>
    <mergeCell ref="B1:AN1"/>
    <mergeCell ref="B3:B4"/>
    <mergeCell ref="C3:C4"/>
    <mergeCell ref="D3:D4"/>
    <mergeCell ref="E3:E4"/>
    <mergeCell ref="F3:H3"/>
    <mergeCell ref="I3:K3"/>
    <mergeCell ref="L3:N3"/>
    <mergeCell ref="O3:Q3"/>
    <mergeCell ref="R3:T3"/>
    <mergeCell ref="AG3:AI3"/>
    <mergeCell ref="AD3:AF3"/>
    <mergeCell ref="AJ3:AL3"/>
    <mergeCell ref="U3:W3"/>
    <mergeCell ref="X3:Z3"/>
    <mergeCell ref="AA3:AC3"/>
  </mergeCells>
  <printOptions horizontalCentered="1"/>
  <pageMargins left="0.5" right="0.5" top="0.5" bottom="0.5" header="0.5" footer="0.5"/>
  <pageSetup paperSize="5" scale="39" fitToHeight="4"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pageSetUpPr fitToPage="1"/>
  </sheetPr>
  <dimension ref="B1:AP41"/>
  <sheetViews>
    <sheetView view="pageBreakPreview" topLeftCell="A7" zoomScale="80" zoomScaleSheetLayoutView="80" workbookViewId="0">
      <selection activeCell="AM20" sqref="AM20:AN21"/>
    </sheetView>
  </sheetViews>
  <sheetFormatPr defaultRowHeight="14.25"/>
  <cols>
    <col min="1" max="1" width="3.85546875" style="32" customWidth="1"/>
    <col min="2" max="2" width="4.42578125" style="32" customWidth="1"/>
    <col min="3" max="3" width="32.5703125" style="32" customWidth="1"/>
    <col min="4" max="4" width="6.5703125" style="32" customWidth="1"/>
    <col min="5" max="5" width="10.42578125" style="32" customWidth="1"/>
    <col min="6" max="6" width="9.85546875" style="32" bestFit="1" customWidth="1"/>
    <col min="7" max="7" width="10" style="32" customWidth="1"/>
    <col min="8" max="8" width="10.85546875" style="32" bestFit="1" customWidth="1"/>
    <col min="9" max="9" width="9.85546875" style="32" bestFit="1" customWidth="1"/>
    <col min="10" max="10" width="10" style="32" customWidth="1"/>
    <col min="11" max="11" width="11.42578125" style="32" bestFit="1" customWidth="1"/>
    <col min="12" max="12" width="9.85546875" style="32" bestFit="1" customWidth="1"/>
    <col min="13" max="13" width="11.28515625" style="32" customWidth="1"/>
    <col min="14" max="14" width="13" style="32" customWidth="1"/>
    <col min="15" max="15" width="9.85546875" style="32" bestFit="1" customWidth="1"/>
    <col min="16" max="16" width="10.42578125" style="32" customWidth="1"/>
    <col min="17" max="17" width="13.5703125" style="32" bestFit="1" customWidth="1"/>
    <col min="18" max="18" width="9.85546875" style="32" bestFit="1" customWidth="1"/>
    <col min="19" max="19" width="10.7109375" style="32" bestFit="1" customWidth="1"/>
    <col min="20" max="20" width="12.42578125" style="32" bestFit="1" customWidth="1"/>
    <col min="21" max="21" width="9.85546875" style="32" bestFit="1" customWidth="1"/>
    <col min="22" max="22" width="9.5703125" style="32" bestFit="1" customWidth="1"/>
    <col min="23" max="23" width="12.42578125" style="32" bestFit="1" customWidth="1"/>
    <col min="24" max="24" width="9.85546875" style="32" bestFit="1" customWidth="1"/>
    <col min="25" max="25" width="9.5703125" style="32" bestFit="1" customWidth="1"/>
    <col min="26" max="26" width="12.42578125" style="32" bestFit="1" customWidth="1"/>
    <col min="27" max="27" width="6.7109375" style="32" bestFit="1" customWidth="1"/>
    <col min="28" max="28" width="9.5703125" style="32" bestFit="1" customWidth="1"/>
    <col min="29" max="29" width="9.5703125" style="32" customWidth="1"/>
    <col min="30" max="30" width="6.7109375" style="32" bestFit="1" customWidth="1"/>
    <col min="31" max="31" width="9.5703125" style="32" bestFit="1" customWidth="1"/>
    <col min="32" max="32" width="12.42578125" style="32" bestFit="1" customWidth="1"/>
    <col min="33" max="33" width="6.7109375" style="32" bestFit="1" customWidth="1"/>
    <col min="34" max="34" width="9.5703125" style="32" bestFit="1" customWidth="1"/>
    <col min="35" max="35" width="12.42578125" style="32" bestFit="1" customWidth="1"/>
    <col min="36" max="36" width="6.7109375" style="32" bestFit="1" customWidth="1"/>
    <col min="37" max="37" width="9.5703125" style="32" bestFit="1" customWidth="1"/>
    <col min="38" max="38" width="12.42578125" style="32" bestFit="1" customWidth="1"/>
    <col min="39" max="39" width="10.85546875" style="41" bestFit="1" customWidth="1"/>
    <col min="40" max="40" width="13.42578125" style="41" customWidth="1"/>
    <col min="41" max="41" width="10.7109375" style="32" bestFit="1" customWidth="1"/>
    <col min="42" max="42" width="10.85546875" style="32" bestFit="1" customWidth="1"/>
    <col min="43" max="16384" width="9.140625" style="32"/>
  </cols>
  <sheetData>
    <row r="1" spans="2:42" ht="24" customHeight="1">
      <c r="B1" s="522" t="s">
        <v>309</v>
      </c>
      <c r="C1" s="522"/>
      <c r="D1" s="522"/>
      <c r="E1" s="522"/>
      <c r="F1" s="522"/>
      <c r="G1" s="522"/>
      <c r="H1" s="522"/>
      <c r="I1" s="522"/>
      <c r="J1" s="522"/>
      <c r="K1" s="522"/>
      <c r="L1" s="522"/>
      <c r="M1" s="522"/>
      <c r="N1" s="522"/>
      <c r="O1" s="522"/>
      <c r="P1" s="522"/>
      <c r="Q1" s="522"/>
      <c r="R1" s="522"/>
      <c r="S1" s="522"/>
      <c r="T1" s="522"/>
      <c r="U1" s="522"/>
      <c r="V1" s="522"/>
      <c r="W1" s="522"/>
      <c r="X1" s="522"/>
      <c r="Y1" s="522"/>
      <c r="Z1" s="522"/>
      <c r="AA1" s="522"/>
      <c r="AB1" s="522"/>
      <c r="AC1" s="522"/>
      <c r="AD1" s="522"/>
      <c r="AE1" s="522"/>
      <c r="AF1" s="522"/>
      <c r="AG1" s="522"/>
      <c r="AH1" s="522"/>
      <c r="AI1" s="522"/>
      <c r="AJ1" s="522"/>
      <c r="AK1" s="522"/>
      <c r="AL1" s="522"/>
      <c r="AM1" s="522"/>
      <c r="AN1" s="522"/>
    </row>
    <row r="2" spans="2:42" ht="12.75">
      <c r="B2" s="33"/>
      <c r="C2" s="33"/>
      <c r="D2" s="34"/>
      <c r="E2" s="34"/>
      <c r="F2" s="33">
        <v>1111</v>
      </c>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2:42" s="35" customFormat="1" ht="24.75" customHeight="1">
      <c r="B3" s="523" t="s">
        <v>0</v>
      </c>
      <c r="C3" s="523" t="s">
        <v>1</v>
      </c>
      <c r="D3" s="524" t="s">
        <v>10</v>
      </c>
      <c r="E3" s="524" t="s">
        <v>145</v>
      </c>
      <c r="F3" s="526" t="s">
        <v>308</v>
      </c>
      <c r="G3" s="527"/>
      <c r="H3" s="528"/>
      <c r="I3" s="526" t="s">
        <v>2</v>
      </c>
      <c r="J3" s="527"/>
      <c r="K3" s="528"/>
      <c r="L3" s="526" t="s">
        <v>3</v>
      </c>
      <c r="M3" s="527"/>
      <c r="N3" s="528"/>
      <c r="O3" s="526" t="s">
        <v>4</v>
      </c>
      <c r="P3" s="527"/>
      <c r="Q3" s="528"/>
      <c r="R3" s="526" t="s">
        <v>5</v>
      </c>
      <c r="S3" s="527"/>
      <c r="T3" s="528"/>
      <c r="U3" s="526" t="s">
        <v>6</v>
      </c>
      <c r="V3" s="527"/>
      <c r="W3" s="528"/>
      <c r="X3" s="526" t="s">
        <v>7</v>
      </c>
      <c r="Y3" s="527"/>
      <c r="Z3" s="528"/>
      <c r="AA3" s="526" t="s">
        <v>8</v>
      </c>
      <c r="AB3" s="527"/>
      <c r="AC3" s="528"/>
      <c r="AD3" s="526" t="s">
        <v>491</v>
      </c>
      <c r="AE3" s="527"/>
      <c r="AF3" s="528"/>
      <c r="AG3" s="526" t="s">
        <v>489</v>
      </c>
      <c r="AH3" s="527"/>
      <c r="AI3" s="528"/>
      <c r="AJ3" s="526" t="s">
        <v>490</v>
      </c>
      <c r="AK3" s="527"/>
      <c r="AL3" s="528"/>
      <c r="AM3" s="547" t="s">
        <v>9</v>
      </c>
      <c r="AN3" s="547"/>
    </row>
    <row r="4" spans="2:42" s="35" customFormat="1" ht="38.25" customHeight="1">
      <c r="B4" s="523"/>
      <c r="C4" s="523"/>
      <c r="D4" s="525"/>
      <c r="E4" s="525"/>
      <c r="F4" s="319" t="s">
        <v>10</v>
      </c>
      <c r="G4" s="319" t="s">
        <v>99</v>
      </c>
      <c r="H4" s="319" t="s">
        <v>100</v>
      </c>
      <c r="I4" s="55" t="s">
        <v>10</v>
      </c>
      <c r="J4" s="55" t="s">
        <v>99</v>
      </c>
      <c r="K4" s="55" t="s">
        <v>100</v>
      </c>
      <c r="L4" s="55" t="s">
        <v>10</v>
      </c>
      <c r="M4" s="55" t="s">
        <v>99</v>
      </c>
      <c r="N4" s="55" t="s">
        <v>100</v>
      </c>
      <c r="O4" s="55" t="s">
        <v>10</v>
      </c>
      <c r="P4" s="55" t="s">
        <v>99</v>
      </c>
      <c r="Q4" s="55" t="s">
        <v>100</v>
      </c>
      <c r="R4" s="55" t="s">
        <v>10</v>
      </c>
      <c r="S4" s="55" t="s">
        <v>99</v>
      </c>
      <c r="T4" s="55" t="s">
        <v>100</v>
      </c>
      <c r="U4" s="55" t="s">
        <v>10</v>
      </c>
      <c r="V4" s="55" t="s">
        <v>99</v>
      </c>
      <c r="W4" s="55" t="s">
        <v>100</v>
      </c>
      <c r="X4" s="55" t="s">
        <v>10</v>
      </c>
      <c r="Y4" s="55" t="s">
        <v>99</v>
      </c>
      <c r="Z4" s="55" t="s">
        <v>100</v>
      </c>
      <c r="AA4" s="55" t="s">
        <v>10</v>
      </c>
      <c r="AB4" s="55" t="s">
        <v>99</v>
      </c>
      <c r="AC4" s="55" t="s">
        <v>100</v>
      </c>
      <c r="AD4" s="437" t="s">
        <v>10</v>
      </c>
      <c r="AE4" s="437" t="s">
        <v>99</v>
      </c>
      <c r="AF4" s="437" t="s">
        <v>100</v>
      </c>
      <c r="AG4" s="437" t="s">
        <v>10</v>
      </c>
      <c r="AH4" s="437" t="s">
        <v>99</v>
      </c>
      <c r="AI4" s="437" t="s">
        <v>100</v>
      </c>
      <c r="AJ4" s="437" t="s">
        <v>10</v>
      </c>
      <c r="AK4" s="437" t="s">
        <v>99</v>
      </c>
      <c r="AL4" s="437" t="s">
        <v>100</v>
      </c>
      <c r="AM4" s="56" t="s">
        <v>10</v>
      </c>
      <c r="AN4" s="55" t="s">
        <v>100</v>
      </c>
    </row>
    <row r="5" spans="2:42" s="35" customFormat="1" ht="18" customHeight="1">
      <c r="B5" s="55">
        <v>1</v>
      </c>
      <c r="C5" s="55">
        <v>2</v>
      </c>
      <c r="D5" s="55">
        <v>3</v>
      </c>
      <c r="E5" s="55">
        <v>4</v>
      </c>
      <c r="F5" s="319">
        <v>5</v>
      </c>
      <c r="G5" s="319">
        <v>6</v>
      </c>
      <c r="H5" s="319">
        <v>7</v>
      </c>
      <c r="I5" s="55">
        <v>5</v>
      </c>
      <c r="J5" s="55">
        <v>6</v>
      </c>
      <c r="K5" s="55">
        <v>7</v>
      </c>
      <c r="L5" s="55">
        <v>8</v>
      </c>
      <c r="M5" s="55">
        <v>9</v>
      </c>
      <c r="N5" s="55">
        <v>10</v>
      </c>
      <c r="O5" s="55">
        <v>11</v>
      </c>
      <c r="P5" s="55">
        <v>12</v>
      </c>
      <c r="Q5" s="55">
        <v>13</v>
      </c>
      <c r="R5" s="55">
        <v>14</v>
      </c>
      <c r="S5" s="55">
        <v>15</v>
      </c>
      <c r="T5" s="55">
        <v>16</v>
      </c>
      <c r="U5" s="55">
        <v>17</v>
      </c>
      <c r="V5" s="55">
        <v>18</v>
      </c>
      <c r="W5" s="55">
        <v>19</v>
      </c>
      <c r="X5" s="55">
        <v>20</v>
      </c>
      <c r="Y5" s="55">
        <v>21</v>
      </c>
      <c r="Z5" s="55">
        <v>22</v>
      </c>
      <c r="AA5" s="55">
        <v>23</v>
      </c>
      <c r="AB5" s="55">
        <v>24</v>
      </c>
      <c r="AC5" s="55">
        <v>25</v>
      </c>
      <c r="AD5" s="437">
        <v>26</v>
      </c>
      <c r="AE5" s="437">
        <v>27</v>
      </c>
      <c r="AF5" s="437">
        <v>28</v>
      </c>
      <c r="AG5" s="437">
        <v>29</v>
      </c>
      <c r="AH5" s="437">
        <v>30</v>
      </c>
      <c r="AI5" s="437">
        <v>31</v>
      </c>
      <c r="AJ5" s="437">
        <v>32</v>
      </c>
      <c r="AK5" s="437">
        <v>33</v>
      </c>
      <c r="AL5" s="437">
        <v>34</v>
      </c>
      <c r="AM5" s="434">
        <v>26</v>
      </c>
      <c r="AN5" s="434">
        <v>27</v>
      </c>
    </row>
    <row r="6" spans="2:42" ht="31.5" customHeight="1">
      <c r="B6" s="56" t="s">
        <v>11</v>
      </c>
      <c r="C6" s="57" t="s">
        <v>63</v>
      </c>
      <c r="D6" s="57"/>
      <c r="E6" s="57"/>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6"/>
      <c r="AN6" s="56"/>
    </row>
    <row r="7" spans="2:42" ht="31.5" customHeight="1">
      <c r="B7" s="59">
        <v>1</v>
      </c>
      <c r="C7" s="60" t="s">
        <v>148</v>
      </c>
      <c r="D7" s="60" t="s">
        <v>98</v>
      </c>
      <c r="E7" s="75">
        <f>Primary!H20</f>
        <v>0.38566</v>
      </c>
      <c r="F7" s="341">
        <f>F14*1.4*F2</f>
        <v>6532680</v>
      </c>
      <c r="G7" s="70">
        <f>B7*1.1</f>
        <v>1.1000000000000001</v>
      </c>
      <c r="H7" s="70"/>
      <c r="I7" s="342">
        <f>(F14*0.2+I14*1.4)*F2</f>
        <v>19784688</v>
      </c>
      <c r="J7" s="70">
        <f>G7*1.1</f>
        <v>1.2100000000000002</v>
      </c>
      <c r="K7" s="70">
        <f>I7*J7/100000</f>
        <v>239.39472480000003</v>
      </c>
      <c r="L7" s="343">
        <f>(I14*0.2+L14*1.4)*F2</f>
        <v>21544512</v>
      </c>
      <c r="M7" s="70">
        <f>J7*1.1</f>
        <v>1.3310000000000004</v>
      </c>
      <c r="N7" s="70">
        <f>L7*M7/100000</f>
        <v>286.75745472000011</v>
      </c>
      <c r="O7" s="334">
        <f>(L14*0.2+O14*1.4)*F2</f>
        <v>21544512</v>
      </c>
      <c r="P7" s="320">
        <f t="shared" ref="P7:P10" si="0">M7*1.1</f>
        <v>1.4641000000000006</v>
      </c>
      <c r="Q7" s="70">
        <f t="shared" ref="Q7:Q10" si="1">O7*P7/100000</f>
        <v>315.43320019200013</v>
      </c>
      <c r="R7" s="332">
        <f>(O14*0.2+R14*1.4)*F2</f>
        <v>11932140</v>
      </c>
      <c r="S7" s="70">
        <f>P7*1.1</f>
        <v>1.6105100000000008</v>
      </c>
      <c r="T7" s="340">
        <f>R7*S7/100000</f>
        <v>192.16830791400008</v>
      </c>
      <c r="U7" s="62"/>
      <c r="V7" s="70">
        <f t="shared" ref="V7:V11" si="2">S7*1.1</f>
        <v>1.7715610000000011</v>
      </c>
      <c r="W7" s="340"/>
      <c r="X7" s="62"/>
      <c r="Y7" s="70">
        <f t="shared" ref="Y7:Y11" si="3">V7*1.1</f>
        <v>1.9487171000000014</v>
      </c>
      <c r="Z7" s="340"/>
      <c r="AA7" s="72"/>
      <c r="AB7" s="72"/>
      <c r="AC7" s="72"/>
      <c r="AD7" s="72"/>
      <c r="AE7" s="72"/>
      <c r="AF7" s="72"/>
      <c r="AG7" s="72"/>
      <c r="AH7" s="72"/>
      <c r="AI7" s="72"/>
      <c r="AJ7" s="72"/>
      <c r="AK7" s="72"/>
      <c r="AL7" s="72"/>
      <c r="AM7" s="186">
        <f>AA7+X7+U7+R7+O7+L7+I7+F7+AD7+AG7+AJ7</f>
        <v>81338532</v>
      </c>
      <c r="AN7" s="188">
        <f>AC7+Z7+W7+T7+Q7+N7+K7+H7+AF7+AI7+AL7</f>
        <v>1033.7536876260003</v>
      </c>
    </row>
    <row r="8" spans="2:42" ht="31.5" customHeight="1">
      <c r="B8" s="59">
        <v>2</v>
      </c>
      <c r="C8" s="60" t="s">
        <v>177</v>
      </c>
      <c r="D8" s="60" t="s">
        <v>98</v>
      </c>
      <c r="E8" s="75">
        <f>R_4x7!J32</f>
        <v>3.8060435294117649</v>
      </c>
      <c r="F8" s="341">
        <f>$F$7</f>
        <v>6532680</v>
      </c>
      <c r="G8" s="70">
        <f t="shared" ref="G8:G11" si="4">B8*1.1</f>
        <v>2.2000000000000002</v>
      </c>
      <c r="H8" s="70"/>
      <c r="I8" s="333">
        <f>$I$7</f>
        <v>19784688</v>
      </c>
      <c r="J8" s="70">
        <f>G8*1.1</f>
        <v>2.4200000000000004</v>
      </c>
      <c r="K8" s="70">
        <f>I8*J8/100000</f>
        <v>478.78944960000007</v>
      </c>
      <c r="L8" s="343">
        <f>$L$7</f>
        <v>21544512</v>
      </c>
      <c r="M8" s="70">
        <f>J8*1.1</f>
        <v>2.6620000000000008</v>
      </c>
      <c r="N8" s="70">
        <f>L8*M8/100000</f>
        <v>573.51490944000022</v>
      </c>
      <c r="O8" s="334">
        <f>$O$7</f>
        <v>21544512</v>
      </c>
      <c r="P8" s="320">
        <f t="shared" si="0"/>
        <v>2.9282000000000012</v>
      </c>
      <c r="Q8" s="70">
        <f t="shared" si="1"/>
        <v>630.86640038400026</v>
      </c>
      <c r="R8" s="332">
        <f>$R$7</f>
        <v>11932140</v>
      </c>
      <c r="S8" s="70">
        <f t="shared" ref="S8:S11" si="5">P8*1.1</f>
        <v>3.2210200000000015</v>
      </c>
      <c r="T8" s="340">
        <f t="shared" ref="T8:T11" si="6">R8*S8/100000</f>
        <v>384.33661582800016</v>
      </c>
      <c r="U8" s="72"/>
      <c r="V8" s="70">
        <f t="shared" si="2"/>
        <v>3.5431220000000021</v>
      </c>
      <c r="W8" s="72"/>
      <c r="X8" s="72"/>
      <c r="Y8" s="70">
        <f t="shared" si="3"/>
        <v>3.8974342000000028</v>
      </c>
      <c r="Z8" s="72"/>
      <c r="AA8" s="72"/>
      <c r="AB8" s="72"/>
      <c r="AC8" s="72"/>
      <c r="AD8" s="72"/>
      <c r="AE8" s="72"/>
      <c r="AF8" s="72"/>
      <c r="AG8" s="72"/>
      <c r="AH8" s="72"/>
      <c r="AI8" s="72"/>
      <c r="AJ8" s="72"/>
      <c r="AK8" s="72"/>
      <c r="AL8" s="72"/>
      <c r="AM8" s="186">
        <f t="shared" ref="AM8:AM11" si="7">AA8+X8+U8+R8+O8+L8+I8+F8+AD8+AG8+AJ8</f>
        <v>81338532</v>
      </c>
      <c r="AN8" s="188">
        <f t="shared" ref="AN8:AN11" si="8">AC8+Z8+W8+T8+Q8+N8+K8+H8+AF8+AI8+AL8</f>
        <v>2067.5073752520007</v>
      </c>
    </row>
    <row r="9" spans="2:42" ht="31.5" customHeight="1">
      <c r="B9" s="59">
        <v>3</v>
      </c>
      <c r="C9" s="60" t="s">
        <v>178</v>
      </c>
      <c r="D9" s="60" t="s">
        <v>98</v>
      </c>
      <c r="E9" s="75">
        <f>M_4x7!J13</f>
        <v>0.90393615384615378</v>
      </c>
      <c r="F9" s="62"/>
      <c r="G9" s="70">
        <f t="shared" si="4"/>
        <v>3.3000000000000003</v>
      </c>
      <c r="H9" s="70"/>
      <c r="I9" s="341">
        <f>$F$7</f>
        <v>6532680</v>
      </c>
      <c r="J9" s="70">
        <f t="shared" ref="J9:J11" si="9">G9*1.1</f>
        <v>3.6300000000000008</v>
      </c>
      <c r="K9" s="70">
        <f t="shared" ref="K9:K10" si="10">I9*J9/100000</f>
        <v>237.13628400000005</v>
      </c>
      <c r="L9" s="333">
        <f>$I$7</f>
        <v>19784688</v>
      </c>
      <c r="M9" s="70">
        <f t="shared" ref="M9:M11" si="11">J9*1.1</f>
        <v>3.9930000000000012</v>
      </c>
      <c r="N9" s="70">
        <f>L9*M9/100000</f>
        <v>790.00259184000026</v>
      </c>
      <c r="O9" s="343">
        <f t="shared" ref="O9:O10" si="12">$L$7</f>
        <v>21544512</v>
      </c>
      <c r="P9" s="320">
        <f t="shared" si="0"/>
        <v>4.3923000000000014</v>
      </c>
      <c r="Q9" s="70">
        <f t="shared" si="1"/>
        <v>946.29960057600033</v>
      </c>
      <c r="R9" s="334">
        <f t="shared" ref="R9:R10" si="13">$O$7</f>
        <v>21544512</v>
      </c>
      <c r="S9" s="70">
        <f t="shared" si="5"/>
        <v>4.8315300000000017</v>
      </c>
      <c r="T9" s="340">
        <f t="shared" si="6"/>
        <v>1040.9295606336004</v>
      </c>
      <c r="U9" s="332">
        <f>$R$7</f>
        <v>11932140</v>
      </c>
      <c r="V9" s="70">
        <f t="shared" si="2"/>
        <v>5.3146830000000023</v>
      </c>
      <c r="W9" s="340">
        <f t="shared" ref="W9:W11" si="14">U9*V9/100000</f>
        <v>634.15541611620029</v>
      </c>
      <c r="X9" s="340"/>
      <c r="Y9" s="70">
        <f t="shared" si="3"/>
        <v>5.8461513000000034</v>
      </c>
      <c r="Z9" s="72"/>
      <c r="AA9" s="72"/>
      <c r="AB9" s="72"/>
      <c r="AC9" s="72"/>
      <c r="AD9" s="72"/>
      <c r="AE9" s="72"/>
      <c r="AF9" s="72"/>
      <c r="AG9" s="72"/>
      <c r="AH9" s="72"/>
      <c r="AI9" s="72"/>
      <c r="AJ9" s="72"/>
      <c r="AK9" s="72"/>
      <c r="AL9" s="72"/>
      <c r="AM9" s="186">
        <f t="shared" si="7"/>
        <v>81338532</v>
      </c>
      <c r="AN9" s="188">
        <f t="shared" si="8"/>
        <v>3648.5234531658011</v>
      </c>
    </row>
    <row r="10" spans="2:42" ht="31.5" customHeight="1">
      <c r="B10" s="59">
        <v>4</v>
      </c>
      <c r="C10" s="60" t="s">
        <v>179</v>
      </c>
      <c r="D10" s="60" t="s">
        <v>98</v>
      </c>
      <c r="E10" s="75">
        <f>Conversion!J27</f>
        <v>6.5721304090909092</v>
      </c>
      <c r="F10" s="62"/>
      <c r="G10" s="70">
        <f t="shared" si="4"/>
        <v>4.4000000000000004</v>
      </c>
      <c r="H10" s="70"/>
      <c r="I10" s="341">
        <f>$F$7</f>
        <v>6532680</v>
      </c>
      <c r="J10" s="70">
        <f t="shared" si="9"/>
        <v>4.8400000000000007</v>
      </c>
      <c r="K10" s="70">
        <f t="shared" si="10"/>
        <v>316.18171200000006</v>
      </c>
      <c r="L10" s="333">
        <f>$I$7</f>
        <v>19784688</v>
      </c>
      <c r="M10" s="70">
        <f t="shared" si="11"/>
        <v>5.3240000000000016</v>
      </c>
      <c r="N10" s="70">
        <f>L10*M10/100000</f>
        <v>1053.3367891200003</v>
      </c>
      <c r="O10" s="343">
        <f t="shared" si="12"/>
        <v>21544512</v>
      </c>
      <c r="P10" s="320">
        <f t="shared" si="0"/>
        <v>5.8564000000000025</v>
      </c>
      <c r="Q10" s="70">
        <f t="shared" si="1"/>
        <v>1261.7328007680005</v>
      </c>
      <c r="R10" s="334">
        <f t="shared" si="13"/>
        <v>21544512</v>
      </c>
      <c r="S10" s="70">
        <f t="shared" si="5"/>
        <v>6.4420400000000031</v>
      </c>
      <c r="T10" s="340">
        <f t="shared" si="6"/>
        <v>1387.9060808448007</v>
      </c>
      <c r="U10" s="332">
        <f>$R$7</f>
        <v>11932140</v>
      </c>
      <c r="V10" s="70">
        <f t="shared" si="2"/>
        <v>7.0862440000000042</v>
      </c>
      <c r="W10" s="340">
        <f t="shared" si="14"/>
        <v>845.54055482160049</v>
      </c>
      <c r="X10" s="340"/>
      <c r="Y10" s="70">
        <f t="shared" si="3"/>
        <v>7.7948684000000057</v>
      </c>
      <c r="Z10" s="72"/>
      <c r="AA10" s="72"/>
      <c r="AB10" s="72"/>
      <c r="AC10" s="72"/>
      <c r="AD10" s="72"/>
      <c r="AE10" s="72"/>
      <c r="AF10" s="72"/>
      <c r="AG10" s="72"/>
      <c r="AH10" s="72"/>
      <c r="AI10" s="72"/>
      <c r="AJ10" s="72"/>
      <c r="AK10" s="72"/>
      <c r="AL10" s="72"/>
      <c r="AM10" s="186">
        <f t="shared" si="7"/>
        <v>81338532</v>
      </c>
      <c r="AN10" s="188">
        <f t="shared" si="8"/>
        <v>4864.6979375544015</v>
      </c>
    </row>
    <row r="11" spans="2:42" ht="31.5" customHeight="1">
      <c r="B11" s="59">
        <v>5</v>
      </c>
      <c r="C11" s="60" t="s">
        <v>180</v>
      </c>
      <c r="D11" s="60" t="s">
        <v>98</v>
      </c>
      <c r="E11" s="75">
        <f>M_6x12!J20+'M_6x12 (2)'!J11</f>
        <v>3.6430051818181814</v>
      </c>
      <c r="F11" s="62"/>
      <c r="G11" s="70">
        <f t="shared" si="4"/>
        <v>5.5</v>
      </c>
      <c r="H11" s="70"/>
      <c r="I11" s="62"/>
      <c r="J11" s="70">
        <f t="shared" si="9"/>
        <v>6.0500000000000007</v>
      </c>
      <c r="K11" s="70"/>
      <c r="L11" s="341">
        <f>$F$7</f>
        <v>6532680</v>
      </c>
      <c r="M11" s="320">
        <f t="shared" si="11"/>
        <v>6.6550000000000011</v>
      </c>
      <c r="N11" s="70">
        <f>L11*M11/100000</f>
        <v>434.74985400000008</v>
      </c>
      <c r="O11" s="333">
        <f>$I$7</f>
        <v>19784688</v>
      </c>
      <c r="P11" s="320">
        <f t="shared" ref="P11" si="15">M11*1.1</f>
        <v>7.3205000000000018</v>
      </c>
      <c r="Q11" s="70">
        <f>O11*P11/100000</f>
        <v>1448.3380850400004</v>
      </c>
      <c r="R11" s="343">
        <f>$L$7</f>
        <v>21544512</v>
      </c>
      <c r="S11" s="70">
        <f t="shared" si="5"/>
        <v>8.0525500000000019</v>
      </c>
      <c r="T11" s="340">
        <f t="shared" si="6"/>
        <v>1734.8826010560003</v>
      </c>
      <c r="U11" s="334">
        <f>$O$7</f>
        <v>21544512</v>
      </c>
      <c r="V11" s="70">
        <f t="shared" si="2"/>
        <v>8.8578050000000026</v>
      </c>
      <c r="W11" s="340">
        <f t="shared" si="14"/>
        <v>1908.3708611616007</v>
      </c>
      <c r="X11" s="332">
        <f>$R$7</f>
        <v>11932140</v>
      </c>
      <c r="Y11" s="70">
        <f t="shared" si="3"/>
        <v>9.7435855000000036</v>
      </c>
      <c r="Z11" s="70">
        <f t="shared" ref="Z11" si="16">X11*Y11/100000</f>
        <v>1162.6182628797003</v>
      </c>
      <c r="AA11" s="72"/>
      <c r="AB11" s="72"/>
      <c r="AC11" s="72"/>
      <c r="AD11" s="72"/>
      <c r="AE11" s="72"/>
      <c r="AF11" s="72"/>
      <c r="AG11" s="72"/>
      <c r="AH11" s="72"/>
      <c r="AI11" s="72"/>
      <c r="AJ11" s="72"/>
      <c r="AK11" s="72"/>
      <c r="AL11" s="72"/>
      <c r="AM11" s="186">
        <f t="shared" si="7"/>
        <v>81338532</v>
      </c>
      <c r="AN11" s="188">
        <f t="shared" si="8"/>
        <v>6688.9596641373009</v>
      </c>
    </row>
    <row r="12" spans="2:42" s="339" customFormat="1" ht="31.5" customHeight="1">
      <c r="B12" s="531" t="s">
        <v>12</v>
      </c>
      <c r="C12" s="531"/>
      <c r="D12" s="330"/>
      <c r="E12" s="330"/>
      <c r="F12" s="331"/>
      <c r="G12" s="331"/>
      <c r="H12" s="330">
        <f>SUM(H7:H11)</f>
        <v>0</v>
      </c>
      <c r="I12" s="331"/>
      <c r="J12" s="331"/>
      <c r="K12" s="330">
        <f>SUM(K7:K11)</f>
        <v>1271.5021704000001</v>
      </c>
      <c r="L12" s="331"/>
      <c r="M12" s="331"/>
      <c r="N12" s="330">
        <f>SUM(N7:N11)</f>
        <v>3138.3615991200008</v>
      </c>
      <c r="O12" s="331"/>
      <c r="P12" s="331"/>
      <c r="Q12" s="330">
        <f>SUM(Q7:Q11)</f>
        <v>4602.6700869600008</v>
      </c>
      <c r="R12" s="331"/>
      <c r="S12" s="331"/>
      <c r="T12" s="330">
        <f>SUM(T7:T11)</f>
        <v>4740.2231662764016</v>
      </c>
      <c r="U12" s="331"/>
      <c r="V12" s="331"/>
      <c r="W12" s="330">
        <f>SUM(W7:W11)</f>
        <v>3388.0668320994014</v>
      </c>
      <c r="X12" s="331"/>
      <c r="Y12" s="331"/>
      <c r="Z12" s="330">
        <f>SUM(Z7:Z11)</f>
        <v>1162.6182628797003</v>
      </c>
      <c r="AA12" s="331"/>
      <c r="AB12" s="331"/>
      <c r="AC12" s="330">
        <f>SUM(AC7:AC11)</f>
        <v>0</v>
      </c>
      <c r="AD12" s="331"/>
      <c r="AE12" s="331"/>
      <c r="AF12" s="438">
        <f>SUM(AF7:AF11)</f>
        <v>0</v>
      </c>
      <c r="AG12" s="331"/>
      <c r="AH12" s="331"/>
      <c r="AI12" s="438">
        <f>SUM(AI7:AI11)</f>
        <v>0</v>
      </c>
      <c r="AJ12" s="331"/>
      <c r="AK12" s="331"/>
      <c r="AL12" s="438">
        <f>SUM(AL7:AL11)</f>
        <v>0</v>
      </c>
      <c r="AM12" s="330"/>
      <c r="AN12" s="330">
        <f>SUM(AN7:AN11)</f>
        <v>18303.442117735503</v>
      </c>
      <c r="AO12" s="344">
        <f>AN12/AM11*100000</f>
        <v>22.502793777659406</v>
      </c>
      <c r="AP12" s="344" t="s">
        <v>98</v>
      </c>
    </row>
    <row r="13" spans="2:42" ht="31.5" customHeight="1">
      <c r="B13" s="56" t="s">
        <v>124</v>
      </c>
      <c r="C13" s="57" t="s">
        <v>149</v>
      </c>
      <c r="D13" s="57"/>
      <c r="E13" s="57"/>
      <c r="F13" s="66"/>
      <c r="G13" s="66"/>
      <c r="H13" s="66"/>
      <c r="I13" s="66"/>
      <c r="J13" s="66"/>
      <c r="K13" s="66"/>
      <c r="L13" s="66"/>
      <c r="M13" s="66"/>
      <c r="N13" s="66"/>
      <c r="O13" s="66"/>
      <c r="P13" s="66"/>
      <c r="Q13" s="66"/>
      <c r="R13" s="66"/>
      <c r="S13" s="66"/>
      <c r="T13" s="67"/>
      <c r="U13" s="66"/>
      <c r="V13" s="66"/>
      <c r="W13" s="66"/>
      <c r="X13" s="66"/>
      <c r="Y13" s="66"/>
      <c r="Z13" s="66"/>
      <c r="AA13" s="66"/>
      <c r="AB13" s="66"/>
      <c r="AC13" s="66"/>
      <c r="AD13" s="66"/>
      <c r="AE13" s="66"/>
      <c r="AF13" s="66"/>
      <c r="AG13" s="66"/>
      <c r="AH13" s="66"/>
      <c r="AI13" s="66"/>
      <c r="AJ13" s="66"/>
      <c r="AK13" s="66"/>
      <c r="AL13" s="66"/>
      <c r="AM13" s="186"/>
      <c r="AN13" s="187"/>
    </row>
    <row r="14" spans="2:42" ht="31.5" customHeight="1">
      <c r="B14" s="59">
        <v>6</v>
      </c>
      <c r="C14" s="60" t="s">
        <v>13</v>
      </c>
      <c r="D14" s="60" t="s">
        <v>79</v>
      </c>
      <c r="E14" s="69">
        <f>Adv_SMM!I21</f>
        <v>38680</v>
      </c>
      <c r="F14" s="334">
        <f>7000*0.6</f>
        <v>4200</v>
      </c>
      <c r="G14" s="184">
        <f>E14*1.1</f>
        <v>42548</v>
      </c>
      <c r="H14" s="70"/>
      <c r="I14" s="332">
        <f>20200*0.6</f>
        <v>12120</v>
      </c>
      <c r="J14" s="184">
        <f t="shared" ref="J14:J17" si="17">E14*1.1*1.1</f>
        <v>46802.8</v>
      </c>
      <c r="K14" s="70">
        <f>I14*J14/100000</f>
        <v>5672.4993599999998</v>
      </c>
      <c r="L14" s="321">
        <f>20200*0.6</f>
        <v>12120</v>
      </c>
      <c r="M14" s="69">
        <f>J14*1.1</f>
        <v>51483.080000000009</v>
      </c>
      <c r="N14" s="70">
        <f>L14*M14/100000</f>
        <v>6239.7492960000018</v>
      </c>
      <c r="O14" s="337">
        <f>20200*0.6</f>
        <v>12120</v>
      </c>
      <c r="P14" s="81">
        <f>M14*1.1</f>
        <v>56631.388000000014</v>
      </c>
      <c r="Q14" s="70">
        <f>O14*P14/100000</f>
        <v>6863.7242256000018</v>
      </c>
      <c r="R14" s="338">
        <f>9900*0.6</f>
        <v>5940</v>
      </c>
      <c r="S14" s="81">
        <f>P14*1.1</f>
        <v>62294.526800000021</v>
      </c>
      <c r="T14" s="70">
        <f>R14*S14/100000</f>
        <v>3700.2948919200016</v>
      </c>
      <c r="U14" s="71"/>
      <c r="V14" s="71"/>
      <c r="W14" s="71"/>
      <c r="X14" s="71"/>
      <c r="Y14" s="71"/>
      <c r="Z14" s="71"/>
      <c r="AA14" s="58"/>
      <c r="AB14" s="58"/>
      <c r="AC14" s="71"/>
      <c r="AD14" s="58"/>
      <c r="AE14" s="58"/>
      <c r="AF14" s="71"/>
      <c r="AG14" s="58"/>
      <c r="AH14" s="58"/>
      <c r="AI14" s="71"/>
      <c r="AJ14" s="58"/>
      <c r="AK14" s="58"/>
      <c r="AL14" s="71"/>
      <c r="AM14" s="186">
        <f t="shared" ref="AM14:AM17" si="18">AA14+X14+U14+R14+O14+L14+I14+F14+AD14+AG14+AJ14</f>
        <v>46500</v>
      </c>
      <c r="AN14" s="188">
        <f t="shared" ref="AN14:AN17" si="19">AC14+Z14+W14+T14+Q14+N14+K14+H14+AF14+AI14+AL14</f>
        <v>22476.267773520005</v>
      </c>
    </row>
    <row r="15" spans="2:42" ht="31.5" customHeight="1">
      <c r="B15" s="59">
        <v>7</v>
      </c>
      <c r="C15" s="60" t="s">
        <v>101</v>
      </c>
      <c r="D15" s="60" t="s">
        <v>79</v>
      </c>
      <c r="E15" s="81">
        <f>R_SMM!I39</f>
        <v>47189</v>
      </c>
      <c r="F15" s="69"/>
      <c r="G15" s="63">
        <f t="shared" ref="G15:G17" si="20">E15*1.1</f>
        <v>51907.9</v>
      </c>
      <c r="H15" s="70"/>
      <c r="I15" s="335">
        <f>$F$14</f>
        <v>4200</v>
      </c>
      <c r="J15" s="184">
        <f t="shared" si="17"/>
        <v>57098.69000000001</v>
      </c>
      <c r="K15" s="70">
        <f>I15*J15/100000</f>
        <v>2398.1449800000005</v>
      </c>
      <c r="L15" s="336">
        <f>$I$14</f>
        <v>12120</v>
      </c>
      <c r="M15" s="69">
        <f t="shared" ref="M15:M16" si="21">J15*1.1</f>
        <v>62808.559000000016</v>
      </c>
      <c r="N15" s="70">
        <f t="shared" ref="N15:N16" si="22">L15*M15/100000</f>
        <v>7612.3973508000017</v>
      </c>
      <c r="O15" s="321">
        <f>$L$14</f>
        <v>12120</v>
      </c>
      <c r="P15" s="81">
        <f t="shared" ref="P15:P17" si="23">M15*1.1</f>
        <v>69089.414900000018</v>
      </c>
      <c r="Q15" s="70">
        <f>O15*P15/100000</f>
        <v>8373.6370858800019</v>
      </c>
      <c r="R15" s="337">
        <f>$O$14</f>
        <v>12120</v>
      </c>
      <c r="S15" s="81">
        <f t="shared" ref="S15:S17" si="24">P15*1.1</f>
        <v>75998.35639000003</v>
      </c>
      <c r="T15" s="70">
        <f t="shared" ref="T15:T17" si="25">R15*S15/100000</f>
        <v>9211.0007944680037</v>
      </c>
      <c r="U15" s="338">
        <f>$R$14</f>
        <v>5940</v>
      </c>
      <c r="V15" s="69">
        <f t="shared" ref="V15:V17" si="26">S15*1.1</f>
        <v>83598.192029000042</v>
      </c>
      <c r="W15" s="70">
        <f t="shared" ref="W15:W17" si="27">U15*V15/100000</f>
        <v>4965.7326065226025</v>
      </c>
      <c r="X15" s="71"/>
      <c r="Y15" s="71"/>
      <c r="Z15" s="71"/>
      <c r="AA15" s="71"/>
      <c r="AB15" s="71"/>
      <c r="AC15" s="71"/>
      <c r="AD15" s="71"/>
      <c r="AE15" s="71"/>
      <c r="AF15" s="71"/>
      <c r="AG15" s="71"/>
      <c r="AH15" s="71"/>
      <c r="AI15" s="71"/>
      <c r="AJ15" s="71"/>
      <c r="AK15" s="71"/>
      <c r="AL15" s="71"/>
      <c r="AM15" s="186">
        <f t="shared" si="18"/>
        <v>46500</v>
      </c>
      <c r="AN15" s="188">
        <f t="shared" si="19"/>
        <v>32560.912817670611</v>
      </c>
    </row>
    <row r="16" spans="2:42" ht="31.5" customHeight="1">
      <c r="B16" s="59">
        <v>8</v>
      </c>
      <c r="C16" s="60" t="s">
        <v>14</v>
      </c>
      <c r="D16" s="60" t="s">
        <v>79</v>
      </c>
      <c r="E16" s="81">
        <f>I_SMM!I22</f>
        <v>18653</v>
      </c>
      <c r="F16" s="69"/>
      <c r="G16" s="63">
        <f t="shared" si="20"/>
        <v>20518.300000000003</v>
      </c>
      <c r="H16" s="71"/>
      <c r="I16" s="69"/>
      <c r="J16" s="63">
        <f t="shared" si="17"/>
        <v>22570.130000000005</v>
      </c>
      <c r="K16" s="71"/>
      <c r="L16" s="335">
        <f>$F$14</f>
        <v>4200</v>
      </c>
      <c r="M16" s="69">
        <f t="shared" si="21"/>
        <v>24827.143000000007</v>
      </c>
      <c r="N16" s="70">
        <f t="shared" si="22"/>
        <v>1042.7400060000002</v>
      </c>
      <c r="O16" s="336">
        <f>$I$14</f>
        <v>12120</v>
      </c>
      <c r="P16" s="81">
        <f t="shared" si="23"/>
        <v>27309.857300000011</v>
      </c>
      <c r="Q16" s="70">
        <f t="shared" ref="Q16:Q17" si="28">O16*P16/100000</f>
        <v>3309.9547047600013</v>
      </c>
      <c r="R16" s="321">
        <f>$L$14</f>
        <v>12120</v>
      </c>
      <c r="S16" s="81">
        <f t="shared" si="24"/>
        <v>30040.843030000015</v>
      </c>
      <c r="T16" s="70">
        <f t="shared" si="25"/>
        <v>3640.9501752360015</v>
      </c>
      <c r="U16" s="337">
        <f>$O$14</f>
        <v>12120</v>
      </c>
      <c r="V16" s="69">
        <f t="shared" si="26"/>
        <v>33044.927333000021</v>
      </c>
      <c r="W16" s="70">
        <f t="shared" si="27"/>
        <v>4005.0451927596027</v>
      </c>
      <c r="X16" s="338">
        <f>$R$14</f>
        <v>5940</v>
      </c>
      <c r="Y16" s="69">
        <f t="shared" ref="Y16:Y17" si="29">V16*1.1</f>
        <v>36349.42006630003</v>
      </c>
      <c r="Z16" s="70">
        <f t="shared" ref="Z16:Z17" si="30">X16*Y16/100000</f>
        <v>2159.1555519382218</v>
      </c>
      <c r="AA16" s="71"/>
      <c r="AB16" s="61"/>
      <c r="AC16" s="71"/>
      <c r="AD16" s="71"/>
      <c r="AE16" s="61"/>
      <c r="AF16" s="71"/>
      <c r="AG16" s="71"/>
      <c r="AH16" s="61"/>
      <c r="AI16" s="71"/>
      <c r="AJ16" s="71"/>
      <c r="AK16" s="61"/>
      <c r="AL16" s="71"/>
      <c r="AM16" s="186">
        <f t="shared" si="18"/>
        <v>46500</v>
      </c>
      <c r="AN16" s="188">
        <f t="shared" si="19"/>
        <v>14157.845630693826</v>
      </c>
    </row>
    <row r="17" spans="2:41" ht="31.5" customHeight="1">
      <c r="B17" s="59">
        <v>9</v>
      </c>
      <c r="C17" s="60" t="s">
        <v>15</v>
      </c>
      <c r="D17" s="60" t="s">
        <v>79</v>
      </c>
      <c r="E17" s="81">
        <f>II_SMM!I19</f>
        <v>14232</v>
      </c>
      <c r="F17" s="69"/>
      <c r="G17" s="63">
        <f t="shared" si="20"/>
        <v>15655.2</v>
      </c>
      <c r="H17" s="71"/>
      <c r="I17" s="69"/>
      <c r="J17" s="63">
        <f t="shared" si="17"/>
        <v>17220.72</v>
      </c>
      <c r="K17" s="71"/>
      <c r="L17" s="58"/>
      <c r="M17" s="73">
        <f t="shared" ref="M17" si="31">J17*1.1</f>
        <v>18942.792000000001</v>
      </c>
      <c r="N17" s="71"/>
      <c r="O17" s="335">
        <f>$F$14</f>
        <v>4200</v>
      </c>
      <c r="P17" s="81">
        <f t="shared" si="23"/>
        <v>20837.071200000002</v>
      </c>
      <c r="Q17" s="70">
        <f t="shared" si="28"/>
        <v>875.15699040000004</v>
      </c>
      <c r="R17" s="336">
        <f>$I$14</f>
        <v>12120</v>
      </c>
      <c r="S17" s="81">
        <f t="shared" si="24"/>
        <v>22920.778320000005</v>
      </c>
      <c r="T17" s="70">
        <f t="shared" si="25"/>
        <v>2777.9983323840006</v>
      </c>
      <c r="U17" s="321">
        <f>$L$14</f>
        <v>12120</v>
      </c>
      <c r="V17" s="69">
        <f t="shared" si="26"/>
        <v>25212.856152000008</v>
      </c>
      <c r="W17" s="70">
        <f t="shared" si="27"/>
        <v>3055.7981656224006</v>
      </c>
      <c r="X17" s="337">
        <f>$O$14</f>
        <v>12120</v>
      </c>
      <c r="Y17" s="69">
        <f t="shared" si="29"/>
        <v>27734.14176720001</v>
      </c>
      <c r="Z17" s="70">
        <f t="shared" si="30"/>
        <v>3361.3779821846415</v>
      </c>
      <c r="AA17" s="338">
        <f>$R$14</f>
        <v>5940</v>
      </c>
      <c r="AB17" s="69">
        <f t="shared" ref="AB17" si="32">Y17*1.1</f>
        <v>30507.555943920011</v>
      </c>
      <c r="AC17" s="70">
        <f t="shared" ref="AC17" si="33">AA17*AB17/100000</f>
        <v>1812.1488230688485</v>
      </c>
      <c r="AD17" s="338"/>
      <c r="AE17" s="69">
        <f t="shared" ref="AE17" si="34">Y17*1.1</f>
        <v>30507.555943920011</v>
      </c>
      <c r="AF17" s="70">
        <f t="shared" ref="AF17" si="35">AD17*AE17/100000</f>
        <v>0</v>
      </c>
      <c r="AG17" s="338"/>
      <c r="AH17" s="69">
        <f t="shared" ref="AH17" si="36">AB17*1.1</f>
        <v>33558.311538312017</v>
      </c>
      <c r="AI17" s="70">
        <f t="shared" ref="AI17" si="37">AG17*AH17/100000</f>
        <v>0</v>
      </c>
      <c r="AJ17" s="338"/>
      <c r="AK17" s="69">
        <f t="shared" ref="AK17" si="38">AE17*1.1</f>
        <v>33558.311538312017</v>
      </c>
      <c r="AL17" s="70">
        <f t="shared" ref="AL17" si="39">AJ17*AK17/100000</f>
        <v>0</v>
      </c>
      <c r="AM17" s="186">
        <f t="shared" si="18"/>
        <v>46500</v>
      </c>
      <c r="AN17" s="188">
        <f t="shared" si="19"/>
        <v>11882.480293659892</v>
      </c>
    </row>
    <row r="18" spans="2:41" s="37" customFormat="1" ht="31.5" customHeight="1">
      <c r="B18" s="532" t="s">
        <v>12</v>
      </c>
      <c r="C18" s="532"/>
      <c r="D18" s="64"/>
      <c r="E18" s="64"/>
      <c r="F18" s="318"/>
      <c r="G18" s="65"/>
      <c r="H18" s="330">
        <f>SUM(H14:H17)</f>
        <v>0</v>
      </c>
      <c r="I18" s="330"/>
      <c r="J18" s="331"/>
      <c r="K18" s="330">
        <f>SUM(K14:K17)</f>
        <v>8070.6443400000007</v>
      </c>
      <c r="L18" s="330"/>
      <c r="M18" s="330"/>
      <c r="N18" s="330">
        <f>SUM(N14:N17)</f>
        <v>14894.886652800004</v>
      </c>
      <c r="O18" s="330"/>
      <c r="P18" s="330"/>
      <c r="Q18" s="330">
        <f>SUM(Q14:Q17)</f>
        <v>19422.473006640004</v>
      </c>
      <c r="R18" s="330"/>
      <c r="S18" s="330"/>
      <c r="T18" s="330">
        <f>SUM(T14:T17)</f>
        <v>19330.24419400801</v>
      </c>
      <c r="U18" s="330"/>
      <c r="V18" s="330"/>
      <c r="W18" s="330">
        <f>SUM(W14:W17)</f>
        <v>12026.575964904605</v>
      </c>
      <c r="X18" s="330"/>
      <c r="Y18" s="330"/>
      <c r="Z18" s="330">
        <f>SUM(Z14:Z17)</f>
        <v>5520.5335341228638</v>
      </c>
      <c r="AA18" s="330"/>
      <c r="AB18" s="330"/>
      <c r="AC18" s="330">
        <f>SUM(AC14:AC17)</f>
        <v>1812.1488230688485</v>
      </c>
      <c r="AD18" s="438"/>
      <c r="AE18" s="438"/>
      <c r="AF18" s="438">
        <f>SUM(AF14:AF17)</f>
        <v>0</v>
      </c>
      <c r="AG18" s="438"/>
      <c r="AH18" s="438"/>
      <c r="AI18" s="438">
        <f>SUM(AI14:AI17)</f>
        <v>0</v>
      </c>
      <c r="AJ18" s="438"/>
      <c r="AK18" s="438"/>
      <c r="AL18" s="438">
        <f>SUM(AL14:AL17)</f>
        <v>0</v>
      </c>
      <c r="AM18" s="330"/>
      <c r="AN18" s="330">
        <f>SUM(AN14:AN17)</f>
        <v>81077.50651554433</v>
      </c>
    </row>
    <row r="19" spans="2:41" ht="31.5" customHeight="1">
      <c r="B19" s="56" t="s">
        <v>16</v>
      </c>
      <c r="C19" s="57" t="s">
        <v>300</v>
      </c>
      <c r="D19" s="57"/>
      <c r="E19" s="57"/>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72"/>
      <c r="AN19" s="185"/>
    </row>
    <row r="20" spans="2:41" ht="31.5" customHeight="1">
      <c r="B20" s="59">
        <v>18</v>
      </c>
      <c r="C20" s="74" t="s">
        <v>407</v>
      </c>
      <c r="D20" s="74" t="s">
        <v>103</v>
      </c>
      <c r="E20" s="72">
        <v>150000</v>
      </c>
      <c r="F20" s="398">
        <f>F14*0.2</f>
        <v>840</v>
      </c>
      <c r="G20" s="62">
        <f>E20*1.1</f>
        <v>165000</v>
      </c>
      <c r="H20" s="70"/>
      <c r="I20" s="398">
        <f>I14*0.2</f>
        <v>2424</v>
      </c>
      <c r="J20" s="62">
        <f t="shared" ref="J20:J21" si="40">E20*1.1*1.1</f>
        <v>181500.00000000003</v>
      </c>
      <c r="K20" s="70">
        <f t="shared" ref="K20" si="41">I20*J20/100000</f>
        <v>4399.5600000000004</v>
      </c>
      <c r="L20" s="398">
        <f>L14*0.2</f>
        <v>2424</v>
      </c>
      <c r="M20" s="62">
        <f t="shared" ref="M20:M21" si="42">J20*1.1</f>
        <v>199650.00000000006</v>
      </c>
      <c r="N20" s="70">
        <f t="shared" ref="N20:N21" si="43">L20*M20/100000</f>
        <v>4839.5160000000014</v>
      </c>
      <c r="O20" s="398">
        <f>O14*0.2</f>
        <v>2424</v>
      </c>
      <c r="P20" s="62">
        <f t="shared" ref="P20" si="44">M20*1.1</f>
        <v>219615.00000000009</v>
      </c>
      <c r="Q20" s="70">
        <f t="shared" ref="Q20" si="45">O20*P20/100000</f>
        <v>5323.4676000000027</v>
      </c>
      <c r="R20" s="398">
        <f>R14*0.2</f>
        <v>1188</v>
      </c>
      <c r="S20" s="62">
        <f t="shared" ref="S20" si="46">P20*1.1</f>
        <v>241576.50000000012</v>
      </c>
      <c r="T20" s="70">
        <f t="shared" ref="T20" si="47">R20*S20/100000</f>
        <v>2869.928820000001</v>
      </c>
      <c r="U20" s="59"/>
      <c r="V20" s="59"/>
      <c r="W20" s="76"/>
      <c r="X20" s="77"/>
      <c r="Y20" s="77"/>
      <c r="Z20" s="76"/>
      <c r="AA20" s="76"/>
      <c r="AB20" s="76"/>
      <c r="AC20" s="76"/>
      <c r="AD20" s="76"/>
      <c r="AE20" s="76"/>
      <c r="AF20" s="76"/>
      <c r="AG20" s="76"/>
      <c r="AH20" s="76"/>
      <c r="AI20" s="76"/>
      <c r="AJ20" s="76"/>
      <c r="AK20" s="76"/>
      <c r="AL20" s="76"/>
      <c r="AM20" s="186">
        <f t="shared" ref="AM20:AM21" si="48">AA20+X20+U20+R20+O20+L20+I20+F20+AD20+AG20+AJ20</f>
        <v>9300</v>
      </c>
      <c r="AN20" s="188">
        <f t="shared" ref="AN20:AN21" si="49">AC20+Z20+W20+T20+Q20+N20+K20+H20+AF20+AI20+AL20</f>
        <v>17432.472420000006</v>
      </c>
    </row>
    <row r="21" spans="2:41" s="36" customFormat="1" ht="31.5" customHeight="1">
      <c r="B21" s="59">
        <v>23</v>
      </c>
      <c r="C21" s="78" t="s">
        <v>199</v>
      </c>
      <c r="D21" s="78" t="s">
        <v>120</v>
      </c>
      <c r="E21" s="78">
        <v>210</v>
      </c>
      <c r="F21" s="183"/>
      <c r="G21" s="62">
        <f>E21*1.1</f>
        <v>231.00000000000003</v>
      </c>
      <c r="H21" s="80"/>
      <c r="I21" s="183">
        <f>F14*200</f>
        <v>840000</v>
      </c>
      <c r="J21" s="62">
        <f t="shared" si="40"/>
        <v>254.10000000000005</v>
      </c>
      <c r="K21" s="345">
        <f>I21*J21/100000</f>
        <v>2134.4400000000005</v>
      </c>
      <c r="L21" s="183">
        <f>I14*200</f>
        <v>2424000</v>
      </c>
      <c r="M21" s="184">
        <f t="shared" si="42"/>
        <v>279.5100000000001</v>
      </c>
      <c r="N21" s="320">
        <f t="shared" si="43"/>
        <v>6775.3224000000027</v>
      </c>
      <c r="O21" s="72">
        <f>L14*200</f>
        <v>2424000</v>
      </c>
      <c r="P21" s="184">
        <f t="shared" ref="P21" si="50">M21*1.1</f>
        <v>307.46100000000013</v>
      </c>
      <c r="Q21" s="320">
        <f t="shared" ref="Q21" si="51">O21*P21/100000</f>
        <v>7452.8546400000032</v>
      </c>
      <c r="R21" s="72">
        <f>O14*200</f>
        <v>2424000</v>
      </c>
      <c r="S21" s="62">
        <f t="shared" ref="S21" si="52">P21*1.1</f>
        <v>338.20710000000014</v>
      </c>
      <c r="T21" s="320">
        <f t="shared" ref="T21" si="53">R21*S21/100000</f>
        <v>8198.1401040000037</v>
      </c>
      <c r="U21" s="79">
        <f>R14*200</f>
        <v>1188000</v>
      </c>
      <c r="V21" s="79">
        <f>S21*1.1</f>
        <v>372.02781000000016</v>
      </c>
      <c r="W21" s="320">
        <f t="shared" ref="W21" si="54">U21*V21/100000</f>
        <v>4419.6903828000022</v>
      </c>
      <c r="X21" s="79"/>
      <c r="Y21" s="79"/>
      <c r="Z21" s="82"/>
      <c r="AA21" s="79"/>
      <c r="AB21" s="79"/>
      <c r="AC21" s="82"/>
      <c r="AD21" s="79"/>
      <c r="AE21" s="79"/>
      <c r="AF21" s="82"/>
      <c r="AG21" s="79"/>
      <c r="AH21" s="79"/>
      <c r="AI21" s="82"/>
      <c r="AJ21" s="79"/>
      <c r="AK21" s="79"/>
      <c r="AL21" s="82"/>
      <c r="AM21" s="186">
        <f t="shared" si="48"/>
        <v>9300000</v>
      </c>
      <c r="AN21" s="188">
        <f t="shared" si="49"/>
        <v>28980.447526800017</v>
      </c>
    </row>
    <row r="22" spans="2:41" s="37" customFormat="1" ht="31.5" customHeight="1">
      <c r="B22" s="83"/>
      <c r="C22" s="64" t="s">
        <v>17</v>
      </c>
      <c r="D22" s="84"/>
      <c r="E22" s="84"/>
      <c r="F22" s="85"/>
      <c r="G22" s="85"/>
      <c r="H22" s="322">
        <f>SUM(H20:H21)</f>
        <v>0</v>
      </c>
      <c r="I22" s="323"/>
      <c r="J22" s="323"/>
      <c r="K22" s="322">
        <f>SUM(K20:K21)</f>
        <v>6534.0000000000009</v>
      </c>
      <c r="L22" s="323"/>
      <c r="M22" s="323"/>
      <c r="N22" s="322">
        <f>SUM(N20:N21)</f>
        <v>11614.838400000004</v>
      </c>
      <c r="O22" s="323"/>
      <c r="P22" s="323"/>
      <c r="Q22" s="322">
        <f>SUM(Q20:Q21)</f>
        <v>12776.322240000005</v>
      </c>
      <c r="R22" s="323"/>
      <c r="S22" s="323"/>
      <c r="T22" s="322">
        <f>SUM(T20:T21)</f>
        <v>11068.068924000005</v>
      </c>
      <c r="U22" s="323"/>
      <c r="V22" s="323"/>
      <c r="W22" s="322">
        <f>SUM(W20:W21)</f>
        <v>4419.6903828000022</v>
      </c>
      <c r="X22" s="323"/>
      <c r="Y22" s="323"/>
      <c r="Z22" s="322">
        <f>SUM(Z20:Z21)</f>
        <v>0</v>
      </c>
      <c r="AA22" s="323"/>
      <c r="AB22" s="323"/>
      <c r="AC22" s="322">
        <f>SUM(AC20:AC21)</f>
        <v>0</v>
      </c>
      <c r="AD22" s="323"/>
      <c r="AE22" s="323"/>
      <c r="AF22" s="322">
        <f>SUM(AF20:AF21)</f>
        <v>0</v>
      </c>
      <c r="AG22" s="323"/>
      <c r="AH22" s="323"/>
      <c r="AI22" s="322">
        <f>SUM(AI20:AI21)</f>
        <v>0</v>
      </c>
      <c r="AJ22" s="323"/>
      <c r="AK22" s="323"/>
      <c r="AL22" s="322">
        <f>SUM(AL20:AL21)</f>
        <v>0</v>
      </c>
      <c r="AM22" s="322"/>
      <c r="AN22" s="322">
        <f>SUM(AN19:AN21)</f>
        <v>46412.919946800022</v>
      </c>
    </row>
    <row r="23" spans="2:41" s="45" customFormat="1" ht="31.5" customHeight="1">
      <c r="B23" s="68" t="s">
        <v>125</v>
      </c>
      <c r="C23" s="87" t="s">
        <v>104</v>
      </c>
      <c r="D23" s="88"/>
      <c r="E23" s="88"/>
      <c r="F23" s="88"/>
      <c r="G23" s="88"/>
      <c r="H23" s="324">
        <f>(H18+H22+H12)*0.1</f>
        <v>0</v>
      </c>
      <c r="I23" s="325"/>
      <c r="J23" s="325"/>
      <c r="K23" s="324">
        <f>(K18+K22+K12)*0.1</f>
        <v>1587.6146510400004</v>
      </c>
      <c r="L23" s="325"/>
      <c r="M23" s="325"/>
      <c r="N23" s="324">
        <f>(N18+N22+N12)*0.1</f>
        <v>2964.8086651920012</v>
      </c>
      <c r="O23" s="325"/>
      <c r="P23" s="325"/>
      <c r="Q23" s="324">
        <f>(Q18+Q22+Q12)*0.1</f>
        <v>3680.1465333600013</v>
      </c>
      <c r="R23" s="325"/>
      <c r="S23" s="325"/>
      <c r="T23" s="324">
        <f>(T18+T22+T12)*0.1</f>
        <v>3513.8536284284419</v>
      </c>
      <c r="U23" s="326"/>
      <c r="V23" s="326"/>
      <c r="W23" s="324">
        <f>(W18+W22+W12)*0.1</f>
        <v>1983.4333179804009</v>
      </c>
      <c r="X23" s="327"/>
      <c r="Y23" s="327"/>
      <c r="Z23" s="324">
        <f>(Z18+Z22+Z12)*0.1</f>
        <v>668.31517970025652</v>
      </c>
      <c r="AA23" s="327"/>
      <c r="AB23" s="327"/>
      <c r="AC23" s="324">
        <f>(AC18+AC22+AC12)*0.1</f>
        <v>181.21488230688487</v>
      </c>
      <c r="AD23" s="327"/>
      <c r="AE23" s="327"/>
      <c r="AF23" s="324">
        <f>(AF18+AF22+AF12)*0.1</f>
        <v>0</v>
      </c>
      <c r="AG23" s="327"/>
      <c r="AH23" s="327"/>
      <c r="AI23" s="324">
        <f>(AI18+AI22+AI12)*0.1</f>
        <v>0</v>
      </c>
      <c r="AJ23" s="327"/>
      <c r="AK23" s="327"/>
      <c r="AL23" s="324">
        <f>(AL18+AL22+AL12)*0.1</f>
        <v>0</v>
      </c>
      <c r="AM23" s="188"/>
      <c r="AN23" s="324">
        <f>(AN18+AN22+AN12)*0.1</f>
        <v>14579.386858007987</v>
      </c>
    </row>
    <row r="24" spans="2:41" s="44" customFormat="1" ht="31.5" customHeight="1">
      <c r="B24" s="86"/>
      <c r="C24" s="318" t="s">
        <v>409</v>
      </c>
      <c r="D24" s="64"/>
      <c r="E24" s="64"/>
      <c r="F24" s="89"/>
      <c r="G24" s="89"/>
      <c r="H24" s="328">
        <f>H23+H22+H18+H12</f>
        <v>0</v>
      </c>
      <c r="I24" s="329"/>
      <c r="J24" s="329"/>
      <c r="K24" s="328">
        <f>K23+K22+K18+K12</f>
        <v>17463.761161440001</v>
      </c>
      <c r="L24" s="329"/>
      <c r="M24" s="329"/>
      <c r="N24" s="328">
        <f>N23+N22+N18+N12</f>
        <v>32612.895317112012</v>
      </c>
      <c r="O24" s="329"/>
      <c r="P24" s="329"/>
      <c r="Q24" s="328">
        <f>Q23+Q22+Q18+Q12</f>
        <v>40481.611866960011</v>
      </c>
      <c r="R24" s="329"/>
      <c r="S24" s="329"/>
      <c r="T24" s="328">
        <f>T23+T22+T18+T12</f>
        <v>38652.389912712861</v>
      </c>
      <c r="U24" s="329"/>
      <c r="V24" s="329"/>
      <c r="W24" s="328">
        <f>W23+W22+W18+W12</f>
        <v>21817.766497784411</v>
      </c>
      <c r="X24" s="329"/>
      <c r="Y24" s="329"/>
      <c r="Z24" s="328">
        <f>Z23+Z22+Z18+Z12</f>
        <v>7351.4669767028208</v>
      </c>
      <c r="AA24" s="329"/>
      <c r="AB24" s="329"/>
      <c r="AC24" s="328">
        <f>AC23+AC22+AC18+AC12</f>
        <v>1993.3637053757334</v>
      </c>
      <c r="AD24" s="329"/>
      <c r="AE24" s="329"/>
      <c r="AF24" s="328">
        <f>AF23+AF22+AF18+AF12</f>
        <v>0</v>
      </c>
      <c r="AG24" s="329"/>
      <c r="AH24" s="329"/>
      <c r="AI24" s="328">
        <f>AI23+AI22+AI18+AI12</f>
        <v>0</v>
      </c>
      <c r="AJ24" s="329"/>
      <c r="AK24" s="329"/>
      <c r="AL24" s="328">
        <f>AL23+AL22+AL18+AL12</f>
        <v>0</v>
      </c>
      <c r="AM24" s="322"/>
      <c r="AN24" s="328">
        <f>AN23+AN22+AN18+AN12</f>
        <v>160373.25543808786</v>
      </c>
      <c r="AO24" s="44">
        <f>AN24/AM14</f>
        <v>3.4488872137223194</v>
      </c>
    </row>
    <row r="25" spans="2:41">
      <c r="N25" s="38"/>
      <c r="AM25" s="39"/>
      <c r="AN25" s="40"/>
    </row>
    <row r="26" spans="2:41" ht="15">
      <c r="C26" s="32" t="s">
        <v>410</v>
      </c>
      <c r="H26" s="399">
        <f>H24/100</f>
        <v>0</v>
      </c>
      <c r="K26" s="399">
        <f>K24/100</f>
        <v>174.63761161440002</v>
      </c>
      <c r="N26" s="399">
        <f>N24/100</f>
        <v>326.12895317112014</v>
      </c>
      <c r="Q26" s="399">
        <f>Q24/100</f>
        <v>404.81611866960009</v>
      </c>
      <c r="T26" s="399">
        <f>T24/100</f>
        <v>386.52389912712863</v>
      </c>
      <c r="W26" s="399">
        <f>W24/100</f>
        <v>218.1776649778441</v>
      </c>
      <c r="Z26" s="399">
        <f>Z24/100</f>
        <v>73.514669767028209</v>
      </c>
      <c r="AC26" s="399">
        <f>AC24/100</f>
        <v>19.933637053757334</v>
      </c>
      <c r="AF26" s="399">
        <f>AF24/100</f>
        <v>0</v>
      </c>
      <c r="AI26" s="399">
        <f>AI24/100</f>
        <v>0</v>
      </c>
      <c r="AL26" s="399">
        <f>AL24/100</f>
        <v>0</v>
      </c>
      <c r="AM26" s="283"/>
      <c r="AN26" s="399">
        <f>AN24/100</f>
        <v>1603.7325543808786</v>
      </c>
    </row>
    <row r="27" spans="2:41" ht="15">
      <c r="AM27" s="283"/>
      <c r="AN27" s="42"/>
    </row>
    <row r="28" spans="2:41">
      <c r="AN28" s="42"/>
    </row>
    <row r="29" spans="2:41" ht="12.75">
      <c r="AM29" s="43"/>
      <c r="AN29" s="43"/>
    </row>
    <row r="30" spans="2:41" ht="12.75">
      <c r="AM30" s="43"/>
      <c r="AN30" s="43"/>
    </row>
    <row r="32" spans="2:41">
      <c r="M32" s="38"/>
      <c r="AN32" s="42"/>
    </row>
    <row r="41" spans="40:40">
      <c r="AN41" s="42"/>
    </row>
  </sheetData>
  <mergeCells count="19">
    <mergeCell ref="B18:C18"/>
    <mergeCell ref="B3:B4"/>
    <mergeCell ref="C3:C4"/>
    <mergeCell ref="I3:K3"/>
    <mergeCell ref="L3:N3"/>
    <mergeCell ref="D3:D4"/>
    <mergeCell ref="E3:E4"/>
    <mergeCell ref="AG3:AI3"/>
    <mergeCell ref="AJ3:AL3"/>
    <mergeCell ref="F3:H3"/>
    <mergeCell ref="B12:C12"/>
    <mergeCell ref="B1:AN1"/>
    <mergeCell ref="O3:Q3"/>
    <mergeCell ref="AM3:AN3"/>
    <mergeCell ref="R3:T3"/>
    <mergeCell ref="U3:W3"/>
    <mergeCell ref="X3:Z3"/>
    <mergeCell ref="AA3:AC3"/>
    <mergeCell ref="AD3:AF3"/>
  </mergeCells>
  <phoneticPr fontId="11" type="noConversion"/>
  <printOptions horizontalCentered="1"/>
  <pageMargins left="0.5" right="0.5" top="0.5" bottom="0.5" header="0.5" footer="0.5"/>
  <pageSetup paperSize="5" scale="39" fitToHeight="4"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pageSetUpPr fitToPage="1"/>
  </sheetPr>
  <dimension ref="A1:J16"/>
  <sheetViews>
    <sheetView view="pageBreakPreview" zoomScale="85" zoomScaleNormal="90" zoomScaleSheetLayoutView="85" workbookViewId="0">
      <selection activeCell="H9" sqref="H9"/>
    </sheetView>
  </sheetViews>
  <sheetFormatPr defaultRowHeight="15"/>
  <cols>
    <col min="1" max="1" width="6" style="5" customWidth="1"/>
    <col min="2" max="2" width="9.28515625" style="1" customWidth="1"/>
    <col min="3" max="3" width="45.7109375" style="1" customWidth="1"/>
    <col min="4" max="4" width="12.42578125" style="1" customWidth="1"/>
    <col min="5" max="5" width="8.7109375" style="1" bestFit="1" customWidth="1"/>
    <col min="6" max="6" width="9.42578125" style="1" bestFit="1" customWidth="1"/>
    <col min="7" max="7" width="4.42578125" style="1" bestFit="1" customWidth="1"/>
    <col min="8" max="8" width="10.140625" style="1" bestFit="1" customWidth="1"/>
    <col min="9" max="9" width="9" style="1" customWidth="1"/>
    <col min="10" max="10" width="12.42578125" style="1" bestFit="1" customWidth="1"/>
    <col min="11" max="260" width="9.140625" style="1"/>
    <col min="261" max="261" width="6" style="1" customWidth="1"/>
    <col min="262" max="262" width="16.28515625" style="1" customWidth="1"/>
    <col min="263" max="263" width="43.85546875" style="1" customWidth="1"/>
    <col min="264" max="264" width="19.7109375" style="1" bestFit="1" customWidth="1"/>
    <col min="265" max="265" width="12.85546875" style="1" bestFit="1" customWidth="1"/>
    <col min="266" max="266" width="14.42578125" style="1" bestFit="1" customWidth="1"/>
    <col min="267" max="516" width="9.140625" style="1"/>
    <col min="517" max="517" width="6" style="1" customWidth="1"/>
    <col min="518" max="518" width="16.28515625" style="1" customWidth="1"/>
    <col min="519" max="519" width="43.85546875" style="1" customWidth="1"/>
    <col min="520" max="520" width="19.7109375" style="1" bestFit="1" customWidth="1"/>
    <col min="521" max="521" width="12.85546875" style="1" bestFit="1" customWidth="1"/>
    <col min="522" max="522" width="14.42578125" style="1" bestFit="1" customWidth="1"/>
    <col min="523" max="772" width="9.140625" style="1"/>
    <col min="773" max="773" width="6" style="1" customWidth="1"/>
    <col min="774" max="774" width="16.28515625" style="1" customWidth="1"/>
    <col min="775" max="775" width="43.85546875" style="1" customWidth="1"/>
    <col min="776" max="776" width="19.7109375" style="1" bestFit="1" customWidth="1"/>
    <col min="777" max="777" width="12.85546875" style="1" bestFit="1" customWidth="1"/>
    <col min="778" max="778" width="14.42578125" style="1" bestFit="1" customWidth="1"/>
    <col min="779" max="1028" width="9.140625" style="1"/>
    <col min="1029" max="1029" width="6" style="1" customWidth="1"/>
    <col min="1030" max="1030" width="16.28515625" style="1" customWidth="1"/>
    <col min="1031" max="1031" width="43.85546875" style="1" customWidth="1"/>
    <col min="1032" max="1032" width="19.7109375" style="1" bestFit="1" customWidth="1"/>
    <col min="1033" max="1033" width="12.85546875" style="1" bestFit="1" customWidth="1"/>
    <col min="1034" max="1034" width="14.42578125" style="1" bestFit="1" customWidth="1"/>
    <col min="1035" max="1284" width="9.140625" style="1"/>
    <col min="1285" max="1285" width="6" style="1" customWidth="1"/>
    <col min="1286" max="1286" width="16.28515625" style="1" customWidth="1"/>
    <col min="1287" max="1287" width="43.85546875" style="1" customWidth="1"/>
    <col min="1288" max="1288" width="19.7109375" style="1" bestFit="1" customWidth="1"/>
    <col min="1289" max="1289" width="12.85546875" style="1" bestFit="1" customWidth="1"/>
    <col min="1290" max="1290" width="14.42578125" style="1" bestFit="1" customWidth="1"/>
    <col min="1291" max="1540" width="9.140625" style="1"/>
    <col min="1541" max="1541" width="6" style="1" customWidth="1"/>
    <col min="1542" max="1542" width="16.28515625" style="1" customWidth="1"/>
    <col min="1543" max="1543" width="43.85546875" style="1" customWidth="1"/>
    <col min="1544" max="1544" width="19.7109375" style="1" bestFit="1" customWidth="1"/>
    <col min="1545" max="1545" width="12.85546875" style="1" bestFit="1" customWidth="1"/>
    <col min="1546" max="1546" width="14.42578125" style="1" bestFit="1" customWidth="1"/>
    <col min="1547" max="1796" width="9.140625" style="1"/>
    <col min="1797" max="1797" width="6" style="1" customWidth="1"/>
    <col min="1798" max="1798" width="16.28515625" style="1" customWidth="1"/>
    <col min="1799" max="1799" width="43.85546875" style="1" customWidth="1"/>
    <col min="1800" max="1800" width="19.7109375" style="1" bestFit="1" customWidth="1"/>
    <col min="1801" max="1801" width="12.85546875" style="1" bestFit="1" customWidth="1"/>
    <col min="1802" max="1802" width="14.42578125" style="1" bestFit="1" customWidth="1"/>
    <col min="1803" max="2052" width="9.140625" style="1"/>
    <col min="2053" max="2053" width="6" style="1" customWidth="1"/>
    <col min="2054" max="2054" width="16.28515625" style="1" customWidth="1"/>
    <col min="2055" max="2055" width="43.85546875" style="1" customWidth="1"/>
    <col min="2056" max="2056" width="19.7109375" style="1" bestFit="1" customWidth="1"/>
    <col min="2057" max="2057" width="12.85546875" style="1" bestFit="1" customWidth="1"/>
    <col min="2058" max="2058" width="14.42578125" style="1" bestFit="1" customWidth="1"/>
    <col min="2059" max="2308" width="9.140625" style="1"/>
    <col min="2309" max="2309" width="6" style="1" customWidth="1"/>
    <col min="2310" max="2310" width="16.28515625" style="1" customWidth="1"/>
    <col min="2311" max="2311" width="43.85546875" style="1" customWidth="1"/>
    <col min="2312" max="2312" width="19.7109375" style="1" bestFit="1" customWidth="1"/>
    <col min="2313" max="2313" width="12.85546875" style="1" bestFit="1" customWidth="1"/>
    <col min="2314" max="2314" width="14.42578125" style="1" bestFit="1" customWidth="1"/>
    <col min="2315" max="2564" width="9.140625" style="1"/>
    <col min="2565" max="2565" width="6" style="1" customWidth="1"/>
    <col min="2566" max="2566" width="16.28515625" style="1" customWidth="1"/>
    <col min="2567" max="2567" width="43.85546875" style="1" customWidth="1"/>
    <col min="2568" max="2568" width="19.7109375" style="1" bestFit="1" customWidth="1"/>
    <col min="2569" max="2569" width="12.85546875" style="1" bestFit="1" customWidth="1"/>
    <col min="2570" max="2570" width="14.42578125" style="1" bestFit="1" customWidth="1"/>
    <col min="2571" max="2820" width="9.140625" style="1"/>
    <col min="2821" max="2821" width="6" style="1" customWidth="1"/>
    <col min="2822" max="2822" width="16.28515625" style="1" customWidth="1"/>
    <col min="2823" max="2823" width="43.85546875" style="1" customWidth="1"/>
    <col min="2824" max="2824" width="19.7109375" style="1" bestFit="1" customWidth="1"/>
    <col min="2825" max="2825" width="12.85546875" style="1" bestFit="1" customWidth="1"/>
    <col min="2826" max="2826" width="14.42578125" style="1" bestFit="1" customWidth="1"/>
    <col min="2827" max="3076" width="9.140625" style="1"/>
    <col min="3077" max="3077" width="6" style="1" customWidth="1"/>
    <col min="3078" max="3078" width="16.28515625" style="1" customWidth="1"/>
    <col min="3079" max="3079" width="43.85546875" style="1" customWidth="1"/>
    <col min="3080" max="3080" width="19.7109375" style="1" bestFit="1" customWidth="1"/>
    <col min="3081" max="3081" width="12.85546875" style="1" bestFit="1" customWidth="1"/>
    <col min="3082" max="3082" width="14.42578125" style="1" bestFit="1" customWidth="1"/>
    <col min="3083" max="3332" width="9.140625" style="1"/>
    <col min="3333" max="3333" width="6" style="1" customWidth="1"/>
    <col min="3334" max="3334" width="16.28515625" style="1" customWidth="1"/>
    <col min="3335" max="3335" width="43.85546875" style="1" customWidth="1"/>
    <col min="3336" max="3336" width="19.7109375" style="1" bestFit="1" customWidth="1"/>
    <col min="3337" max="3337" width="12.85546875" style="1" bestFit="1" customWidth="1"/>
    <col min="3338" max="3338" width="14.42578125" style="1" bestFit="1" customWidth="1"/>
    <col min="3339" max="3588" width="9.140625" style="1"/>
    <col min="3589" max="3589" width="6" style="1" customWidth="1"/>
    <col min="3590" max="3590" width="16.28515625" style="1" customWidth="1"/>
    <col min="3591" max="3591" width="43.85546875" style="1" customWidth="1"/>
    <col min="3592" max="3592" width="19.7109375" style="1" bestFit="1" customWidth="1"/>
    <col min="3593" max="3593" width="12.85546875" style="1" bestFit="1" customWidth="1"/>
    <col min="3594" max="3594" width="14.42578125" style="1" bestFit="1" customWidth="1"/>
    <col min="3595" max="3844" width="9.140625" style="1"/>
    <col min="3845" max="3845" width="6" style="1" customWidth="1"/>
    <col min="3846" max="3846" width="16.28515625" style="1" customWidth="1"/>
    <col min="3847" max="3847" width="43.85546875" style="1" customWidth="1"/>
    <col min="3848" max="3848" width="19.7109375" style="1" bestFit="1" customWidth="1"/>
    <col min="3849" max="3849" width="12.85546875" style="1" bestFit="1" customWidth="1"/>
    <col min="3850" max="3850" width="14.42578125" style="1" bestFit="1" customWidth="1"/>
    <col min="3851" max="4100" width="9.140625" style="1"/>
    <col min="4101" max="4101" width="6" style="1" customWidth="1"/>
    <col min="4102" max="4102" width="16.28515625" style="1" customWidth="1"/>
    <col min="4103" max="4103" width="43.85546875" style="1" customWidth="1"/>
    <col min="4104" max="4104" width="19.7109375" style="1" bestFit="1" customWidth="1"/>
    <col min="4105" max="4105" width="12.85546875" style="1" bestFit="1" customWidth="1"/>
    <col min="4106" max="4106" width="14.42578125" style="1" bestFit="1" customWidth="1"/>
    <col min="4107" max="4356" width="9.140625" style="1"/>
    <col min="4357" max="4357" width="6" style="1" customWidth="1"/>
    <col min="4358" max="4358" width="16.28515625" style="1" customWidth="1"/>
    <col min="4359" max="4359" width="43.85546875" style="1" customWidth="1"/>
    <col min="4360" max="4360" width="19.7109375" style="1" bestFit="1" customWidth="1"/>
    <col min="4361" max="4361" width="12.85546875" style="1" bestFit="1" customWidth="1"/>
    <col min="4362" max="4362" width="14.42578125" style="1" bestFit="1" customWidth="1"/>
    <col min="4363" max="4612" width="9.140625" style="1"/>
    <col min="4613" max="4613" width="6" style="1" customWidth="1"/>
    <col min="4614" max="4614" width="16.28515625" style="1" customWidth="1"/>
    <col min="4615" max="4615" width="43.85546875" style="1" customWidth="1"/>
    <col min="4616" max="4616" width="19.7109375" style="1" bestFit="1" customWidth="1"/>
    <col min="4617" max="4617" width="12.85546875" style="1" bestFit="1" customWidth="1"/>
    <col min="4618" max="4618" width="14.42578125" style="1" bestFit="1" customWidth="1"/>
    <col min="4619" max="4868" width="9.140625" style="1"/>
    <col min="4869" max="4869" width="6" style="1" customWidth="1"/>
    <col min="4870" max="4870" width="16.28515625" style="1" customWidth="1"/>
    <col min="4871" max="4871" width="43.85546875" style="1" customWidth="1"/>
    <col min="4872" max="4872" width="19.7109375" style="1" bestFit="1" customWidth="1"/>
    <col min="4873" max="4873" width="12.85546875" style="1" bestFit="1" customWidth="1"/>
    <col min="4874" max="4874" width="14.42578125" style="1" bestFit="1" customWidth="1"/>
    <col min="4875" max="5124" width="9.140625" style="1"/>
    <col min="5125" max="5125" width="6" style="1" customWidth="1"/>
    <col min="5126" max="5126" width="16.28515625" style="1" customWidth="1"/>
    <col min="5127" max="5127" width="43.85546875" style="1" customWidth="1"/>
    <col min="5128" max="5128" width="19.7109375" style="1" bestFit="1" customWidth="1"/>
    <col min="5129" max="5129" width="12.85546875" style="1" bestFit="1" customWidth="1"/>
    <col min="5130" max="5130" width="14.42578125" style="1" bestFit="1" customWidth="1"/>
    <col min="5131" max="5380" width="9.140625" style="1"/>
    <col min="5381" max="5381" width="6" style="1" customWidth="1"/>
    <col min="5382" max="5382" width="16.28515625" style="1" customWidth="1"/>
    <col min="5383" max="5383" width="43.85546875" style="1" customWidth="1"/>
    <col min="5384" max="5384" width="19.7109375" style="1" bestFit="1" customWidth="1"/>
    <col min="5385" max="5385" width="12.85546875" style="1" bestFit="1" customWidth="1"/>
    <col min="5386" max="5386" width="14.42578125" style="1" bestFit="1" customWidth="1"/>
    <col min="5387" max="5636" width="9.140625" style="1"/>
    <col min="5637" max="5637" width="6" style="1" customWidth="1"/>
    <col min="5638" max="5638" width="16.28515625" style="1" customWidth="1"/>
    <col min="5639" max="5639" width="43.85546875" style="1" customWidth="1"/>
    <col min="5640" max="5640" width="19.7109375" style="1" bestFit="1" customWidth="1"/>
    <col min="5641" max="5641" width="12.85546875" style="1" bestFit="1" customWidth="1"/>
    <col min="5642" max="5642" width="14.42578125" style="1" bestFit="1" customWidth="1"/>
    <col min="5643" max="5892" width="9.140625" style="1"/>
    <col min="5893" max="5893" width="6" style="1" customWidth="1"/>
    <col min="5894" max="5894" width="16.28515625" style="1" customWidth="1"/>
    <col min="5895" max="5895" width="43.85546875" style="1" customWidth="1"/>
    <col min="5896" max="5896" width="19.7109375" style="1" bestFit="1" customWidth="1"/>
    <col min="5897" max="5897" width="12.85546875" style="1" bestFit="1" customWidth="1"/>
    <col min="5898" max="5898" width="14.42578125" style="1" bestFit="1" customWidth="1"/>
    <col min="5899" max="6148" width="9.140625" style="1"/>
    <col min="6149" max="6149" width="6" style="1" customWidth="1"/>
    <col min="6150" max="6150" width="16.28515625" style="1" customWidth="1"/>
    <col min="6151" max="6151" width="43.85546875" style="1" customWidth="1"/>
    <col min="6152" max="6152" width="19.7109375" style="1" bestFit="1" customWidth="1"/>
    <col min="6153" max="6153" width="12.85546875" style="1" bestFit="1" customWidth="1"/>
    <col min="6154" max="6154" width="14.42578125" style="1" bestFit="1" customWidth="1"/>
    <col min="6155" max="6404" width="9.140625" style="1"/>
    <col min="6405" max="6405" width="6" style="1" customWidth="1"/>
    <col min="6406" max="6406" width="16.28515625" style="1" customWidth="1"/>
    <col min="6407" max="6407" width="43.85546875" style="1" customWidth="1"/>
    <col min="6408" max="6408" width="19.7109375" style="1" bestFit="1" customWidth="1"/>
    <col min="6409" max="6409" width="12.85546875" style="1" bestFit="1" customWidth="1"/>
    <col min="6410" max="6410" width="14.42578125" style="1" bestFit="1" customWidth="1"/>
    <col min="6411" max="6660" width="9.140625" style="1"/>
    <col min="6661" max="6661" width="6" style="1" customWidth="1"/>
    <col min="6662" max="6662" width="16.28515625" style="1" customWidth="1"/>
    <col min="6663" max="6663" width="43.85546875" style="1" customWidth="1"/>
    <col min="6664" max="6664" width="19.7109375" style="1" bestFit="1" customWidth="1"/>
    <col min="6665" max="6665" width="12.85546875" style="1" bestFit="1" customWidth="1"/>
    <col min="6666" max="6666" width="14.42578125" style="1" bestFit="1" customWidth="1"/>
    <col min="6667" max="6916" width="9.140625" style="1"/>
    <col min="6917" max="6917" width="6" style="1" customWidth="1"/>
    <col min="6918" max="6918" width="16.28515625" style="1" customWidth="1"/>
    <col min="6919" max="6919" width="43.85546875" style="1" customWidth="1"/>
    <col min="6920" max="6920" width="19.7109375" style="1" bestFit="1" customWidth="1"/>
    <col min="6921" max="6921" width="12.85546875" style="1" bestFit="1" customWidth="1"/>
    <col min="6922" max="6922" width="14.42578125" style="1" bestFit="1" customWidth="1"/>
    <col min="6923" max="7172" width="9.140625" style="1"/>
    <col min="7173" max="7173" width="6" style="1" customWidth="1"/>
    <col min="7174" max="7174" width="16.28515625" style="1" customWidth="1"/>
    <col min="7175" max="7175" width="43.85546875" style="1" customWidth="1"/>
    <col min="7176" max="7176" width="19.7109375" style="1" bestFit="1" customWidth="1"/>
    <col min="7177" max="7177" width="12.85546875" style="1" bestFit="1" customWidth="1"/>
    <col min="7178" max="7178" width="14.42578125" style="1" bestFit="1" customWidth="1"/>
    <col min="7179" max="7428" width="9.140625" style="1"/>
    <col min="7429" max="7429" width="6" style="1" customWidth="1"/>
    <col min="7430" max="7430" width="16.28515625" style="1" customWidth="1"/>
    <col min="7431" max="7431" width="43.85546875" style="1" customWidth="1"/>
    <col min="7432" max="7432" width="19.7109375" style="1" bestFit="1" customWidth="1"/>
    <col min="7433" max="7433" width="12.85546875" style="1" bestFit="1" customWidth="1"/>
    <col min="7434" max="7434" width="14.42578125" style="1" bestFit="1" customWidth="1"/>
    <col min="7435" max="7684" width="9.140625" style="1"/>
    <col min="7685" max="7685" width="6" style="1" customWidth="1"/>
    <col min="7686" max="7686" width="16.28515625" style="1" customWidth="1"/>
    <col min="7687" max="7687" width="43.85546875" style="1" customWidth="1"/>
    <col min="7688" max="7688" width="19.7109375" style="1" bestFit="1" customWidth="1"/>
    <col min="7689" max="7689" width="12.85546875" style="1" bestFit="1" customWidth="1"/>
    <col min="7690" max="7690" width="14.42578125" style="1" bestFit="1" customWidth="1"/>
    <col min="7691" max="7940" width="9.140625" style="1"/>
    <col min="7941" max="7941" width="6" style="1" customWidth="1"/>
    <col min="7942" max="7942" width="16.28515625" style="1" customWidth="1"/>
    <col min="7943" max="7943" width="43.85546875" style="1" customWidth="1"/>
    <col min="7944" max="7944" width="19.7109375" style="1" bestFit="1" customWidth="1"/>
    <col min="7945" max="7945" width="12.85546875" style="1" bestFit="1" customWidth="1"/>
    <col min="7946" max="7946" width="14.42578125" style="1" bestFit="1" customWidth="1"/>
    <col min="7947" max="8196" width="9.140625" style="1"/>
    <col min="8197" max="8197" width="6" style="1" customWidth="1"/>
    <col min="8198" max="8198" width="16.28515625" style="1" customWidth="1"/>
    <col min="8199" max="8199" width="43.85546875" style="1" customWidth="1"/>
    <col min="8200" max="8200" width="19.7109375" style="1" bestFit="1" customWidth="1"/>
    <col min="8201" max="8201" width="12.85546875" style="1" bestFit="1" customWidth="1"/>
    <col min="8202" max="8202" width="14.42578125" style="1" bestFit="1" customWidth="1"/>
    <col min="8203" max="8452" width="9.140625" style="1"/>
    <col min="8453" max="8453" width="6" style="1" customWidth="1"/>
    <col min="8454" max="8454" width="16.28515625" style="1" customWidth="1"/>
    <col min="8455" max="8455" width="43.85546875" style="1" customWidth="1"/>
    <col min="8456" max="8456" width="19.7109375" style="1" bestFit="1" customWidth="1"/>
    <col min="8457" max="8457" width="12.85546875" style="1" bestFit="1" customWidth="1"/>
    <col min="8458" max="8458" width="14.42578125" style="1" bestFit="1" customWidth="1"/>
    <col min="8459" max="8708" width="9.140625" style="1"/>
    <col min="8709" max="8709" width="6" style="1" customWidth="1"/>
    <col min="8710" max="8710" width="16.28515625" style="1" customWidth="1"/>
    <col min="8711" max="8711" width="43.85546875" style="1" customWidth="1"/>
    <col min="8712" max="8712" width="19.7109375" style="1" bestFit="1" customWidth="1"/>
    <col min="8713" max="8713" width="12.85546875" style="1" bestFit="1" customWidth="1"/>
    <col min="8714" max="8714" width="14.42578125" style="1" bestFit="1" customWidth="1"/>
    <col min="8715" max="8964" width="9.140625" style="1"/>
    <col min="8965" max="8965" width="6" style="1" customWidth="1"/>
    <col min="8966" max="8966" width="16.28515625" style="1" customWidth="1"/>
    <col min="8967" max="8967" width="43.85546875" style="1" customWidth="1"/>
    <col min="8968" max="8968" width="19.7109375" style="1" bestFit="1" customWidth="1"/>
    <col min="8969" max="8969" width="12.85546875" style="1" bestFit="1" customWidth="1"/>
    <col min="8970" max="8970" width="14.42578125" style="1" bestFit="1" customWidth="1"/>
    <col min="8971" max="9220" width="9.140625" style="1"/>
    <col min="9221" max="9221" width="6" style="1" customWidth="1"/>
    <col min="9222" max="9222" width="16.28515625" style="1" customWidth="1"/>
    <col min="9223" max="9223" width="43.85546875" style="1" customWidth="1"/>
    <col min="9224" max="9224" width="19.7109375" style="1" bestFit="1" customWidth="1"/>
    <col min="9225" max="9225" width="12.85546875" style="1" bestFit="1" customWidth="1"/>
    <col min="9226" max="9226" width="14.42578125" style="1" bestFit="1" customWidth="1"/>
    <col min="9227" max="9476" width="9.140625" style="1"/>
    <col min="9477" max="9477" width="6" style="1" customWidth="1"/>
    <col min="9478" max="9478" width="16.28515625" style="1" customWidth="1"/>
    <col min="9479" max="9479" width="43.85546875" style="1" customWidth="1"/>
    <col min="9480" max="9480" width="19.7109375" style="1" bestFit="1" customWidth="1"/>
    <col min="9481" max="9481" width="12.85546875" style="1" bestFit="1" customWidth="1"/>
    <col min="9482" max="9482" width="14.42578125" style="1" bestFit="1" customWidth="1"/>
    <col min="9483" max="9732" width="9.140625" style="1"/>
    <col min="9733" max="9733" width="6" style="1" customWidth="1"/>
    <col min="9734" max="9734" width="16.28515625" style="1" customWidth="1"/>
    <col min="9735" max="9735" width="43.85546875" style="1" customWidth="1"/>
    <col min="9736" max="9736" width="19.7109375" style="1" bestFit="1" customWidth="1"/>
    <col min="9737" max="9737" width="12.85546875" style="1" bestFit="1" customWidth="1"/>
    <col min="9738" max="9738" width="14.42578125" style="1" bestFit="1" customWidth="1"/>
    <col min="9739" max="9988" width="9.140625" style="1"/>
    <col min="9989" max="9989" width="6" style="1" customWidth="1"/>
    <col min="9990" max="9990" width="16.28515625" style="1" customWidth="1"/>
    <col min="9991" max="9991" width="43.85546875" style="1" customWidth="1"/>
    <col min="9992" max="9992" width="19.7109375" style="1" bestFit="1" customWidth="1"/>
    <col min="9993" max="9993" width="12.85546875" style="1" bestFit="1" customWidth="1"/>
    <col min="9994" max="9994" width="14.42578125" style="1" bestFit="1" customWidth="1"/>
    <col min="9995" max="10244" width="9.140625" style="1"/>
    <col min="10245" max="10245" width="6" style="1" customWidth="1"/>
    <col min="10246" max="10246" width="16.28515625" style="1" customWidth="1"/>
    <col min="10247" max="10247" width="43.85546875" style="1" customWidth="1"/>
    <col min="10248" max="10248" width="19.7109375" style="1" bestFit="1" customWidth="1"/>
    <col min="10249" max="10249" width="12.85546875" style="1" bestFit="1" customWidth="1"/>
    <col min="10250" max="10250" width="14.42578125" style="1" bestFit="1" customWidth="1"/>
    <col min="10251" max="10500" width="9.140625" style="1"/>
    <col min="10501" max="10501" width="6" style="1" customWidth="1"/>
    <col min="10502" max="10502" width="16.28515625" style="1" customWidth="1"/>
    <col min="10503" max="10503" width="43.85546875" style="1" customWidth="1"/>
    <col min="10504" max="10504" width="19.7109375" style="1" bestFit="1" customWidth="1"/>
    <col min="10505" max="10505" width="12.85546875" style="1" bestFit="1" customWidth="1"/>
    <col min="10506" max="10506" width="14.42578125" style="1" bestFit="1" customWidth="1"/>
    <col min="10507" max="10756" width="9.140625" style="1"/>
    <col min="10757" max="10757" width="6" style="1" customWidth="1"/>
    <col min="10758" max="10758" width="16.28515625" style="1" customWidth="1"/>
    <col min="10759" max="10759" width="43.85546875" style="1" customWidth="1"/>
    <col min="10760" max="10760" width="19.7109375" style="1" bestFit="1" customWidth="1"/>
    <col min="10761" max="10761" width="12.85546875" style="1" bestFit="1" customWidth="1"/>
    <col min="10762" max="10762" width="14.42578125" style="1" bestFit="1" customWidth="1"/>
    <col min="10763" max="11012" width="9.140625" style="1"/>
    <col min="11013" max="11013" width="6" style="1" customWidth="1"/>
    <col min="11014" max="11014" width="16.28515625" style="1" customWidth="1"/>
    <col min="11015" max="11015" width="43.85546875" style="1" customWidth="1"/>
    <col min="11016" max="11016" width="19.7109375" style="1" bestFit="1" customWidth="1"/>
    <col min="11017" max="11017" width="12.85546875" style="1" bestFit="1" customWidth="1"/>
    <col min="11018" max="11018" width="14.42578125" style="1" bestFit="1" customWidth="1"/>
    <col min="11019" max="11268" width="9.140625" style="1"/>
    <col min="11269" max="11269" width="6" style="1" customWidth="1"/>
    <col min="11270" max="11270" width="16.28515625" style="1" customWidth="1"/>
    <col min="11271" max="11271" width="43.85546875" style="1" customWidth="1"/>
    <col min="11272" max="11272" width="19.7109375" style="1" bestFit="1" customWidth="1"/>
    <col min="11273" max="11273" width="12.85546875" style="1" bestFit="1" customWidth="1"/>
    <col min="11274" max="11274" width="14.42578125" style="1" bestFit="1" customWidth="1"/>
    <col min="11275" max="11524" width="9.140625" style="1"/>
    <col min="11525" max="11525" width="6" style="1" customWidth="1"/>
    <col min="11526" max="11526" width="16.28515625" style="1" customWidth="1"/>
    <col min="11527" max="11527" width="43.85546875" style="1" customWidth="1"/>
    <col min="11528" max="11528" width="19.7109375" style="1" bestFit="1" customWidth="1"/>
    <col min="11529" max="11529" width="12.85546875" style="1" bestFit="1" customWidth="1"/>
    <col min="11530" max="11530" width="14.42578125" style="1" bestFit="1" customWidth="1"/>
    <col min="11531" max="11780" width="9.140625" style="1"/>
    <col min="11781" max="11781" width="6" style="1" customWidth="1"/>
    <col min="11782" max="11782" width="16.28515625" style="1" customWidth="1"/>
    <col min="11783" max="11783" width="43.85546875" style="1" customWidth="1"/>
    <col min="11784" max="11784" width="19.7109375" style="1" bestFit="1" customWidth="1"/>
    <col min="11785" max="11785" width="12.85546875" style="1" bestFit="1" customWidth="1"/>
    <col min="11786" max="11786" width="14.42578125" style="1" bestFit="1" customWidth="1"/>
    <col min="11787" max="12036" width="9.140625" style="1"/>
    <col min="12037" max="12037" width="6" style="1" customWidth="1"/>
    <col min="12038" max="12038" width="16.28515625" style="1" customWidth="1"/>
    <col min="12039" max="12039" width="43.85546875" style="1" customWidth="1"/>
    <col min="12040" max="12040" width="19.7109375" style="1" bestFit="1" customWidth="1"/>
    <col min="12041" max="12041" width="12.85546875" style="1" bestFit="1" customWidth="1"/>
    <col min="12042" max="12042" width="14.42578125" style="1" bestFit="1" customWidth="1"/>
    <col min="12043" max="12292" width="9.140625" style="1"/>
    <col min="12293" max="12293" width="6" style="1" customWidth="1"/>
    <col min="12294" max="12294" width="16.28515625" style="1" customWidth="1"/>
    <col min="12295" max="12295" width="43.85546875" style="1" customWidth="1"/>
    <col min="12296" max="12296" width="19.7109375" style="1" bestFit="1" customWidth="1"/>
    <col min="12297" max="12297" width="12.85546875" style="1" bestFit="1" customWidth="1"/>
    <col min="12298" max="12298" width="14.42578125" style="1" bestFit="1" customWidth="1"/>
    <col min="12299" max="12548" width="9.140625" style="1"/>
    <col min="12549" max="12549" width="6" style="1" customWidth="1"/>
    <col min="12550" max="12550" width="16.28515625" style="1" customWidth="1"/>
    <col min="12551" max="12551" width="43.85546875" style="1" customWidth="1"/>
    <col min="12552" max="12552" width="19.7109375" style="1" bestFit="1" customWidth="1"/>
    <col min="12553" max="12553" width="12.85546875" style="1" bestFit="1" customWidth="1"/>
    <col min="12554" max="12554" width="14.42578125" style="1" bestFit="1" customWidth="1"/>
    <col min="12555" max="12804" width="9.140625" style="1"/>
    <col min="12805" max="12805" width="6" style="1" customWidth="1"/>
    <col min="12806" max="12806" width="16.28515625" style="1" customWidth="1"/>
    <col min="12807" max="12807" width="43.85546875" style="1" customWidth="1"/>
    <col min="12808" max="12808" width="19.7109375" style="1" bestFit="1" customWidth="1"/>
    <col min="12809" max="12809" width="12.85546875" style="1" bestFit="1" customWidth="1"/>
    <col min="12810" max="12810" width="14.42578125" style="1" bestFit="1" customWidth="1"/>
    <col min="12811" max="13060" width="9.140625" style="1"/>
    <col min="13061" max="13061" width="6" style="1" customWidth="1"/>
    <col min="13062" max="13062" width="16.28515625" style="1" customWidth="1"/>
    <col min="13063" max="13063" width="43.85546875" style="1" customWidth="1"/>
    <col min="13064" max="13064" width="19.7109375" style="1" bestFit="1" customWidth="1"/>
    <col min="13065" max="13065" width="12.85546875" style="1" bestFit="1" customWidth="1"/>
    <col min="13066" max="13066" width="14.42578125" style="1" bestFit="1" customWidth="1"/>
    <col min="13067" max="13316" width="9.140625" style="1"/>
    <col min="13317" max="13317" width="6" style="1" customWidth="1"/>
    <col min="13318" max="13318" width="16.28515625" style="1" customWidth="1"/>
    <col min="13319" max="13319" width="43.85546875" style="1" customWidth="1"/>
    <col min="13320" max="13320" width="19.7109375" style="1" bestFit="1" customWidth="1"/>
    <col min="13321" max="13321" width="12.85546875" style="1" bestFit="1" customWidth="1"/>
    <col min="13322" max="13322" width="14.42578125" style="1" bestFit="1" customWidth="1"/>
    <col min="13323" max="13572" width="9.140625" style="1"/>
    <col min="13573" max="13573" width="6" style="1" customWidth="1"/>
    <col min="13574" max="13574" width="16.28515625" style="1" customWidth="1"/>
    <col min="13575" max="13575" width="43.85546875" style="1" customWidth="1"/>
    <col min="13576" max="13576" width="19.7109375" style="1" bestFit="1" customWidth="1"/>
    <col min="13577" max="13577" width="12.85546875" style="1" bestFit="1" customWidth="1"/>
    <col min="13578" max="13578" width="14.42578125" style="1" bestFit="1" customWidth="1"/>
    <col min="13579" max="13828" width="9.140625" style="1"/>
    <col min="13829" max="13829" width="6" style="1" customWidth="1"/>
    <col min="13830" max="13830" width="16.28515625" style="1" customWidth="1"/>
    <col min="13831" max="13831" width="43.85546875" style="1" customWidth="1"/>
    <col min="13832" max="13832" width="19.7109375" style="1" bestFit="1" customWidth="1"/>
    <col min="13833" max="13833" width="12.85546875" style="1" bestFit="1" customWidth="1"/>
    <col min="13834" max="13834" width="14.42578125" style="1" bestFit="1" customWidth="1"/>
    <col min="13835" max="14084" width="9.140625" style="1"/>
    <col min="14085" max="14085" width="6" style="1" customWidth="1"/>
    <col min="14086" max="14086" width="16.28515625" style="1" customWidth="1"/>
    <col min="14087" max="14087" width="43.85546875" style="1" customWidth="1"/>
    <col min="14088" max="14088" width="19.7109375" style="1" bestFit="1" customWidth="1"/>
    <col min="14089" max="14089" width="12.85546875" style="1" bestFit="1" customWidth="1"/>
    <col min="14090" max="14090" width="14.42578125" style="1" bestFit="1" customWidth="1"/>
    <col min="14091" max="14340" width="9.140625" style="1"/>
    <col min="14341" max="14341" width="6" style="1" customWidth="1"/>
    <col min="14342" max="14342" width="16.28515625" style="1" customWidth="1"/>
    <col min="14343" max="14343" width="43.85546875" style="1" customWidth="1"/>
    <col min="14344" max="14344" width="19.7109375" style="1" bestFit="1" customWidth="1"/>
    <col min="14345" max="14345" width="12.85546875" style="1" bestFit="1" customWidth="1"/>
    <col min="14346" max="14346" width="14.42578125" style="1" bestFit="1" customWidth="1"/>
    <col min="14347" max="14596" width="9.140625" style="1"/>
    <col min="14597" max="14597" width="6" style="1" customWidth="1"/>
    <col min="14598" max="14598" width="16.28515625" style="1" customWidth="1"/>
    <col min="14599" max="14599" width="43.85546875" style="1" customWidth="1"/>
    <col min="14600" max="14600" width="19.7109375" style="1" bestFit="1" customWidth="1"/>
    <col min="14601" max="14601" width="12.85546875" style="1" bestFit="1" customWidth="1"/>
    <col min="14602" max="14602" width="14.42578125" style="1" bestFit="1" customWidth="1"/>
    <col min="14603" max="14852" width="9.140625" style="1"/>
    <col min="14853" max="14853" width="6" style="1" customWidth="1"/>
    <col min="14854" max="14854" width="16.28515625" style="1" customWidth="1"/>
    <col min="14855" max="14855" width="43.85546875" style="1" customWidth="1"/>
    <col min="14856" max="14856" width="19.7109375" style="1" bestFit="1" customWidth="1"/>
    <col min="14857" max="14857" width="12.85546875" style="1" bestFit="1" customWidth="1"/>
    <col min="14858" max="14858" width="14.42578125" style="1" bestFit="1" customWidth="1"/>
    <col min="14859" max="15108" width="9.140625" style="1"/>
    <col min="15109" max="15109" width="6" style="1" customWidth="1"/>
    <col min="15110" max="15110" width="16.28515625" style="1" customWidth="1"/>
    <col min="15111" max="15111" width="43.85546875" style="1" customWidth="1"/>
    <col min="15112" max="15112" width="19.7109375" style="1" bestFit="1" customWidth="1"/>
    <col min="15113" max="15113" width="12.85546875" style="1" bestFit="1" customWidth="1"/>
    <col min="15114" max="15114" width="14.42578125" style="1" bestFit="1" customWidth="1"/>
    <col min="15115" max="15364" width="9.140625" style="1"/>
    <col min="15365" max="15365" width="6" style="1" customWidth="1"/>
    <col min="15366" max="15366" width="16.28515625" style="1" customWidth="1"/>
    <col min="15367" max="15367" width="43.85546875" style="1" customWidth="1"/>
    <col min="15368" max="15368" width="19.7109375" style="1" bestFit="1" customWidth="1"/>
    <col min="15369" max="15369" width="12.85546875" style="1" bestFit="1" customWidth="1"/>
    <col min="15370" max="15370" width="14.42578125" style="1" bestFit="1" customWidth="1"/>
    <col min="15371" max="15620" width="9.140625" style="1"/>
    <col min="15621" max="15621" width="6" style="1" customWidth="1"/>
    <col min="15622" max="15622" width="16.28515625" style="1" customWidth="1"/>
    <col min="15623" max="15623" width="43.85546875" style="1" customWidth="1"/>
    <col min="15624" max="15624" width="19.7109375" style="1" bestFit="1" customWidth="1"/>
    <col min="15625" max="15625" width="12.85546875" style="1" bestFit="1" customWidth="1"/>
    <col min="15626" max="15626" width="14.42578125" style="1" bestFit="1" customWidth="1"/>
    <col min="15627" max="15876" width="9.140625" style="1"/>
    <col min="15877" max="15877" width="6" style="1" customWidth="1"/>
    <col min="15878" max="15878" width="16.28515625" style="1" customWidth="1"/>
    <col min="15879" max="15879" width="43.85546875" style="1" customWidth="1"/>
    <col min="15880" max="15880" width="19.7109375" style="1" bestFit="1" customWidth="1"/>
    <col min="15881" max="15881" width="12.85546875" style="1" bestFit="1" customWidth="1"/>
    <col min="15882" max="15882" width="14.42578125" style="1" bestFit="1" customWidth="1"/>
    <col min="15883" max="16132" width="9.140625" style="1"/>
    <col min="16133" max="16133" width="6" style="1" customWidth="1"/>
    <col min="16134" max="16134" width="16.28515625" style="1" customWidth="1"/>
    <col min="16135" max="16135" width="43.85546875" style="1" customWidth="1"/>
    <col min="16136" max="16136" width="19.7109375" style="1" bestFit="1" customWidth="1"/>
    <col min="16137" max="16137" width="12.85546875" style="1" bestFit="1" customWidth="1"/>
    <col min="16138" max="16138" width="14.42578125" style="1" bestFit="1" customWidth="1"/>
    <col min="16139" max="16384" width="9.140625" style="1"/>
  </cols>
  <sheetData>
    <row r="1" spans="1:10" ht="16.5" customHeight="1">
      <c r="A1" s="548" t="s">
        <v>184</v>
      </c>
      <c r="B1" s="548"/>
      <c r="C1" s="548"/>
      <c r="D1" s="548"/>
      <c r="E1" s="548"/>
      <c r="F1" s="548"/>
      <c r="G1" s="548"/>
      <c r="H1" s="548"/>
      <c r="I1" s="548"/>
      <c r="J1" s="548"/>
    </row>
    <row r="2" spans="1:10" ht="9" customHeight="1">
      <c r="A2" s="548"/>
      <c r="B2" s="548"/>
      <c r="C2" s="548"/>
      <c r="D2" s="548"/>
      <c r="E2" s="548"/>
      <c r="F2" s="548"/>
      <c r="G2" s="548"/>
      <c r="H2" s="548"/>
      <c r="I2" s="548"/>
      <c r="J2" s="548"/>
    </row>
    <row r="3" spans="1:10">
      <c r="A3" s="549"/>
      <c r="B3" s="549"/>
      <c r="C3" s="549"/>
      <c r="D3" s="549"/>
      <c r="E3" s="549"/>
      <c r="F3" s="549"/>
      <c r="G3" s="549"/>
      <c r="H3" s="549"/>
      <c r="I3" s="549"/>
      <c r="J3" s="549"/>
    </row>
    <row r="4" spans="1:10" ht="30" customHeight="1">
      <c r="A4" s="553" t="s">
        <v>19</v>
      </c>
      <c r="B4" s="553" t="s">
        <v>129</v>
      </c>
      <c r="C4" s="553" t="s">
        <v>20</v>
      </c>
      <c r="D4" s="553" t="s">
        <v>21</v>
      </c>
      <c r="E4" s="553" t="s">
        <v>154</v>
      </c>
      <c r="F4" s="550" t="s">
        <v>157</v>
      </c>
      <c r="G4" s="551"/>
      <c r="H4" s="551"/>
      <c r="I4" s="552"/>
      <c r="J4" s="553" t="s">
        <v>22</v>
      </c>
    </row>
    <row r="5" spans="1:10" ht="45">
      <c r="A5" s="554"/>
      <c r="B5" s="554"/>
      <c r="C5" s="554"/>
      <c r="D5" s="554"/>
      <c r="E5" s="554"/>
      <c r="F5" s="190" t="s">
        <v>64</v>
      </c>
      <c r="G5" s="190" t="s">
        <v>65</v>
      </c>
      <c r="H5" s="190" t="s">
        <v>172</v>
      </c>
      <c r="I5" s="189" t="s">
        <v>246</v>
      </c>
      <c r="J5" s="554"/>
    </row>
    <row r="6" spans="1:10" ht="30">
      <c r="A6" s="120"/>
      <c r="B6" s="121"/>
      <c r="C6" s="101" t="s">
        <v>244</v>
      </c>
      <c r="D6" s="122"/>
      <c r="E6" s="122"/>
      <c r="F6" s="122"/>
      <c r="G6" s="122"/>
      <c r="H6" s="122"/>
      <c r="I6" s="102"/>
      <c r="J6" s="152"/>
    </row>
    <row r="7" spans="1:10">
      <c r="A7" s="120">
        <v>1</v>
      </c>
      <c r="B7" s="121" t="s">
        <v>185</v>
      </c>
      <c r="C7" s="221" t="s">
        <v>297</v>
      </c>
      <c r="D7" s="222" t="s">
        <v>174</v>
      </c>
      <c r="E7" s="222">
        <v>4</v>
      </c>
      <c r="F7" s="223">
        <v>168.7</v>
      </c>
      <c r="G7" s="222">
        <v>1</v>
      </c>
      <c r="H7" s="223">
        <v>0</v>
      </c>
      <c r="I7" s="224">
        <f>F7+H7</f>
        <v>168.7</v>
      </c>
      <c r="J7" s="224">
        <f>I7*E7/G7</f>
        <v>674.8</v>
      </c>
    </row>
    <row r="8" spans="1:10">
      <c r="A8" s="120">
        <v>2</v>
      </c>
      <c r="B8" s="121" t="s">
        <v>186</v>
      </c>
      <c r="C8" s="221" t="s">
        <v>227</v>
      </c>
      <c r="D8" s="222" t="s">
        <v>175</v>
      </c>
      <c r="E8" s="222">
        <v>1</v>
      </c>
      <c r="F8" s="223">
        <v>234.25</v>
      </c>
      <c r="G8" s="222">
        <v>1</v>
      </c>
      <c r="H8" s="223">
        <v>0</v>
      </c>
      <c r="I8" s="224">
        <f t="shared" ref="I8:I9" si="0">F8+H8</f>
        <v>234.25</v>
      </c>
      <c r="J8" s="224">
        <f>I8</f>
        <v>234.25</v>
      </c>
    </row>
    <row r="9" spans="1:10" ht="204">
      <c r="A9" s="120">
        <v>3</v>
      </c>
      <c r="B9" s="121" t="s">
        <v>173</v>
      </c>
      <c r="C9" s="194" t="s">
        <v>291</v>
      </c>
      <c r="D9" s="225" t="s">
        <v>245</v>
      </c>
      <c r="E9" s="222">
        <v>5</v>
      </c>
      <c r="F9" s="223">
        <v>8754.6</v>
      </c>
      <c r="G9" s="222">
        <v>100</v>
      </c>
      <c r="H9" s="223">
        <v>0</v>
      </c>
      <c r="I9" s="224">
        <f t="shared" si="0"/>
        <v>8754.6</v>
      </c>
      <c r="J9" s="224">
        <f t="shared" ref="J9" si="1">I9*E9/G9</f>
        <v>437.73</v>
      </c>
    </row>
    <row r="10" spans="1:10">
      <c r="A10" s="120"/>
      <c r="B10" s="121"/>
      <c r="C10" s="131" t="s">
        <v>38</v>
      </c>
      <c r="D10" s="222"/>
      <c r="E10" s="222"/>
      <c r="F10" s="223"/>
      <c r="G10" s="223"/>
      <c r="H10" s="223"/>
      <c r="I10" s="224"/>
      <c r="J10" s="226">
        <f>SUM(J7:J9)</f>
        <v>1346.78</v>
      </c>
    </row>
    <row r="11" spans="1:10">
      <c r="A11" s="129"/>
      <c r="B11" s="129"/>
      <c r="C11" s="227" t="s">
        <v>182</v>
      </c>
      <c r="D11" s="222"/>
      <c r="E11" s="222"/>
      <c r="F11" s="223"/>
      <c r="G11" s="223"/>
      <c r="H11" s="223"/>
      <c r="I11" s="224"/>
      <c r="J11" s="228">
        <f>J10/1100</f>
        <v>1.2243454545454546</v>
      </c>
    </row>
    <row r="12" spans="1:10">
      <c r="A12" s="165"/>
      <c r="B12" s="143"/>
      <c r="C12" s="95" t="s">
        <v>181</v>
      </c>
      <c r="D12" s="170"/>
      <c r="E12" s="170"/>
      <c r="F12" s="170"/>
      <c r="G12" s="170"/>
      <c r="H12" s="170"/>
      <c r="I12" s="181"/>
      <c r="J12" s="182"/>
    </row>
    <row r="15" spans="1:10">
      <c r="H15" s="143"/>
      <c r="I15" s="166" t="s">
        <v>126</v>
      </c>
      <c r="J15" s="143"/>
    </row>
    <row r="16" spans="1:10">
      <c r="H16" s="143"/>
      <c r="I16" s="166"/>
      <c r="J16" s="143"/>
    </row>
  </sheetData>
  <mergeCells count="9">
    <mergeCell ref="A1:J2"/>
    <mergeCell ref="A3:J3"/>
    <mergeCell ref="F4:I4"/>
    <mergeCell ref="J4:J5"/>
    <mergeCell ref="D4:D5"/>
    <mergeCell ref="E4:E5"/>
    <mergeCell ref="C4:C5"/>
    <mergeCell ref="B4:B5"/>
    <mergeCell ref="A4:A5"/>
  </mergeCells>
  <printOptions horizontalCentered="1"/>
  <pageMargins left="0.51" right="0.14000000000000001" top="0.63" bottom="0.75" header="0.3" footer="0.3"/>
  <pageSetup paperSize="9" scale="75" fitToHeight="0"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pageSetUpPr fitToPage="1"/>
  </sheetPr>
  <dimension ref="A1:L25"/>
  <sheetViews>
    <sheetView topLeftCell="A7" zoomScaleNormal="100" workbookViewId="0">
      <selection activeCell="H18" sqref="H18"/>
    </sheetView>
  </sheetViews>
  <sheetFormatPr defaultRowHeight="15"/>
  <cols>
    <col min="1" max="1" width="6" style="5" customWidth="1"/>
    <col min="2" max="2" width="11" style="1" customWidth="1"/>
    <col min="3" max="3" width="45.7109375" style="1" customWidth="1"/>
    <col min="4" max="4" width="13.42578125" style="1" customWidth="1"/>
    <col min="5" max="5" width="8.85546875" style="1" bestFit="1" customWidth="1"/>
    <col min="6" max="6" width="10" style="1" bestFit="1" customWidth="1"/>
    <col min="7" max="7" width="4.42578125" style="1" bestFit="1" customWidth="1"/>
    <col min="8" max="8" width="10.140625" style="1" bestFit="1" customWidth="1"/>
    <col min="9" max="9" width="8.5703125" style="1" customWidth="1"/>
    <col min="10" max="10" width="11.28515625" style="1" customWidth="1"/>
    <col min="11" max="253" width="9.140625" style="1"/>
    <col min="254" max="254" width="6" style="1" customWidth="1"/>
    <col min="255" max="255" width="16.28515625" style="1" customWidth="1"/>
    <col min="256" max="256" width="43.85546875" style="1" customWidth="1"/>
    <col min="257" max="257" width="19.7109375" style="1" bestFit="1" customWidth="1"/>
    <col min="258" max="258" width="12.85546875" style="1" bestFit="1" customWidth="1"/>
    <col min="259" max="259" width="14.42578125" style="1" bestFit="1" customWidth="1"/>
    <col min="260" max="509" width="9.140625" style="1"/>
    <col min="510" max="510" width="6" style="1" customWidth="1"/>
    <col min="511" max="511" width="16.28515625" style="1" customWidth="1"/>
    <col min="512" max="512" width="43.85546875" style="1" customWidth="1"/>
    <col min="513" max="513" width="19.7109375" style="1" bestFit="1" customWidth="1"/>
    <col min="514" max="514" width="12.85546875" style="1" bestFit="1" customWidth="1"/>
    <col min="515" max="515" width="14.42578125" style="1" bestFit="1" customWidth="1"/>
    <col min="516" max="765" width="9.140625" style="1"/>
    <col min="766" max="766" width="6" style="1" customWidth="1"/>
    <col min="767" max="767" width="16.28515625" style="1" customWidth="1"/>
    <col min="768" max="768" width="43.85546875" style="1" customWidth="1"/>
    <col min="769" max="769" width="19.7109375" style="1" bestFit="1" customWidth="1"/>
    <col min="770" max="770" width="12.85546875" style="1" bestFit="1" customWidth="1"/>
    <col min="771" max="771" width="14.42578125" style="1" bestFit="1" customWidth="1"/>
    <col min="772" max="1021" width="9.140625" style="1"/>
    <col min="1022" max="1022" width="6" style="1" customWidth="1"/>
    <col min="1023" max="1023" width="16.28515625" style="1" customWidth="1"/>
    <col min="1024" max="1024" width="43.85546875" style="1" customWidth="1"/>
    <col min="1025" max="1025" width="19.7109375" style="1" bestFit="1" customWidth="1"/>
    <col min="1026" max="1026" width="12.85546875" style="1" bestFit="1" customWidth="1"/>
    <col min="1027" max="1027" width="14.42578125" style="1" bestFit="1" customWidth="1"/>
    <col min="1028" max="1277" width="9.140625" style="1"/>
    <col min="1278" max="1278" width="6" style="1" customWidth="1"/>
    <col min="1279" max="1279" width="16.28515625" style="1" customWidth="1"/>
    <col min="1280" max="1280" width="43.85546875" style="1" customWidth="1"/>
    <col min="1281" max="1281" width="19.7109375" style="1" bestFit="1" customWidth="1"/>
    <col min="1282" max="1282" width="12.85546875" style="1" bestFit="1" customWidth="1"/>
    <col min="1283" max="1283" width="14.42578125" style="1" bestFit="1" customWidth="1"/>
    <col min="1284" max="1533" width="9.140625" style="1"/>
    <col min="1534" max="1534" width="6" style="1" customWidth="1"/>
    <col min="1535" max="1535" width="16.28515625" style="1" customWidth="1"/>
    <col min="1536" max="1536" width="43.85546875" style="1" customWidth="1"/>
    <col min="1537" max="1537" width="19.7109375" style="1" bestFit="1" customWidth="1"/>
    <col min="1538" max="1538" width="12.85546875" style="1" bestFit="1" customWidth="1"/>
    <col min="1539" max="1539" width="14.42578125" style="1" bestFit="1" customWidth="1"/>
    <col min="1540" max="1789" width="9.140625" style="1"/>
    <col min="1790" max="1790" width="6" style="1" customWidth="1"/>
    <col min="1791" max="1791" width="16.28515625" style="1" customWidth="1"/>
    <col min="1792" max="1792" width="43.85546875" style="1" customWidth="1"/>
    <col min="1793" max="1793" width="19.7109375" style="1" bestFit="1" customWidth="1"/>
    <col min="1794" max="1794" width="12.85546875" style="1" bestFit="1" customWidth="1"/>
    <col min="1795" max="1795" width="14.42578125" style="1" bestFit="1" customWidth="1"/>
    <col min="1796" max="2045" width="9.140625" style="1"/>
    <col min="2046" max="2046" width="6" style="1" customWidth="1"/>
    <col min="2047" max="2047" width="16.28515625" style="1" customWidth="1"/>
    <col min="2048" max="2048" width="43.85546875" style="1" customWidth="1"/>
    <col min="2049" max="2049" width="19.7109375" style="1" bestFit="1" customWidth="1"/>
    <col min="2050" max="2050" width="12.85546875" style="1" bestFit="1" customWidth="1"/>
    <col min="2051" max="2051" width="14.42578125" style="1" bestFit="1" customWidth="1"/>
    <col min="2052" max="2301" width="9.140625" style="1"/>
    <col min="2302" max="2302" width="6" style="1" customWidth="1"/>
    <col min="2303" max="2303" width="16.28515625" style="1" customWidth="1"/>
    <col min="2304" max="2304" width="43.85546875" style="1" customWidth="1"/>
    <col min="2305" max="2305" width="19.7109375" style="1" bestFit="1" customWidth="1"/>
    <col min="2306" max="2306" width="12.85546875" style="1" bestFit="1" customWidth="1"/>
    <col min="2307" max="2307" width="14.42578125" style="1" bestFit="1" customWidth="1"/>
    <col min="2308" max="2557" width="9.140625" style="1"/>
    <col min="2558" max="2558" width="6" style="1" customWidth="1"/>
    <col min="2559" max="2559" width="16.28515625" style="1" customWidth="1"/>
    <col min="2560" max="2560" width="43.85546875" style="1" customWidth="1"/>
    <col min="2561" max="2561" width="19.7109375" style="1" bestFit="1" customWidth="1"/>
    <col min="2562" max="2562" width="12.85546875" style="1" bestFit="1" customWidth="1"/>
    <col min="2563" max="2563" width="14.42578125" style="1" bestFit="1" customWidth="1"/>
    <col min="2564" max="2813" width="9.140625" style="1"/>
    <col min="2814" max="2814" width="6" style="1" customWidth="1"/>
    <col min="2815" max="2815" width="16.28515625" style="1" customWidth="1"/>
    <col min="2816" max="2816" width="43.85546875" style="1" customWidth="1"/>
    <col min="2817" max="2817" width="19.7109375" style="1" bestFit="1" customWidth="1"/>
    <col min="2818" max="2818" width="12.85546875" style="1" bestFit="1" customWidth="1"/>
    <col min="2819" max="2819" width="14.42578125" style="1" bestFit="1" customWidth="1"/>
    <col min="2820" max="3069" width="9.140625" style="1"/>
    <col min="3070" max="3070" width="6" style="1" customWidth="1"/>
    <col min="3071" max="3071" width="16.28515625" style="1" customWidth="1"/>
    <col min="3072" max="3072" width="43.85546875" style="1" customWidth="1"/>
    <col min="3073" max="3073" width="19.7109375" style="1" bestFit="1" customWidth="1"/>
    <col min="3074" max="3074" width="12.85546875" style="1" bestFit="1" customWidth="1"/>
    <col min="3075" max="3075" width="14.42578125" style="1" bestFit="1" customWidth="1"/>
    <col min="3076" max="3325" width="9.140625" style="1"/>
    <col min="3326" max="3326" width="6" style="1" customWidth="1"/>
    <col min="3327" max="3327" width="16.28515625" style="1" customWidth="1"/>
    <col min="3328" max="3328" width="43.85546875" style="1" customWidth="1"/>
    <col min="3329" max="3329" width="19.7109375" style="1" bestFit="1" customWidth="1"/>
    <col min="3330" max="3330" width="12.85546875" style="1" bestFit="1" customWidth="1"/>
    <col min="3331" max="3331" width="14.42578125" style="1" bestFit="1" customWidth="1"/>
    <col min="3332" max="3581" width="9.140625" style="1"/>
    <col min="3582" max="3582" width="6" style="1" customWidth="1"/>
    <col min="3583" max="3583" width="16.28515625" style="1" customWidth="1"/>
    <col min="3584" max="3584" width="43.85546875" style="1" customWidth="1"/>
    <col min="3585" max="3585" width="19.7109375" style="1" bestFit="1" customWidth="1"/>
    <col min="3586" max="3586" width="12.85546875" style="1" bestFit="1" customWidth="1"/>
    <col min="3587" max="3587" width="14.42578125" style="1" bestFit="1" customWidth="1"/>
    <col min="3588" max="3837" width="9.140625" style="1"/>
    <col min="3838" max="3838" width="6" style="1" customWidth="1"/>
    <col min="3839" max="3839" width="16.28515625" style="1" customWidth="1"/>
    <col min="3840" max="3840" width="43.85546875" style="1" customWidth="1"/>
    <col min="3841" max="3841" width="19.7109375" style="1" bestFit="1" customWidth="1"/>
    <col min="3842" max="3842" width="12.85546875" style="1" bestFit="1" customWidth="1"/>
    <col min="3843" max="3843" width="14.42578125" style="1" bestFit="1" customWidth="1"/>
    <col min="3844" max="4093" width="9.140625" style="1"/>
    <col min="4094" max="4094" width="6" style="1" customWidth="1"/>
    <col min="4095" max="4095" width="16.28515625" style="1" customWidth="1"/>
    <col min="4096" max="4096" width="43.85546875" style="1" customWidth="1"/>
    <col min="4097" max="4097" width="19.7109375" style="1" bestFit="1" customWidth="1"/>
    <col min="4098" max="4098" width="12.85546875" style="1" bestFit="1" customWidth="1"/>
    <col min="4099" max="4099" width="14.42578125" style="1" bestFit="1" customWidth="1"/>
    <col min="4100" max="4349" width="9.140625" style="1"/>
    <col min="4350" max="4350" width="6" style="1" customWidth="1"/>
    <col min="4351" max="4351" width="16.28515625" style="1" customWidth="1"/>
    <col min="4352" max="4352" width="43.85546875" style="1" customWidth="1"/>
    <col min="4353" max="4353" width="19.7109375" style="1" bestFit="1" customWidth="1"/>
    <col min="4354" max="4354" width="12.85546875" style="1" bestFit="1" customWidth="1"/>
    <col min="4355" max="4355" width="14.42578125" style="1" bestFit="1" customWidth="1"/>
    <col min="4356" max="4605" width="9.140625" style="1"/>
    <col min="4606" max="4606" width="6" style="1" customWidth="1"/>
    <col min="4607" max="4607" width="16.28515625" style="1" customWidth="1"/>
    <col min="4608" max="4608" width="43.85546875" style="1" customWidth="1"/>
    <col min="4609" max="4609" width="19.7109375" style="1" bestFit="1" customWidth="1"/>
    <col min="4610" max="4610" width="12.85546875" style="1" bestFit="1" customWidth="1"/>
    <col min="4611" max="4611" width="14.42578125" style="1" bestFit="1" customWidth="1"/>
    <col min="4612" max="4861" width="9.140625" style="1"/>
    <col min="4862" max="4862" width="6" style="1" customWidth="1"/>
    <col min="4863" max="4863" width="16.28515625" style="1" customWidth="1"/>
    <col min="4864" max="4864" width="43.85546875" style="1" customWidth="1"/>
    <col min="4865" max="4865" width="19.7109375" style="1" bestFit="1" customWidth="1"/>
    <col min="4866" max="4866" width="12.85546875" style="1" bestFit="1" customWidth="1"/>
    <col min="4867" max="4867" width="14.42578125" style="1" bestFit="1" customWidth="1"/>
    <col min="4868" max="5117" width="9.140625" style="1"/>
    <col min="5118" max="5118" width="6" style="1" customWidth="1"/>
    <col min="5119" max="5119" width="16.28515625" style="1" customWidth="1"/>
    <col min="5120" max="5120" width="43.85546875" style="1" customWidth="1"/>
    <col min="5121" max="5121" width="19.7109375" style="1" bestFit="1" customWidth="1"/>
    <col min="5122" max="5122" width="12.85546875" style="1" bestFit="1" customWidth="1"/>
    <col min="5123" max="5123" width="14.42578125" style="1" bestFit="1" customWidth="1"/>
    <col min="5124" max="5373" width="9.140625" style="1"/>
    <col min="5374" max="5374" width="6" style="1" customWidth="1"/>
    <col min="5375" max="5375" width="16.28515625" style="1" customWidth="1"/>
    <col min="5376" max="5376" width="43.85546875" style="1" customWidth="1"/>
    <col min="5377" max="5377" width="19.7109375" style="1" bestFit="1" customWidth="1"/>
    <col min="5378" max="5378" width="12.85546875" style="1" bestFit="1" customWidth="1"/>
    <col min="5379" max="5379" width="14.42578125" style="1" bestFit="1" customWidth="1"/>
    <col min="5380" max="5629" width="9.140625" style="1"/>
    <col min="5630" max="5630" width="6" style="1" customWidth="1"/>
    <col min="5631" max="5631" width="16.28515625" style="1" customWidth="1"/>
    <col min="5632" max="5632" width="43.85546875" style="1" customWidth="1"/>
    <col min="5633" max="5633" width="19.7109375" style="1" bestFit="1" customWidth="1"/>
    <col min="5634" max="5634" width="12.85546875" style="1" bestFit="1" customWidth="1"/>
    <col min="5635" max="5635" width="14.42578125" style="1" bestFit="1" customWidth="1"/>
    <col min="5636" max="5885" width="9.140625" style="1"/>
    <col min="5886" max="5886" width="6" style="1" customWidth="1"/>
    <col min="5887" max="5887" width="16.28515625" style="1" customWidth="1"/>
    <col min="5888" max="5888" width="43.85546875" style="1" customWidth="1"/>
    <col min="5889" max="5889" width="19.7109375" style="1" bestFit="1" customWidth="1"/>
    <col min="5890" max="5890" width="12.85546875" style="1" bestFit="1" customWidth="1"/>
    <col min="5891" max="5891" width="14.42578125" style="1" bestFit="1" customWidth="1"/>
    <col min="5892" max="6141" width="9.140625" style="1"/>
    <col min="6142" max="6142" width="6" style="1" customWidth="1"/>
    <col min="6143" max="6143" width="16.28515625" style="1" customWidth="1"/>
    <col min="6144" max="6144" width="43.85546875" style="1" customWidth="1"/>
    <col min="6145" max="6145" width="19.7109375" style="1" bestFit="1" customWidth="1"/>
    <col min="6146" max="6146" width="12.85546875" style="1" bestFit="1" customWidth="1"/>
    <col min="6147" max="6147" width="14.42578125" style="1" bestFit="1" customWidth="1"/>
    <col min="6148" max="6397" width="9.140625" style="1"/>
    <col min="6398" max="6398" width="6" style="1" customWidth="1"/>
    <col min="6399" max="6399" width="16.28515625" style="1" customWidth="1"/>
    <col min="6400" max="6400" width="43.85546875" style="1" customWidth="1"/>
    <col min="6401" max="6401" width="19.7109375" style="1" bestFit="1" customWidth="1"/>
    <col min="6402" max="6402" width="12.85546875" style="1" bestFit="1" customWidth="1"/>
    <col min="6403" max="6403" width="14.42578125" style="1" bestFit="1" customWidth="1"/>
    <col min="6404" max="6653" width="9.140625" style="1"/>
    <col min="6654" max="6654" width="6" style="1" customWidth="1"/>
    <col min="6655" max="6655" width="16.28515625" style="1" customWidth="1"/>
    <col min="6656" max="6656" width="43.85546875" style="1" customWidth="1"/>
    <col min="6657" max="6657" width="19.7109375" style="1" bestFit="1" customWidth="1"/>
    <col min="6658" max="6658" width="12.85546875" style="1" bestFit="1" customWidth="1"/>
    <col min="6659" max="6659" width="14.42578125" style="1" bestFit="1" customWidth="1"/>
    <col min="6660" max="6909" width="9.140625" style="1"/>
    <col min="6910" max="6910" width="6" style="1" customWidth="1"/>
    <col min="6911" max="6911" width="16.28515625" style="1" customWidth="1"/>
    <col min="6912" max="6912" width="43.85546875" style="1" customWidth="1"/>
    <col min="6913" max="6913" width="19.7109375" style="1" bestFit="1" customWidth="1"/>
    <col min="6914" max="6914" width="12.85546875" style="1" bestFit="1" customWidth="1"/>
    <col min="6915" max="6915" width="14.42578125" style="1" bestFit="1" customWidth="1"/>
    <col min="6916" max="7165" width="9.140625" style="1"/>
    <col min="7166" max="7166" width="6" style="1" customWidth="1"/>
    <col min="7167" max="7167" width="16.28515625" style="1" customWidth="1"/>
    <col min="7168" max="7168" width="43.85546875" style="1" customWidth="1"/>
    <col min="7169" max="7169" width="19.7109375" style="1" bestFit="1" customWidth="1"/>
    <col min="7170" max="7170" width="12.85546875" style="1" bestFit="1" customWidth="1"/>
    <col min="7171" max="7171" width="14.42578125" style="1" bestFit="1" customWidth="1"/>
    <col min="7172" max="7421" width="9.140625" style="1"/>
    <col min="7422" max="7422" width="6" style="1" customWidth="1"/>
    <col min="7423" max="7423" width="16.28515625" style="1" customWidth="1"/>
    <col min="7424" max="7424" width="43.85546875" style="1" customWidth="1"/>
    <col min="7425" max="7425" width="19.7109375" style="1" bestFit="1" customWidth="1"/>
    <col min="7426" max="7426" width="12.85546875" style="1" bestFit="1" customWidth="1"/>
    <col min="7427" max="7427" width="14.42578125" style="1" bestFit="1" customWidth="1"/>
    <col min="7428" max="7677" width="9.140625" style="1"/>
    <col min="7678" max="7678" width="6" style="1" customWidth="1"/>
    <col min="7679" max="7679" width="16.28515625" style="1" customWidth="1"/>
    <col min="7680" max="7680" width="43.85546875" style="1" customWidth="1"/>
    <col min="7681" max="7681" width="19.7109375" style="1" bestFit="1" customWidth="1"/>
    <col min="7682" max="7682" width="12.85546875" style="1" bestFit="1" customWidth="1"/>
    <col min="7683" max="7683" width="14.42578125" style="1" bestFit="1" customWidth="1"/>
    <col min="7684" max="7933" width="9.140625" style="1"/>
    <col min="7934" max="7934" width="6" style="1" customWidth="1"/>
    <col min="7935" max="7935" width="16.28515625" style="1" customWidth="1"/>
    <col min="7936" max="7936" width="43.85546875" style="1" customWidth="1"/>
    <col min="7937" max="7937" width="19.7109375" style="1" bestFit="1" customWidth="1"/>
    <col min="7938" max="7938" width="12.85546875" style="1" bestFit="1" customWidth="1"/>
    <col min="7939" max="7939" width="14.42578125" style="1" bestFit="1" customWidth="1"/>
    <col min="7940" max="8189" width="9.140625" style="1"/>
    <col min="8190" max="8190" width="6" style="1" customWidth="1"/>
    <col min="8191" max="8191" width="16.28515625" style="1" customWidth="1"/>
    <col min="8192" max="8192" width="43.85546875" style="1" customWidth="1"/>
    <col min="8193" max="8193" width="19.7109375" style="1" bestFit="1" customWidth="1"/>
    <col min="8194" max="8194" width="12.85546875" style="1" bestFit="1" customWidth="1"/>
    <col min="8195" max="8195" width="14.42578125" style="1" bestFit="1" customWidth="1"/>
    <col min="8196" max="8445" width="9.140625" style="1"/>
    <col min="8446" max="8446" width="6" style="1" customWidth="1"/>
    <col min="8447" max="8447" width="16.28515625" style="1" customWidth="1"/>
    <col min="8448" max="8448" width="43.85546875" style="1" customWidth="1"/>
    <col min="8449" max="8449" width="19.7109375" style="1" bestFit="1" customWidth="1"/>
    <col min="8450" max="8450" width="12.85546875" style="1" bestFit="1" customWidth="1"/>
    <col min="8451" max="8451" width="14.42578125" style="1" bestFit="1" customWidth="1"/>
    <col min="8452" max="8701" width="9.140625" style="1"/>
    <col min="8702" max="8702" width="6" style="1" customWidth="1"/>
    <col min="8703" max="8703" width="16.28515625" style="1" customWidth="1"/>
    <col min="8704" max="8704" width="43.85546875" style="1" customWidth="1"/>
    <col min="8705" max="8705" width="19.7109375" style="1" bestFit="1" customWidth="1"/>
    <col min="8706" max="8706" width="12.85546875" style="1" bestFit="1" customWidth="1"/>
    <col min="8707" max="8707" width="14.42578125" style="1" bestFit="1" customWidth="1"/>
    <col min="8708" max="8957" width="9.140625" style="1"/>
    <col min="8958" max="8958" width="6" style="1" customWidth="1"/>
    <col min="8959" max="8959" width="16.28515625" style="1" customWidth="1"/>
    <col min="8960" max="8960" width="43.85546875" style="1" customWidth="1"/>
    <col min="8961" max="8961" width="19.7109375" style="1" bestFit="1" customWidth="1"/>
    <col min="8962" max="8962" width="12.85546875" style="1" bestFit="1" customWidth="1"/>
    <col min="8963" max="8963" width="14.42578125" style="1" bestFit="1" customWidth="1"/>
    <col min="8964" max="9213" width="9.140625" style="1"/>
    <col min="9214" max="9214" width="6" style="1" customWidth="1"/>
    <col min="9215" max="9215" width="16.28515625" style="1" customWidth="1"/>
    <col min="9216" max="9216" width="43.85546875" style="1" customWidth="1"/>
    <col min="9217" max="9217" width="19.7109375" style="1" bestFit="1" customWidth="1"/>
    <col min="9218" max="9218" width="12.85546875" style="1" bestFit="1" customWidth="1"/>
    <col min="9219" max="9219" width="14.42578125" style="1" bestFit="1" customWidth="1"/>
    <col min="9220" max="9469" width="9.140625" style="1"/>
    <col min="9470" max="9470" width="6" style="1" customWidth="1"/>
    <col min="9471" max="9471" width="16.28515625" style="1" customWidth="1"/>
    <col min="9472" max="9472" width="43.85546875" style="1" customWidth="1"/>
    <col min="9473" max="9473" width="19.7109375" style="1" bestFit="1" customWidth="1"/>
    <col min="9474" max="9474" width="12.85546875" style="1" bestFit="1" customWidth="1"/>
    <col min="9475" max="9475" width="14.42578125" style="1" bestFit="1" customWidth="1"/>
    <col min="9476" max="9725" width="9.140625" style="1"/>
    <col min="9726" max="9726" width="6" style="1" customWidth="1"/>
    <col min="9727" max="9727" width="16.28515625" style="1" customWidth="1"/>
    <col min="9728" max="9728" width="43.85546875" style="1" customWidth="1"/>
    <col min="9729" max="9729" width="19.7109375" style="1" bestFit="1" customWidth="1"/>
    <col min="9730" max="9730" width="12.85546875" style="1" bestFit="1" customWidth="1"/>
    <col min="9731" max="9731" width="14.42578125" style="1" bestFit="1" customWidth="1"/>
    <col min="9732" max="9981" width="9.140625" style="1"/>
    <col min="9982" max="9982" width="6" style="1" customWidth="1"/>
    <col min="9983" max="9983" width="16.28515625" style="1" customWidth="1"/>
    <col min="9984" max="9984" width="43.85546875" style="1" customWidth="1"/>
    <col min="9985" max="9985" width="19.7109375" style="1" bestFit="1" customWidth="1"/>
    <col min="9986" max="9986" width="12.85546875" style="1" bestFit="1" customWidth="1"/>
    <col min="9987" max="9987" width="14.42578125" style="1" bestFit="1" customWidth="1"/>
    <col min="9988" max="10237" width="9.140625" style="1"/>
    <col min="10238" max="10238" width="6" style="1" customWidth="1"/>
    <col min="10239" max="10239" width="16.28515625" style="1" customWidth="1"/>
    <col min="10240" max="10240" width="43.85546875" style="1" customWidth="1"/>
    <col min="10241" max="10241" width="19.7109375" style="1" bestFit="1" customWidth="1"/>
    <col min="10242" max="10242" width="12.85546875" style="1" bestFit="1" customWidth="1"/>
    <col min="10243" max="10243" width="14.42578125" style="1" bestFit="1" customWidth="1"/>
    <col min="10244" max="10493" width="9.140625" style="1"/>
    <col min="10494" max="10494" width="6" style="1" customWidth="1"/>
    <col min="10495" max="10495" width="16.28515625" style="1" customWidth="1"/>
    <col min="10496" max="10496" width="43.85546875" style="1" customWidth="1"/>
    <col min="10497" max="10497" width="19.7109375" style="1" bestFit="1" customWidth="1"/>
    <col min="10498" max="10498" width="12.85546875" style="1" bestFit="1" customWidth="1"/>
    <col min="10499" max="10499" width="14.42578125" style="1" bestFit="1" customWidth="1"/>
    <col min="10500" max="10749" width="9.140625" style="1"/>
    <col min="10750" max="10750" width="6" style="1" customWidth="1"/>
    <col min="10751" max="10751" width="16.28515625" style="1" customWidth="1"/>
    <col min="10752" max="10752" width="43.85546875" style="1" customWidth="1"/>
    <col min="10753" max="10753" width="19.7109375" style="1" bestFit="1" customWidth="1"/>
    <col min="10754" max="10754" width="12.85546875" style="1" bestFit="1" customWidth="1"/>
    <col min="10755" max="10755" width="14.42578125" style="1" bestFit="1" customWidth="1"/>
    <col min="10756" max="11005" width="9.140625" style="1"/>
    <col min="11006" max="11006" width="6" style="1" customWidth="1"/>
    <col min="11007" max="11007" width="16.28515625" style="1" customWidth="1"/>
    <col min="11008" max="11008" width="43.85546875" style="1" customWidth="1"/>
    <col min="11009" max="11009" width="19.7109375" style="1" bestFit="1" customWidth="1"/>
    <col min="11010" max="11010" width="12.85546875" style="1" bestFit="1" customWidth="1"/>
    <col min="11011" max="11011" width="14.42578125" style="1" bestFit="1" customWidth="1"/>
    <col min="11012" max="11261" width="9.140625" style="1"/>
    <col min="11262" max="11262" width="6" style="1" customWidth="1"/>
    <col min="11263" max="11263" width="16.28515625" style="1" customWidth="1"/>
    <col min="11264" max="11264" width="43.85546875" style="1" customWidth="1"/>
    <col min="11265" max="11265" width="19.7109375" style="1" bestFit="1" customWidth="1"/>
    <col min="11266" max="11266" width="12.85546875" style="1" bestFit="1" customWidth="1"/>
    <col min="11267" max="11267" width="14.42578125" style="1" bestFit="1" customWidth="1"/>
    <col min="11268" max="11517" width="9.140625" style="1"/>
    <col min="11518" max="11518" width="6" style="1" customWidth="1"/>
    <col min="11519" max="11519" width="16.28515625" style="1" customWidth="1"/>
    <col min="11520" max="11520" width="43.85546875" style="1" customWidth="1"/>
    <col min="11521" max="11521" width="19.7109375" style="1" bestFit="1" customWidth="1"/>
    <col min="11522" max="11522" width="12.85546875" style="1" bestFit="1" customWidth="1"/>
    <col min="11523" max="11523" width="14.42578125" style="1" bestFit="1" customWidth="1"/>
    <col min="11524" max="11773" width="9.140625" style="1"/>
    <col min="11774" max="11774" width="6" style="1" customWidth="1"/>
    <col min="11775" max="11775" width="16.28515625" style="1" customWidth="1"/>
    <col min="11776" max="11776" width="43.85546875" style="1" customWidth="1"/>
    <col min="11777" max="11777" width="19.7109375" style="1" bestFit="1" customWidth="1"/>
    <col min="11778" max="11778" width="12.85546875" style="1" bestFit="1" customWidth="1"/>
    <col min="11779" max="11779" width="14.42578125" style="1" bestFit="1" customWidth="1"/>
    <col min="11780" max="12029" width="9.140625" style="1"/>
    <col min="12030" max="12030" width="6" style="1" customWidth="1"/>
    <col min="12031" max="12031" width="16.28515625" style="1" customWidth="1"/>
    <col min="12032" max="12032" width="43.85546875" style="1" customWidth="1"/>
    <col min="12033" max="12033" width="19.7109375" style="1" bestFit="1" customWidth="1"/>
    <col min="12034" max="12034" width="12.85546875" style="1" bestFit="1" customWidth="1"/>
    <col min="12035" max="12035" width="14.42578125" style="1" bestFit="1" customWidth="1"/>
    <col min="12036" max="12285" width="9.140625" style="1"/>
    <col min="12286" max="12286" width="6" style="1" customWidth="1"/>
    <col min="12287" max="12287" width="16.28515625" style="1" customWidth="1"/>
    <col min="12288" max="12288" width="43.85546875" style="1" customWidth="1"/>
    <col min="12289" max="12289" width="19.7109375" style="1" bestFit="1" customWidth="1"/>
    <col min="12290" max="12290" width="12.85546875" style="1" bestFit="1" customWidth="1"/>
    <col min="12291" max="12291" width="14.42578125" style="1" bestFit="1" customWidth="1"/>
    <col min="12292" max="12541" width="9.140625" style="1"/>
    <col min="12542" max="12542" width="6" style="1" customWidth="1"/>
    <col min="12543" max="12543" width="16.28515625" style="1" customWidth="1"/>
    <col min="12544" max="12544" width="43.85546875" style="1" customWidth="1"/>
    <col min="12545" max="12545" width="19.7109375" style="1" bestFit="1" customWidth="1"/>
    <col min="12546" max="12546" width="12.85546875" style="1" bestFit="1" customWidth="1"/>
    <col min="12547" max="12547" width="14.42578125" style="1" bestFit="1" customWidth="1"/>
    <col min="12548" max="12797" width="9.140625" style="1"/>
    <col min="12798" max="12798" width="6" style="1" customWidth="1"/>
    <col min="12799" max="12799" width="16.28515625" style="1" customWidth="1"/>
    <col min="12800" max="12800" width="43.85546875" style="1" customWidth="1"/>
    <col min="12801" max="12801" width="19.7109375" style="1" bestFit="1" customWidth="1"/>
    <col min="12802" max="12802" width="12.85546875" style="1" bestFit="1" customWidth="1"/>
    <col min="12803" max="12803" width="14.42578125" style="1" bestFit="1" customWidth="1"/>
    <col min="12804" max="13053" width="9.140625" style="1"/>
    <col min="13054" max="13054" width="6" style="1" customWidth="1"/>
    <col min="13055" max="13055" width="16.28515625" style="1" customWidth="1"/>
    <col min="13056" max="13056" width="43.85546875" style="1" customWidth="1"/>
    <col min="13057" max="13057" width="19.7109375" style="1" bestFit="1" customWidth="1"/>
    <col min="13058" max="13058" width="12.85546875" style="1" bestFit="1" customWidth="1"/>
    <col min="13059" max="13059" width="14.42578125" style="1" bestFit="1" customWidth="1"/>
    <col min="13060" max="13309" width="9.140625" style="1"/>
    <col min="13310" max="13310" width="6" style="1" customWidth="1"/>
    <col min="13311" max="13311" width="16.28515625" style="1" customWidth="1"/>
    <col min="13312" max="13312" width="43.85546875" style="1" customWidth="1"/>
    <col min="13313" max="13313" width="19.7109375" style="1" bestFit="1" customWidth="1"/>
    <col min="13314" max="13314" width="12.85546875" style="1" bestFit="1" customWidth="1"/>
    <col min="13315" max="13315" width="14.42578125" style="1" bestFit="1" customWidth="1"/>
    <col min="13316" max="13565" width="9.140625" style="1"/>
    <col min="13566" max="13566" width="6" style="1" customWidth="1"/>
    <col min="13567" max="13567" width="16.28515625" style="1" customWidth="1"/>
    <col min="13568" max="13568" width="43.85546875" style="1" customWidth="1"/>
    <col min="13569" max="13569" width="19.7109375" style="1" bestFit="1" customWidth="1"/>
    <col min="13570" max="13570" width="12.85546875" style="1" bestFit="1" customWidth="1"/>
    <col min="13571" max="13571" width="14.42578125" style="1" bestFit="1" customWidth="1"/>
    <col min="13572" max="13821" width="9.140625" style="1"/>
    <col min="13822" max="13822" width="6" style="1" customWidth="1"/>
    <col min="13823" max="13823" width="16.28515625" style="1" customWidth="1"/>
    <col min="13824" max="13824" width="43.85546875" style="1" customWidth="1"/>
    <col min="13825" max="13825" width="19.7109375" style="1" bestFit="1" customWidth="1"/>
    <col min="13826" max="13826" width="12.85546875" style="1" bestFit="1" customWidth="1"/>
    <col min="13827" max="13827" width="14.42578125" style="1" bestFit="1" customWidth="1"/>
    <col min="13828" max="14077" width="9.140625" style="1"/>
    <col min="14078" max="14078" width="6" style="1" customWidth="1"/>
    <col min="14079" max="14079" width="16.28515625" style="1" customWidth="1"/>
    <col min="14080" max="14080" width="43.85546875" style="1" customWidth="1"/>
    <col min="14081" max="14081" width="19.7109375" style="1" bestFit="1" customWidth="1"/>
    <col min="14082" max="14082" width="12.85546875" style="1" bestFit="1" customWidth="1"/>
    <col min="14083" max="14083" width="14.42578125" style="1" bestFit="1" customWidth="1"/>
    <col min="14084" max="14333" width="9.140625" style="1"/>
    <col min="14334" max="14334" width="6" style="1" customWidth="1"/>
    <col min="14335" max="14335" width="16.28515625" style="1" customWidth="1"/>
    <col min="14336" max="14336" width="43.85546875" style="1" customWidth="1"/>
    <col min="14337" max="14337" width="19.7109375" style="1" bestFit="1" customWidth="1"/>
    <col min="14338" max="14338" width="12.85546875" style="1" bestFit="1" customWidth="1"/>
    <col min="14339" max="14339" width="14.42578125" style="1" bestFit="1" customWidth="1"/>
    <col min="14340" max="14589" width="9.140625" style="1"/>
    <col min="14590" max="14590" width="6" style="1" customWidth="1"/>
    <col min="14591" max="14591" width="16.28515625" style="1" customWidth="1"/>
    <col min="14592" max="14592" width="43.85546875" style="1" customWidth="1"/>
    <col min="14593" max="14593" width="19.7109375" style="1" bestFit="1" customWidth="1"/>
    <col min="14594" max="14594" width="12.85546875" style="1" bestFit="1" customWidth="1"/>
    <col min="14595" max="14595" width="14.42578125" style="1" bestFit="1" customWidth="1"/>
    <col min="14596" max="14845" width="9.140625" style="1"/>
    <col min="14846" max="14846" width="6" style="1" customWidth="1"/>
    <col min="14847" max="14847" width="16.28515625" style="1" customWidth="1"/>
    <col min="14848" max="14848" width="43.85546875" style="1" customWidth="1"/>
    <col min="14849" max="14849" width="19.7109375" style="1" bestFit="1" customWidth="1"/>
    <col min="14850" max="14850" width="12.85546875" style="1" bestFit="1" customWidth="1"/>
    <col min="14851" max="14851" width="14.42578125" style="1" bestFit="1" customWidth="1"/>
    <col min="14852" max="15101" width="9.140625" style="1"/>
    <col min="15102" max="15102" width="6" style="1" customWidth="1"/>
    <col min="15103" max="15103" width="16.28515625" style="1" customWidth="1"/>
    <col min="15104" max="15104" width="43.85546875" style="1" customWidth="1"/>
    <col min="15105" max="15105" width="19.7109375" style="1" bestFit="1" customWidth="1"/>
    <col min="15106" max="15106" width="12.85546875" style="1" bestFit="1" customWidth="1"/>
    <col min="15107" max="15107" width="14.42578125" style="1" bestFit="1" customWidth="1"/>
    <col min="15108" max="15357" width="9.140625" style="1"/>
    <col min="15358" max="15358" width="6" style="1" customWidth="1"/>
    <col min="15359" max="15359" width="16.28515625" style="1" customWidth="1"/>
    <col min="15360" max="15360" width="43.85546875" style="1" customWidth="1"/>
    <col min="15361" max="15361" width="19.7109375" style="1" bestFit="1" customWidth="1"/>
    <col min="15362" max="15362" width="12.85546875" style="1" bestFit="1" customWidth="1"/>
    <col min="15363" max="15363" width="14.42578125" style="1" bestFit="1" customWidth="1"/>
    <col min="15364" max="15613" width="9.140625" style="1"/>
    <col min="15614" max="15614" width="6" style="1" customWidth="1"/>
    <col min="15615" max="15615" width="16.28515625" style="1" customWidth="1"/>
    <col min="15616" max="15616" width="43.85546875" style="1" customWidth="1"/>
    <col min="15617" max="15617" width="19.7109375" style="1" bestFit="1" customWidth="1"/>
    <col min="15618" max="15618" width="12.85546875" style="1" bestFit="1" customWidth="1"/>
    <col min="15619" max="15619" width="14.42578125" style="1" bestFit="1" customWidth="1"/>
    <col min="15620" max="15869" width="9.140625" style="1"/>
    <col min="15870" max="15870" width="6" style="1" customWidth="1"/>
    <col min="15871" max="15871" width="16.28515625" style="1" customWidth="1"/>
    <col min="15872" max="15872" width="43.85546875" style="1" customWidth="1"/>
    <col min="15873" max="15873" width="19.7109375" style="1" bestFit="1" customWidth="1"/>
    <col min="15874" max="15874" width="12.85546875" style="1" bestFit="1" customWidth="1"/>
    <col min="15875" max="15875" width="14.42578125" style="1" bestFit="1" customWidth="1"/>
    <col min="15876" max="16125" width="9.140625" style="1"/>
    <col min="16126" max="16126" width="6" style="1" customWidth="1"/>
    <col min="16127" max="16127" width="16.28515625" style="1" customWidth="1"/>
    <col min="16128" max="16128" width="43.85546875" style="1" customWidth="1"/>
    <col min="16129" max="16129" width="19.7109375" style="1" bestFit="1" customWidth="1"/>
    <col min="16130" max="16130" width="12.85546875" style="1" bestFit="1" customWidth="1"/>
    <col min="16131" max="16131" width="14.42578125" style="1" bestFit="1" customWidth="1"/>
    <col min="16132" max="16384" width="9.140625" style="1"/>
  </cols>
  <sheetData>
    <row r="1" spans="1:10" ht="16.5" customHeight="1">
      <c r="A1" s="548" t="s">
        <v>187</v>
      </c>
      <c r="B1" s="548"/>
      <c r="C1" s="548"/>
      <c r="D1" s="548"/>
      <c r="E1" s="548"/>
      <c r="F1" s="548"/>
      <c r="G1" s="548"/>
      <c r="H1" s="548"/>
      <c r="I1" s="548"/>
      <c r="J1" s="548"/>
    </row>
    <row r="2" spans="1:10" ht="9" customHeight="1">
      <c r="A2" s="548"/>
      <c r="B2" s="548"/>
      <c r="C2" s="548"/>
      <c r="D2" s="548"/>
      <c r="E2" s="548"/>
      <c r="F2" s="548"/>
      <c r="G2" s="548"/>
      <c r="H2" s="548"/>
      <c r="I2" s="548"/>
      <c r="J2" s="548"/>
    </row>
    <row r="3" spans="1:10">
      <c r="A3" s="549"/>
      <c r="B3" s="549"/>
      <c r="C3" s="549"/>
      <c r="D3" s="549"/>
      <c r="E3" s="549"/>
      <c r="F3" s="549"/>
      <c r="G3" s="549"/>
      <c r="H3" s="549"/>
      <c r="I3" s="549"/>
      <c r="J3" s="549"/>
    </row>
    <row r="4" spans="1:10">
      <c r="A4" s="553" t="s">
        <v>19</v>
      </c>
      <c r="B4" s="553" t="s">
        <v>129</v>
      </c>
      <c r="C4" s="553" t="s">
        <v>20</v>
      </c>
      <c r="D4" s="553" t="s">
        <v>21</v>
      </c>
      <c r="E4" s="553" t="s">
        <v>154</v>
      </c>
      <c r="F4" s="550" t="s">
        <v>157</v>
      </c>
      <c r="G4" s="551"/>
      <c r="H4" s="551"/>
      <c r="I4" s="552"/>
      <c r="J4" s="553" t="s">
        <v>22</v>
      </c>
    </row>
    <row r="5" spans="1:10" ht="45">
      <c r="A5" s="554"/>
      <c r="B5" s="554"/>
      <c r="C5" s="554"/>
      <c r="D5" s="554"/>
      <c r="E5" s="554"/>
      <c r="F5" s="190" t="s">
        <v>64</v>
      </c>
      <c r="G5" s="190" t="s">
        <v>65</v>
      </c>
      <c r="H5" s="304" t="s">
        <v>307</v>
      </c>
      <c r="I5" s="189" t="s">
        <v>246</v>
      </c>
      <c r="J5" s="554"/>
    </row>
    <row r="6" spans="1:10" ht="90">
      <c r="A6" s="120"/>
      <c r="B6" s="198" t="s">
        <v>237</v>
      </c>
      <c r="C6" s="199" t="s">
        <v>289</v>
      </c>
      <c r="D6" s="122"/>
      <c r="E6" s="122"/>
      <c r="F6" s="122"/>
      <c r="G6" s="122"/>
      <c r="H6" s="122"/>
      <c r="I6" s="102"/>
      <c r="J6" s="152"/>
    </row>
    <row r="7" spans="1:10" ht="30">
      <c r="A7" s="120"/>
      <c r="B7" s="121" t="s">
        <v>55</v>
      </c>
      <c r="C7" s="199" t="s">
        <v>238</v>
      </c>
      <c r="D7" s="135"/>
      <c r="E7" s="135"/>
      <c r="F7" s="135"/>
      <c r="G7" s="135"/>
      <c r="H7" s="135"/>
      <c r="I7" s="135"/>
      <c r="J7" s="135"/>
    </row>
    <row r="8" spans="1:10" ht="30">
      <c r="A8" s="120">
        <v>1</v>
      </c>
      <c r="B8" s="121" t="s">
        <v>121</v>
      </c>
      <c r="C8" s="199" t="s">
        <v>234</v>
      </c>
      <c r="D8" s="124" t="s">
        <v>174</v>
      </c>
      <c r="E8" s="124">
        <v>4</v>
      </c>
      <c r="F8" s="102">
        <v>273.10000000000002</v>
      </c>
      <c r="G8" s="124">
        <v>1</v>
      </c>
      <c r="H8" s="102">
        <v>0</v>
      </c>
      <c r="I8" s="125">
        <f>F8+H8</f>
        <v>273.10000000000002</v>
      </c>
      <c r="J8" s="125">
        <f>I8*E8/G8</f>
        <v>1092.4000000000001</v>
      </c>
    </row>
    <row r="9" spans="1:10">
      <c r="A9" s="120">
        <v>2</v>
      </c>
      <c r="B9" s="121" t="s">
        <v>56</v>
      </c>
      <c r="C9" s="199" t="s">
        <v>239</v>
      </c>
      <c r="D9" s="124" t="s">
        <v>175</v>
      </c>
      <c r="E9" s="124">
        <v>1</v>
      </c>
      <c r="F9" s="102">
        <v>50.15</v>
      </c>
      <c r="G9" s="124">
        <v>1</v>
      </c>
      <c r="H9" s="102">
        <v>0</v>
      </c>
      <c r="I9" s="125">
        <f t="shared" ref="I9:I16" si="0">F9+H9</f>
        <v>50.15</v>
      </c>
      <c r="J9" s="125">
        <f t="shared" ref="J9:J15" si="1">I9*E9/G9</f>
        <v>50.15</v>
      </c>
    </row>
    <row r="10" spans="1:10">
      <c r="A10" s="120">
        <v>3</v>
      </c>
      <c r="B10" s="121" t="s">
        <v>57</v>
      </c>
      <c r="C10" s="199" t="s">
        <v>227</v>
      </c>
      <c r="D10" s="124" t="s">
        <v>176</v>
      </c>
      <c r="E10" s="124">
        <v>2</v>
      </c>
      <c r="F10" s="102">
        <v>234.25</v>
      </c>
      <c r="G10" s="124">
        <v>1</v>
      </c>
      <c r="H10" s="102">
        <v>0</v>
      </c>
      <c r="I10" s="125">
        <f t="shared" si="0"/>
        <v>234.25</v>
      </c>
      <c r="J10" s="125">
        <f t="shared" si="1"/>
        <v>468.5</v>
      </c>
    </row>
    <row r="11" spans="1:10" ht="45">
      <c r="A11" s="120">
        <v>4</v>
      </c>
      <c r="B11" s="121" t="s">
        <v>58</v>
      </c>
      <c r="C11" s="108" t="s">
        <v>240</v>
      </c>
      <c r="D11" s="124" t="s">
        <v>59</v>
      </c>
      <c r="E11" s="124">
        <v>1</v>
      </c>
      <c r="F11" s="102">
        <v>20</v>
      </c>
      <c r="G11" s="124">
        <v>1</v>
      </c>
      <c r="H11" s="102">
        <v>0</v>
      </c>
      <c r="I11" s="125">
        <f t="shared" si="0"/>
        <v>20</v>
      </c>
      <c r="J11" s="125">
        <f t="shared" si="1"/>
        <v>20</v>
      </c>
    </row>
    <row r="12" spans="1:10" ht="45">
      <c r="A12" s="127"/>
      <c r="B12" s="121" t="s">
        <v>60</v>
      </c>
      <c r="C12" s="200" t="s">
        <v>241</v>
      </c>
      <c r="D12" s="135"/>
      <c r="E12" s="135"/>
      <c r="F12" s="135"/>
      <c r="G12" s="202"/>
      <c r="H12" s="135"/>
      <c r="I12" s="135"/>
      <c r="J12" s="135"/>
    </row>
    <row r="13" spans="1:10">
      <c r="A13" s="127">
        <v>5</v>
      </c>
      <c r="B13" s="121" t="s">
        <v>121</v>
      </c>
      <c r="C13" s="199" t="s">
        <v>243</v>
      </c>
      <c r="D13" s="124" t="s">
        <v>59</v>
      </c>
      <c r="E13" s="124">
        <v>1</v>
      </c>
      <c r="F13" s="102">
        <v>25</v>
      </c>
      <c r="G13" s="124">
        <v>1</v>
      </c>
      <c r="H13" s="102">
        <v>0</v>
      </c>
      <c r="I13" s="125">
        <f>F13+H13</f>
        <v>25</v>
      </c>
      <c r="J13" s="125">
        <f t="shared" si="1"/>
        <v>25</v>
      </c>
    </row>
    <row r="14" spans="1:10" ht="30">
      <c r="A14" s="127">
        <v>6</v>
      </c>
      <c r="B14" s="121" t="s">
        <v>61</v>
      </c>
      <c r="C14" s="199" t="s">
        <v>242</v>
      </c>
      <c r="D14" s="124" t="s">
        <v>25</v>
      </c>
      <c r="E14" s="124">
        <v>1</v>
      </c>
      <c r="F14" s="102">
        <v>27.6</v>
      </c>
      <c r="G14" s="124">
        <v>1</v>
      </c>
      <c r="H14" s="102">
        <v>0</v>
      </c>
      <c r="I14" s="125">
        <f t="shared" si="0"/>
        <v>27.6</v>
      </c>
      <c r="J14" s="125">
        <f t="shared" si="1"/>
        <v>27.6</v>
      </c>
    </row>
    <row r="15" spans="1:10" ht="255">
      <c r="A15" s="127">
        <v>7</v>
      </c>
      <c r="B15" s="121" t="s">
        <v>173</v>
      </c>
      <c r="C15" s="195" t="s">
        <v>290</v>
      </c>
      <c r="D15" s="201" t="s">
        <v>245</v>
      </c>
      <c r="E15" s="124">
        <v>4</v>
      </c>
      <c r="F15" s="102">
        <v>8754.6</v>
      </c>
      <c r="G15" s="124">
        <v>100</v>
      </c>
      <c r="H15" s="102">
        <v>0</v>
      </c>
      <c r="I15" s="125">
        <f t="shared" si="0"/>
        <v>8754.6</v>
      </c>
      <c r="J15" s="125">
        <f t="shared" si="1"/>
        <v>350.18400000000003</v>
      </c>
    </row>
    <row r="16" spans="1:10">
      <c r="A16" s="127">
        <v>8</v>
      </c>
      <c r="B16" s="121" t="s">
        <v>183</v>
      </c>
      <c r="C16" s="108" t="s">
        <v>51</v>
      </c>
      <c r="D16" s="124"/>
      <c r="E16" s="124"/>
      <c r="F16" s="102">
        <v>500</v>
      </c>
      <c r="G16" s="102"/>
      <c r="H16" s="102">
        <v>0</v>
      </c>
      <c r="I16" s="125">
        <f t="shared" si="0"/>
        <v>500</v>
      </c>
      <c r="J16" s="125">
        <f t="shared" ref="J16" si="2">I16</f>
        <v>500</v>
      </c>
    </row>
    <row r="17" spans="1:12">
      <c r="A17" s="127"/>
      <c r="B17" s="121"/>
      <c r="C17" s="131" t="s">
        <v>38</v>
      </c>
      <c r="D17" s="124"/>
      <c r="E17" s="124"/>
      <c r="F17" s="124"/>
      <c r="G17" s="124"/>
      <c r="H17" s="124"/>
      <c r="I17" s="126"/>
      <c r="J17" s="155">
        <f>SUM(J8:J16)</f>
        <v>2533.8339999999998</v>
      </c>
    </row>
    <row r="18" spans="1:12">
      <c r="A18" s="127">
        <v>9</v>
      </c>
      <c r="B18" s="121" t="s">
        <v>62</v>
      </c>
      <c r="C18" s="108" t="s">
        <v>127</v>
      </c>
      <c r="D18" s="124"/>
      <c r="E18" s="124"/>
      <c r="F18" s="124"/>
      <c r="G18" s="124"/>
      <c r="H18" s="124"/>
      <c r="I18" s="126"/>
      <c r="J18" s="155">
        <f>J17*0.05</f>
        <v>126.6917</v>
      </c>
      <c r="L18" s="30"/>
    </row>
    <row r="19" spans="1:12">
      <c r="A19" s="127"/>
      <c r="B19" s="121"/>
      <c r="C19" s="131" t="s">
        <v>134</v>
      </c>
      <c r="D19" s="135"/>
      <c r="E19" s="135"/>
      <c r="F19" s="135"/>
      <c r="G19" s="135"/>
      <c r="H19" s="135"/>
      <c r="I19" s="135"/>
      <c r="J19" s="133">
        <f>SUM(J17:J18)</f>
        <v>2660.5256999999997</v>
      </c>
    </row>
    <row r="20" spans="1:12">
      <c r="A20" s="129"/>
      <c r="B20" s="135"/>
      <c r="C20" s="146" t="s">
        <v>182</v>
      </c>
      <c r="D20" s="168"/>
      <c r="E20" s="168"/>
      <c r="F20" s="168"/>
      <c r="G20" s="168"/>
      <c r="H20" s="168"/>
      <c r="I20" s="180"/>
      <c r="J20" s="161">
        <f>J19/1100</f>
        <v>2.4186597272727268</v>
      </c>
    </row>
    <row r="21" spans="1:12">
      <c r="A21" s="148"/>
      <c r="B21" s="143"/>
      <c r="C21" s="95" t="s">
        <v>181</v>
      </c>
      <c r="D21" s="170"/>
      <c r="E21" s="170"/>
      <c r="F21" s="170"/>
      <c r="G21" s="170"/>
      <c r="H21" s="170"/>
      <c r="I21" s="181"/>
      <c r="J21" s="182"/>
    </row>
    <row r="24" spans="1:12">
      <c r="H24" s="143"/>
      <c r="I24" s="166" t="s">
        <v>126</v>
      </c>
      <c r="J24" s="143"/>
    </row>
    <row r="25" spans="1:12">
      <c r="H25" s="143"/>
      <c r="I25" s="166"/>
      <c r="J25" s="143"/>
    </row>
  </sheetData>
  <mergeCells count="9">
    <mergeCell ref="F4:I4"/>
    <mergeCell ref="J4:J5"/>
    <mergeCell ref="E4:E5"/>
    <mergeCell ref="D4:D5"/>
    <mergeCell ref="A1:J2"/>
    <mergeCell ref="A3:J3"/>
    <mergeCell ref="C4:C5"/>
    <mergeCell ref="B4:B5"/>
    <mergeCell ref="A4:A5"/>
  </mergeCells>
  <printOptions horizontalCentered="1"/>
  <pageMargins left="0.51" right="0.14000000000000001" top="0.63" bottom="0.75" header="0.3" footer="0.3"/>
  <pageSetup paperSize="9" scale="79" fitToHeight="0"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pageSetUpPr fitToPage="1"/>
  </sheetPr>
  <dimension ref="A1:J32"/>
  <sheetViews>
    <sheetView view="pageBreakPreview" topLeftCell="A17" zoomScaleNormal="80" zoomScaleSheetLayoutView="100" workbookViewId="0">
      <selection activeCell="H21" sqref="H21"/>
    </sheetView>
  </sheetViews>
  <sheetFormatPr defaultRowHeight="15"/>
  <cols>
    <col min="1" max="1" width="6" style="5" customWidth="1"/>
    <col min="2" max="2" width="9.5703125" style="1" customWidth="1"/>
    <col min="3" max="3" width="45.7109375" style="1" customWidth="1"/>
    <col min="4" max="4" width="5.28515625" style="1" bestFit="1" customWidth="1"/>
    <col min="5" max="5" width="9.140625" style="1" bestFit="1" customWidth="1"/>
    <col min="6" max="6" width="10" style="1" bestFit="1" customWidth="1"/>
    <col min="7" max="7" width="5.5703125" style="1" bestFit="1" customWidth="1"/>
    <col min="8" max="8" width="11.42578125" style="1" bestFit="1" customWidth="1"/>
    <col min="9" max="9" width="11.140625" style="1" customWidth="1"/>
    <col min="10" max="10" width="12.28515625" style="1" customWidth="1"/>
    <col min="11" max="256" width="9.140625" style="1"/>
    <col min="257" max="257" width="6" style="1" customWidth="1"/>
    <col min="258" max="258" width="9.5703125" style="1" customWidth="1"/>
    <col min="259" max="259" width="43.85546875" style="1" customWidth="1"/>
    <col min="260" max="260" width="14.28515625" style="1" bestFit="1" customWidth="1"/>
    <col min="261" max="261" width="8.5703125" style="1" customWidth="1"/>
    <col min="262" max="262" width="14.42578125" style="1" bestFit="1" customWidth="1"/>
    <col min="263" max="512" width="9.140625" style="1"/>
    <col min="513" max="513" width="6" style="1" customWidth="1"/>
    <col min="514" max="514" width="9.5703125" style="1" customWidth="1"/>
    <col min="515" max="515" width="43.85546875" style="1" customWidth="1"/>
    <col min="516" max="516" width="14.28515625" style="1" bestFit="1" customWidth="1"/>
    <col min="517" max="517" width="8.5703125" style="1" customWidth="1"/>
    <col min="518" max="518" width="14.42578125" style="1" bestFit="1" customWidth="1"/>
    <col min="519" max="768" width="9.140625" style="1"/>
    <col min="769" max="769" width="6" style="1" customWidth="1"/>
    <col min="770" max="770" width="9.5703125" style="1" customWidth="1"/>
    <col min="771" max="771" width="43.85546875" style="1" customWidth="1"/>
    <col min="772" max="772" width="14.28515625" style="1" bestFit="1" customWidth="1"/>
    <col min="773" max="773" width="8.5703125" style="1" customWidth="1"/>
    <col min="774" max="774" width="14.42578125" style="1" bestFit="1" customWidth="1"/>
    <col min="775" max="1024" width="9.140625" style="1"/>
    <col min="1025" max="1025" width="6" style="1" customWidth="1"/>
    <col min="1026" max="1026" width="9.5703125" style="1" customWidth="1"/>
    <col min="1027" max="1027" width="43.85546875" style="1" customWidth="1"/>
    <col min="1028" max="1028" width="14.28515625" style="1" bestFit="1" customWidth="1"/>
    <col min="1029" max="1029" width="8.5703125" style="1" customWidth="1"/>
    <col min="1030" max="1030" width="14.42578125" style="1" bestFit="1" customWidth="1"/>
    <col min="1031" max="1280" width="9.140625" style="1"/>
    <col min="1281" max="1281" width="6" style="1" customWidth="1"/>
    <col min="1282" max="1282" width="9.5703125" style="1" customWidth="1"/>
    <col min="1283" max="1283" width="43.85546875" style="1" customWidth="1"/>
    <col min="1284" max="1284" width="14.28515625" style="1" bestFit="1" customWidth="1"/>
    <col min="1285" max="1285" width="8.5703125" style="1" customWidth="1"/>
    <col min="1286" max="1286" width="14.42578125" style="1" bestFit="1" customWidth="1"/>
    <col min="1287" max="1536" width="9.140625" style="1"/>
    <col min="1537" max="1537" width="6" style="1" customWidth="1"/>
    <col min="1538" max="1538" width="9.5703125" style="1" customWidth="1"/>
    <col min="1539" max="1539" width="43.85546875" style="1" customWidth="1"/>
    <col min="1540" max="1540" width="14.28515625" style="1" bestFit="1" customWidth="1"/>
    <col min="1541" max="1541" width="8.5703125" style="1" customWidth="1"/>
    <col min="1542" max="1542" width="14.42578125" style="1" bestFit="1" customWidth="1"/>
    <col min="1543" max="1792" width="9.140625" style="1"/>
    <col min="1793" max="1793" width="6" style="1" customWidth="1"/>
    <col min="1794" max="1794" width="9.5703125" style="1" customWidth="1"/>
    <col min="1795" max="1795" width="43.85546875" style="1" customWidth="1"/>
    <col min="1796" max="1796" width="14.28515625" style="1" bestFit="1" customWidth="1"/>
    <col min="1797" max="1797" width="8.5703125" style="1" customWidth="1"/>
    <col min="1798" max="1798" width="14.42578125" style="1" bestFit="1" customWidth="1"/>
    <col min="1799" max="2048" width="9.140625" style="1"/>
    <col min="2049" max="2049" width="6" style="1" customWidth="1"/>
    <col min="2050" max="2050" width="9.5703125" style="1" customWidth="1"/>
    <col min="2051" max="2051" width="43.85546875" style="1" customWidth="1"/>
    <col min="2052" max="2052" width="14.28515625" style="1" bestFit="1" customWidth="1"/>
    <col min="2053" max="2053" width="8.5703125" style="1" customWidth="1"/>
    <col min="2054" max="2054" width="14.42578125" style="1" bestFit="1" customWidth="1"/>
    <col min="2055" max="2304" width="9.140625" style="1"/>
    <col min="2305" max="2305" width="6" style="1" customWidth="1"/>
    <col min="2306" max="2306" width="9.5703125" style="1" customWidth="1"/>
    <col min="2307" max="2307" width="43.85546875" style="1" customWidth="1"/>
    <col min="2308" max="2308" width="14.28515625" style="1" bestFit="1" customWidth="1"/>
    <col min="2309" max="2309" width="8.5703125" style="1" customWidth="1"/>
    <col min="2310" max="2310" width="14.42578125" style="1" bestFit="1" customWidth="1"/>
    <col min="2311" max="2560" width="9.140625" style="1"/>
    <col min="2561" max="2561" width="6" style="1" customWidth="1"/>
    <col min="2562" max="2562" width="9.5703125" style="1" customWidth="1"/>
    <col min="2563" max="2563" width="43.85546875" style="1" customWidth="1"/>
    <col min="2564" max="2564" width="14.28515625" style="1" bestFit="1" customWidth="1"/>
    <col min="2565" max="2565" width="8.5703125" style="1" customWidth="1"/>
    <col min="2566" max="2566" width="14.42578125" style="1" bestFit="1" customWidth="1"/>
    <col min="2567" max="2816" width="9.140625" style="1"/>
    <col min="2817" max="2817" width="6" style="1" customWidth="1"/>
    <col min="2818" max="2818" width="9.5703125" style="1" customWidth="1"/>
    <col min="2819" max="2819" width="43.85546875" style="1" customWidth="1"/>
    <col min="2820" max="2820" width="14.28515625" style="1" bestFit="1" customWidth="1"/>
    <col min="2821" max="2821" width="8.5703125" style="1" customWidth="1"/>
    <col min="2822" max="2822" width="14.42578125" style="1" bestFit="1" customWidth="1"/>
    <col min="2823" max="3072" width="9.140625" style="1"/>
    <col min="3073" max="3073" width="6" style="1" customWidth="1"/>
    <col min="3074" max="3074" width="9.5703125" style="1" customWidth="1"/>
    <col min="3075" max="3075" width="43.85546875" style="1" customWidth="1"/>
    <col min="3076" max="3076" width="14.28515625" style="1" bestFit="1" customWidth="1"/>
    <col min="3077" max="3077" width="8.5703125" style="1" customWidth="1"/>
    <col min="3078" max="3078" width="14.42578125" style="1" bestFit="1" customWidth="1"/>
    <col min="3079" max="3328" width="9.140625" style="1"/>
    <col min="3329" max="3329" width="6" style="1" customWidth="1"/>
    <col min="3330" max="3330" width="9.5703125" style="1" customWidth="1"/>
    <col min="3331" max="3331" width="43.85546875" style="1" customWidth="1"/>
    <col min="3332" max="3332" width="14.28515625" style="1" bestFit="1" customWidth="1"/>
    <col min="3333" max="3333" width="8.5703125" style="1" customWidth="1"/>
    <col min="3334" max="3334" width="14.42578125" style="1" bestFit="1" customWidth="1"/>
    <col min="3335" max="3584" width="9.140625" style="1"/>
    <col min="3585" max="3585" width="6" style="1" customWidth="1"/>
    <col min="3586" max="3586" width="9.5703125" style="1" customWidth="1"/>
    <col min="3587" max="3587" width="43.85546875" style="1" customWidth="1"/>
    <col min="3588" max="3588" width="14.28515625" style="1" bestFit="1" customWidth="1"/>
    <col min="3589" max="3589" width="8.5703125" style="1" customWidth="1"/>
    <col min="3590" max="3590" width="14.42578125" style="1" bestFit="1" customWidth="1"/>
    <col min="3591" max="3840" width="9.140625" style="1"/>
    <col min="3841" max="3841" width="6" style="1" customWidth="1"/>
    <col min="3842" max="3842" width="9.5703125" style="1" customWidth="1"/>
    <col min="3843" max="3843" width="43.85546875" style="1" customWidth="1"/>
    <col min="3844" max="3844" width="14.28515625" style="1" bestFit="1" customWidth="1"/>
    <col min="3845" max="3845" width="8.5703125" style="1" customWidth="1"/>
    <col min="3846" max="3846" width="14.42578125" style="1" bestFit="1" customWidth="1"/>
    <col min="3847" max="4096" width="9.140625" style="1"/>
    <col min="4097" max="4097" width="6" style="1" customWidth="1"/>
    <col min="4098" max="4098" width="9.5703125" style="1" customWidth="1"/>
    <col min="4099" max="4099" width="43.85546875" style="1" customWidth="1"/>
    <col min="4100" max="4100" width="14.28515625" style="1" bestFit="1" customWidth="1"/>
    <col min="4101" max="4101" width="8.5703125" style="1" customWidth="1"/>
    <col min="4102" max="4102" width="14.42578125" style="1" bestFit="1" customWidth="1"/>
    <col min="4103" max="4352" width="9.140625" style="1"/>
    <col min="4353" max="4353" width="6" style="1" customWidth="1"/>
    <col min="4354" max="4354" width="9.5703125" style="1" customWidth="1"/>
    <col min="4355" max="4355" width="43.85546875" style="1" customWidth="1"/>
    <col min="4356" max="4356" width="14.28515625" style="1" bestFit="1" customWidth="1"/>
    <col min="4357" max="4357" width="8.5703125" style="1" customWidth="1"/>
    <col min="4358" max="4358" width="14.42578125" style="1" bestFit="1" customWidth="1"/>
    <col min="4359" max="4608" width="9.140625" style="1"/>
    <col min="4609" max="4609" width="6" style="1" customWidth="1"/>
    <col min="4610" max="4610" width="9.5703125" style="1" customWidth="1"/>
    <col min="4611" max="4611" width="43.85546875" style="1" customWidth="1"/>
    <col min="4612" max="4612" width="14.28515625" style="1" bestFit="1" customWidth="1"/>
    <col min="4613" max="4613" width="8.5703125" style="1" customWidth="1"/>
    <col min="4614" max="4614" width="14.42578125" style="1" bestFit="1" customWidth="1"/>
    <col min="4615" max="4864" width="9.140625" style="1"/>
    <col min="4865" max="4865" width="6" style="1" customWidth="1"/>
    <col min="4866" max="4866" width="9.5703125" style="1" customWidth="1"/>
    <col min="4867" max="4867" width="43.85546875" style="1" customWidth="1"/>
    <col min="4868" max="4868" width="14.28515625" style="1" bestFit="1" customWidth="1"/>
    <col min="4869" max="4869" width="8.5703125" style="1" customWidth="1"/>
    <col min="4870" max="4870" width="14.42578125" style="1" bestFit="1" customWidth="1"/>
    <col min="4871" max="5120" width="9.140625" style="1"/>
    <col min="5121" max="5121" width="6" style="1" customWidth="1"/>
    <col min="5122" max="5122" width="9.5703125" style="1" customWidth="1"/>
    <col min="5123" max="5123" width="43.85546875" style="1" customWidth="1"/>
    <col min="5124" max="5124" width="14.28515625" style="1" bestFit="1" customWidth="1"/>
    <col min="5125" max="5125" width="8.5703125" style="1" customWidth="1"/>
    <col min="5126" max="5126" width="14.42578125" style="1" bestFit="1" customWidth="1"/>
    <col min="5127" max="5376" width="9.140625" style="1"/>
    <col min="5377" max="5377" width="6" style="1" customWidth="1"/>
    <col min="5378" max="5378" width="9.5703125" style="1" customWidth="1"/>
    <col min="5379" max="5379" width="43.85546875" style="1" customWidth="1"/>
    <col min="5380" max="5380" width="14.28515625" style="1" bestFit="1" customWidth="1"/>
    <col min="5381" max="5381" width="8.5703125" style="1" customWidth="1"/>
    <col min="5382" max="5382" width="14.42578125" style="1" bestFit="1" customWidth="1"/>
    <col min="5383" max="5632" width="9.140625" style="1"/>
    <col min="5633" max="5633" width="6" style="1" customWidth="1"/>
    <col min="5634" max="5634" width="9.5703125" style="1" customWidth="1"/>
    <col min="5635" max="5635" width="43.85546875" style="1" customWidth="1"/>
    <col min="5636" max="5636" width="14.28515625" style="1" bestFit="1" customWidth="1"/>
    <col min="5637" max="5637" width="8.5703125" style="1" customWidth="1"/>
    <col min="5638" max="5638" width="14.42578125" style="1" bestFit="1" customWidth="1"/>
    <col min="5639" max="5888" width="9.140625" style="1"/>
    <col min="5889" max="5889" width="6" style="1" customWidth="1"/>
    <col min="5890" max="5890" width="9.5703125" style="1" customWidth="1"/>
    <col min="5891" max="5891" width="43.85546875" style="1" customWidth="1"/>
    <col min="5892" max="5892" width="14.28515625" style="1" bestFit="1" customWidth="1"/>
    <col min="5893" max="5893" width="8.5703125" style="1" customWidth="1"/>
    <col min="5894" max="5894" width="14.42578125" style="1" bestFit="1" customWidth="1"/>
    <col min="5895" max="6144" width="9.140625" style="1"/>
    <col min="6145" max="6145" width="6" style="1" customWidth="1"/>
    <col min="6146" max="6146" width="9.5703125" style="1" customWidth="1"/>
    <col min="6147" max="6147" width="43.85546875" style="1" customWidth="1"/>
    <col min="6148" max="6148" width="14.28515625" style="1" bestFit="1" customWidth="1"/>
    <col min="6149" max="6149" width="8.5703125" style="1" customWidth="1"/>
    <col min="6150" max="6150" width="14.42578125" style="1" bestFit="1" customWidth="1"/>
    <col min="6151" max="6400" width="9.140625" style="1"/>
    <col min="6401" max="6401" width="6" style="1" customWidth="1"/>
    <col min="6402" max="6402" width="9.5703125" style="1" customWidth="1"/>
    <col min="6403" max="6403" width="43.85546875" style="1" customWidth="1"/>
    <col min="6404" max="6404" width="14.28515625" style="1" bestFit="1" customWidth="1"/>
    <col min="6405" max="6405" width="8.5703125" style="1" customWidth="1"/>
    <col min="6406" max="6406" width="14.42578125" style="1" bestFit="1" customWidth="1"/>
    <col min="6407" max="6656" width="9.140625" style="1"/>
    <col min="6657" max="6657" width="6" style="1" customWidth="1"/>
    <col min="6658" max="6658" width="9.5703125" style="1" customWidth="1"/>
    <col min="6659" max="6659" width="43.85546875" style="1" customWidth="1"/>
    <col min="6660" max="6660" width="14.28515625" style="1" bestFit="1" customWidth="1"/>
    <col min="6661" max="6661" width="8.5703125" style="1" customWidth="1"/>
    <col min="6662" max="6662" width="14.42578125" style="1" bestFit="1" customWidth="1"/>
    <col min="6663" max="6912" width="9.140625" style="1"/>
    <col min="6913" max="6913" width="6" style="1" customWidth="1"/>
    <col min="6914" max="6914" width="9.5703125" style="1" customWidth="1"/>
    <col min="6915" max="6915" width="43.85546875" style="1" customWidth="1"/>
    <col min="6916" max="6916" width="14.28515625" style="1" bestFit="1" customWidth="1"/>
    <col min="6917" max="6917" width="8.5703125" style="1" customWidth="1"/>
    <col min="6918" max="6918" width="14.42578125" style="1" bestFit="1" customWidth="1"/>
    <col min="6919" max="7168" width="9.140625" style="1"/>
    <col min="7169" max="7169" width="6" style="1" customWidth="1"/>
    <col min="7170" max="7170" width="9.5703125" style="1" customWidth="1"/>
    <col min="7171" max="7171" width="43.85546875" style="1" customWidth="1"/>
    <col min="7172" max="7172" width="14.28515625" style="1" bestFit="1" customWidth="1"/>
    <col min="7173" max="7173" width="8.5703125" style="1" customWidth="1"/>
    <col min="7174" max="7174" width="14.42578125" style="1" bestFit="1" customWidth="1"/>
    <col min="7175" max="7424" width="9.140625" style="1"/>
    <col min="7425" max="7425" width="6" style="1" customWidth="1"/>
    <col min="7426" max="7426" width="9.5703125" style="1" customWidth="1"/>
    <col min="7427" max="7427" width="43.85546875" style="1" customWidth="1"/>
    <col min="7428" max="7428" width="14.28515625" style="1" bestFit="1" customWidth="1"/>
    <col min="7429" max="7429" width="8.5703125" style="1" customWidth="1"/>
    <col min="7430" max="7430" width="14.42578125" style="1" bestFit="1" customWidth="1"/>
    <col min="7431" max="7680" width="9.140625" style="1"/>
    <col min="7681" max="7681" width="6" style="1" customWidth="1"/>
    <col min="7682" max="7682" width="9.5703125" style="1" customWidth="1"/>
    <col min="7683" max="7683" width="43.85546875" style="1" customWidth="1"/>
    <col min="7684" max="7684" width="14.28515625" style="1" bestFit="1" customWidth="1"/>
    <col min="7685" max="7685" width="8.5703125" style="1" customWidth="1"/>
    <col min="7686" max="7686" width="14.42578125" style="1" bestFit="1" customWidth="1"/>
    <col min="7687" max="7936" width="9.140625" style="1"/>
    <col min="7937" max="7937" width="6" style="1" customWidth="1"/>
    <col min="7938" max="7938" width="9.5703125" style="1" customWidth="1"/>
    <col min="7939" max="7939" width="43.85546875" style="1" customWidth="1"/>
    <col min="7940" max="7940" width="14.28515625" style="1" bestFit="1" customWidth="1"/>
    <col min="7941" max="7941" width="8.5703125" style="1" customWidth="1"/>
    <col min="7942" max="7942" width="14.42578125" style="1" bestFit="1" customWidth="1"/>
    <col min="7943" max="8192" width="9.140625" style="1"/>
    <col min="8193" max="8193" width="6" style="1" customWidth="1"/>
    <col min="8194" max="8194" width="9.5703125" style="1" customWidth="1"/>
    <col min="8195" max="8195" width="43.85546875" style="1" customWidth="1"/>
    <col min="8196" max="8196" width="14.28515625" style="1" bestFit="1" customWidth="1"/>
    <col min="8197" max="8197" width="8.5703125" style="1" customWidth="1"/>
    <col min="8198" max="8198" width="14.42578125" style="1" bestFit="1" customWidth="1"/>
    <col min="8199" max="8448" width="9.140625" style="1"/>
    <col min="8449" max="8449" width="6" style="1" customWidth="1"/>
    <col min="8450" max="8450" width="9.5703125" style="1" customWidth="1"/>
    <col min="8451" max="8451" width="43.85546875" style="1" customWidth="1"/>
    <col min="8452" max="8452" width="14.28515625" style="1" bestFit="1" customWidth="1"/>
    <col min="8453" max="8453" width="8.5703125" style="1" customWidth="1"/>
    <col min="8454" max="8454" width="14.42578125" style="1" bestFit="1" customWidth="1"/>
    <col min="8455" max="8704" width="9.140625" style="1"/>
    <col min="8705" max="8705" width="6" style="1" customWidth="1"/>
    <col min="8706" max="8706" width="9.5703125" style="1" customWidth="1"/>
    <col min="8707" max="8707" width="43.85546875" style="1" customWidth="1"/>
    <col min="8708" max="8708" width="14.28515625" style="1" bestFit="1" customWidth="1"/>
    <col min="8709" max="8709" width="8.5703125" style="1" customWidth="1"/>
    <col min="8710" max="8710" width="14.42578125" style="1" bestFit="1" customWidth="1"/>
    <col min="8711" max="8960" width="9.140625" style="1"/>
    <col min="8961" max="8961" width="6" style="1" customWidth="1"/>
    <col min="8962" max="8962" width="9.5703125" style="1" customWidth="1"/>
    <col min="8963" max="8963" width="43.85546875" style="1" customWidth="1"/>
    <col min="8964" max="8964" width="14.28515625" style="1" bestFit="1" customWidth="1"/>
    <col min="8965" max="8965" width="8.5703125" style="1" customWidth="1"/>
    <col min="8966" max="8966" width="14.42578125" style="1" bestFit="1" customWidth="1"/>
    <col min="8967" max="9216" width="9.140625" style="1"/>
    <col min="9217" max="9217" width="6" style="1" customWidth="1"/>
    <col min="9218" max="9218" width="9.5703125" style="1" customWidth="1"/>
    <col min="9219" max="9219" width="43.85546875" style="1" customWidth="1"/>
    <col min="9220" max="9220" width="14.28515625" style="1" bestFit="1" customWidth="1"/>
    <col min="9221" max="9221" width="8.5703125" style="1" customWidth="1"/>
    <col min="9222" max="9222" width="14.42578125" style="1" bestFit="1" customWidth="1"/>
    <col min="9223" max="9472" width="9.140625" style="1"/>
    <col min="9473" max="9473" width="6" style="1" customWidth="1"/>
    <col min="9474" max="9474" width="9.5703125" style="1" customWidth="1"/>
    <col min="9475" max="9475" width="43.85546875" style="1" customWidth="1"/>
    <col min="9476" max="9476" width="14.28515625" style="1" bestFit="1" customWidth="1"/>
    <col min="9477" max="9477" width="8.5703125" style="1" customWidth="1"/>
    <col min="9478" max="9478" width="14.42578125" style="1" bestFit="1" customWidth="1"/>
    <col min="9479" max="9728" width="9.140625" style="1"/>
    <col min="9729" max="9729" width="6" style="1" customWidth="1"/>
    <col min="9730" max="9730" width="9.5703125" style="1" customWidth="1"/>
    <col min="9731" max="9731" width="43.85546875" style="1" customWidth="1"/>
    <col min="9732" max="9732" width="14.28515625" style="1" bestFit="1" customWidth="1"/>
    <col min="9733" max="9733" width="8.5703125" style="1" customWidth="1"/>
    <col min="9734" max="9734" width="14.42578125" style="1" bestFit="1" customWidth="1"/>
    <col min="9735" max="9984" width="9.140625" style="1"/>
    <col min="9985" max="9985" width="6" style="1" customWidth="1"/>
    <col min="9986" max="9986" width="9.5703125" style="1" customWidth="1"/>
    <col min="9987" max="9987" width="43.85546875" style="1" customWidth="1"/>
    <col min="9988" max="9988" width="14.28515625" style="1" bestFit="1" customWidth="1"/>
    <col min="9989" max="9989" width="8.5703125" style="1" customWidth="1"/>
    <col min="9990" max="9990" width="14.42578125" style="1" bestFit="1" customWidth="1"/>
    <col min="9991" max="10240" width="9.140625" style="1"/>
    <col min="10241" max="10241" width="6" style="1" customWidth="1"/>
    <col min="10242" max="10242" width="9.5703125" style="1" customWidth="1"/>
    <col min="10243" max="10243" width="43.85546875" style="1" customWidth="1"/>
    <col min="10244" max="10244" width="14.28515625" style="1" bestFit="1" customWidth="1"/>
    <col min="10245" max="10245" width="8.5703125" style="1" customWidth="1"/>
    <col min="10246" max="10246" width="14.42578125" style="1" bestFit="1" customWidth="1"/>
    <col min="10247" max="10496" width="9.140625" style="1"/>
    <col min="10497" max="10497" width="6" style="1" customWidth="1"/>
    <col min="10498" max="10498" width="9.5703125" style="1" customWidth="1"/>
    <col min="10499" max="10499" width="43.85546875" style="1" customWidth="1"/>
    <col min="10500" max="10500" width="14.28515625" style="1" bestFit="1" customWidth="1"/>
    <col min="10501" max="10501" width="8.5703125" style="1" customWidth="1"/>
    <col min="10502" max="10502" width="14.42578125" style="1" bestFit="1" customWidth="1"/>
    <col min="10503" max="10752" width="9.140625" style="1"/>
    <col min="10753" max="10753" width="6" style="1" customWidth="1"/>
    <col min="10754" max="10754" width="9.5703125" style="1" customWidth="1"/>
    <col min="10755" max="10755" width="43.85546875" style="1" customWidth="1"/>
    <col min="10756" max="10756" width="14.28515625" style="1" bestFit="1" customWidth="1"/>
    <col min="10757" max="10757" width="8.5703125" style="1" customWidth="1"/>
    <col min="10758" max="10758" width="14.42578125" style="1" bestFit="1" customWidth="1"/>
    <col min="10759" max="11008" width="9.140625" style="1"/>
    <col min="11009" max="11009" width="6" style="1" customWidth="1"/>
    <col min="11010" max="11010" width="9.5703125" style="1" customWidth="1"/>
    <col min="11011" max="11011" width="43.85546875" style="1" customWidth="1"/>
    <col min="11012" max="11012" width="14.28515625" style="1" bestFit="1" customWidth="1"/>
    <col min="11013" max="11013" width="8.5703125" style="1" customWidth="1"/>
    <col min="11014" max="11014" width="14.42578125" style="1" bestFit="1" customWidth="1"/>
    <col min="11015" max="11264" width="9.140625" style="1"/>
    <col min="11265" max="11265" width="6" style="1" customWidth="1"/>
    <col min="11266" max="11266" width="9.5703125" style="1" customWidth="1"/>
    <col min="11267" max="11267" width="43.85546875" style="1" customWidth="1"/>
    <col min="11268" max="11268" width="14.28515625" style="1" bestFit="1" customWidth="1"/>
    <col min="11269" max="11269" width="8.5703125" style="1" customWidth="1"/>
    <col min="11270" max="11270" width="14.42578125" style="1" bestFit="1" customWidth="1"/>
    <col min="11271" max="11520" width="9.140625" style="1"/>
    <col min="11521" max="11521" width="6" style="1" customWidth="1"/>
    <col min="11522" max="11522" width="9.5703125" style="1" customWidth="1"/>
    <col min="11523" max="11523" width="43.85546875" style="1" customWidth="1"/>
    <col min="11524" max="11524" width="14.28515625" style="1" bestFit="1" customWidth="1"/>
    <col min="11525" max="11525" width="8.5703125" style="1" customWidth="1"/>
    <col min="11526" max="11526" width="14.42578125" style="1" bestFit="1" customWidth="1"/>
    <col min="11527" max="11776" width="9.140625" style="1"/>
    <col min="11777" max="11777" width="6" style="1" customWidth="1"/>
    <col min="11778" max="11778" width="9.5703125" style="1" customWidth="1"/>
    <col min="11779" max="11779" width="43.85546875" style="1" customWidth="1"/>
    <col min="11780" max="11780" width="14.28515625" style="1" bestFit="1" customWidth="1"/>
    <col min="11781" max="11781" width="8.5703125" style="1" customWidth="1"/>
    <col min="11782" max="11782" width="14.42578125" style="1" bestFit="1" customWidth="1"/>
    <col min="11783" max="12032" width="9.140625" style="1"/>
    <col min="12033" max="12033" width="6" style="1" customWidth="1"/>
    <col min="12034" max="12034" width="9.5703125" style="1" customWidth="1"/>
    <col min="12035" max="12035" width="43.85546875" style="1" customWidth="1"/>
    <col min="12036" max="12036" width="14.28515625" style="1" bestFit="1" customWidth="1"/>
    <col min="12037" max="12037" width="8.5703125" style="1" customWidth="1"/>
    <col min="12038" max="12038" width="14.42578125" style="1" bestFit="1" customWidth="1"/>
    <col min="12039" max="12288" width="9.140625" style="1"/>
    <col min="12289" max="12289" width="6" style="1" customWidth="1"/>
    <col min="12290" max="12290" width="9.5703125" style="1" customWidth="1"/>
    <col min="12291" max="12291" width="43.85546875" style="1" customWidth="1"/>
    <col min="12292" max="12292" width="14.28515625" style="1" bestFit="1" customWidth="1"/>
    <col min="12293" max="12293" width="8.5703125" style="1" customWidth="1"/>
    <col min="12294" max="12294" width="14.42578125" style="1" bestFit="1" customWidth="1"/>
    <col min="12295" max="12544" width="9.140625" style="1"/>
    <col min="12545" max="12545" width="6" style="1" customWidth="1"/>
    <col min="12546" max="12546" width="9.5703125" style="1" customWidth="1"/>
    <col min="12547" max="12547" width="43.85546875" style="1" customWidth="1"/>
    <col min="12548" max="12548" width="14.28515625" style="1" bestFit="1" customWidth="1"/>
    <col min="12549" max="12549" width="8.5703125" style="1" customWidth="1"/>
    <col min="12550" max="12550" width="14.42578125" style="1" bestFit="1" customWidth="1"/>
    <col min="12551" max="12800" width="9.140625" style="1"/>
    <col min="12801" max="12801" width="6" style="1" customWidth="1"/>
    <col min="12802" max="12802" width="9.5703125" style="1" customWidth="1"/>
    <col min="12803" max="12803" width="43.85546875" style="1" customWidth="1"/>
    <col min="12804" max="12804" width="14.28515625" style="1" bestFit="1" customWidth="1"/>
    <col min="12805" max="12805" width="8.5703125" style="1" customWidth="1"/>
    <col min="12806" max="12806" width="14.42578125" style="1" bestFit="1" customWidth="1"/>
    <col min="12807" max="13056" width="9.140625" style="1"/>
    <col min="13057" max="13057" width="6" style="1" customWidth="1"/>
    <col min="13058" max="13058" width="9.5703125" style="1" customWidth="1"/>
    <col min="13059" max="13059" width="43.85546875" style="1" customWidth="1"/>
    <col min="13060" max="13060" width="14.28515625" style="1" bestFit="1" customWidth="1"/>
    <col min="13061" max="13061" width="8.5703125" style="1" customWidth="1"/>
    <col min="13062" max="13062" width="14.42578125" style="1" bestFit="1" customWidth="1"/>
    <col min="13063" max="13312" width="9.140625" style="1"/>
    <col min="13313" max="13313" width="6" style="1" customWidth="1"/>
    <col min="13314" max="13314" width="9.5703125" style="1" customWidth="1"/>
    <col min="13315" max="13315" width="43.85546875" style="1" customWidth="1"/>
    <col min="13316" max="13316" width="14.28515625" style="1" bestFit="1" customWidth="1"/>
    <col min="13317" max="13317" width="8.5703125" style="1" customWidth="1"/>
    <col min="13318" max="13318" width="14.42578125" style="1" bestFit="1" customWidth="1"/>
    <col min="13319" max="13568" width="9.140625" style="1"/>
    <col min="13569" max="13569" width="6" style="1" customWidth="1"/>
    <col min="13570" max="13570" width="9.5703125" style="1" customWidth="1"/>
    <col min="13571" max="13571" width="43.85546875" style="1" customWidth="1"/>
    <col min="13572" max="13572" width="14.28515625" style="1" bestFit="1" customWidth="1"/>
    <col min="13573" max="13573" width="8.5703125" style="1" customWidth="1"/>
    <col min="13574" max="13574" width="14.42578125" style="1" bestFit="1" customWidth="1"/>
    <col min="13575" max="13824" width="9.140625" style="1"/>
    <col min="13825" max="13825" width="6" style="1" customWidth="1"/>
    <col min="13826" max="13826" width="9.5703125" style="1" customWidth="1"/>
    <col min="13827" max="13827" width="43.85546875" style="1" customWidth="1"/>
    <col min="13828" max="13828" width="14.28515625" style="1" bestFit="1" customWidth="1"/>
    <col min="13829" max="13829" width="8.5703125" style="1" customWidth="1"/>
    <col min="13830" max="13830" width="14.42578125" style="1" bestFit="1" customWidth="1"/>
    <col min="13831" max="14080" width="9.140625" style="1"/>
    <col min="14081" max="14081" width="6" style="1" customWidth="1"/>
    <col min="14082" max="14082" width="9.5703125" style="1" customWidth="1"/>
    <col min="14083" max="14083" width="43.85546875" style="1" customWidth="1"/>
    <col min="14084" max="14084" width="14.28515625" style="1" bestFit="1" customWidth="1"/>
    <col min="14085" max="14085" width="8.5703125" style="1" customWidth="1"/>
    <col min="14086" max="14086" width="14.42578125" style="1" bestFit="1" customWidth="1"/>
    <col min="14087" max="14336" width="9.140625" style="1"/>
    <col min="14337" max="14337" width="6" style="1" customWidth="1"/>
    <col min="14338" max="14338" width="9.5703125" style="1" customWidth="1"/>
    <col min="14339" max="14339" width="43.85546875" style="1" customWidth="1"/>
    <col min="14340" max="14340" width="14.28515625" style="1" bestFit="1" customWidth="1"/>
    <col min="14341" max="14341" width="8.5703125" style="1" customWidth="1"/>
    <col min="14342" max="14342" width="14.42578125" style="1" bestFit="1" customWidth="1"/>
    <col min="14343" max="14592" width="9.140625" style="1"/>
    <col min="14593" max="14593" width="6" style="1" customWidth="1"/>
    <col min="14594" max="14594" width="9.5703125" style="1" customWidth="1"/>
    <col min="14595" max="14595" width="43.85546875" style="1" customWidth="1"/>
    <col min="14596" max="14596" width="14.28515625" style="1" bestFit="1" customWidth="1"/>
    <col min="14597" max="14597" width="8.5703125" style="1" customWidth="1"/>
    <col min="14598" max="14598" width="14.42578125" style="1" bestFit="1" customWidth="1"/>
    <col min="14599" max="14848" width="9.140625" style="1"/>
    <col min="14849" max="14849" width="6" style="1" customWidth="1"/>
    <col min="14850" max="14850" width="9.5703125" style="1" customWidth="1"/>
    <col min="14851" max="14851" width="43.85546875" style="1" customWidth="1"/>
    <col min="14852" max="14852" width="14.28515625" style="1" bestFit="1" customWidth="1"/>
    <col min="14853" max="14853" width="8.5703125" style="1" customWidth="1"/>
    <col min="14854" max="14854" width="14.42578125" style="1" bestFit="1" customWidth="1"/>
    <col min="14855" max="15104" width="9.140625" style="1"/>
    <col min="15105" max="15105" width="6" style="1" customWidth="1"/>
    <col min="15106" max="15106" width="9.5703125" style="1" customWidth="1"/>
    <col min="15107" max="15107" width="43.85546875" style="1" customWidth="1"/>
    <col min="15108" max="15108" width="14.28515625" style="1" bestFit="1" customWidth="1"/>
    <col min="15109" max="15109" width="8.5703125" style="1" customWidth="1"/>
    <col min="15110" max="15110" width="14.42578125" style="1" bestFit="1" customWidth="1"/>
    <col min="15111" max="15360" width="9.140625" style="1"/>
    <col min="15361" max="15361" width="6" style="1" customWidth="1"/>
    <col min="15362" max="15362" width="9.5703125" style="1" customWidth="1"/>
    <col min="15363" max="15363" width="43.85546875" style="1" customWidth="1"/>
    <col min="15364" max="15364" width="14.28515625" style="1" bestFit="1" customWidth="1"/>
    <col min="15365" max="15365" width="8.5703125" style="1" customWidth="1"/>
    <col min="15366" max="15366" width="14.42578125" style="1" bestFit="1" customWidth="1"/>
    <col min="15367" max="15616" width="9.140625" style="1"/>
    <col min="15617" max="15617" width="6" style="1" customWidth="1"/>
    <col min="15618" max="15618" width="9.5703125" style="1" customWidth="1"/>
    <col min="15619" max="15619" width="43.85546875" style="1" customWidth="1"/>
    <col min="15620" max="15620" width="14.28515625" style="1" bestFit="1" customWidth="1"/>
    <col min="15621" max="15621" width="8.5703125" style="1" customWidth="1"/>
    <col min="15622" max="15622" width="14.42578125" style="1" bestFit="1" customWidth="1"/>
    <col min="15623" max="15872" width="9.140625" style="1"/>
    <col min="15873" max="15873" width="6" style="1" customWidth="1"/>
    <col min="15874" max="15874" width="9.5703125" style="1" customWidth="1"/>
    <col min="15875" max="15875" width="43.85546875" style="1" customWidth="1"/>
    <col min="15876" max="15876" width="14.28515625" style="1" bestFit="1" customWidth="1"/>
    <col min="15877" max="15877" width="8.5703125" style="1" customWidth="1"/>
    <col min="15878" max="15878" width="14.42578125" style="1" bestFit="1" customWidth="1"/>
    <col min="15879" max="16128" width="9.140625" style="1"/>
    <col min="16129" max="16129" width="6" style="1" customWidth="1"/>
    <col min="16130" max="16130" width="9.5703125" style="1" customWidth="1"/>
    <col min="16131" max="16131" width="43.85546875" style="1" customWidth="1"/>
    <col min="16132" max="16132" width="14.28515625" style="1" bestFit="1" customWidth="1"/>
    <col min="16133" max="16133" width="8.5703125" style="1" customWidth="1"/>
    <col min="16134" max="16134" width="14.42578125" style="1" bestFit="1" customWidth="1"/>
    <col min="16135" max="16384" width="9.140625" style="1"/>
  </cols>
  <sheetData>
    <row r="1" spans="1:10" ht="16.5" customHeight="1">
      <c r="A1" s="548" t="s">
        <v>168</v>
      </c>
      <c r="B1" s="548"/>
      <c r="C1" s="548"/>
      <c r="D1" s="548"/>
      <c r="E1" s="548"/>
      <c r="F1" s="548"/>
      <c r="G1" s="548"/>
      <c r="H1" s="548"/>
      <c r="I1" s="548"/>
      <c r="J1" s="548"/>
    </row>
    <row r="2" spans="1:10" ht="9" customHeight="1">
      <c r="A2" s="548"/>
      <c r="B2" s="548"/>
      <c r="C2" s="548"/>
      <c r="D2" s="548"/>
      <c r="E2" s="548"/>
      <c r="F2" s="548"/>
      <c r="G2" s="548"/>
      <c r="H2" s="548"/>
      <c r="I2" s="548"/>
      <c r="J2" s="548"/>
    </row>
    <row r="3" spans="1:10">
      <c r="A3" s="549"/>
      <c r="B3" s="549"/>
      <c r="C3" s="549"/>
      <c r="D3" s="549"/>
      <c r="E3" s="549"/>
      <c r="F3" s="549"/>
      <c r="G3" s="549"/>
      <c r="H3" s="549"/>
      <c r="I3" s="549"/>
      <c r="J3" s="549"/>
    </row>
    <row r="4" spans="1:10">
      <c r="A4" s="556" t="s">
        <v>19</v>
      </c>
      <c r="B4" s="556" t="s">
        <v>129</v>
      </c>
      <c r="C4" s="556" t="s">
        <v>20</v>
      </c>
      <c r="D4" s="556" t="s">
        <v>21</v>
      </c>
      <c r="E4" s="556" t="s">
        <v>154</v>
      </c>
      <c r="F4" s="555" t="s">
        <v>157</v>
      </c>
      <c r="G4" s="555"/>
      <c r="H4" s="555"/>
      <c r="I4" s="555"/>
      <c r="J4" s="555" t="s">
        <v>22</v>
      </c>
    </row>
    <row r="5" spans="1:10" ht="45">
      <c r="A5" s="556"/>
      <c r="B5" s="556"/>
      <c r="C5" s="556"/>
      <c r="D5" s="556"/>
      <c r="E5" s="556"/>
      <c r="F5" s="189" t="s">
        <v>156</v>
      </c>
      <c r="G5" s="189" t="s">
        <v>65</v>
      </c>
      <c r="H5" s="304" t="s">
        <v>307</v>
      </c>
      <c r="I5" s="190" t="s">
        <v>171</v>
      </c>
      <c r="J5" s="555"/>
    </row>
    <row r="6" spans="1:10" ht="90">
      <c r="A6" s="189"/>
      <c r="B6" s="189"/>
      <c r="C6" s="105" t="s">
        <v>284</v>
      </c>
      <c r="D6" s="171"/>
      <c r="E6" s="171"/>
      <c r="F6" s="171"/>
      <c r="G6" s="171"/>
      <c r="H6" s="171"/>
      <c r="I6" s="171"/>
      <c r="J6" s="171"/>
    </row>
    <row r="7" spans="1:10" ht="105">
      <c r="A7" s="120"/>
      <c r="B7" s="135"/>
      <c r="C7" s="105" t="s">
        <v>285</v>
      </c>
      <c r="D7" s="135"/>
      <c r="E7" s="122"/>
      <c r="F7" s="122"/>
      <c r="G7" s="122"/>
      <c r="H7" s="122"/>
      <c r="I7" s="122"/>
      <c r="J7" s="122"/>
    </row>
    <row r="8" spans="1:10">
      <c r="A8" s="120"/>
      <c r="B8" s="121" t="s">
        <v>164</v>
      </c>
      <c r="C8" s="218" t="s">
        <v>229</v>
      </c>
      <c r="D8" s="135"/>
      <c r="E8" s="135"/>
      <c r="F8" s="135"/>
      <c r="G8" s="135"/>
      <c r="H8" s="135"/>
      <c r="I8" s="135"/>
      <c r="J8" s="135"/>
    </row>
    <row r="9" spans="1:10">
      <c r="A9" s="120"/>
      <c r="B9" s="121"/>
      <c r="C9" s="101" t="s">
        <v>231</v>
      </c>
      <c r="D9" s="135"/>
      <c r="E9" s="135"/>
      <c r="F9" s="135"/>
      <c r="G9" s="135"/>
      <c r="H9" s="135"/>
      <c r="I9" s="135"/>
      <c r="J9" s="135"/>
    </row>
    <row r="10" spans="1:10" ht="30">
      <c r="A10" s="120">
        <v>1</v>
      </c>
      <c r="B10" s="121" t="s">
        <v>235</v>
      </c>
      <c r="C10" s="105" t="s">
        <v>230</v>
      </c>
      <c r="D10" s="122" t="s">
        <v>102</v>
      </c>
      <c r="E10" s="128">
        <v>1100</v>
      </c>
      <c r="F10" s="154">
        <v>560</v>
      </c>
      <c r="G10" s="128">
        <v>1000</v>
      </c>
      <c r="H10" s="154">
        <v>0</v>
      </c>
      <c r="I10" s="154">
        <f t="shared" ref="I10" si="0">H10+F10</f>
        <v>560</v>
      </c>
      <c r="J10" s="154">
        <f>I10/G10*E10</f>
        <v>616.00000000000011</v>
      </c>
    </row>
    <row r="11" spans="1:10" ht="30">
      <c r="A11" s="120"/>
      <c r="B11" s="121" t="s">
        <v>165</v>
      </c>
      <c r="C11" s="218" t="s">
        <v>232</v>
      </c>
      <c r="D11" s="135"/>
      <c r="E11" s="135"/>
      <c r="F11" s="135"/>
      <c r="G11" s="135"/>
      <c r="H11" s="135"/>
      <c r="I11" s="135"/>
      <c r="J11" s="135"/>
    </row>
    <row r="12" spans="1:10" ht="30">
      <c r="A12" s="120">
        <v>2</v>
      </c>
      <c r="B12" s="121" t="s">
        <v>235</v>
      </c>
      <c r="C12" s="105" t="s">
        <v>230</v>
      </c>
      <c r="D12" s="122" t="s">
        <v>102</v>
      </c>
      <c r="E12" s="128">
        <v>1100</v>
      </c>
      <c r="F12" s="154">
        <v>14.6</v>
      </c>
      <c r="G12" s="128">
        <v>1000</v>
      </c>
      <c r="H12" s="154">
        <v>0</v>
      </c>
      <c r="I12" s="154">
        <f t="shared" ref="I12" si="1">H12+F12</f>
        <v>14.6</v>
      </c>
      <c r="J12" s="154">
        <f>I12/G12*E12</f>
        <v>16.059999999999999</v>
      </c>
    </row>
    <row r="13" spans="1:10" ht="135">
      <c r="A13" s="120"/>
      <c r="B13" s="121" t="s">
        <v>130</v>
      </c>
      <c r="C13" s="105" t="s">
        <v>286</v>
      </c>
      <c r="D13" s="135"/>
      <c r="E13" s="135"/>
      <c r="F13" s="135"/>
      <c r="G13" s="135"/>
      <c r="H13" s="135"/>
      <c r="I13" s="135"/>
      <c r="J13" s="135"/>
    </row>
    <row r="14" spans="1:10" ht="30">
      <c r="A14" s="120">
        <v>3</v>
      </c>
      <c r="B14" s="121" t="s">
        <v>235</v>
      </c>
      <c r="C14" s="105" t="s">
        <v>230</v>
      </c>
      <c r="D14" s="122" t="s">
        <v>102</v>
      </c>
      <c r="E14" s="128">
        <v>1100</v>
      </c>
      <c r="F14" s="154">
        <v>998.45</v>
      </c>
      <c r="G14" s="128">
        <v>1000</v>
      </c>
      <c r="H14" s="154">
        <v>0</v>
      </c>
      <c r="I14" s="154">
        <f>H14+F14</f>
        <v>998.45</v>
      </c>
      <c r="J14" s="154">
        <f>I14/G14*E14</f>
        <v>1098.2950000000001</v>
      </c>
    </row>
    <row r="15" spans="1:10" ht="45">
      <c r="A15" s="127"/>
      <c r="B15" s="121" t="s">
        <v>52</v>
      </c>
      <c r="C15" s="105" t="s">
        <v>287</v>
      </c>
      <c r="D15" s="135"/>
      <c r="E15" s="135"/>
      <c r="F15" s="135"/>
      <c r="G15" s="135"/>
      <c r="H15" s="135"/>
      <c r="I15" s="135"/>
      <c r="J15" s="135"/>
    </row>
    <row r="16" spans="1:10">
      <c r="A16" s="127">
        <v>4</v>
      </c>
      <c r="B16" s="121"/>
      <c r="C16" s="101" t="s">
        <v>166</v>
      </c>
      <c r="D16" s="124" t="s">
        <v>25</v>
      </c>
      <c r="E16" s="167">
        <v>2</v>
      </c>
      <c r="F16" s="125">
        <v>50.15</v>
      </c>
      <c r="G16" s="167">
        <v>1</v>
      </c>
      <c r="H16" s="154">
        <v>0</v>
      </c>
      <c r="I16" s="154">
        <f>H16+F16</f>
        <v>50.15</v>
      </c>
      <c r="J16" s="154">
        <f>I16/G16*E16</f>
        <v>100.3</v>
      </c>
    </row>
    <row r="17" spans="1:10" ht="30">
      <c r="A17" s="127">
        <v>5</v>
      </c>
      <c r="B17" s="121" t="s">
        <v>53</v>
      </c>
      <c r="C17" s="105" t="s">
        <v>233</v>
      </c>
      <c r="D17" s="124" t="s">
        <v>25</v>
      </c>
      <c r="E17" s="167">
        <v>2</v>
      </c>
      <c r="F17" s="125">
        <v>234.25</v>
      </c>
      <c r="G17" s="167">
        <v>1</v>
      </c>
      <c r="H17" s="125">
        <v>0</v>
      </c>
      <c r="I17" s="125">
        <f t="shared" ref="I17" si="2">H17+F17</f>
        <v>234.25</v>
      </c>
      <c r="J17" s="154">
        <f t="shared" ref="J17:J21" si="3">I17/G17*E17</f>
        <v>468.5</v>
      </c>
    </row>
    <row r="18" spans="1:10" ht="45">
      <c r="A18" s="127"/>
      <c r="B18" s="121" t="s">
        <v>131</v>
      </c>
      <c r="C18" s="105" t="s">
        <v>288</v>
      </c>
      <c r="D18" s="135"/>
      <c r="E18" s="135"/>
      <c r="F18" s="135"/>
      <c r="G18" s="135"/>
      <c r="H18" s="135"/>
      <c r="I18" s="135"/>
      <c r="J18" s="135"/>
    </row>
    <row r="19" spans="1:10" ht="30">
      <c r="A19" s="127">
        <v>6</v>
      </c>
      <c r="B19" s="121" t="s">
        <v>121</v>
      </c>
      <c r="C19" s="105" t="s">
        <v>234</v>
      </c>
      <c r="D19" s="124" t="s">
        <v>25</v>
      </c>
      <c r="E19" s="167">
        <v>5</v>
      </c>
      <c r="F19" s="125">
        <v>273.14999999999998</v>
      </c>
      <c r="G19" s="167">
        <v>1</v>
      </c>
      <c r="H19" s="125">
        <v>0</v>
      </c>
      <c r="I19" s="125">
        <f>H19+F19</f>
        <v>273.14999999999998</v>
      </c>
      <c r="J19" s="154">
        <f>I19/G19*E19</f>
        <v>1365.75</v>
      </c>
    </row>
    <row r="20" spans="1:10" ht="45">
      <c r="A20" s="120"/>
      <c r="B20" s="121" t="s">
        <v>132</v>
      </c>
      <c r="C20" s="108" t="s">
        <v>214</v>
      </c>
      <c r="D20" s="124"/>
      <c r="E20" s="167"/>
      <c r="F20" s="125"/>
      <c r="G20" s="167"/>
      <c r="H20" s="125"/>
      <c r="I20" s="125"/>
      <c r="J20" s="154">
        <v>30</v>
      </c>
    </row>
    <row r="21" spans="1:10" ht="255">
      <c r="A21" s="120">
        <v>7</v>
      </c>
      <c r="B21" s="121" t="s">
        <v>173</v>
      </c>
      <c r="C21" s="195" t="s">
        <v>290</v>
      </c>
      <c r="D21" s="122" t="s">
        <v>25</v>
      </c>
      <c r="E21" s="128">
        <v>4</v>
      </c>
      <c r="F21" s="154">
        <v>8754.6</v>
      </c>
      <c r="G21" s="128">
        <v>100</v>
      </c>
      <c r="H21" s="125">
        <v>0</v>
      </c>
      <c r="I21" s="125">
        <f t="shared" ref="I21" si="4">F21+H21</f>
        <v>8754.6</v>
      </c>
      <c r="J21" s="154">
        <f t="shared" si="3"/>
        <v>350.18400000000003</v>
      </c>
    </row>
    <row r="22" spans="1:10">
      <c r="A22" s="120">
        <v>8</v>
      </c>
      <c r="B22" s="121"/>
      <c r="C22" s="108" t="s">
        <v>169</v>
      </c>
      <c r="D22" s="172"/>
      <c r="E22" s="169"/>
      <c r="F22" s="169"/>
      <c r="G22" s="169"/>
      <c r="H22" s="169"/>
      <c r="I22" s="169"/>
      <c r="J22" s="173">
        <v>2340</v>
      </c>
    </row>
    <row r="23" spans="1:10">
      <c r="A23" s="120">
        <v>9</v>
      </c>
      <c r="B23" s="121" t="s">
        <v>167</v>
      </c>
      <c r="C23" s="108" t="s">
        <v>51</v>
      </c>
      <c r="D23" s="172"/>
      <c r="E23" s="169"/>
      <c r="F23" s="169"/>
      <c r="G23" s="169"/>
      <c r="H23" s="169"/>
      <c r="I23" s="169"/>
      <c r="J23" s="173">
        <v>500</v>
      </c>
    </row>
    <row r="24" spans="1:10">
      <c r="A24" s="120"/>
      <c r="B24" s="121"/>
      <c r="C24" s="131" t="s">
        <v>38</v>
      </c>
      <c r="D24" s="172"/>
      <c r="E24" s="169"/>
      <c r="F24" s="169"/>
      <c r="G24" s="169"/>
      <c r="H24" s="169"/>
      <c r="I24" s="169"/>
      <c r="J24" s="133">
        <f>SUM(J10:J23)</f>
        <v>6885.0889999999999</v>
      </c>
    </row>
    <row r="25" spans="1:10">
      <c r="A25" s="129">
        <v>10</v>
      </c>
      <c r="B25" s="121" t="s">
        <v>133</v>
      </c>
      <c r="C25" s="108" t="s">
        <v>128</v>
      </c>
      <c r="D25" s="174"/>
      <c r="E25" s="175"/>
      <c r="F25" s="175"/>
      <c r="G25" s="175"/>
      <c r="H25" s="175"/>
      <c r="I25" s="175"/>
      <c r="J25" s="176">
        <f>J24*0.05</f>
        <v>344.25445000000002</v>
      </c>
    </row>
    <row r="26" spans="1:10">
      <c r="A26" s="120"/>
      <c r="B26" s="121"/>
      <c r="C26" s="131" t="s">
        <v>170</v>
      </c>
      <c r="D26" s="177"/>
      <c r="E26" s="160"/>
      <c r="F26" s="160"/>
      <c r="G26" s="160"/>
      <c r="H26" s="160"/>
      <c r="I26" s="160"/>
      <c r="J26" s="178">
        <f>SUM(J24:J25)</f>
        <v>7229.3434500000003</v>
      </c>
    </row>
    <row r="27" spans="1:10">
      <c r="A27" s="120"/>
      <c r="B27" s="121"/>
      <c r="C27" s="146" t="s">
        <v>54</v>
      </c>
      <c r="D27" s="135"/>
      <c r="E27" s="169"/>
      <c r="F27" s="169"/>
      <c r="G27" s="169"/>
      <c r="H27" s="169"/>
      <c r="I27" s="169"/>
      <c r="J27" s="161">
        <f>J26/1100</f>
        <v>6.5721304090909092</v>
      </c>
    </row>
    <row r="28" spans="1:10">
      <c r="A28" s="179"/>
      <c r="B28" s="179"/>
      <c r="C28" s="95" t="s">
        <v>181</v>
      </c>
      <c r="D28" s="143"/>
      <c r="E28" s="143"/>
      <c r="F28" s="143"/>
      <c r="G28" s="143"/>
      <c r="H28" s="143"/>
      <c r="I28" s="143"/>
      <c r="J28" s="143"/>
    </row>
    <row r="29" spans="1:10">
      <c r="A29" s="4"/>
      <c r="B29" s="4"/>
      <c r="C29" s="3"/>
    </row>
    <row r="30" spans="1:10">
      <c r="A30" s="4"/>
      <c r="B30" s="4"/>
      <c r="C30" s="3"/>
    </row>
    <row r="31" spans="1:10">
      <c r="A31" s="4"/>
      <c r="B31" s="4"/>
      <c r="C31" s="3"/>
      <c r="H31" s="143"/>
      <c r="I31" s="166" t="s">
        <v>126</v>
      </c>
      <c r="J31" s="166"/>
    </row>
    <row r="32" spans="1:10">
      <c r="B32" s="4"/>
      <c r="C32" s="3"/>
      <c r="H32" s="143"/>
      <c r="I32" s="166"/>
      <c r="J32" s="166"/>
    </row>
  </sheetData>
  <mergeCells count="9">
    <mergeCell ref="A1:J2"/>
    <mergeCell ref="A3:J3"/>
    <mergeCell ref="F4:I4"/>
    <mergeCell ref="A4:A5"/>
    <mergeCell ref="B4:B5"/>
    <mergeCell ref="C4:C5"/>
    <mergeCell ref="D4:D5"/>
    <mergeCell ref="E4:E5"/>
    <mergeCell ref="J4:J5"/>
  </mergeCells>
  <pageMargins left="0.51" right="0.14000000000000001" top="0.63" bottom="0.75" header="0.3" footer="0.3"/>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5"/>
  <sheetViews>
    <sheetView tabSelected="1" view="pageBreakPreview" zoomScaleNormal="100" zoomScaleSheetLayoutView="100" workbookViewId="0">
      <selection activeCell="I17" sqref="I17"/>
    </sheetView>
  </sheetViews>
  <sheetFormatPr defaultRowHeight="15"/>
  <cols>
    <col min="1" max="1" width="13.28515625" style="450" customWidth="1"/>
    <col min="2" max="2" width="7.85546875" style="450" customWidth="1"/>
    <col min="3" max="3" width="9.28515625" style="450" customWidth="1"/>
    <col min="4" max="4" width="9.42578125" style="450" customWidth="1"/>
    <col min="5" max="5" width="8.42578125" style="450" customWidth="1"/>
    <col min="6" max="6" width="8.85546875" style="450" customWidth="1"/>
    <col min="7" max="7" width="7.42578125" style="450" customWidth="1"/>
    <col min="8" max="8" width="9.42578125" style="450" customWidth="1"/>
    <col min="9" max="9" width="7.28515625" style="450" customWidth="1"/>
    <col min="10" max="10" width="8.42578125" style="450" customWidth="1"/>
    <col min="11" max="16384" width="9.140625" style="450"/>
  </cols>
  <sheetData>
    <row r="1" spans="1:13" ht="18.75">
      <c r="A1" s="512" t="s">
        <v>550</v>
      </c>
      <c r="B1" s="512"/>
      <c r="C1" s="512"/>
      <c r="D1" s="512"/>
      <c r="E1" s="512"/>
      <c r="F1" s="512"/>
      <c r="G1" s="512"/>
      <c r="H1" s="512"/>
      <c r="I1" s="512"/>
      <c r="J1" s="512"/>
    </row>
    <row r="2" spans="1:13" s="449" customFormat="1" ht="19.5" customHeight="1">
      <c r="A2" s="513" t="s">
        <v>492</v>
      </c>
      <c r="B2" s="510" t="s">
        <v>493</v>
      </c>
      <c r="C2" s="516"/>
      <c r="D2" s="516"/>
      <c r="E2" s="511"/>
      <c r="F2" s="517" t="s">
        <v>494</v>
      </c>
      <c r="G2" s="509" t="s">
        <v>544</v>
      </c>
      <c r="H2" s="509"/>
      <c r="I2" s="509" t="s">
        <v>495</v>
      </c>
      <c r="J2" s="509" t="s">
        <v>496</v>
      </c>
    </row>
    <row r="3" spans="1:13" s="449" customFormat="1" ht="16.5" customHeight="1">
      <c r="A3" s="514"/>
      <c r="B3" s="510" t="s">
        <v>497</v>
      </c>
      <c r="C3" s="511"/>
      <c r="D3" s="510" t="s">
        <v>498</v>
      </c>
      <c r="E3" s="511"/>
      <c r="F3" s="518"/>
      <c r="G3" s="509"/>
      <c r="H3" s="509"/>
      <c r="I3" s="509"/>
      <c r="J3" s="509"/>
    </row>
    <row r="4" spans="1:13" s="449" customFormat="1" ht="52.5" customHeight="1">
      <c r="A4" s="515"/>
      <c r="B4" s="484" t="s">
        <v>499</v>
      </c>
      <c r="C4" s="484" t="s">
        <v>500</v>
      </c>
      <c r="D4" s="484" t="s">
        <v>499</v>
      </c>
      <c r="E4" s="484" t="s">
        <v>501</v>
      </c>
      <c r="F4" s="484" t="s">
        <v>502</v>
      </c>
      <c r="G4" s="484" t="s">
        <v>503</v>
      </c>
      <c r="H4" s="484" t="s">
        <v>504</v>
      </c>
      <c r="I4" s="509"/>
      <c r="J4" s="509"/>
    </row>
    <row r="5" spans="1:13" s="449" customFormat="1" ht="60" customHeight="1">
      <c r="A5" s="485" t="s">
        <v>505</v>
      </c>
      <c r="B5" s="486">
        <v>120</v>
      </c>
      <c r="C5" s="487">
        <v>25.97</v>
      </c>
      <c r="D5" s="486">
        <f>216.54+129</f>
        <v>345.53999999999996</v>
      </c>
      <c r="E5" s="487">
        <v>13.763</v>
      </c>
      <c r="F5" s="486">
        <v>219.46</v>
      </c>
      <c r="G5" s="488">
        <v>295000</v>
      </c>
      <c r="H5" s="486">
        <f>+F5+D5+B5</f>
        <v>685</v>
      </c>
      <c r="I5" s="486">
        <f>26+25</f>
        <v>51</v>
      </c>
      <c r="J5" s="486">
        <f>+I5+H5</f>
        <v>736</v>
      </c>
    </row>
    <row r="6" spans="1:13" s="449" customFormat="1">
      <c r="A6" s="489" t="s">
        <v>308</v>
      </c>
      <c r="B6" s="486">
        <v>87.23</v>
      </c>
      <c r="C6" s="490">
        <v>10.029999999999999</v>
      </c>
      <c r="D6" s="486">
        <f>177.7-76</f>
        <v>101.69999999999999</v>
      </c>
      <c r="E6" s="487">
        <v>2</v>
      </c>
      <c r="F6" s="486">
        <v>135.07</v>
      </c>
      <c r="G6" s="488">
        <v>87000</v>
      </c>
      <c r="H6" s="486">
        <f t="shared" ref="H6:H16" si="0">+F6+D6+B6</f>
        <v>324</v>
      </c>
      <c r="I6" s="486">
        <v>76</v>
      </c>
      <c r="J6" s="486">
        <f t="shared" ref="J6:J16" si="1">+I6+H6</f>
        <v>400</v>
      </c>
      <c r="K6" s="506">
        <f>+++B6+D6</f>
        <v>188.93</v>
      </c>
      <c r="M6" s="506">
        <f>+D6</f>
        <v>101.69999999999999</v>
      </c>
    </row>
    <row r="7" spans="1:13" s="449" customFormat="1">
      <c r="A7" s="489" t="s">
        <v>506</v>
      </c>
      <c r="B7" s="491">
        <f>'RoFR-3Years_ANR'!J39</f>
        <v>552.70200374032936</v>
      </c>
      <c r="C7" s="492">
        <f>(('RoFR-3Years_ANR'!Q39+'RoFR-3Years_ANR'!R39)+('RoFR-3Years_ANR'!U39+'RoFR-3Years_ANR'!V39))/10000000</f>
        <v>10.5985675</v>
      </c>
      <c r="D7" s="491">
        <f>'RoFR-3Years_ANR'!M39</f>
        <v>304.74606879200007</v>
      </c>
      <c r="E7" s="492">
        <f>'RoFR-3Years_ANR'!N39/10000000</f>
        <v>2.2442199999999999</v>
      </c>
      <c r="F7" s="491">
        <v>135</v>
      </c>
      <c r="G7" s="493">
        <f>'RoFR-3Years_ANR'!F39</f>
        <v>142505</v>
      </c>
      <c r="H7" s="491">
        <f t="shared" si="0"/>
        <v>992.44807253232943</v>
      </c>
      <c r="I7" s="486">
        <v>150</v>
      </c>
      <c r="J7" s="486">
        <f t="shared" si="1"/>
        <v>1142.4480725323294</v>
      </c>
    </row>
    <row r="8" spans="1:13" s="449" customFormat="1">
      <c r="A8" s="489" t="s">
        <v>507</v>
      </c>
      <c r="B8" s="491">
        <f>'RoFR-3Years_ANR'!J40</f>
        <v>657.14006050444982</v>
      </c>
      <c r="C8" s="492">
        <f>('RoFR-3Years_ANR'!Q40+'RoFR-3Years_ANR'!R40)/10000000</f>
        <v>10.034325000000001</v>
      </c>
      <c r="D8" s="491">
        <f>'RoFR-3Years_ANR'!M40</f>
        <v>567.28932198400025</v>
      </c>
      <c r="E8" s="492">
        <f>'RoFR-3Years_ANR'!N40/10000000</f>
        <v>2.2442199999999999</v>
      </c>
      <c r="F8" s="491">
        <v>140</v>
      </c>
      <c r="G8" s="493">
        <f>'RoFR-3Years_ANR'!F40</f>
        <v>142900</v>
      </c>
      <c r="H8" s="491">
        <f t="shared" si="0"/>
        <v>1364.4293824884501</v>
      </c>
      <c r="I8" s="486">
        <v>225</v>
      </c>
      <c r="J8" s="486">
        <f t="shared" si="1"/>
        <v>1589.4293824884501</v>
      </c>
    </row>
    <row r="9" spans="1:13" s="449" customFormat="1">
      <c r="A9" s="489" t="s">
        <v>508</v>
      </c>
      <c r="B9" s="491">
        <f>'RoFR-3Years_ANR'!J41</f>
        <v>768.95064352576355</v>
      </c>
      <c r="C9" s="492">
        <f>('RoFR-3Years_ANR'!Q41+'RoFR-3Years_ANR'!R41)/10000000</f>
        <v>10.034325000000001</v>
      </c>
      <c r="D9" s="491">
        <f>'RoFR-3Years_ANR'!M41</f>
        <v>713.35257133342429</v>
      </c>
      <c r="E9" s="492">
        <f>'RoFR-3Years_ANR'!N41/10000000</f>
        <v>2.2442199999999999</v>
      </c>
      <c r="F9" s="491">
        <v>145</v>
      </c>
      <c r="G9" s="493">
        <f>'RoFR-3Years_ANR'!F41</f>
        <v>142900</v>
      </c>
      <c r="H9" s="491">
        <f t="shared" si="0"/>
        <v>1627.3032148591878</v>
      </c>
      <c r="I9" s="486">
        <v>75</v>
      </c>
      <c r="J9" s="486">
        <f t="shared" si="1"/>
        <v>1702.3032148591878</v>
      </c>
    </row>
    <row r="10" spans="1:13" s="449" customFormat="1">
      <c r="A10" s="489" t="s">
        <v>509</v>
      </c>
      <c r="B10" s="491">
        <f>'RoFR-3Years_ANR'!J42</f>
        <v>868.37269997068984</v>
      </c>
      <c r="C10" s="492">
        <f>('RoFR-3Years_ANR'!Q42+'RoFR-3Years_ANR'!R42)/10000000</f>
        <v>10.034325000000001</v>
      </c>
      <c r="D10" s="491">
        <f>'RoFR-3Years_ANR'!M42</f>
        <v>676.94674714843927</v>
      </c>
      <c r="E10" s="492">
        <f>'RoFR-3Years_ANR'!N42/10000000</f>
        <v>1.09989</v>
      </c>
      <c r="F10" s="491">
        <v>150</v>
      </c>
      <c r="G10" s="493">
        <f>'RoFR-3Years_ANR'!F42</f>
        <v>132475</v>
      </c>
      <c r="H10" s="491">
        <f t="shared" si="0"/>
        <v>1695.3194471191291</v>
      </c>
      <c r="I10" s="486">
        <v>30</v>
      </c>
      <c r="J10" s="486">
        <f t="shared" si="1"/>
        <v>1725.3194471191291</v>
      </c>
    </row>
    <row r="11" spans="1:13" s="449" customFormat="1">
      <c r="A11" s="489" t="s">
        <v>510</v>
      </c>
      <c r="B11" s="491">
        <f>'RoFR-3Years_ANR'!J43</f>
        <v>956.03256948941566</v>
      </c>
      <c r="C11" s="492">
        <f>('RoFR-3Years_ANR'!Q43+'RoFR-3Years_ANR'!R43)/10000000</f>
        <v>10.034325000000001</v>
      </c>
      <c r="D11" s="491">
        <f>'RoFR-3Years_ANR'!M43</f>
        <v>388.19897751367148</v>
      </c>
      <c r="E11" s="492">
        <f>'RoFR-3Years_ANR'!N43/10000000</f>
        <v>0</v>
      </c>
      <c r="F11" s="491"/>
      <c r="G11" s="493">
        <f>'RoFR-3Years_ANR'!F43</f>
        <v>122700</v>
      </c>
      <c r="H11" s="491">
        <f t="shared" si="0"/>
        <v>1344.2315470030871</v>
      </c>
      <c r="I11" s="486">
        <v>25</v>
      </c>
      <c r="J11" s="486">
        <f t="shared" si="1"/>
        <v>1369.2315470030871</v>
      </c>
    </row>
    <row r="12" spans="1:13" s="449" customFormat="1">
      <c r="A12" s="489" t="s">
        <v>511</v>
      </c>
      <c r="B12" s="491">
        <f>'RoFR-3Years_ANR'!J44</f>
        <v>886.05152574038709</v>
      </c>
      <c r="C12" s="492">
        <f>('RoFR-3Years_ANR'!Q44+'RoFR-3Years_ANR'!R44)/10000000</f>
        <v>10.034325000000001</v>
      </c>
      <c r="D12" s="491">
        <f>'RoFR-3Years_ANR'!M44</f>
        <v>133.31110254255839</v>
      </c>
      <c r="E12" s="492">
        <f>'RoFR-3Years_ANR'!N44/10000000</f>
        <v>0</v>
      </c>
      <c r="F12" s="491"/>
      <c r="G12" s="493">
        <f>'RoFR-3Years_ANR'!F44</f>
        <v>96950</v>
      </c>
      <c r="H12" s="491">
        <f t="shared" si="0"/>
        <v>1019.3626282829455</v>
      </c>
      <c r="I12" s="486">
        <v>19</v>
      </c>
      <c r="J12" s="486">
        <f t="shared" si="1"/>
        <v>1038.3626282829455</v>
      </c>
    </row>
    <row r="13" spans="1:13" s="449" customFormat="1">
      <c r="A13" s="489" t="s">
        <v>512</v>
      </c>
      <c r="B13" s="491">
        <f>'RoFR-3Years_ANR'!J45</f>
        <v>940.95418850191425</v>
      </c>
      <c r="C13" s="492">
        <f>('RoFR-3Years_ANR'!Q45+'RoFR-3Years_ANR'!R45)/10000000</f>
        <v>10.075725</v>
      </c>
      <c r="D13" s="491">
        <f>'RoFR-3Years_ANR'!M45</f>
        <v>31.958714722363425</v>
      </c>
      <c r="E13" s="492">
        <f>'RoFR-3Years_ANR'!N45/10000000</f>
        <v>0</v>
      </c>
      <c r="F13" s="491"/>
      <c r="G13" s="493">
        <f>'RoFR-3Years_ANR'!F45</f>
        <v>97350</v>
      </c>
      <c r="H13" s="491">
        <f t="shared" si="0"/>
        <v>972.91290322427767</v>
      </c>
      <c r="I13" s="486"/>
      <c r="J13" s="486">
        <f t="shared" si="1"/>
        <v>972.91290322427767</v>
      </c>
    </row>
    <row r="14" spans="1:13" s="449" customFormat="1">
      <c r="A14" s="489" t="s">
        <v>513</v>
      </c>
      <c r="B14" s="491">
        <f>'RoFR-3Years_ANR'!J46</f>
        <v>271.3145425699833</v>
      </c>
      <c r="C14" s="492">
        <f>('RoFR-3Years_ANR'!Q46+'RoFR-3Years_ANR'!R46)/10000000</f>
        <v>0</v>
      </c>
      <c r="D14" s="491">
        <f>'RoFR-3Years_ANR'!M46</f>
        <v>0</v>
      </c>
      <c r="E14" s="492">
        <f>'RoFR-3Years_ANR'!N46/10000000</f>
        <v>0</v>
      </c>
      <c r="F14" s="491"/>
      <c r="G14" s="493">
        <f>'RoFR-3Years_ANR'!F46</f>
        <v>0</v>
      </c>
      <c r="H14" s="491">
        <f t="shared" si="0"/>
        <v>271.3145425699833</v>
      </c>
      <c r="I14" s="486"/>
      <c r="J14" s="486">
        <f t="shared" si="1"/>
        <v>271.3145425699833</v>
      </c>
    </row>
    <row r="15" spans="1:13" s="449" customFormat="1">
      <c r="A15" s="489" t="s">
        <v>514</v>
      </c>
      <c r="B15" s="491">
        <f>'RoFR-3Years_ANR'!J47</f>
        <v>90.824856604521514</v>
      </c>
      <c r="C15" s="492">
        <f>('RoFR-3Years_ANR'!Q47+'RoFR-3Years_ANR'!R47)/10000000</f>
        <v>0</v>
      </c>
      <c r="D15" s="491">
        <f>'RoFR-3Years_ANR'!M47</f>
        <v>0</v>
      </c>
      <c r="E15" s="492">
        <f>'RoFR-3Years_ANR'!N47/10000000</f>
        <v>0</v>
      </c>
      <c r="F15" s="491"/>
      <c r="G15" s="493">
        <f>'RoFR-3Years_ANR'!F47</f>
        <v>0</v>
      </c>
      <c r="H15" s="491">
        <f t="shared" si="0"/>
        <v>90.824856604521514</v>
      </c>
      <c r="I15" s="486"/>
      <c r="J15" s="486">
        <f t="shared" si="1"/>
        <v>90.824856604521514</v>
      </c>
    </row>
    <row r="16" spans="1:13" s="449" customFormat="1">
      <c r="A16" s="489" t="s">
        <v>515</v>
      </c>
      <c r="B16" s="491">
        <f>'RoFR-3Years_ANR'!J48</f>
        <v>77.04620904944926</v>
      </c>
      <c r="C16" s="492">
        <f>('RoFR-3Years_ANR'!Q48+'RoFR-3Years_ANR'!R48)/10000000</f>
        <v>0</v>
      </c>
      <c r="D16" s="491">
        <f>'RoFR-3Years_ANR'!M48</f>
        <v>0</v>
      </c>
      <c r="E16" s="492">
        <f>'RoFR-3Years_ANR'!N48/10000000</f>
        <v>0</v>
      </c>
      <c r="F16" s="491"/>
      <c r="G16" s="493">
        <f>'RoFR-3Years_ANR'!F48</f>
        <v>0</v>
      </c>
      <c r="H16" s="491">
        <f t="shared" si="0"/>
        <v>77.04620904944926</v>
      </c>
      <c r="I16" s="486"/>
      <c r="J16" s="486">
        <f t="shared" si="1"/>
        <v>77.04620904944926</v>
      </c>
    </row>
    <row r="17" spans="1:12" s="449" customFormat="1">
      <c r="A17" s="494" t="s">
        <v>516</v>
      </c>
      <c r="B17" s="495">
        <f>SUM(B5:B16)</f>
        <v>6276.619299696903</v>
      </c>
      <c r="C17" s="496">
        <f t="shared" ref="C17:J17" si="2">SUM(C5:C16)</f>
        <v>106.8459175</v>
      </c>
      <c r="D17" s="495">
        <f t="shared" si="2"/>
        <v>3263.0435040364573</v>
      </c>
      <c r="E17" s="496">
        <f t="shared" si="2"/>
        <v>23.595549999999996</v>
      </c>
      <c r="F17" s="495">
        <f t="shared" si="2"/>
        <v>924.53</v>
      </c>
      <c r="G17" s="497">
        <f t="shared" si="2"/>
        <v>1259780</v>
      </c>
      <c r="H17" s="495">
        <f t="shared" si="2"/>
        <v>10464.192803733362</v>
      </c>
      <c r="I17" s="495">
        <f t="shared" si="2"/>
        <v>651</v>
      </c>
      <c r="J17" s="495">
        <f t="shared" si="2"/>
        <v>11115.192803733362</v>
      </c>
    </row>
    <row r="19" spans="1:12">
      <c r="J19" s="451">
        <f>+J17-J5</f>
        <v>10379.192803733362</v>
      </c>
    </row>
    <row r="20" spans="1:12">
      <c r="J20" s="450">
        <v>1966.26</v>
      </c>
    </row>
    <row r="21" spans="1:12">
      <c r="D21" s="498">
        <f>+D17+B17</f>
        <v>9539.6628037333612</v>
      </c>
      <c r="G21" s="452">
        <f>+G17-G5</f>
        <v>964780</v>
      </c>
      <c r="J21" s="451">
        <f>+J19-J20</f>
        <v>8412.9328037333617</v>
      </c>
      <c r="L21" s="498">
        <f>+J7+J8+J9+J10+J11+J12+J13+J14+J15+J16</f>
        <v>9979.1928037333619</v>
      </c>
    </row>
    <row r="22" spans="1:12">
      <c r="J22" s="498">
        <f>+J16+J15+J14</f>
        <v>439.18560822395409</v>
      </c>
      <c r="L22" s="498">
        <f>+L21-J6</f>
        <v>9579.1928037333619</v>
      </c>
    </row>
    <row r="23" spans="1:12">
      <c r="L23" s="498">
        <f>+L22-1566.26</f>
        <v>8012.9328037333617</v>
      </c>
    </row>
    <row r="25" spans="1:12">
      <c r="G25" s="451"/>
    </row>
  </sheetData>
  <mergeCells count="9">
    <mergeCell ref="J2:J4"/>
    <mergeCell ref="B3:C3"/>
    <mergeCell ref="D3:E3"/>
    <mergeCell ref="A1:J1"/>
    <mergeCell ref="A2:A4"/>
    <mergeCell ref="B2:E2"/>
    <mergeCell ref="F2:F3"/>
    <mergeCell ref="G2:H3"/>
    <mergeCell ref="I2:I4"/>
  </mergeCells>
  <printOptions horizontalCentered="1"/>
  <pageMargins left="0.70866141732283472" right="0.70866141732283472" top="0.74803149606299213" bottom="0.74803149606299213" header="0.31496062992125984" footer="0.31496062992125984"/>
  <pageSetup paperSize="9" scale="12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pageSetUpPr fitToPage="1"/>
  </sheetPr>
  <dimension ref="A1:L17"/>
  <sheetViews>
    <sheetView view="pageBreakPreview" zoomScaleNormal="100" zoomScaleSheetLayoutView="100" workbookViewId="0">
      <selection activeCell="H10" sqref="H10"/>
    </sheetView>
  </sheetViews>
  <sheetFormatPr defaultRowHeight="15"/>
  <cols>
    <col min="1" max="1" width="6" style="5" customWidth="1"/>
    <col min="2" max="2" width="10.7109375" style="1" customWidth="1"/>
    <col min="3" max="3" width="45.7109375" style="1" customWidth="1"/>
    <col min="4" max="4" width="5.28515625" style="1" bestFit="1" customWidth="1"/>
    <col min="5" max="5" width="9.140625" style="1" bestFit="1" customWidth="1"/>
    <col min="6" max="6" width="10" style="1" bestFit="1" customWidth="1"/>
    <col min="7" max="7" width="9.42578125" style="1" customWidth="1"/>
    <col min="8" max="8" width="11.42578125" style="1" bestFit="1" customWidth="1"/>
    <col min="9" max="9" width="10.7109375" style="1" customWidth="1"/>
    <col min="10" max="10" width="14.42578125" style="1" bestFit="1" customWidth="1"/>
    <col min="11" max="260" width="9.140625" style="1"/>
    <col min="261" max="261" width="6" style="1" customWidth="1"/>
    <col min="262" max="262" width="16.28515625" style="1" customWidth="1"/>
    <col min="263" max="263" width="43.85546875" style="1" customWidth="1"/>
    <col min="264" max="264" width="12.28515625" style="1" customWidth="1"/>
    <col min="265" max="265" width="8.5703125" style="1" customWidth="1"/>
    <col min="266" max="266" width="14.42578125" style="1" bestFit="1" customWidth="1"/>
    <col min="267" max="516" width="9.140625" style="1"/>
    <col min="517" max="517" width="6" style="1" customWidth="1"/>
    <col min="518" max="518" width="16.28515625" style="1" customWidth="1"/>
    <col min="519" max="519" width="43.85546875" style="1" customWidth="1"/>
    <col min="520" max="520" width="12.28515625" style="1" customWidth="1"/>
    <col min="521" max="521" width="8.5703125" style="1" customWidth="1"/>
    <col min="522" max="522" width="14.42578125" style="1" bestFit="1" customWidth="1"/>
    <col min="523" max="772" width="9.140625" style="1"/>
    <col min="773" max="773" width="6" style="1" customWidth="1"/>
    <col min="774" max="774" width="16.28515625" style="1" customWidth="1"/>
    <col min="775" max="775" width="43.85546875" style="1" customWidth="1"/>
    <col min="776" max="776" width="12.28515625" style="1" customWidth="1"/>
    <col min="777" max="777" width="8.5703125" style="1" customWidth="1"/>
    <col min="778" max="778" width="14.42578125" style="1" bestFit="1" customWidth="1"/>
    <col min="779" max="1028" width="9.140625" style="1"/>
    <col min="1029" max="1029" width="6" style="1" customWidth="1"/>
    <col min="1030" max="1030" width="16.28515625" style="1" customWidth="1"/>
    <col min="1031" max="1031" width="43.85546875" style="1" customWidth="1"/>
    <col min="1032" max="1032" width="12.28515625" style="1" customWidth="1"/>
    <col min="1033" max="1033" width="8.5703125" style="1" customWidth="1"/>
    <col min="1034" max="1034" width="14.42578125" style="1" bestFit="1" customWidth="1"/>
    <col min="1035" max="1284" width="9.140625" style="1"/>
    <col min="1285" max="1285" width="6" style="1" customWidth="1"/>
    <col min="1286" max="1286" width="16.28515625" style="1" customWidth="1"/>
    <col min="1287" max="1287" width="43.85546875" style="1" customWidth="1"/>
    <col min="1288" max="1288" width="12.28515625" style="1" customWidth="1"/>
    <col min="1289" max="1289" width="8.5703125" style="1" customWidth="1"/>
    <col min="1290" max="1290" width="14.42578125" style="1" bestFit="1" customWidth="1"/>
    <col min="1291" max="1540" width="9.140625" style="1"/>
    <col min="1541" max="1541" width="6" style="1" customWidth="1"/>
    <col min="1542" max="1542" width="16.28515625" style="1" customWidth="1"/>
    <col min="1543" max="1543" width="43.85546875" style="1" customWidth="1"/>
    <col min="1544" max="1544" width="12.28515625" style="1" customWidth="1"/>
    <col min="1545" max="1545" width="8.5703125" style="1" customWidth="1"/>
    <col min="1546" max="1546" width="14.42578125" style="1" bestFit="1" customWidth="1"/>
    <col min="1547" max="1796" width="9.140625" style="1"/>
    <col min="1797" max="1797" width="6" style="1" customWidth="1"/>
    <col min="1798" max="1798" width="16.28515625" style="1" customWidth="1"/>
    <col min="1799" max="1799" width="43.85546875" style="1" customWidth="1"/>
    <col min="1800" max="1800" width="12.28515625" style="1" customWidth="1"/>
    <col min="1801" max="1801" width="8.5703125" style="1" customWidth="1"/>
    <col min="1802" max="1802" width="14.42578125" style="1" bestFit="1" customWidth="1"/>
    <col min="1803" max="2052" width="9.140625" style="1"/>
    <col min="2053" max="2053" width="6" style="1" customWidth="1"/>
    <col min="2054" max="2054" width="16.28515625" style="1" customWidth="1"/>
    <col min="2055" max="2055" width="43.85546875" style="1" customWidth="1"/>
    <col min="2056" max="2056" width="12.28515625" style="1" customWidth="1"/>
    <col min="2057" max="2057" width="8.5703125" style="1" customWidth="1"/>
    <col min="2058" max="2058" width="14.42578125" style="1" bestFit="1" customWidth="1"/>
    <col min="2059" max="2308" width="9.140625" style="1"/>
    <col min="2309" max="2309" width="6" style="1" customWidth="1"/>
    <col min="2310" max="2310" width="16.28515625" style="1" customWidth="1"/>
    <col min="2311" max="2311" width="43.85546875" style="1" customWidth="1"/>
    <col min="2312" max="2312" width="12.28515625" style="1" customWidth="1"/>
    <col min="2313" max="2313" width="8.5703125" style="1" customWidth="1"/>
    <col min="2314" max="2314" width="14.42578125" style="1" bestFit="1" customWidth="1"/>
    <col min="2315" max="2564" width="9.140625" style="1"/>
    <col min="2565" max="2565" width="6" style="1" customWidth="1"/>
    <col min="2566" max="2566" width="16.28515625" style="1" customWidth="1"/>
    <col min="2567" max="2567" width="43.85546875" style="1" customWidth="1"/>
    <col min="2568" max="2568" width="12.28515625" style="1" customWidth="1"/>
    <col min="2569" max="2569" width="8.5703125" style="1" customWidth="1"/>
    <col min="2570" max="2570" width="14.42578125" style="1" bestFit="1" customWidth="1"/>
    <col min="2571" max="2820" width="9.140625" style="1"/>
    <col min="2821" max="2821" width="6" style="1" customWidth="1"/>
    <col min="2822" max="2822" width="16.28515625" style="1" customWidth="1"/>
    <col min="2823" max="2823" width="43.85546875" style="1" customWidth="1"/>
    <col min="2824" max="2824" width="12.28515625" style="1" customWidth="1"/>
    <col min="2825" max="2825" width="8.5703125" style="1" customWidth="1"/>
    <col min="2826" max="2826" width="14.42578125" style="1" bestFit="1" customWidth="1"/>
    <col min="2827" max="3076" width="9.140625" style="1"/>
    <col min="3077" max="3077" width="6" style="1" customWidth="1"/>
    <col min="3078" max="3078" width="16.28515625" style="1" customWidth="1"/>
    <col min="3079" max="3079" width="43.85546875" style="1" customWidth="1"/>
    <col min="3080" max="3080" width="12.28515625" style="1" customWidth="1"/>
    <col min="3081" max="3081" width="8.5703125" style="1" customWidth="1"/>
    <col min="3082" max="3082" width="14.42578125" style="1" bestFit="1" customWidth="1"/>
    <col min="3083" max="3332" width="9.140625" style="1"/>
    <col min="3333" max="3333" width="6" style="1" customWidth="1"/>
    <col min="3334" max="3334" width="16.28515625" style="1" customWidth="1"/>
    <col min="3335" max="3335" width="43.85546875" style="1" customWidth="1"/>
    <col min="3336" max="3336" width="12.28515625" style="1" customWidth="1"/>
    <col min="3337" max="3337" width="8.5703125" style="1" customWidth="1"/>
    <col min="3338" max="3338" width="14.42578125" style="1" bestFit="1" customWidth="1"/>
    <col min="3339" max="3588" width="9.140625" style="1"/>
    <col min="3589" max="3589" width="6" style="1" customWidth="1"/>
    <col min="3590" max="3590" width="16.28515625" style="1" customWidth="1"/>
    <col min="3591" max="3591" width="43.85546875" style="1" customWidth="1"/>
    <col min="3592" max="3592" width="12.28515625" style="1" customWidth="1"/>
    <col min="3593" max="3593" width="8.5703125" style="1" customWidth="1"/>
    <col min="3594" max="3594" width="14.42578125" style="1" bestFit="1" customWidth="1"/>
    <col min="3595" max="3844" width="9.140625" style="1"/>
    <col min="3845" max="3845" width="6" style="1" customWidth="1"/>
    <col min="3846" max="3846" width="16.28515625" style="1" customWidth="1"/>
    <col min="3847" max="3847" width="43.85546875" style="1" customWidth="1"/>
    <col min="3848" max="3848" width="12.28515625" style="1" customWidth="1"/>
    <col min="3849" max="3849" width="8.5703125" style="1" customWidth="1"/>
    <col min="3850" max="3850" width="14.42578125" style="1" bestFit="1" customWidth="1"/>
    <col min="3851" max="4100" width="9.140625" style="1"/>
    <col min="4101" max="4101" width="6" style="1" customWidth="1"/>
    <col min="4102" max="4102" width="16.28515625" style="1" customWidth="1"/>
    <col min="4103" max="4103" width="43.85546875" style="1" customWidth="1"/>
    <col min="4104" max="4104" width="12.28515625" style="1" customWidth="1"/>
    <col min="4105" max="4105" width="8.5703125" style="1" customWidth="1"/>
    <col min="4106" max="4106" width="14.42578125" style="1" bestFit="1" customWidth="1"/>
    <col min="4107" max="4356" width="9.140625" style="1"/>
    <col min="4357" max="4357" width="6" style="1" customWidth="1"/>
    <col min="4358" max="4358" width="16.28515625" style="1" customWidth="1"/>
    <col min="4359" max="4359" width="43.85546875" style="1" customWidth="1"/>
    <col min="4360" max="4360" width="12.28515625" style="1" customWidth="1"/>
    <col min="4361" max="4361" width="8.5703125" style="1" customWidth="1"/>
    <col min="4362" max="4362" width="14.42578125" style="1" bestFit="1" customWidth="1"/>
    <col min="4363" max="4612" width="9.140625" style="1"/>
    <col min="4613" max="4613" width="6" style="1" customWidth="1"/>
    <col min="4614" max="4614" width="16.28515625" style="1" customWidth="1"/>
    <col min="4615" max="4615" width="43.85546875" style="1" customWidth="1"/>
    <col min="4616" max="4616" width="12.28515625" style="1" customWidth="1"/>
    <col min="4617" max="4617" width="8.5703125" style="1" customWidth="1"/>
    <col min="4618" max="4618" width="14.42578125" style="1" bestFit="1" customWidth="1"/>
    <col min="4619" max="4868" width="9.140625" style="1"/>
    <col min="4869" max="4869" width="6" style="1" customWidth="1"/>
    <col min="4870" max="4870" width="16.28515625" style="1" customWidth="1"/>
    <col min="4871" max="4871" width="43.85546875" style="1" customWidth="1"/>
    <col min="4872" max="4872" width="12.28515625" style="1" customWidth="1"/>
    <col min="4873" max="4873" width="8.5703125" style="1" customWidth="1"/>
    <col min="4874" max="4874" width="14.42578125" style="1" bestFit="1" customWidth="1"/>
    <col min="4875" max="5124" width="9.140625" style="1"/>
    <col min="5125" max="5125" width="6" style="1" customWidth="1"/>
    <col min="5126" max="5126" width="16.28515625" style="1" customWidth="1"/>
    <col min="5127" max="5127" width="43.85546875" style="1" customWidth="1"/>
    <col min="5128" max="5128" width="12.28515625" style="1" customWidth="1"/>
    <col min="5129" max="5129" width="8.5703125" style="1" customWidth="1"/>
    <col min="5130" max="5130" width="14.42578125" style="1" bestFit="1" customWidth="1"/>
    <col min="5131" max="5380" width="9.140625" style="1"/>
    <col min="5381" max="5381" width="6" style="1" customWidth="1"/>
    <col min="5382" max="5382" width="16.28515625" style="1" customWidth="1"/>
    <col min="5383" max="5383" width="43.85546875" style="1" customWidth="1"/>
    <col min="5384" max="5384" width="12.28515625" style="1" customWidth="1"/>
    <col min="5385" max="5385" width="8.5703125" style="1" customWidth="1"/>
    <col min="5386" max="5386" width="14.42578125" style="1" bestFit="1" customWidth="1"/>
    <col min="5387" max="5636" width="9.140625" style="1"/>
    <col min="5637" max="5637" width="6" style="1" customWidth="1"/>
    <col min="5638" max="5638" width="16.28515625" style="1" customWidth="1"/>
    <col min="5639" max="5639" width="43.85546875" style="1" customWidth="1"/>
    <col min="5640" max="5640" width="12.28515625" style="1" customWidth="1"/>
    <col min="5641" max="5641" width="8.5703125" style="1" customWidth="1"/>
    <col min="5642" max="5642" width="14.42578125" style="1" bestFit="1" customWidth="1"/>
    <col min="5643" max="5892" width="9.140625" style="1"/>
    <col min="5893" max="5893" width="6" style="1" customWidth="1"/>
    <col min="5894" max="5894" width="16.28515625" style="1" customWidth="1"/>
    <col min="5895" max="5895" width="43.85546875" style="1" customWidth="1"/>
    <col min="5896" max="5896" width="12.28515625" style="1" customWidth="1"/>
    <col min="5897" max="5897" width="8.5703125" style="1" customWidth="1"/>
    <col min="5898" max="5898" width="14.42578125" style="1" bestFit="1" customWidth="1"/>
    <col min="5899" max="6148" width="9.140625" style="1"/>
    <col min="6149" max="6149" width="6" style="1" customWidth="1"/>
    <col min="6150" max="6150" width="16.28515625" style="1" customWidth="1"/>
    <col min="6151" max="6151" width="43.85546875" style="1" customWidth="1"/>
    <col min="6152" max="6152" width="12.28515625" style="1" customWidth="1"/>
    <col min="6153" max="6153" width="8.5703125" style="1" customWidth="1"/>
    <col min="6154" max="6154" width="14.42578125" style="1" bestFit="1" customWidth="1"/>
    <col min="6155" max="6404" width="9.140625" style="1"/>
    <col min="6405" max="6405" width="6" style="1" customWidth="1"/>
    <col min="6406" max="6406" width="16.28515625" style="1" customWidth="1"/>
    <col min="6407" max="6407" width="43.85546875" style="1" customWidth="1"/>
    <col min="6408" max="6408" width="12.28515625" style="1" customWidth="1"/>
    <col min="6409" max="6409" width="8.5703125" style="1" customWidth="1"/>
    <col min="6410" max="6410" width="14.42578125" style="1" bestFit="1" customWidth="1"/>
    <col min="6411" max="6660" width="9.140625" style="1"/>
    <col min="6661" max="6661" width="6" style="1" customWidth="1"/>
    <col min="6662" max="6662" width="16.28515625" style="1" customWidth="1"/>
    <col min="6663" max="6663" width="43.85546875" style="1" customWidth="1"/>
    <col min="6664" max="6664" width="12.28515625" style="1" customWidth="1"/>
    <col min="6665" max="6665" width="8.5703125" style="1" customWidth="1"/>
    <col min="6666" max="6666" width="14.42578125" style="1" bestFit="1" customWidth="1"/>
    <col min="6667" max="6916" width="9.140625" style="1"/>
    <col min="6917" max="6917" width="6" style="1" customWidth="1"/>
    <col min="6918" max="6918" width="16.28515625" style="1" customWidth="1"/>
    <col min="6919" max="6919" width="43.85546875" style="1" customWidth="1"/>
    <col min="6920" max="6920" width="12.28515625" style="1" customWidth="1"/>
    <col min="6921" max="6921" width="8.5703125" style="1" customWidth="1"/>
    <col min="6922" max="6922" width="14.42578125" style="1" bestFit="1" customWidth="1"/>
    <col min="6923" max="7172" width="9.140625" style="1"/>
    <col min="7173" max="7173" width="6" style="1" customWidth="1"/>
    <col min="7174" max="7174" width="16.28515625" style="1" customWidth="1"/>
    <col min="7175" max="7175" width="43.85546875" style="1" customWidth="1"/>
    <col min="7176" max="7176" width="12.28515625" style="1" customWidth="1"/>
    <col min="7177" max="7177" width="8.5703125" style="1" customWidth="1"/>
    <col min="7178" max="7178" width="14.42578125" style="1" bestFit="1" customWidth="1"/>
    <col min="7179" max="7428" width="9.140625" style="1"/>
    <col min="7429" max="7429" width="6" style="1" customWidth="1"/>
    <col min="7430" max="7430" width="16.28515625" style="1" customWidth="1"/>
    <col min="7431" max="7431" width="43.85546875" style="1" customWidth="1"/>
    <col min="7432" max="7432" width="12.28515625" style="1" customWidth="1"/>
    <col min="7433" max="7433" width="8.5703125" style="1" customWidth="1"/>
    <col min="7434" max="7434" width="14.42578125" style="1" bestFit="1" customWidth="1"/>
    <col min="7435" max="7684" width="9.140625" style="1"/>
    <col min="7685" max="7685" width="6" style="1" customWidth="1"/>
    <col min="7686" max="7686" width="16.28515625" style="1" customWidth="1"/>
    <col min="7687" max="7687" width="43.85546875" style="1" customWidth="1"/>
    <col min="7688" max="7688" width="12.28515625" style="1" customWidth="1"/>
    <col min="7689" max="7689" width="8.5703125" style="1" customWidth="1"/>
    <col min="7690" max="7690" width="14.42578125" style="1" bestFit="1" customWidth="1"/>
    <col min="7691" max="7940" width="9.140625" style="1"/>
    <col min="7941" max="7941" width="6" style="1" customWidth="1"/>
    <col min="7942" max="7942" width="16.28515625" style="1" customWidth="1"/>
    <col min="7943" max="7943" width="43.85546875" style="1" customWidth="1"/>
    <col min="7944" max="7944" width="12.28515625" style="1" customWidth="1"/>
    <col min="7945" max="7945" width="8.5703125" style="1" customWidth="1"/>
    <col min="7946" max="7946" width="14.42578125" style="1" bestFit="1" customWidth="1"/>
    <col min="7947" max="8196" width="9.140625" style="1"/>
    <col min="8197" max="8197" width="6" style="1" customWidth="1"/>
    <col min="8198" max="8198" width="16.28515625" style="1" customWidth="1"/>
    <col min="8199" max="8199" width="43.85546875" style="1" customWidth="1"/>
    <col min="8200" max="8200" width="12.28515625" style="1" customWidth="1"/>
    <col min="8201" max="8201" width="8.5703125" style="1" customWidth="1"/>
    <col min="8202" max="8202" width="14.42578125" style="1" bestFit="1" customWidth="1"/>
    <col min="8203" max="8452" width="9.140625" style="1"/>
    <col min="8453" max="8453" width="6" style="1" customWidth="1"/>
    <col min="8454" max="8454" width="16.28515625" style="1" customWidth="1"/>
    <col min="8455" max="8455" width="43.85546875" style="1" customWidth="1"/>
    <col min="8456" max="8456" width="12.28515625" style="1" customWidth="1"/>
    <col min="8457" max="8457" width="8.5703125" style="1" customWidth="1"/>
    <col min="8458" max="8458" width="14.42578125" style="1" bestFit="1" customWidth="1"/>
    <col min="8459" max="8708" width="9.140625" style="1"/>
    <col min="8709" max="8709" width="6" style="1" customWidth="1"/>
    <col min="8710" max="8710" width="16.28515625" style="1" customWidth="1"/>
    <col min="8711" max="8711" width="43.85546875" style="1" customWidth="1"/>
    <col min="8712" max="8712" width="12.28515625" style="1" customWidth="1"/>
    <col min="8713" max="8713" width="8.5703125" style="1" customWidth="1"/>
    <col min="8714" max="8714" width="14.42578125" style="1" bestFit="1" customWidth="1"/>
    <col min="8715" max="8964" width="9.140625" style="1"/>
    <col min="8965" max="8965" width="6" style="1" customWidth="1"/>
    <col min="8966" max="8966" width="16.28515625" style="1" customWidth="1"/>
    <col min="8967" max="8967" width="43.85546875" style="1" customWidth="1"/>
    <col min="8968" max="8968" width="12.28515625" style="1" customWidth="1"/>
    <col min="8969" max="8969" width="8.5703125" style="1" customWidth="1"/>
    <col min="8970" max="8970" width="14.42578125" style="1" bestFit="1" customWidth="1"/>
    <col min="8971" max="9220" width="9.140625" style="1"/>
    <col min="9221" max="9221" width="6" style="1" customWidth="1"/>
    <col min="9222" max="9222" width="16.28515625" style="1" customWidth="1"/>
    <col min="9223" max="9223" width="43.85546875" style="1" customWidth="1"/>
    <col min="9224" max="9224" width="12.28515625" style="1" customWidth="1"/>
    <col min="9225" max="9225" width="8.5703125" style="1" customWidth="1"/>
    <col min="9226" max="9226" width="14.42578125" style="1" bestFit="1" customWidth="1"/>
    <col min="9227" max="9476" width="9.140625" style="1"/>
    <col min="9477" max="9477" width="6" style="1" customWidth="1"/>
    <col min="9478" max="9478" width="16.28515625" style="1" customWidth="1"/>
    <col min="9479" max="9479" width="43.85546875" style="1" customWidth="1"/>
    <col min="9480" max="9480" width="12.28515625" style="1" customWidth="1"/>
    <col min="9481" max="9481" width="8.5703125" style="1" customWidth="1"/>
    <col min="9482" max="9482" width="14.42578125" style="1" bestFit="1" customWidth="1"/>
    <col min="9483" max="9732" width="9.140625" style="1"/>
    <col min="9733" max="9733" width="6" style="1" customWidth="1"/>
    <col min="9734" max="9734" width="16.28515625" style="1" customWidth="1"/>
    <col min="9735" max="9735" width="43.85546875" style="1" customWidth="1"/>
    <col min="9736" max="9736" width="12.28515625" style="1" customWidth="1"/>
    <col min="9737" max="9737" width="8.5703125" style="1" customWidth="1"/>
    <col min="9738" max="9738" width="14.42578125" style="1" bestFit="1" customWidth="1"/>
    <col min="9739" max="9988" width="9.140625" style="1"/>
    <col min="9989" max="9989" width="6" style="1" customWidth="1"/>
    <col min="9990" max="9990" width="16.28515625" style="1" customWidth="1"/>
    <col min="9991" max="9991" width="43.85546875" style="1" customWidth="1"/>
    <col min="9992" max="9992" width="12.28515625" style="1" customWidth="1"/>
    <col min="9993" max="9993" width="8.5703125" style="1" customWidth="1"/>
    <col min="9994" max="9994" width="14.42578125" style="1" bestFit="1" customWidth="1"/>
    <col min="9995" max="10244" width="9.140625" style="1"/>
    <col min="10245" max="10245" width="6" style="1" customWidth="1"/>
    <col min="10246" max="10246" width="16.28515625" style="1" customWidth="1"/>
    <col min="10247" max="10247" width="43.85546875" style="1" customWidth="1"/>
    <col min="10248" max="10248" width="12.28515625" style="1" customWidth="1"/>
    <col min="10249" max="10249" width="8.5703125" style="1" customWidth="1"/>
    <col min="10250" max="10250" width="14.42578125" style="1" bestFit="1" customWidth="1"/>
    <col min="10251" max="10500" width="9.140625" style="1"/>
    <col min="10501" max="10501" width="6" style="1" customWidth="1"/>
    <col min="10502" max="10502" width="16.28515625" style="1" customWidth="1"/>
    <col min="10503" max="10503" width="43.85546875" style="1" customWidth="1"/>
    <col min="10504" max="10504" width="12.28515625" style="1" customWidth="1"/>
    <col min="10505" max="10505" width="8.5703125" style="1" customWidth="1"/>
    <col min="10506" max="10506" width="14.42578125" style="1" bestFit="1" customWidth="1"/>
    <col min="10507" max="10756" width="9.140625" style="1"/>
    <col min="10757" max="10757" width="6" style="1" customWidth="1"/>
    <col min="10758" max="10758" width="16.28515625" style="1" customWidth="1"/>
    <col min="10759" max="10759" width="43.85546875" style="1" customWidth="1"/>
    <col min="10760" max="10760" width="12.28515625" style="1" customWidth="1"/>
    <col min="10761" max="10761" width="8.5703125" style="1" customWidth="1"/>
    <col min="10762" max="10762" width="14.42578125" style="1" bestFit="1" customWidth="1"/>
    <col min="10763" max="11012" width="9.140625" style="1"/>
    <col min="11013" max="11013" width="6" style="1" customWidth="1"/>
    <col min="11014" max="11014" width="16.28515625" style="1" customWidth="1"/>
    <col min="11015" max="11015" width="43.85546875" style="1" customWidth="1"/>
    <col min="11016" max="11016" width="12.28515625" style="1" customWidth="1"/>
    <col min="11017" max="11017" width="8.5703125" style="1" customWidth="1"/>
    <col min="11018" max="11018" width="14.42578125" style="1" bestFit="1" customWidth="1"/>
    <col min="11019" max="11268" width="9.140625" style="1"/>
    <col min="11269" max="11269" width="6" style="1" customWidth="1"/>
    <col min="11270" max="11270" width="16.28515625" style="1" customWidth="1"/>
    <col min="11271" max="11271" width="43.85546875" style="1" customWidth="1"/>
    <col min="11272" max="11272" width="12.28515625" style="1" customWidth="1"/>
    <col min="11273" max="11273" width="8.5703125" style="1" customWidth="1"/>
    <col min="11274" max="11274" width="14.42578125" style="1" bestFit="1" customWidth="1"/>
    <col min="11275" max="11524" width="9.140625" style="1"/>
    <col min="11525" max="11525" width="6" style="1" customWidth="1"/>
    <col min="11526" max="11526" width="16.28515625" style="1" customWidth="1"/>
    <col min="11527" max="11527" width="43.85546875" style="1" customWidth="1"/>
    <col min="11528" max="11528" width="12.28515625" style="1" customWidth="1"/>
    <col min="11529" max="11529" width="8.5703125" style="1" customWidth="1"/>
    <col min="11530" max="11530" width="14.42578125" style="1" bestFit="1" customWidth="1"/>
    <col min="11531" max="11780" width="9.140625" style="1"/>
    <col min="11781" max="11781" width="6" style="1" customWidth="1"/>
    <col min="11782" max="11782" width="16.28515625" style="1" customWidth="1"/>
    <col min="11783" max="11783" width="43.85546875" style="1" customWidth="1"/>
    <col min="11784" max="11784" width="12.28515625" style="1" customWidth="1"/>
    <col min="11785" max="11785" width="8.5703125" style="1" customWidth="1"/>
    <col min="11786" max="11786" width="14.42578125" style="1" bestFit="1" customWidth="1"/>
    <col min="11787" max="12036" width="9.140625" style="1"/>
    <col min="12037" max="12037" width="6" style="1" customWidth="1"/>
    <col min="12038" max="12038" width="16.28515625" style="1" customWidth="1"/>
    <col min="12039" max="12039" width="43.85546875" style="1" customWidth="1"/>
    <col min="12040" max="12040" width="12.28515625" style="1" customWidth="1"/>
    <col min="12041" max="12041" width="8.5703125" style="1" customWidth="1"/>
    <col min="12042" max="12042" width="14.42578125" style="1" bestFit="1" customWidth="1"/>
    <col min="12043" max="12292" width="9.140625" style="1"/>
    <col min="12293" max="12293" width="6" style="1" customWidth="1"/>
    <col min="12294" max="12294" width="16.28515625" style="1" customWidth="1"/>
    <col min="12295" max="12295" width="43.85546875" style="1" customWidth="1"/>
    <col min="12296" max="12296" width="12.28515625" style="1" customWidth="1"/>
    <col min="12297" max="12297" width="8.5703125" style="1" customWidth="1"/>
    <col min="12298" max="12298" width="14.42578125" style="1" bestFit="1" customWidth="1"/>
    <col min="12299" max="12548" width="9.140625" style="1"/>
    <col min="12549" max="12549" width="6" style="1" customWidth="1"/>
    <col min="12550" max="12550" width="16.28515625" style="1" customWidth="1"/>
    <col min="12551" max="12551" width="43.85546875" style="1" customWidth="1"/>
    <col min="12552" max="12552" width="12.28515625" style="1" customWidth="1"/>
    <col min="12553" max="12553" width="8.5703125" style="1" customWidth="1"/>
    <col min="12554" max="12554" width="14.42578125" style="1" bestFit="1" customWidth="1"/>
    <col min="12555" max="12804" width="9.140625" style="1"/>
    <col min="12805" max="12805" width="6" style="1" customWidth="1"/>
    <col min="12806" max="12806" width="16.28515625" style="1" customWidth="1"/>
    <col min="12807" max="12807" width="43.85546875" style="1" customWidth="1"/>
    <col min="12808" max="12808" width="12.28515625" style="1" customWidth="1"/>
    <col min="12809" max="12809" width="8.5703125" style="1" customWidth="1"/>
    <col min="12810" max="12810" width="14.42578125" style="1" bestFit="1" customWidth="1"/>
    <col min="12811" max="13060" width="9.140625" style="1"/>
    <col min="13061" max="13061" width="6" style="1" customWidth="1"/>
    <col min="13062" max="13062" width="16.28515625" style="1" customWidth="1"/>
    <col min="13063" max="13063" width="43.85546875" style="1" customWidth="1"/>
    <col min="13064" max="13064" width="12.28515625" style="1" customWidth="1"/>
    <col min="13065" max="13065" width="8.5703125" style="1" customWidth="1"/>
    <col min="13066" max="13066" width="14.42578125" style="1" bestFit="1" customWidth="1"/>
    <col min="13067" max="13316" width="9.140625" style="1"/>
    <col min="13317" max="13317" width="6" style="1" customWidth="1"/>
    <col min="13318" max="13318" width="16.28515625" style="1" customWidth="1"/>
    <col min="13319" max="13319" width="43.85546875" style="1" customWidth="1"/>
    <col min="13320" max="13320" width="12.28515625" style="1" customWidth="1"/>
    <col min="13321" max="13321" width="8.5703125" style="1" customWidth="1"/>
    <col min="13322" max="13322" width="14.42578125" style="1" bestFit="1" customWidth="1"/>
    <col min="13323" max="13572" width="9.140625" style="1"/>
    <col min="13573" max="13573" width="6" style="1" customWidth="1"/>
    <col min="13574" max="13574" width="16.28515625" style="1" customWidth="1"/>
    <col min="13575" max="13575" width="43.85546875" style="1" customWidth="1"/>
    <col min="13576" max="13576" width="12.28515625" style="1" customWidth="1"/>
    <col min="13577" max="13577" width="8.5703125" style="1" customWidth="1"/>
    <col min="13578" max="13578" width="14.42578125" style="1" bestFit="1" customWidth="1"/>
    <col min="13579" max="13828" width="9.140625" style="1"/>
    <col min="13829" max="13829" width="6" style="1" customWidth="1"/>
    <col min="13830" max="13830" width="16.28515625" style="1" customWidth="1"/>
    <col min="13831" max="13831" width="43.85546875" style="1" customWidth="1"/>
    <col min="13832" max="13832" width="12.28515625" style="1" customWidth="1"/>
    <col min="13833" max="13833" width="8.5703125" style="1" customWidth="1"/>
    <col min="13834" max="13834" width="14.42578125" style="1" bestFit="1" customWidth="1"/>
    <col min="13835" max="14084" width="9.140625" style="1"/>
    <col min="14085" max="14085" width="6" style="1" customWidth="1"/>
    <col min="14086" max="14086" width="16.28515625" style="1" customWidth="1"/>
    <col min="14087" max="14087" width="43.85546875" style="1" customWidth="1"/>
    <col min="14088" max="14088" width="12.28515625" style="1" customWidth="1"/>
    <col min="14089" max="14089" width="8.5703125" style="1" customWidth="1"/>
    <col min="14090" max="14090" width="14.42578125" style="1" bestFit="1" customWidth="1"/>
    <col min="14091" max="14340" width="9.140625" style="1"/>
    <col min="14341" max="14341" width="6" style="1" customWidth="1"/>
    <col min="14342" max="14342" width="16.28515625" style="1" customWidth="1"/>
    <col min="14343" max="14343" width="43.85546875" style="1" customWidth="1"/>
    <col min="14344" max="14344" width="12.28515625" style="1" customWidth="1"/>
    <col min="14345" max="14345" width="8.5703125" style="1" customWidth="1"/>
    <col min="14346" max="14346" width="14.42578125" style="1" bestFit="1" customWidth="1"/>
    <col min="14347" max="14596" width="9.140625" style="1"/>
    <col min="14597" max="14597" width="6" style="1" customWidth="1"/>
    <col min="14598" max="14598" width="16.28515625" style="1" customWidth="1"/>
    <col min="14599" max="14599" width="43.85546875" style="1" customWidth="1"/>
    <col min="14600" max="14600" width="12.28515625" style="1" customWidth="1"/>
    <col min="14601" max="14601" width="8.5703125" style="1" customWidth="1"/>
    <col min="14602" max="14602" width="14.42578125" style="1" bestFit="1" customWidth="1"/>
    <col min="14603" max="14852" width="9.140625" style="1"/>
    <col min="14853" max="14853" width="6" style="1" customWidth="1"/>
    <col min="14854" max="14854" width="16.28515625" style="1" customWidth="1"/>
    <col min="14855" max="14855" width="43.85546875" style="1" customWidth="1"/>
    <col min="14856" max="14856" width="12.28515625" style="1" customWidth="1"/>
    <col min="14857" max="14857" width="8.5703125" style="1" customWidth="1"/>
    <col min="14858" max="14858" width="14.42578125" style="1" bestFit="1" customWidth="1"/>
    <col min="14859" max="15108" width="9.140625" style="1"/>
    <col min="15109" max="15109" width="6" style="1" customWidth="1"/>
    <col min="15110" max="15110" width="16.28515625" style="1" customWidth="1"/>
    <col min="15111" max="15111" width="43.85546875" style="1" customWidth="1"/>
    <col min="15112" max="15112" width="12.28515625" style="1" customWidth="1"/>
    <col min="15113" max="15113" width="8.5703125" style="1" customWidth="1"/>
    <col min="15114" max="15114" width="14.42578125" style="1" bestFit="1" customWidth="1"/>
    <col min="15115" max="15364" width="9.140625" style="1"/>
    <col min="15365" max="15365" width="6" style="1" customWidth="1"/>
    <col min="15366" max="15366" width="16.28515625" style="1" customWidth="1"/>
    <col min="15367" max="15367" width="43.85546875" style="1" customWidth="1"/>
    <col min="15368" max="15368" width="12.28515625" style="1" customWidth="1"/>
    <col min="15369" max="15369" width="8.5703125" style="1" customWidth="1"/>
    <col min="15370" max="15370" width="14.42578125" style="1" bestFit="1" customWidth="1"/>
    <col min="15371" max="15620" width="9.140625" style="1"/>
    <col min="15621" max="15621" width="6" style="1" customWidth="1"/>
    <col min="15622" max="15622" width="16.28515625" style="1" customWidth="1"/>
    <col min="15623" max="15623" width="43.85546875" style="1" customWidth="1"/>
    <col min="15624" max="15624" width="12.28515625" style="1" customWidth="1"/>
    <col min="15625" max="15625" width="8.5703125" style="1" customWidth="1"/>
    <col min="15626" max="15626" width="14.42578125" style="1" bestFit="1" customWidth="1"/>
    <col min="15627" max="15876" width="9.140625" style="1"/>
    <col min="15877" max="15877" width="6" style="1" customWidth="1"/>
    <col min="15878" max="15878" width="16.28515625" style="1" customWidth="1"/>
    <col min="15879" max="15879" width="43.85546875" style="1" customWidth="1"/>
    <col min="15880" max="15880" width="12.28515625" style="1" customWidth="1"/>
    <col min="15881" max="15881" width="8.5703125" style="1" customWidth="1"/>
    <col min="15882" max="15882" width="14.42578125" style="1" bestFit="1" customWidth="1"/>
    <col min="15883" max="16132" width="9.140625" style="1"/>
    <col min="16133" max="16133" width="6" style="1" customWidth="1"/>
    <col min="16134" max="16134" width="16.28515625" style="1" customWidth="1"/>
    <col min="16135" max="16135" width="43.85546875" style="1" customWidth="1"/>
    <col min="16136" max="16136" width="12.28515625" style="1" customWidth="1"/>
    <col min="16137" max="16137" width="8.5703125" style="1" customWidth="1"/>
    <col min="16138" max="16138" width="14.42578125" style="1" bestFit="1" customWidth="1"/>
    <col min="16139" max="16384" width="9.140625" style="1"/>
  </cols>
  <sheetData>
    <row r="1" spans="1:12" ht="16.5" customHeight="1">
      <c r="A1" s="548" t="s">
        <v>160</v>
      </c>
      <c r="B1" s="548"/>
      <c r="C1" s="548"/>
      <c r="D1" s="548"/>
      <c r="E1" s="548"/>
      <c r="F1" s="548"/>
      <c r="G1" s="548"/>
      <c r="H1" s="548"/>
      <c r="I1" s="548"/>
      <c r="J1" s="548"/>
    </row>
    <row r="2" spans="1:12" ht="9" customHeight="1">
      <c r="A2" s="548"/>
      <c r="B2" s="548"/>
      <c r="C2" s="548"/>
      <c r="D2" s="548"/>
      <c r="E2" s="548"/>
      <c r="F2" s="548"/>
      <c r="G2" s="548"/>
      <c r="H2" s="548"/>
      <c r="I2" s="548"/>
      <c r="J2" s="548"/>
    </row>
    <row r="3" spans="1:12">
      <c r="A3" s="549"/>
      <c r="B3" s="549"/>
      <c r="C3" s="549"/>
      <c r="D3" s="549"/>
      <c r="E3" s="549"/>
      <c r="F3" s="549"/>
      <c r="G3" s="549"/>
      <c r="H3" s="549"/>
      <c r="I3" s="549"/>
      <c r="J3" s="549"/>
    </row>
    <row r="4" spans="1:12">
      <c r="A4" s="556" t="s">
        <v>19</v>
      </c>
      <c r="B4" s="556" t="s">
        <v>129</v>
      </c>
      <c r="C4" s="556" t="s">
        <v>20</v>
      </c>
      <c r="D4" s="556" t="s">
        <v>21</v>
      </c>
      <c r="E4" s="556" t="s">
        <v>154</v>
      </c>
      <c r="F4" s="555" t="s">
        <v>157</v>
      </c>
      <c r="G4" s="555"/>
      <c r="H4" s="555"/>
      <c r="I4" s="555"/>
      <c r="J4" s="555" t="s">
        <v>22</v>
      </c>
    </row>
    <row r="5" spans="1:12" ht="45">
      <c r="A5" s="556"/>
      <c r="B5" s="556"/>
      <c r="C5" s="556"/>
      <c r="D5" s="556"/>
      <c r="E5" s="556"/>
      <c r="F5" s="189" t="s">
        <v>156</v>
      </c>
      <c r="G5" s="189" t="s">
        <v>65</v>
      </c>
      <c r="H5" s="304" t="s">
        <v>307</v>
      </c>
      <c r="I5" s="190" t="s">
        <v>171</v>
      </c>
      <c r="J5" s="555"/>
    </row>
    <row r="6" spans="1:12" ht="45">
      <c r="A6" s="120"/>
      <c r="B6" s="121"/>
      <c r="C6" s="196" t="s">
        <v>224</v>
      </c>
      <c r="D6" s="122"/>
      <c r="E6" s="122"/>
      <c r="F6" s="122"/>
      <c r="G6" s="122"/>
      <c r="H6" s="122"/>
      <c r="I6" s="122"/>
      <c r="J6" s="152"/>
    </row>
    <row r="7" spans="1:12" ht="30">
      <c r="A7" s="120">
        <v>1</v>
      </c>
      <c r="B7" s="121" t="s">
        <v>161</v>
      </c>
      <c r="C7" s="195" t="s">
        <v>225</v>
      </c>
      <c r="D7" s="122" t="s">
        <v>25</v>
      </c>
      <c r="E7" s="128">
        <v>5</v>
      </c>
      <c r="F7" s="128">
        <v>273.10000000000002</v>
      </c>
      <c r="G7" s="128">
        <v>1</v>
      </c>
      <c r="H7" s="128">
        <v>0</v>
      </c>
      <c r="I7" s="128">
        <f>H7+F7</f>
        <v>273.10000000000002</v>
      </c>
      <c r="J7" s="125">
        <f>I7*E7/G7</f>
        <v>1365.5</v>
      </c>
    </row>
    <row r="8" spans="1:12">
      <c r="A8" s="120">
        <v>2</v>
      </c>
      <c r="B8" s="121" t="s">
        <v>162</v>
      </c>
      <c r="C8" s="195" t="s">
        <v>226</v>
      </c>
      <c r="D8" s="124" t="s">
        <v>25</v>
      </c>
      <c r="E8" s="167">
        <v>2</v>
      </c>
      <c r="F8" s="167">
        <v>50.15</v>
      </c>
      <c r="G8" s="128">
        <v>1</v>
      </c>
      <c r="H8" s="128">
        <v>0</v>
      </c>
      <c r="I8" s="128">
        <f t="shared" ref="I8:I9" si="0">H8+F8</f>
        <v>50.15</v>
      </c>
      <c r="J8" s="125">
        <f t="shared" ref="J8:J11" si="1">I8*E8/G8</f>
        <v>100.3</v>
      </c>
    </row>
    <row r="9" spans="1:12">
      <c r="A9" s="120">
        <v>3</v>
      </c>
      <c r="B9" s="121" t="s">
        <v>163</v>
      </c>
      <c r="C9" s="195" t="s">
        <v>227</v>
      </c>
      <c r="D9" s="124" t="s">
        <v>25</v>
      </c>
      <c r="E9" s="167">
        <v>1</v>
      </c>
      <c r="F9" s="167">
        <v>234.25</v>
      </c>
      <c r="G9" s="167">
        <v>1</v>
      </c>
      <c r="H9" s="128">
        <v>0</v>
      </c>
      <c r="I9" s="128">
        <f t="shared" si="0"/>
        <v>234.25</v>
      </c>
      <c r="J9" s="125">
        <f t="shared" si="1"/>
        <v>234.25</v>
      </c>
      <c r="L9" s="30"/>
    </row>
    <row r="10" spans="1:12">
      <c r="A10" s="120">
        <v>4</v>
      </c>
      <c r="B10" s="121"/>
      <c r="C10" s="108" t="s">
        <v>51</v>
      </c>
      <c r="D10" s="124"/>
      <c r="E10" s="167"/>
      <c r="F10" s="167"/>
      <c r="G10" s="167"/>
      <c r="H10" s="167"/>
      <c r="I10" s="167"/>
      <c r="J10" s="125">
        <v>300</v>
      </c>
    </row>
    <row r="11" spans="1:12" ht="255">
      <c r="A11" s="120">
        <v>5</v>
      </c>
      <c r="B11" s="121" t="s">
        <v>173</v>
      </c>
      <c r="C11" s="195" t="s">
        <v>296</v>
      </c>
      <c r="D11" s="122" t="s">
        <v>25</v>
      </c>
      <c r="E11" s="128">
        <v>4</v>
      </c>
      <c r="F11" s="154">
        <v>8754.6</v>
      </c>
      <c r="G11" s="128">
        <v>100</v>
      </c>
      <c r="H11" s="125">
        <v>0</v>
      </c>
      <c r="I11" s="125">
        <f t="shared" ref="I11" si="2">F11+H11</f>
        <v>8754.6</v>
      </c>
      <c r="J11" s="125">
        <f t="shared" si="1"/>
        <v>350.18400000000003</v>
      </c>
    </row>
    <row r="12" spans="1:12">
      <c r="A12" s="120"/>
      <c r="B12" s="121"/>
      <c r="C12" s="131" t="s">
        <v>134</v>
      </c>
      <c r="D12" s="124"/>
      <c r="E12" s="167"/>
      <c r="F12" s="167"/>
      <c r="G12" s="167"/>
      <c r="H12" s="167"/>
      <c r="I12" s="167"/>
      <c r="J12" s="155">
        <f>SUM(J7:J11)</f>
        <v>2350.2339999999999</v>
      </c>
    </row>
    <row r="13" spans="1:12">
      <c r="A13" s="129"/>
      <c r="B13" s="135"/>
      <c r="C13" s="146" t="s">
        <v>151</v>
      </c>
      <c r="D13" s="168"/>
      <c r="E13" s="169"/>
      <c r="F13" s="169"/>
      <c r="G13" s="169"/>
      <c r="H13" s="169"/>
      <c r="I13" s="169"/>
      <c r="J13" s="161">
        <f>J12/2600</f>
        <v>0.90393615384615378</v>
      </c>
    </row>
    <row r="14" spans="1:12">
      <c r="A14" s="148"/>
      <c r="B14" s="143"/>
      <c r="C14" s="95" t="s">
        <v>181</v>
      </c>
      <c r="D14" s="170"/>
      <c r="E14" s="170"/>
      <c r="F14" s="170"/>
      <c r="G14" s="170"/>
      <c r="H14" s="170"/>
      <c r="I14" s="170"/>
      <c r="J14" s="143"/>
    </row>
    <row r="16" spans="1:12">
      <c r="H16" s="143"/>
      <c r="I16" s="166" t="s">
        <v>126</v>
      </c>
      <c r="J16" s="143"/>
    </row>
    <row r="17" spans="8:10">
      <c r="H17" s="143"/>
      <c r="I17" s="166"/>
      <c r="J17" s="143"/>
    </row>
  </sheetData>
  <mergeCells count="9">
    <mergeCell ref="A1:J2"/>
    <mergeCell ref="A3:J3"/>
    <mergeCell ref="F4:I4"/>
    <mergeCell ref="A4:A5"/>
    <mergeCell ref="B4:B5"/>
    <mergeCell ref="C4:C5"/>
    <mergeCell ref="D4:D5"/>
    <mergeCell ref="E4:E5"/>
    <mergeCell ref="J4:J5"/>
  </mergeCells>
  <pageMargins left="0.51" right="0.14000000000000001" top="0.63" bottom="0.75" header="0.3" footer="0.3"/>
  <pageSetup paperSize="9" scale="72"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pageSetUpPr fitToPage="1"/>
  </sheetPr>
  <dimension ref="A1:J39"/>
  <sheetViews>
    <sheetView topLeftCell="A28" zoomScaleNormal="100" workbookViewId="0">
      <selection activeCell="H28" sqref="H28"/>
    </sheetView>
  </sheetViews>
  <sheetFormatPr defaultRowHeight="15"/>
  <cols>
    <col min="1" max="1" width="6" style="165" customWidth="1"/>
    <col min="2" max="2" width="9.5703125" style="143" customWidth="1"/>
    <col min="3" max="3" width="45.7109375" style="143" customWidth="1"/>
    <col min="4" max="4" width="4.85546875" style="143" bestFit="1" customWidth="1"/>
    <col min="5" max="5" width="8.7109375" style="143" bestFit="1" customWidth="1"/>
    <col min="6" max="6" width="8.85546875" style="143" bestFit="1" customWidth="1"/>
    <col min="7" max="7" width="5" style="143" bestFit="1" customWidth="1"/>
    <col min="8" max="8" width="11.42578125" style="143" bestFit="1" customWidth="1"/>
    <col min="9" max="9" width="7.5703125" style="143" bestFit="1" customWidth="1"/>
    <col min="10" max="10" width="12.5703125" style="143" bestFit="1" customWidth="1"/>
    <col min="11" max="260" width="9.140625" style="143"/>
    <col min="261" max="261" width="6" style="143" customWidth="1"/>
    <col min="262" max="262" width="9.5703125" style="143" customWidth="1"/>
    <col min="263" max="263" width="50" style="143" customWidth="1"/>
    <col min="264" max="264" width="12.28515625" style="143" customWidth="1"/>
    <col min="265" max="265" width="8.5703125" style="143" customWidth="1"/>
    <col min="266" max="266" width="14.42578125" style="143" bestFit="1" customWidth="1"/>
    <col min="267" max="516" width="9.140625" style="143"/>
    <col min="517" max="517" width="6" style="143" customWidth="1"/>
    <col min="518" max="518" width="9.5703125" style="143" customWidth="1"/>
    <col min="519" max="519" width="50" style="143" customWidth="1"/>
    <col min="520" max="520" width="12.28515625" style="143" customWidth="1"/>
    <col min="521" max="521" width="8.5703125" style="143" customWidth="1"/>
    <col min="522" max="522" width="14.42578125" style="143" bestFit="1" customWidth="1"/>
    <col min="523" max="772" width="9.140625" style="143"/>
    <col min="773" max="773" width="6" style="143" customWidth="1"/>
    <col min="774" max="774" width="9.5703125" style="143" customWidth="1"/>
    <col min="775" max="775" width="50" style="143" customWidth="1"/>
    <col min="776" max="776" width="12.28515625" style="143" customWidth="1"/>
    <col min="777" max="777" width="8.5703125" style="143" customWidth="1"/>
    <col min="778" max="778" width="14.42578125" style="143" bestFit="1" customWidth="1"/>
    <col min="779" max="1028" width="9.140625" style="143"/>
    <col min="1029" max="1029" width="6" style="143" customWidth="1"/>
    <col min="1030" max="1030" width="9.5703125" style="143" customWidth="1"/>
    <col min="1031" max="1031" width="50" style="143" customWidth="1"/>
    <col min="1032" max="1032" width="12.28515625" style="143" customWidth="1"/>
    <col min="1033" max="1033" width="8.5703125" style="143" customWidth="1"/>
    <col min="1034" max="1034" width="14.42578125" style="143" bestFit="1" customWidth="1"/>
    <col min="1035" max="1284" width="9.140625" style="143"/>
    <col min="1285" max="1285" width="6" style="143" customWidth="1"/>
    <col min="1286" max="1286" width="9.5703125" style="143" customWidth="1"/>
    <col min="1287" max="1287" width="50" style="143" customWidth="1"/>
    <col min="1288" max="1288" width="12.28515625" style="143" customWidth="1"/>
    <col min="1289" max="1289" width="8.5703125" style="143" customWidth="1"/>
    <col min="1290" max="1290" width="14.42578125" style="143" bestFit="1" customWidth="1"/>
    <col min="1291" max="1540" width="9.140625" style="143"/>
    <col min="1541" max="1541" width="6" style="143" customWidth="1"/>
    <col min="1542" max="1542" width="9.5703125" style="143" customWidth="1"/>
    <col min="1543" max="1543" width="50" style="143" customWidth="1"/>
    <col min="1544" max="1544" width="12.28515625" style="143" customWidth="1"/>
    <col min="1545" max="1545" width="8.5703125" style="143" customWidth="1"/>
    <col min="1546" max="1546" width="14.42578125" style="143" bestFit="1" customWidth="1"/>
    <col min="1547" max="1796" width="9.140625" style="143"/>
    <col min="1797" max="1797" width="6" style="143" customWidth="1"/>
    <col min="1798" max="1798" width="9.5703125" style="143" customWidth="1"/>
    <col min="1799" max="1799" width="50" style="143" customWidth="1"/>
    <col min="1800" max="1800" width="12.28515625" style="143" customWidth="1"/>
    <col min="1801" max="1801" width="8.5703125" style="143" customWidth="1"/>
    <col min="1802" max="1802" width="14.42578125" style="143" bestFit="1" customWidth="1"/>
    <col min="1803" max="2052" width="9.140625" style="143"/>
    <col min="2053" max="2053" width="6" style="143" customWidth="1"/>
    <col min="2054" max="2054" width="9.5703125" style="143" customWidth="1"/>
    <col min="2055" max="2055" width="50" style="143" customWidth="1"/>
    <col min="2056" max="2056" width="12.28515625" style="143" customWidth="1"/>
    <col min="2057" max="2057" width="8.5703125" style="143" customWidth="1"/>
    <col min="2058" max="2058" width="14.42578125" style="143" bestFit="1" customWidth="1"/>
    <col min="2059" max="2308" width="9.140625" style="143"/>
    <col min="2309" max="2309" width="6" style="143" customWidth="1"/>
    <col min="2310" max="2310" width="9.5703125" style="143" customWidth="1"/>
    <col min="2311" max="2311" width="50" style="143" customWidth="1"/>
    <col min="2312" max="2312" width="12.28515625" style="143" customWidth="1"/>
    <col min="2313" max="2313" width="8.5703125" style="143" customWidth="1"/>
    <col min="2314" max="2314" width="14.42578125" style="143" bestFit="1" customWidth="1"/>
    <col min="2315" max="2564" width="9.140625" style="143"/>
    <col min="2565" max="2565" width="6" style="143" customWidth="1"/>
    <col min="2566" max="2566" width="9.5703125" style="143" customWidth="1"/>
    <col min="2567" max="2567" width="50" style="143" customWidth="1"/>
    <col min="2568" max="2568" width="12.28515625" style="143" customWidth="1"/>
    <col min="2569" max="2569" width="8.5703125" style="143" customWidth="1"/>
    <col min="2570" max="2570" width="14.42578125" style="143" bestFit="1" customWidth="1"/>
    <col min="2571" max="2820" width="9.140625" style="143"/>
    <col min="2821" max="2821" width="6" style="143" customWidth="1"/>
    <col min="2822" max="2822" width="9.5703125" style="143" customWidth="1"/>
    <col min="2823" max="2823" width="50" style="143" customWidth="1"/>
    <col min="2824" max="2824" width="12.28515625" style="143" customWidth="1"/>
    <col min="2825" max="2825" width="8.5703125" style="143" customWidth="1"/>
    <col min="2826" max="2826" width="14.42578125" style="143" bestFit="1" customWidth="1"/>
    <col min="2827" max="3076" width="9.140625" style="143"/>
    <col min="3077" max="3077" width="6" style="143" customWidth="1"/>
    <col min="3078" max="3078" width="9.5703125" style="143" customWidth="1"/>
    <col min="3079" max="3079" width="50" style="143" customWidth="1"/>
    <col min="3080" max="3080" width="12.28515625" style="143" customWidth="1"/>
    <col min="3081" max="3081" width="8.5703125" style="143" customWidth="1"/>
    <col min="3082" max="3082" width="14.42578125" style="143" bestFit="1" customWidth="1"/>
    <col min="3083" max="3332" width="9.140625" style="143"/>
    <col min="3333" max="3333" width="6" style="143" customWidth="1"/>
    <col min="3334" max="3334" width="9.5703125" style="143" customWidth="1"/>
    <col min="3335" max="3335" width="50" style="143" customWidth="1"/>
    <col min="3336" max="3336" width="12.28515625" style="143" customWidth="1"/>
    <col min="3337" max="3337" width="8.5703125" style="143" customWidth="1"/>
    <col min="3338" max="3338" width="14.42578125" style="143" bestFit="1" customWidth="1"/>
    <col min="3339" max="3588" width="9.140625" style="143"/>
    <col min="3589" max="3589" width="6" style="143" customWidth="1"/>
    <col min="3590" max="3590" width="9.5703125" style="143" customWidth="1"/>
    <col min="3591" max="3591" width="50" style="143" customWidth="1"/>
    <col min="3592" max="3592" width="12.28515625" style="143" customWidth="1"/>
    <col min="3593" max="3593" width="8.5703125" style="143" customWidth="1"/>
    <col min="3594" max="3594" width="14.42578125" style="143" bestFit="1" customWidth="1"/>
    <col min="3595" max="3844" width="9.140625" style="143"/>
    <col min="3845" max="3845" width="6" style="143" customWidth="1"/>
    <col min="3846" max="3846" width="9.5703125" style="143" customWidth="1"/>
    <col min="3847" max="3847" width="50" style="143" customWidth="1"/>
    <col min="3848" max="3848" width="12.28515625" style="143" customWidth="1"/>
    <col min="3849" max="3849" width="8.5703125" style="143" customWidth="1"/>
    <col min="3850" max="3850" width="14.42578125" style="143" bestFit="1" customWidth="1"/>
    <col min="3851" max="4100" width="9.140625" style="143"/>
    <col min="4101" max="4101" width="6" style="143" customWidth="1"/>
    <col min="4102" max="4102" width="9.5703125" style="143" customWidth="1"/>
    <col min="4103" max="4103" width="50" style="143" customWidth="1"/>
    <col min="4104" max="4104" width="12.28515625" style="143" customWidth="1"/>
    <col min="4105" max="4105" width="8.5703125" style="143" customWidth="1"/>
    <col min="4106" max="4106" width="14.42578125" style="143" bestFit="1" customWidth="1"/>
    <col min="4107" max="4356" width="9.140625" style="143"/>
    <col min="4357" max="4357" width="6" style="143" customWidth="1"/>
    <col min="4358" max="4358" width="9.5703125" style="143" customWidth="1"/>
    <col min="4359" max="4359" width="50" style="143" customWidth="1"/>
    <col min="4360" max="4360" width="12.28515625" style="143" customWidth="1"/>
    <col min="4361" max="4361" width="8.5703125" style="143" customWidth="1"/>
    <col min="4362" max="4362" width="14.42578125" style="143" bestFit="1" customWidth="1"/>
    <col min="4363" max="4612" width="9.140625" style="143"/>
    <col min="4613" max="4613" width="6" style="143" customWidth="1"/>
    <col min="4614" max="4614" width="9.5703125" style="143" customWidth="1"/>
    <col min="4615" max="4615" width="50" style="143" customWidth="1"/>
    <col min="4616" max="4616" width="12.28515625" style="143" customWidth="1"/>
    <col min="4617" max="4617" width="8.5703125" style="143" customWidth="1"/>
    <col min="4618" max="4618" width="14.42578125" style="143" bestFit="1" customWidth="1"/>
    <col min="4619" max="4868" width="9.140625" style="143"/>
    <col min="4869" max="4869" width="6" style="143" customWidth="1"/>
    <col min="4870" max="4870" width="9.5703125" style="143" customWidth="1"/>
    <col min="4871" max="4871" width="50" style="143" customWidth="1"/>
    <col min="4872" max="4872" width="12.28515625" style="143" customWidth="1"/>
    <col min="4873" max="4873" width="8.5703125" style="143" customWidth="1"/>
    <col min="4874" max="4874" width="14.42578125" style="143" bestFit="1" customWidth="1"/>
    <col min="4875" max="5124" width="9.140625" style="143"/>
    <col min="5125" max="5125" width="6" style="143" customWidth="1"/>
    <col min="5126" max="5126" width="9.5703125" style="143" customWidth="1"/>
    <col min="5127" max="5127" width="50" style="143" customWidth="1"/>
    <col min="5128" max="5128" width="12.28515625" style="143" customWidth="1"/>
    <col min="5129" max="5129" width="8.5703125" style="143" customWidth="1"/>
    <col min="5130" max="5130" width="14.42578125" style="143" bestFit="1" customWidth="1"/>
    <col min="5131" max="5380" width="9.140625" style="143"/>
    <col min="5381" max="5381" width="6" style="143" customWidth="1"/>
    <col min="5382" max="5382" width="9.5703125" style="143" customWidth="1"/>
    <col min="5383" max="5383" width="50" style="143" customWidth="1"/>
    <col min="5384" max="5384" width="12.28515625" style="143" customWidth="1"/>
    <col min="5385" max="5385" width="8.5703125" style="143" customWidth="1"/>
    <col min="5386" max="5386" width="14.42578125" style="143" bestFit="1" customWidth="1"/>
    <col min="5387" max="5636" width="9.140625" style="143"/>
    <col min="5637" max="5637" width="6" style="143" customWidth="1"/>
    <col min="5638" max="5638" width="9.5703125" style="143" customWidth="1"/>
    <col min="5639" max="5639" width="50" style="143" customWidth="1"/>
    <col min="5640" max="5640" width="12.28515625" style="143" customWidth="1"/>
    <col min="5641" max="5641" width="8.5703125" style="143" customWidth="1"/>
    <col min="5642" max="5642" width="14.42578125" style="143" bestFit="1" customWidth="1"/>
    <col min="5643" max="5892" width="9.140625" style="143"/>
    <col min="5893" max="5893" width="6" style="143" customWidth="1"/>
    <col min="5894" max="5894" width="9.5703125" style="143" customWidth="1"/>
    <col min="5895" max="5895" width="50" style="143" customWidth="1"/>
    <col min="5896" max="5896" width="12.28515625" style="143" customWidth="1"/>
    <col min="5897" max="5897" width="8.5703125" style="143" customWidth="1"/>
    <col min="5898" max="5898" width="14.42578125" style="143" bestFit="1" customWidth="1"/>
    <col min="5899" max="6148" width="9.140625" style="143"/>
    <col min="6149" max="6149" width="6" style="143" customWidth="1"/>
    <col min="6150" max="6150" width="9.5703125" style="143" customWidth="1"/>
    <col min="6151" max="6151" width="50" style="143" customWidth="1"/>
    <col min="6152" max="6152" width="12.28515625" style="143" customWidth="1"/>
    <col min="6153" max="6153" width="8.5703125" style="143" customWidth="1"/>
    <col min="6154" max="6154" width="14.42578125" style="143" bestFit="1" customWidth="1"/>
    <col min="6155" max="6404" width="9.140625" style="143"/>
    <col min="6405" max="6405" width="6" style="143" customWidth="1"/>
    <col min="6406" max="6406" width="9.5703125" style="143" customWidth="1"/>
    <col min="6407" max="6407" width="50" style="143" customWidth="1"/>
    <col min="6408" max="6408" width="12.28515625" style="143" customWidth="1"/>
    <col min="6409" max="6409" width="8.5703125" style="143" customWidth="1"/>
    <col min="6410" max="6410" width="14.42578125" style="143" bestFit="1" customWidth="1"/>
    <col min="6411" max="6660" width="9.140625" style="143"/>
    <col min="6661" max="6661" width="6" style="143" customWidth="1"/>
    <col min="6662" max="6662" width="9.5703125" style="143" customWidth="1"/>
    <col min="6663" max="6663" width="50" style="143" customWidth="1"/>
    <col min="6664" max="6664" width="12.28515625" style="143" customWidth="1"/>
    <col min="6665" max="6665" width="8.5703125" style="143" customWidth="1"/>
    <col min="6666" max="6666" width="14.42578125" style="143" bestFit="1" customWidth="1"/>
    <col min="6667" max="6916" width="9.140625" style="143"/>
    <col min="6917" max="6917" width="6" style="143" customWidth="1"/>
    <col min="6918" max="6918" width="9.5703125" style="143" customWidth="1"/>
    <col min="6919" max="6919" width="50" style="143" customWidth="1"/>
    <col min="6920" max="6920" width="12.28515625" style="143" customWidth="1"/>
    <col min="6921" max="6921" width="8.5703125" style="143" customWidth="1"/>
    <col min="6922" max="6922" width="14.42578125" style="143" bestFit="1" customWidth="1"/>
    <col min="6923" max="7172" width="9.140625" style="143"/>
    <col min="7173" max="7173" width="6" style="143" customWidth="1"/>
    <col min="7174" max="7174" width="9.5703125" style="143" customWidth="1"/>
    <col min="7175" max="7175" width="50" style="143" customWidth="1"/>
    <col min="7176" max="7176" width="12.28515625" style="143" customWidth="1"/>
    <col min="7177" max="7177" width="8.5703125" style="143" customWidth="1"/>
    <col min="7178" max="7178" width="14.42578125" style="143" bestFit="1" customWidth="1"/>
    <col min="7179" max="7428" width="9.140625" style="143"/>
    <col min="7429" max="7429" width="6" style="143" customWidth="1"/>
    <col min="7430" max="7430" width="9.5703125" style="143" customWidth="1"/>
    <col min="7431" max="7431" width="50" style="143" customWidth="1"/>
    <col min="7432" max="7432" width="12.28515625" style="143" customWidth="1"/>
    <col min="7433" max="7433" width="8.5703125" style="143" customWidth="1"/>
    <col min="7434" max="7434" width="14.42578125" style="143" bestFit="1" customWidth="1"/>
    <col min="7435" max="7684" width="9.140625" style="143"/>
    <col min="7685" max="7685" width="6" style="143" customWidth="1"/>
    <col min="7686" max="7686" width="9.5703125" style="143" customWidth="1"/>
    <col min="7687" max="7687" width="50" style="143" customWidth="1"/>
    <col min="7688" max="7688" width="12.28515625" style="143" customWidth="1"/>
    <col min="7689" max="7689" width="8.5703125" style="143" customWidth="1"/>
    <col min="7690" max="7690" width="14.42578125" style="143" bestFit="1" customWidth="1"/>
    <col min="7691" max="7940" width="9.140625" style="143"/>
    <col min="7941" max="7941" width="6" style="143" customWidth="1"/>
    <col min="7942" max="7942" width="9.5703125" style="143" customWidth="1"/>
    <col min="7943" max="7943" width="50" style="143" customWidth="1"/>
    <col min="7944" max="7944" width="12.28515625" style="143" customWidth="1"/>
    <col min="7945" max="7945" width="8.5703125" style="143" customWidth="1"/>
    <col min="7946" max="7946" width="14.42578125" style="143" bestFit="1" customWidth="1"/>
    <col min="7947" max="8196" width="9.140625" style="143"/>
    <col min="8197" max="8197" width="6" style="143" customWidth="1"/>
    <col min="8198" max="8198" width="9.5703125" style="143" customWidth="1"/>
    <col min="8199" max="8199" width="50" style="143" customWidth="1"/>
    <col min="8200" max="8200" width="12.28515625" style="143" customWidth="1"/>
    <col min="8201" max="8201" width="8.5703125" style="143" customWidth="1"/>
    <col min="8202" max="8202" width="14.42578125" style="143" bestFit="1" customWidth="1"/>
    <col min="8203" max="8452" width="9.140625" style="143"/>
    <col min="8453" max="8453" width="6" style="143" customWidth="1"/>
    <col min="8454" max="8454" width="9.5703125" style="143" customWidth="1"/>
    <col min="8455" max="8455" width="50" style="143" customWidth="1"/>
    <col min="8456" max="8456" width="12.28515625" style="143" customWidth="1"/>
    <col min="8457" max="8457" width="8.5703125" style="143" customWidth="1"/>
    <col min="8458" max="8458" width="14.42578125" style="143" bestFit="1" customWidth="1"/>
    <col min="8459" max="8708" width="9.140625" style="143"/>
    <col min="8709" max="8709" width="6" style="143" customWidth="1"/>
    <col min="8710" max="8710" width="9.5703125" style="143" customWidth="1"/>
    <col min="8711" max="8711" width="50" style="143" customWidth="1"/>
    <col min="8712" max="8712" width="12.28515625" style="143" customWidth="1"/>
    <col min="8713" max="8713" width="8.5703125" style="143" customWidth="1"/>
    <col min="8714" max="8714" width="14.42578125" style="143" bestFit="1" customWidth="1"/>
    <col min="8715" max="8964" width="9.140625" style="143"/>
    <col min="8965" max="8965" width="6" style="143" customWidth="1"/>
    <col min="8966" max="8966" width="9.5703125" style="143" customWidth="1"/>
    <col min="8967" max="8967" width="50" style="143" customWidth="1"/>
    <col min="8968" max="8968" width="12.28515625" style="143" customWidth="1"/>
    <col min="8969" max="8969" width="8.5703125" style="143" customWidth="1"/>
    <col min="8970" max="8970" width="14.42578125" style="143" bestFit="1" customWidth="1"/>
    <col min="8971" max="9220" width="9.140625" style="143"/>
    <col min="9221" max="9221" width="6" style="143" customWidth="1"/>
    <col min="9222" max="9222" width="9.5703125" style="143" customWidth="1"/>
    <col min="9223" max="9223" width="50" style="143" customWidth="1"/>
    <col min="9224" max="9224" width="12.28515625" style="143" customWidth="1"/>
    <col min="9225" max="9225" width="8.5703125" style="143" customWidth="1"/>
    <col min="9226" max="9226" width="14.42578125" style="143" bestFit="1" customWidth="1"/>
    <col min="9227" max="9476" width="9.140625" style="143"/>
    <col min="9477" max="9477" width="6" style="143" customWidth="1"/>
    <col min="9478" max="9478" width="9.5703125" style="143" customWidth="1"/>
    <col min="9479" max="9479" width="50" style="143" customWidth="1"/>
    <col min="9480" max="9480" width="12.28515625" style="143" customWidth="1"/>
    <col min="9481" max="9481" width="8.5703125" style="143" customWidth="1"/>
    <col min="9482" max="9482" width="14.42578125" style="143" bestFit="1" customWidth="1"/>
    <col min="9483" max="9732" width="9.140625" style="143"/>
    <col min="9733" max="9733" width="6" style="143" customWidth="1"/>
    <col min="9734" max="9734" width="9.5703125" style="143" customWidth="1"/>
    <col min="9735" max="9735" width="50" style="143" customWidth="1"/>
    <col min="9736" max="9736" width="12.28515625" style="143" customWidth="1"/>
    <col min="9737" max="9737" width="8.5703125" style="143" customWidth="1"/>
    <col min="9738" max="9738" width="14.42578125" style="143" bestFit="1" customWidth="1"/>
    <col min="9739" max="9988" width="9.140625" style="143"/>
    <col min="9989" max="9989" width="6" style="143" customWidth="1"/>
    <col min="9990" max="9990" width="9.5703125" style="143" customWidth="1"/>
    <col min="9991" max="9991" width="50" style="143" customWidth="1"/>
    <col min="9992" max="9992" width="12.28515625" style="143" customWidth="1"/>
    <col min="9993" max="9993" width="8.5703125" style="143" customWidth="1"/>
    <col min="9994" max="9994" width="14.42578125" style="143" bestFit="1" customWidth="1"/>
    <col min="9995" max="10244" width="9.140625" style="143"/>
    <col min="10245" max="10245" width="6" style="143" customWidth="1"/>
    <col min="10246" max="10246" width="9.5703125" style="143" customWidth="1"/>
    <col min="10247" max="10247" width="50" style="143" customWidth="1"/>
    <col min="10248" max="10248" width="12.28515625" style="143" customWidth="1"/>
    <col min="10249" max="10249" width="8.5703125" style="143" customWidth="1"/>
    <col min="10250" max="10250" width="14.42578125" style="143" bestFit="1" customWidth="1"/>
    <col min="10251" max="10500" width="9.140625" style="143"/>
    <col min="10501" max="10501" width="6" style="143" customWidth="1"/>
    <col min="10502" max="10502" width="9.5703125" style="143" customWidth="1"/>
    <col min="10503" max="10503" width="50" style="143" customWidth="1"/>
    <col min="10504" max="10504" width="12.28515625" style="143" customWidth="1"/>
    <col min="10505" max="10505" width="8.5703125" style="143" customWidth="1"/>
    <col min="10506" max="10506" width="14.42578125" style="143" bestFit="1" customWidth="1"/>
    <col min="10507" max="10756" width="9.140625" style="143"/>
    <col min="10757" max="10757" width="6" style="143" customWidth="1"/>
    <col min="10758" max="10758" width="9.5703125" style="143" customWidth="1"/>
    <col min="10759" max="10759" width="50" style="143" customWidth="1"/>
    <col min="10760" max="10760" width="12.28515625" style="143" customWidth="1"/>
    <col min="10761" max="10761" width="8.5703125" style="143" customWidth="1"/>
    <col min="10762" max="10762" width="14.42578125" style="143" bestFit="1" customWidth="1"/>
    <col min="10763" max="11012" width="9.140625" style="143"/>
    <col min="11013" max="11013" width="6" style="143" customWidth="1"/>
    <col min="11014" max="11014" width="9.5703125" style="143" customWidth="1"/>
    <col min="11015" max="11015" width="50" style="143" customWidth="1"/>
    <col min="11016" max="11016" width="12.28515625" style="143" customWidth="1"/>
    <col min="11017" max="11017" width="8.5703125" style="143" customWidth="1"/>
    <col min="11018" max="11018" width="14.42578125" style="143" bestFit="1" customWidth="1"/>
    <col min="11019" max="11268" width="9.140625" style="143"/>
    <col min="11269" max="11269" width="6" style="143" customWidth="1"/>
    <col min="11270" max="11270" width="9.5703125" style="143" customWidth="1"/>
    <col min="11271" max="11271" width="50" style="143" customWidth="1"/>
    <col min="11272" max="11272" width="12.28515625" style="143" customWidth="1"/>
    <col min="11273" max="11273" width="8.5703125" style="143" customWidth="1"/>
    <col min="11274" max="11274" width="14.42578125" style="143" bestFit="1" customWidth="1"/>
    <col min="11275" max="11524" width="9.140625" style="143"/>
    <col min="11525" max="11525" width="6" style="143" customWidth="1"/>
    <col min="11526" max="11526" width="9.5703125" style="143" customWidth="1"/>
    <col min="11527" max="11527" width="50" style="143" customWidth="1"/>
    <col min="11528" max="11528" width="12.28515625" style="143" customWidth="1"/>
    <col min="11529" max="11529" width="8.5703125" style="143" customWidth="1"/>
    <col min="11530" max="11530" width="14.42578125" style="143" bestFit="1" customWidth="1"/>
    <col min="11531" max="11780" width="9.140625" style="143"/>
    <col min="11781" max="11781" width="6" style="143" customWidth="1"/>
    <col min="11782" max="11782" width="9.5703125" style="143" customWidth="1"/>
    <col min="11783" max="11783" width="50" style="143" customWidth="1"/>
    <col min="11784" max="11784" width="12.28515625" style="143" customWidth="1"/>
    <col min="11785" max="11785" width="8.5703125" style="143" customWidth="1"/>
    <col min="11786" max="11786" width="14.42578125" style="143" bestFit="1" customWidth="1"/>
    <col min="11787" max="12036" width="9.140625" style="143"/>
    <col min="12037" max="12037" width="6" style="143" customWidth="1"/>
    <col min="12038" max="12038" width="9.5703125" style="143" customWidth="1"/>
    <col min="12039" max="12039" width="50" style="143" customWidth="1"/>
    <col min="12040" max="12040" width="12.28515625" style="143" customWidth="1"/>
    <col min="12041" max="12041" width="8.5703125" style="143" customWidth="1"/>
    <col min="12042" max="12042" width="14.42578125" style="143" bestFit="1" customWidth="1"/>
    <col min="12043" max="12292" width="9.140625" style="143"/>
    <col min="12293" max="12293" width="6" style="143" customWidth="1"/>
    <col min="12294" max="12294" width="9.5703125" style="143" customWidth="1"/>
    <col min="12295" max="12295" width="50" style="143" customWidth="1"/>
    <col min="12296" max="12296" width="12.28515625" style="143" customWidth="1"/>
    <col min="12297" max="12297" width="8.5703125" style="143" customWidth="1"/>
    <col min="12298" max="12298" width="14.42578125" style="143" bestFit="1" customWidth="1"/>
    <col min="12299" max="12548" width="9.140625" style="143"/>
    <col min="12549" max="12549" width="6" style="143" customWidth="1"/>
    <col min="12550" max="12550" width="9.5703125" style="143" customWidth="1"/>
    <col min="12551" max="12551" width="50" style="143" customWidth="1"/>
    <col min="12552" max="12552" width="12.28515625" style="143" customWidth="1"/>
    <col min="12553" max="12553" width="8.5703125" style="143" customWidth="1"/>
    <col min="12554" max="12554" width="14.42578125" style="143" bestFit="1" customWidth="1"/>
    <col min="12555" max="12804" width="9.140625" style="143"/>
    <col min="12805" max="12805" width="6" style="143" customWidth="1"/>
    <col min="12806" max="12806" width="9.5703125" style="143" customWidth="1"/>
    <col min="12807" max="12807" width="50" style="143" customWidth="1"/>
    <col min="12808" max="12808" width="12.28515625" style="143" customWidth="1"/>
    <col min="12809" max="12809" width="8.5703125" style="143" customWidth="1"/>
    <col min="12810" max="12810" width="14.42578125" style="143" bestFit="1" customWidth="1"/>
    <col min="12811" max="13060" width="9.140625" style="143"/>
    <col min="13061" max="13061" width="6" style="143" customWidth="1"/>
    <col min="13062" max="13062" width="9.5703125" style="143" customWidth="1"/>
    <col min="13063" max="13063" width="50" style="143" customWidth="1"/>
    <col min="13064" max="13064" width="12.28515625" style="143" customWidth="1"/>
    <col min="13065" max="13065" width="8.5703125" style="143" customWidth="1"/>
    <col min="13066" max="13066" width="14.42578125" style="143" bestFit="1" customWidth="1"/>
    <col min="13067" max="13316" width="9.140625" style="143"/>
    <col min="13317" max="13317" width="6" style="143" customWidth="1"/>
    <col min="13318" max="13318" width="9.5703125" style="143" customWidth="1"/>
    <col min="13319" max="13319" width="50" style="143" customWidth="1"/>
    <col min="13320" max="13320" width="12.28515625" style="143" customWidth="1"/>
    <col min="13321" max="13321" width="8.5703125" style="143" customWidth="1"/>
    <col min="13322" max="13322" width="14.42578125" style="143" bestFit="1" customWidth="1"/>
    <col min="13323" max="13572" width="9.140625" style="143"/>
    <col min="13573" max="13573" width="6" style="143" customWidth="1"/>
    <col min="13574" max="13574" width="9.5703125" style="143" customWidth="1"/>
    <col min="13575" max="13575" width="50" style="143" customWidth="1"/>
    <col min="13576" max="13576" width="12.28515625" style="143" customWidth="1"/>
    <col min="13577" max="13577" width="8.5703125" style="143" customWidth="1"/>
    <col min="13578" max="13578" width="14.42578125" style="143" bestFit="1" customWidth="1"/>
    <col min="13579" max="13828" width="9.140625" style="143"/>
    <col min="13829" max="13829" width="6" style="143" customWidth="1"/>
    <col min="13830" max="13830" width="9.5703125" style="143" customWidth="1"/>
    <col min="13831" max="13831" width="50" style="143" customWidth="1"/>
    <col min="13832" max="13832" width="12.28515625" style="143" customWidth="1"/>
    <col min="13833" max="13833" width="8.5703125" style="143" customWidth="1"/>
    <col min="13834" max="13834" width="14.42578125" style="143" bestFit="1" customWidth="1"/>
    <col min="13835" max="14084" width="9.140625" style="143"/>
    <col min="14085" max="14085" width="6" style="143" customWidth="1"/>
    <col min="14086" max="14086" width="9.5703125" style="143" customWidth="1"/>
    <col min="14087" max="14087" width="50" style="143" customWidth="1"/>
    <col min="14088" max="14088" width="12.28515625" style="143" customWidth="1"/>
    <col min="14089" max="14089" width="8.5703125" style="143" customWidth="1"/>
    <col min="14090" max="14090" width="14.42578125" style="143" bestFit="1" customWidth="1"/>
    <col min="14091" max="14340" width="9.140625" style="143"/>
    <col min="14341" max="14341" width="6" style="143" customWidth="1"/>
    <col min="14342" max="14342" width="9.5703125" style="143" customWidth="1"/>
    <col min="14343" max="14343" width="50" style="143" customWidth="1"/>
    <col min="14344" max="14344" width="12.28515625" style="143" customWidth="1"/>
    <col min="14345" max="14345" width="8.5703125" style="143" customWidth="1"/>
    <col min="14346" max="14346" width="14.42578125" style="143" bestFit="1" customWidth="1"/>
    <col min="14347" max="14596" width="9.140625" style="143"/>
    <col min="14597" max="14597" width="6" style="143" customWidth="1"/>
    <col min="14598" max="14598" width="9.5703125" style="143" customWidth="1"/>
    <col min="14599" max="14599" width="50" style="143" customWidth="1"/>
    <col min="14600" max="14600" width="12.28515625" style="143" customWidth="1"/>
    <col min="14601" max="14601" width="8.5703125" style="143" customWidth="1"/>
    <col min="14602" max="14602" width="14.42578125" style="143" bestFit="1" customWidth="1"/>
    <col min="14603" max="14852" width="9.140625" style="143"/>
    <col min="14853" max="14853" width="6" style="143" customWidth="1"/>
    <col min="14854" max="14854" width="9.5703125" style="143" customWidth="1"/>
    <col min="14855" max="14855" width="50" style="143" customWidth="1"/>
    <col min="14856" max="14856" width="12.28515625" style="143" customWidth="1"/>
    <col min="14857" max="14857" width="8.5703125" style="143" customWidth="1"/>
    <col min="14858" max="14858" width="14.42578125" style="143" bestFit="1" customWidth="1"/>
    <col min="14859" max="15108" width="9.140625" style="143"/>
    <col min="15109" max="15109" width="6" style="143" customWidth="1"/>
    <col min="15110" max="15110" width="9.5703125" style="143" customWidth="1"/>
    <col min="15111" max="15111" width="50" style="143" customWidth="1"/>
    <col min="15112" max="15112" width="12.28515625" style="143" customWidth="1"/>
    <col min="15113" max="15113" width="8.5703125" style="143" customWidth="1"/>
    <col min="15114" max="15114" width="14.42578125" style="143" bestFit="1" customWidth="1"/>
    <col min="15115" max="15364" width="9.140625" style="143"/>
    <col min="15365" max="15365" width="6" style="143" customWidth="1"/>
    <col min="15366" max="15366" width="9.5703125" style="143" customWidth="1"/>
    <col min="15367" max="15367" width="50" style="143" customWidth="1"/>
    <col min="15368" max="15368" width="12.28515625" style="143" customWidth="1"/>
    <col min="15369" max="15369" width="8.5703125" style="143" customWidth="1"/>
    <col min="15370" max="15370" width="14.42578125" style="143" bestFit="1" customWidth="1"/>
    <col min="15371" max="15620" width="9.140625" style="143"/>
    <col min="15621" max="15621" width="6" style="143" customWidth="1"/>
    <col min="15622" max="15622" width="9.5703125" style="143" customWidth="1"/>
    <col min="15623" max="15623" width="50" style="143" customWidth="1"/>
    <col min="15624" max="15624" width="12.28515625" style="143" customWidth="1"/>
    <col min="15625" max="15625" width="8.5703125" style="143" customWidth="1"/>
    <col min="15626" max="15626" width="14.42578125" style="143" bestFit="1" customWidth="1"/>
    <col min="15627" max="15876" width="9.140625" style="143"/>
    <col min="15877" max="15877" width="6" style="143" customWidth="1"/>
    <col min="15878" max="15878" width="9.5703125" style="143" customWidth="1"/>
    <col min="15879" max="15879" width="50" style="143" customWidth="1"/>
    <col min="15880" max="15880" width="12.28515625" style="143" customWidth="1"/>
    <col min="15881" max="15881" width="8.5703125" style="143" customWidth="1"/>
    <col min="15882" max="15882" width="14.42578125" style="143" bestFit="1" customWidth="1"/>
    <col min="15883" max="16132" width="9.140625" style="143"/>
    <col min="16133" max="16133" width="6" style="143" customWidth="1"/>
    <col min="16134" max="16134" width="9.5703125" style="143" customWidth="1"/>
    <col min="16135" max="16135" width="50" style="143" customWidth="1"/>
    <col min="16136" max="16136" width="12.28515625" style="143" customWidth="1"/>
    <col min="16137" max="16137" width="8.5703125" style="143" customWidth="1"/>
    <col min="16138" max="16138" width="14.42578125" style="143" bestFit="1" customWidth="1"/>
    <col min="16139" max="16384" width="9.140625" style="143"/>
  </cols>
  <sheetData>
    <row r="1" spans="1:10">
      <c r="A1" s="148"/>
      <c r="B1" s="149"/>
      <c r="C1" s="150"/>
      <c r="D1" s="150"/>
      <c r="E1" s="150"/>
      <c r="F1" s="150"/>
      <c r="G1" s="150"/>
      <c r="H1" s="150"/>
      <c r="I1" s="150"/>
    </row>
    <row r="2" spans="1:10">
      <c r="A2" s="548" t="s">
        <v>150</v>
      </c>
      <c r="B2" s="548"/>
      <c r="C2" s="548"/>
      <c r="D2" s="548"/>
      <c r="E2" s="548"/>
      <c r="F2" s="548"/>
      <c r="G2" s="548"/>
      <c r="H2" s="548"/>
      <c r="I2" s="548"/>
      <c r="J2" s="548"/>
    </row>
    <row r="3" spans="1:10">
      <c r="A3" s="548"/>
      <c r="B3" s="548"/>
      <c r="C3" s="548"/>
      <c r="D3" s="548"/>
      <c r="E3" s="548"/>
      <c r="F3" s="548"/>
      <c r="G3" s="548"/>
      <c r="H3" s="548"/>
      <c r="I3" s="548"/>
      <c r="J3" s="548"/>
    </row>
    <row r="4" spans="1:10">
      <c r="A4" s="556" t="s">
        <v>19</v>
      </c>
      <c r="B4" s="556" t="s">
        <v>129</v>
      </c>
      <c r="C4" s="556" t="s">
        <v>20</v>
      </c>
      <c r="D4" s="556" t="s">
        <v>21</v>
      </c>
      <c r="E4" s="556" t="s">
        <v>154</v>
      </c>
      <c r="F4" s="555" t="s">
        <v>157</v>
      </c>
      <c r="G4" s="555"/>
      <c r="H4" s="555"/>
      <c r="I4" s="555"/>
      <c r="J4" s="555" t="s">
        <v>22</v>
      </c>
    </row>
    <row r="5" spans="1:10" ht="45">
      <c r="A5" s="556"/>
      <c r="B5" s="556"/>
      <c r="C5" s="556"/>
      <c r="D5" s="556"/>
      <c r="E5" s="556"/>
      <c r="F5" s="189" t="s">
        <v>156</v>
      </c>
      <c r="G5" s="189" t="s">
        <v>65</v>
      </c>
      <c r="H5" s="304" t="s">
        <v>307</v>
      </c>
      <c r="I5" s="190" t="s">
        <v>171</v>
      </c>
      <c r="J5" s="555"/>
    </row>
    <row r="6" spans="1:10" ht="102">
      <c r="A6" s="120"/>
      <c r="B6" s="121"/>
      <c r="C6" s="193" t="s">
        <v>282</v>
      </c>
      <c r="D6" s="122"/>
      <c r="E6" s="122"/>
      <c r="F6" s="122"/>
      <c r="G6" s="122"/>
      <c r="H6" s="122"/>
      <c r="I6" s="122"/>
      <c r="J6" s="152"/>
    </row>
    <row r="7" spans="1:10" ht="51">
      <c r="A7" s="120"/>
      <c r="B7" s="121"/>
      <c r="C7" s="193" t="s">
        <v>283</v>
      </c>
      <c r="D7" s="122"/>
      <c r="E7" s="122"/>
      <c r="F7" s="122"/>
      <c r="G7" s="122"/>
      <c r="H7" s="122"/>
      <c r="I7" s="122"/>
      <c r="J7" s="152"/>
    </row>
    <row r="8" spans="1:10" ht="45">
      <c r="A8" s="120">
        <v>1</v>
      </c>
      <c r="B8" s="121" t="s">
        <v>41</v>
      </c>
      <c r="C8" s="195" t="s">
        <v>202</v>
      </c>
      <c r="D8" s="124" t="s">
        <v>25</v>
      </c>
      <c r="E8" s="124">
        <v>1</v>
      </c>
      <c r="F8" s="102">
        <v>49.6</v>
      </c>
      <c r="G8" s="124">
        <v>1</v>
      </c>
      <c r="H8" s="125">
        <v>0</v>
      </c>
      <c r="I8" s="125">
        <f>F8+H8</f>
        <v>49.6</v>
      </c>
      <c r="J8" s="126">
        <f>I8*E8/G8</f>
        <v>49.6</v>
      </c>
    </row>
    <row r="9" spans="1:10" ht="90">
      <c r="A9" s="120"/>
      <c r="B9" s="121"/>
      <c r="C9" s="195" t="s">
        <v>205</v>
      </c>
      <c r="D9" s="124"/>
      <c r="E9" s="124"/>
      <c r="F9" s="102"/>
      <c r="G9" s="124"/>
      <c r="H9" s="125"/>
      <c r="I9" s="125"/>
      <c r="J9" s="126"/>
    </row>
    <row r="10" spans="1:10" ht="30">
      <c r="A10" s="120">
        <v>2</v>
      </c>
      <c r="B10" s="121" t="s">
        <v>42</v>
      </c>
      <c r="C10" s="195" t="s">
        <v>203</v>
      </c>
      <c r="D10" s="124" t="s">
        <v>155</v>
      </c>
      <c r="E10" s="102">
        <v>4.41</v>
      </c>
      <c r="F10" s="102">
        <v>156</v>
      </c>
      <c r="G10" s="124">
        <v>1</v>
      </c>
      <c r="H10" s="125">
        <v>0</v>
      </c>
      <c r="I10" s="125">
        <f>F10+H10</f>
        <v>156</v>
      </c>
      <c r="J10" s="126">
        <f>I10*E10/G10</f>
        <v>687.96</v>
      </c>
    </row>
    <row r="11" spans="1:10" ht="105">
      <c r="A11" s="127"/>
      <c r="B11" s="121" t="s">
        <v>43</v>
      </c>
      <c r="C11" s="195" t="s">
        <v>204</v>
      </c>
      <c r="D11" s="124"/>
      <c r="E11" s="124"/>
      <c r="F11" s="102"/>
      <c r="G11" s="124"/>
      <c r="H11" s="125"/>
      <c r="I11" s="125"/>
      <c r="J11" s="126"/>
    </row>
    <row r="12" spans="1:10">
      <c r="A12" s="127"/>
      <c r="B12" s="121" t="s">
        <v>44</v>
      </c>
      <c r="C12" s="101" t="s">
        <v>152</v>
      </c>
      <c r="D12" s="135"/>
      <c r="E12" s="135"/>
      <c r="F12" s="135"/>
      <c r="G12" s="135"/>
      <c r="H12" s="135"/>
      <c r="I12" s="135"/>
      <c r="J12" s="135"/>
    </row>
    <row r="13" spans="1:10" ht="30">
      <c r="A13" s="127">
        <v>3</v>
      </c>
      <c r="B13" s="121" t="s">
        <v>121</v>
      </c>
      <c r="C13" s="195" t="s">
        <v>206</v>
      </c>
      <c r="D13" s="124" t="s">
        <v>147</v>
      </c>
      <c r="E13" s="124">
        <v>2600</v>
      </c>
      <c r="F13" s="102">
        <v>197.2</v>
      </c>
      <c r="G13" s="124">
        <v>1000</v>
      </c>
      <c r="H13" s="125"/>
      <c r="I13" s="125">
        <f>F13+H13</f>
        <v>197.2</v>
      </c>
      <c r="J13" s="126">
        <f>I13*E13/G13</f>
        <v>512.71999999999991</v>
      </c>
    </row>
    <row r="14" spans="1:10">
      <c r="A14" s="127"/>
      <c r="B14" s="121" t="s">
        <v>45</v>
      </c>
      <c r="C14" s="101" t="s">
        <v>153</v>
      </c>
      <c r="D14" s="135"/>
      <c r="E14" s="135"/>
      <c r="F14" s="135"/>
      <c r="G14" s="135"/>
      <c r="H14" s="135"/>
      <c r="I14" s="135"/>
      <c r="J14" s="135"/>
    </row>
    <row r="15" spans="1:10" ht="30">
      <c r="A15" s="127">
        <v>4</v>
      </c>
      <c r="B15" s="121" t="s">
        <v>121</v>
      </c>
      <c r="C15" s="195" t="s">
        <v>236</v>
      </c>
      <c r="D15" s="124" t="s">
        <v>147</v>
      </c>
      <c r="E15" s="124">
        <v>2600</v>
      </c>
      <c r="F15" s="102">
        <v>5.15</v>
      </c>
      <c r="G15" s="124">
        <v>1000</v>
      </c>
      <c r="H15" s="125"/>
      <c r="I15" s="125">
        <f>F15+H15</f>
        <v>5.15</v>
      </c>
      <c r="J15" s="126">
        <f>I15*E15/G15</f>
        <v>13.390000000000002</v>
      </c>
    </row>
    <row r="16" spans="1:10" ht="75">
      <c r="A16" s="120"/>
      <c r="B16" s="121" t="s">
        <v>46</v>
      </c>
      <c r="C16" s="195" t="s">
        <v>207</v>
      </c>
      <c r="D16" s="135"/>
      <c r="E16" s="135"/>
      <c r="F16" s="135"/>
      <c r="G16" s="135"/>
      <c r="H16" s="135"/>
      <c r="I16" s="135"/>
      <c r="J16" s="135"/>
    </row>
    <row r="17" spans="1:10" ht="30">
      <c r="A17" s="120">
        <v>5</v>
      </c>
      <c r="B17" s="121" t="s">
        <v>121</v>
      </c>
      <c r="C17" s="195" t="s">
        <v>206</v>
      </c>
      <c r="D17" s="124" t="s">
        <v>147</v>
      </c>
      <c r="E17" s="124">
        <v>2600</v>
      </c>
      <c r="F17" s="102">
        <v>583.9</v>
      </c>
      <c r="G17" s="124">
        <v>1000</v>
      </c>
      <c r="H17" s="125">
        <v>0</v>
      </c>
      <c r="I17" s="125">
        <f>F17+H17</f>
        <v>583.9</v>
      </c>
      <c r="J17" s="126">
        <f>I17*E17/G17</f>
        <v>1518.14</v>
      </c>
    </row>
    <row r="18" spans="1:10" ht="30">
      <c r="A18" s="120">
        <v>6</v>
      </c>
      <c r="B18" s="121" t="s">
        <v>47</v>
      </c>
      <c r="C18" s="195" t="s">
        <v>208</v>
      </c>
      <c r="D18" s="124" t="s">
        <v>25</v>
      </c>
      <c r="E18" s="124">
        <v>1</v>
      </c>
      <c r="F18" s="102">
        <v>7.6</v>
      </c>
      <c r="G18" s="124">
        <v>1</v>
      </c>
      <c r="H18" s="125">
        <v>0</v>
      </c>
      <c r="I18" s="125">
        <f t="shared" ref="I18:I27" si="0">F18+H18</f>
        <v>7.6</v>
      </c>
      <c r="J18" s="126">
        <f t="shared" ref="J18:J27" si="1">I18*E18/G18</f>
        <v>7.6</v>
      </c>
    </row>
    <row r="19" spans="1:10" ht="30">
      <c r="A19" s="120">
        <v>7</v>
      </c>
      <c r="B19" s="121" t="s">
        <v>135</v>
      </c>
      <c r="C19" s="195" t="s">
        <v>209</v>
      </c>
      <c r="D19" s="124" t="s">
        <v>147</v>
      </c>
      <c r="E19" s="124">
        <v>2600</v>
      </c>
      <c r="F19" s="102">
        <v>140.69999999999999</v>
      </c>
      <c r="G19" s="124">
        <v>1000</v>
      </c>
      <c r="H19" s="125">
        <v>0</v>
      </c>
      <c r="I19" s="125">
        <f t="shared" si="0"/>
        <v>140.69999999999999</v>
      </c>
      <c r="J19" s="126">
        <f t="shared" si="1"/>
        <v>365.81999999999994</v>
      </c>
    </row>
    <row r="20" spans="1:10" ht="45">
      <c r="A20" s="120">
        <v>8</v>
      </c>
      <c r="B20" s="121" t="s">
        <v>158</v>
      </c>
      <c r="C20" s="195" t="s">
        <v>210</v>
      </c>
      <c r="D20" s="124" t="s">
        <v>147</v>
      </c>
      <c r="E20" s="124">
        <v>2600</v>
      </c>
      <c r="F20" s="102">
        <v>83.7</v>
      </c>
      <c r="G20" s="124">
        <v>1000</v>
      </c>
      <c r="H20" s="125">
        <v>0</v>
      </c>
      <c r="I20" s="125">
        <f t="shared" ref="I20" si="2">F20+H20</f>
        <v>83.7</v>
      </c>
      <c r="J20" s="126">
        <f t="shared" ref="J20" si="3">I20*E20/G20</f>
        <v>217.62</v>
      </c>
    </row>
    <row r="21" spans="1:10" ht="45">
      <c r="A21" s="120">
        <v>9</v>
      </c>
      <c r="B21" s="121" t="s">
        <v>48</v>
      </c>
      <c r="C21" s="108" t="s">
        <v>281</v>
      </c>
      <c r="D21" s="122" t="s">
        <v>25</v>
      </c>
      <c r="E21" s="122">
        <v>4</v>
      </c>
      <c r="F21" s="153">
        <v>273.10000000000002</v>
      </c>
      <c r="G21" s="122">
        <v>1</v>
      </c>
      <c r="H21" s="125">
        <v>0</v>
      </c>
      <c r="I21" s="125">
        <f t="shared" si="0"/>
        <v>273.10000000000002</v>
      </c>
      <c r="J21" s="126">
        <f t="shared" si="1"/>
        <v>1092.4000000000001</v>
      </c>
    </row>
    <row r="22" spans="1:10" ht="30">
      <c r="A22" s="120">
        <v>10</v>
      </c>
      <c r="B22" s="121" t="s">
        <v>49</v>
      </c>
      <c r="C22" s="195" t="s">
        <v>211</v>
      </c>
      <c r="D22" s="122" t="s">
        <v>25</v>
      </c>
      <c r="E22" s="122">
        <v>4</v>
      </c>
      <c r="F22" s="153">
        <v>50.15</v>
      </c>
      <c r="G22" s="122">
        <v>1</v>
      </c>
      <c r="H22" s="125">
        <v>0</v>
      </c>
      <c r="I22" s="125">
        <f t="shared" si="0"/>
        <v>50.15</v>
      </c>
      <c r="J22" s="126">
        <f t="shared" si="1"/>
        <v>200.6</v>
      </c>
    </row>
    <row r="23" spans="1:10" ht="45">
      <c r="A23" s="120">
        <v>11</v>
      </c>
      <c r="B23" s="121" t="s">
        <v>159</v>
      </c>
      <c r="C23" s="195" t="s">
        <v>212</v>
      </c>
      <c r="D23" s="122" t="s">
        <v>25</v>
      </c>
      <c r="E23" s="122">
        <v>1</v>
      </c>
      <c r="F23" s="153">
        <v>234.25</v>
      </c>
      <c r="G23" s="122">
        <v>1</v>
      </c>
      <c r="H23" s="125">
        <v>0</v>
      </c>
      <c r="I23" s="125">
        <f t="shared" si="0"/>
        <v>234.25</v>
      </c>
      <c r="J23" s="126">
        <f t="shared" si="1"/>
        <v>234.25</v>
      </c>
    </row>
    <row r="24" spans="1:10" ht="45">
      <c r="A24" s="120">
        <v>12</v>
      </c>
      <c r="B24" s="121" t="s">
        <v>50</v>
      </c>
      <c r="C24" s="195" t="s">
        <v>213</v>
      </c>
      <c r="D24" s="122" t="s">
        <v>25</v>
      </c>
      <c r="E24" s="122">
        <v>1</v>
      </c>
      <c r="F24" s="153">
        <v>66.5</v>
      </c>
      <c r="G24" s="122">
        <v>1</v>
      </c>
      <c r="H24" s="125">
        <v>0</v>
      </c>
      <c r="I24" s="125">
        <f t="shared" si="0"/>
        <v>66.5</v>
      </c>
      <c r="J24" s="126">
        <f t="shared" si="1"/>
        <v>66.5</v>
      </c>
    </row>
    <row r="25" spans="1:10" ht="45">
      <c r="A25" s="120">
        <v>13</v>
      </c>
      <c r="B25" s="121" t="s">
        <v>136</v>
      </c>
      <c r="C25" s="195" t="s">
        <v>214</v>
      </c>
      <c r="D25" s="122" t="s">
        <v>25</v>
      </c>
      <c r="E25" s="122">
        <v>1</v>
      </c>
      <c r="F25" s="153">
        <v>34</v>
      </c>
      <c r="G25" s="122">
        <v>1</v>
      </c>
      <c r="H25" s="125">
        <v>0</v>
      </c>
      <c r="I25" s="125">
        <f t="shared" si="0"/>
        <v>34</v>
      </c>
      <c r="J25" s="126">
        <f t="shared" si="1"/>
        <v>34</v>
      </c>
    </row>
    <row r="26" spans="1:10" ht="30">
      <c r="A26" s="120">
        <v>14</v>
      </c>
      <c r="B26" s="121" t="s">
        <v>137</v>
      </c>
      <c r="C26" s="195" t="s">
        <v>215</v>
      </c>
      <c r="D26" s="122" t="s">
        <v>25</v>
      </c>
      <c r="E26" s="122">
        <v>2</v>
      </c>
      <c r="F26" s="153">
        <v>34.200000000000003</v>
      </c>
      <c r="G26" s="122">
        <v>1</v>
      </c>
      <c r="H26" s="125">
        <v>0</v>
      </c>
      <c r="I26" s="125">
        <f t="shared" si="0"/>
        <v>34.200000000000003</v>
      </c>
      <c r="J26" s="126">
        <f t="shared" si="1"/>
        <v>68.400000000000006</v>
      </c>
    </row>
    <row r="27" spans="1:10" ht="255">
      <c r="A27" s="120">
        <v>15</v>
      </c>
      <c r="B27" s="121" t="s">
        <v>173</v>
      </c>
      <c r="C27" s="195" t="s">
        <v>228</v>
      </c>
      <c r="D27" s="122" t="s">
        <v>25</v>
      </c>
      <c r="E27" s="122">
        <v>4</v>
      </c>
      <c r="F27" s="153">
        <v>8754.6</v>
      </c>
      <c r="G27" s="122">
        <v>100</v>
      </c>
      <c r="H27" s="125">
        <v>0</v>
      </c>
      <c r="I27" s="125">
        <f t="shared" si="0"/>
        <v>8754.6</v>
      </c>
      <c r="J27" s="126">
        <f t="shared" si="1"/>
        <v>350.18400000000003</v>
      </c>
    </row>
    <row r="28" spans="1:10">
      <c r="A28" s="120">
        <v>16</v>
      </c>
      <c r="B28" s="121"/>
      <c r="C28" s="108" t="s">
        <v>51</v>
      </c>
      <c r="D28" s="122"/>
      <c r="E28" s="122"/>
      <c r="F28" s="153"/>
      <c r="G28" s="122"/>
      <c r="H28" s="125">
        <v>0</v>
      </c>
      <c r="I28" s="126">
        <v>300</v>
      </c>
      <c r="J28" s="126">
        <f>I28</f>
        <v>300</v>
      </c>
    </row>
    <row r="29" spans="1:10">
      <c r="A29" s="120"/>
      <c r="B29" s="121"/>
      <c r="C29" s="131" t="s">
        <v>38</v>
      </c>
      <c r="D29" s="153"/>
      <c r="E29" s="153"/>
      <c r="F29" s="153"/>
      <c r="G29" s="153"/>
      <c r="H29" s="154"/>
      <c r="I29" s="154"/>
      <c r="J29" s="155">
        <f>SUM(J8:J28)</f>
        <v>5719.1840000000002</v>
      </c>
    </row>
    <row r="30" spans="1:10">
      <c r="A30" s="120">
        <v>17</v>
      </c>
      <c r="B30" s="121"/>
      <c r="C30" s="108" t="s">
        <v>138</v>
      </c>
      <c r="D30" s="153"/>
      <c r="E30" s="153"/>
      <c r="F30" s="153"/>
      <c r="G30" s="153"/>
      <c r="H30" s="154"/>
      <c r="I30" s="154"/>
      <c r="J30" s="126">
        <v>751.09</v>
      </c>
    </row>
    <row r="31" spans="1:10">
      <c r="A31" s="129"/>
      <c r="B31" s="135"/>
      <c r="C31" s="156" t="s">
        <v>139</v>
      </c>
      <c r="D31" s="153"/>
      <c r="E31" s="153"/>
      <c r="F31" s="153"/>
      <c r="G31" s="153"/>
      <c r="H31" s="154"/>
      <c r="I31" s="154"/>
      <c r="J31" s="133">
        <f>J29+J30</f>
        <v>6470.2740000000003</v>
      </c>
    </row>
    <row r="32" spans="1:10">
      <c r="A32" s="157"/>
      <c r="B32" s="135"/>
      <c r="C32" s="146" t="s">
        <v>151</v>
      </c>
      <c r="D32" s="158"/>
      <c r="E32" s="158"/>
      <c r="F32" s="159"/>
      <c r="G32" s="158"/>
      <c r="H32" s="160"/>
      <c r="I32" s="160"/>
      <c r="J32" s="161">
        <f>J31/1700</f>
        <v>3.8060435294117649</v>
      </c>
    </row>
    <row r="33" spans="1:10">
      <c r="A33" s="162"/>
      <c r="B33" s="149"/>
      <c r="C33" s="95" t="s">
        <v>181</v>
      </c>
      <c r="D33" s="163"/>
      <c r="E33" s="163"/>
      <c r="F33" s="163"/>
      <c r="G33" s="163"/>
      <c r="H33" s="163"/>
      <c r="I33" s="163"/>
      <c r="J33" s="164"/>
    </row>
    <row r="38" spans="1:10">
      <c r="I38" s="166" t="s">
        <v>126</v>
      </c>
    </row>
    <row r="39" spans="1:10">
      <c r="I39" s="166"/>
    </row>
  </sheetData>
  <mergeCells count="8">
    <mergeCell ref="A2:J3"/>
    <mergeCell ref="F4:I4"/>
    <mergeCell ref="A4:A5"/>
    <mergeCell ref="B4:B5"/>
    <mergeCell ref="C4:C5"/>
    <mergeCell ref="D4:D5"/>
    <mergeCell ref="E4:E5"/>
    <mergeCell ref="J4:J5"/>
  </mergeCells>
  <pageMargins left="0.51" right="0.14000000000000001" top="0.63" bottom="0.75" header="0.3" footer="0.3"/>
  <pageSetup paperSize="9" scale="96" fitToHeight="0"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pageSetUpPr fitToPage="1"/>
  </sheetPr>
  <dimension ref="A1:J24"/>
  <sheetViews>
    <sheetView topLeftCell="A13" zoomScaleNormal="100" workbookViewId="0">
      <selection activeCell="F3" sqref="F3"/>
    </sheetView>
  </sheetViews>
  <sheetFormatPr defaultRowHeight="15"/>
  <cols>
    <col min="1" max="1" width="6" style="5" customWidth="1"/>
    <col min="2" max="2" width="9.5703125" style="1" customWidth="1"/>
    <col min="3" max="3" width="45.7109375" style="1" customWidth="1"/>
    <col min="4" max="4" width="7.5703125" style="1" bestFit="1" customWidth="1"/>
    <col min="5" max="5" width="9.42578125" style="1" bestFit="1" customWidth="1"/>
    <col min="6" max="6" width="10.140625" style="1" bestFit="1" customWidth="1"/>
    <col min="7" max="7" width="10" style="1" customWidth="1"/>
    <col min="8" max="8" width="14.42578125" style="1" bestFit="1" customWidth="1"/>
    <col min="9" max="258" width="9.140625" style="1"/>
    <col min="259" max="259" width="6" style="1" customWidth="1"/>
    <col min="260" max="260" width="9.5703125" style="1" customWidth="1"/>
    <col min="261" max="261" width="50" style="1" customWidth="1"/>
    <col min="262" max="262" width="12.28515625" style="1" customWidth="1"/>
    <col min="263" max="263" width="8.5703125" style="1" customWidth="1"/>
    <col min="264" max="264" width="14.42578125" style="1" bestFit="1" customWidth="1"/>
    <col min="265" max="514" width="9.140625" style="1"/>
    <col min="515" max="515" width="6" style="1" customWidth="1"/>
    <col min="516" max="516" width="9.5703125" style="1" customWidth="1"/>
    <col min="517" max="517" width="50" style="1" customWidth="1"/>
    <col min="518" max="518" width="12.28515625" style="1" customWidth="1"/>
    <col min="519" max="519" width="8.5703125" style="1" customWidth="1"/>
    <col min="520" max="520" width="14.42578125" style="1" bestFit="1" customWidth="1"/>
    <col min="521" max="770" width="9.140625" style="1"/>
    <col min="771" max="771" width="6" style="1" customWidth="1"/>
    <col min="772" max="772" width="9.5703125" style="1" customWidth="1"/>
    <col min="773" max="773" width="50" style="1" customWidth="1"/>
    <col min="774" max="774" width="12.28515625" style="1" customWidth="1"/>
    <col min="775" max="775" width="8.5703125" style="1" customWidth="1"/>
    <col min="776" max="776" width="14.42578125" style="1" bestFit="1" customWidth="1"/>
    <col min="777" max="1026" width="9.140625" style="1"/>
    <col min="1027" max="1027" width="6" style="1" customWidth="1"/>
    <col min="1028" max="1028" width="9.5703125" style="1" customWidth="1"/>
    <col min="1029" max="1029" width="50" style="1" customWidth="1"/>
    <col min="1030" max="1030" width="12.28515625" style="1" customWidth="1"/>
    <col min="1031" max="1031" width="8.5703125" style="1" customWidth="1"/>
    <col min="1032" max="1032" width="14.42578125" style="1" bestFit="1" customWidth="1"/>
    <col min="1033" max="1282" width="9.140625" style="1"/>
    <col min="1283" max="1283" width="6" style="1" customWidth="1"/>
    <col min="1284" max="1284" width="9.5703125" style="1" customWidth="1"/>
    <col min="1285" max="1285" width="50" style="1" customWidth="1"/>
    <col min="1286" max="1286" width="12.28515625" style="1" customWidth="1"/>
    <col min="1287" max="1287" width="8.5703125" style="1" customWidth="1"/>
    <col min="1288" max="1288" width="14.42578125" style="1" bestFit="1" customWidth="1"/>
    <col min="1289" max="1538" width="9.140625" style="1"/>
    <col min="1539" max="1539" width="6" style="1" customWidth="1"/>
    <col min="1540" max="1540" width="9.5703125" style="1" customWidth="1"/>
    <col min="1541" max="1541" width="50" style="1" customWidth="1"/>
    <col min="1542" max="1542" width="12.28515625" style="1" customWidth="1"/>
    <col min="1543" max="1543" width="8.5703125" style="1" customWidth="1"/>
    <col min="1544" max="1544" width="14.42578125" style="1" bestFit="1" customWidth="1"/>
    <col min="1545" max="1794" width="9.140625" style="1"/>
    <col min="1795" max="1795" width="6" style="1" customWidth="1"/>
    <col min="1796" max="1796" width="9.5703125" style="1" customWidth="1"/>
    <col min="1797" max="1797" width="50" style="1" customWidth="1"/>
    <col min="1798" max="1798" width="12.28515625" style="1" customWidth="1"/>
    <col min="1799" max="1799" width="8.5703125" style="1" customWidth="1"/>
    <col min="1800" max="1800" width="14.42578125" style="1" bestFit="1" customWidth="1"/>
    <col min="1801" max="2050" width="9.140625" style="1"/>
    <col min="2051" max="2051" width="6" style="1" customWidth="1"/>
    <col min="2052" max="2052" width="9.5703125" style="1" customWidth="1"/>
    <col min="2053" max="2053" width="50" style="1" customWidth="1"/>
    <col min="2054" max="2054" width="12.28515625" style="1" customWidth="1"/>
    <col min="2055" max="2055" width="8.5703125" style="1" customWidth="1"/>
    <col min="2056" max="2056" width="14.42578125" style="1" bestFit="1" customWidth="1"/>
    <col min="2057" max="2306" width="9.140625" style="1"/>
    <col min="2307" max="2307" width="6" style="1" customWidth="1"/>
    <col min="2308" max="2308" width="9.5703125" style="1" customWidth="1"/>
    <col min="2309" max="2309" width="50" style="1" customWidth="1"/>
    <col min="2310" max="2310" width="12.28515625" style="1" customWidth="1"/>
    <col min="2311" max="2311" width="8.5703125" style="1" customWidth="1"/>
    <col min="2312" max="2312" width="14.42578125" style="1" bestFit="1" customWidth="1"/>
    <col min="2313" max="2562" width="9.140625" style="1"/>
    <col min="2563" max="2563" width="6" style="1" customWidth="1"/>
    <col min="2564" max="2564" width="9.5703125" style="1" customWidth="1"/>
    <col min="2565" max="2565" width="50" style="1" customWidth="1"/>
    <col min="2566" max="2566" width="12.28515625" style="1" customWidth="1"/>
    <col min="2567" max="2567" width="8.5703125" style="1" customWidth="1"/>
    <col min="2568" max="2568" width="14.42578125" style="1" bestFit="1" customWidth="1"/>
    <col min="2569" max="2818" width="9.140625" style="1"/>
    <col min="2819" max="2819" width="6" style="1" customWidth="1"/>
    <col min="2820" max="2820" width="9.5703125" style="1" customWidth="1"/>
    <col min="2821" max="2821" width="50" style="1" customWidth="1"/>
    <col min="2822" max="2822" width="12.28515625" style="1" customWidth="1"/>
    <col min="2823" max="2823" width="8.5703125" style="1" customWidth="1"/>
    <col min="2824" max="2824" width="14.42578125" style="1" bestFit="1" customWidth="1"/>
    <col min="2825" max="3074" width="9.140625" style="1"/>
    <col min="3075" max="3075" width="6" style="1" customWidth="1"/>
    <col min="3076" max="3076" width="9.5703125" style="1" customWidth="1"/>
    <col min="3077" max="3077" width="50" style="1" customWidth="1"/>
    <col min="3078" max="3078" width="12.28515625" style="1" customWidth="1"/>
    <col min="3079" max="3079" width="8.5703125" style="1" customWidth="1"/>
    <col min="3080" max="3080" width="14.42578125" style="1" bestFit="1" customWidth="1"/>
    <col min="3081" max="3330" width="9.140625" style="1"/>
    <col min="3331" max="3331" width="6" style="1" customWidth="1"/>
    <col min="3332" max="3332" width="9.5703125" style="1" customWidth="1"/>
    <col min="3333" max="3333" width="50" style="1" customWidth="1"/>
    <col min="3334" max="3334" width="12.28515625" style="1" customWidth="1"/>
    <col min="3335" max="3335" width="8.5703125" style="1" customWidth="1"/>
    <col min="3336" max="3336" width="14.42578125" style="1" bestFit="1" customWidth="1"/>
    <col min="3337" max="3586" width="9.140625" style="1"/>
    <col min="3587" max="3587" width="6" style="1" customWidth="1"/>
    <col min="3588" max="3588" width="9.5703125" style="1" customWidth="1"/>
    <col min="3589" max="3589" width="50" style="1" customWidth="1"/>
    <col min="3590" max="3590" width="12.28515625" style="1" customWidth="1"/>
    <col min="3591" max="3591" width="8.5703125" style="1" customWidth="1"/>
    <col min="3592" max="3592" width="14.42578125" style="1" bestFit="1" customWidth="1"/>
    <col min="3593" max="3842" width="9.140625" style="1"/>
    <col min="3843" max="3843" width="6" style="1" customWidth="1"/>
    <col min="3844" max="3844" width="9.5703125" style="1" customWidth="1"/>
    <col min="3845" max="3845" width="50" style="1" customWidth="1"/>
    <col min="3846" max="3846" width="12.28515625" style="1" customWidth="1"/>
    <col min="3847" max="3847" width="8.5703125" style="1" customWidth="1"/>
    <col min="3848" max="3848" width="14.42578125" style="1" bestFit="1" customWidth="1"/>
    <col min="3849" max="4098" width="9.140625" style="1"/>
    <col min="4099" max="4099" width="6" style="1" customWidth="1"/>
    <col min="4100" max="4100" width="9.5703125" style="1" customWidth="1"/>
    <col min="4101" max="4101" width="50" style="1" customWidth="1"/>
    <col min="4102" max="4102" width="12.28515625" style="1" customWidth="1"/>
    <col min="4103" max="4103" width="8.5703125" style="1" customWidth="1"/>
    <col min="4104" max="4104" width="14.42578125" style="1" bestFit="1" customWidth="1"/>
    <col min="4105" max="4354" width="9.140625" style="1"/>
    <col min="4355" max="4355" width="6" style="1" customWidth="1"/>
    <col min="4356" max="4356" width="9.5703125" style="1" customWidth="1"/>
    <col min="4357" max="4357" width="50" style="1" customWidth="1"/>
    <col min="4358" max="4358" width="12.28515625" style="1" customWidth="1"/>
    <col min="4359" max="4359" width="8.5703125" style="1" customWidth="1"/>
    <col min="4360" max="4360" width="14.42578125" style="1" bestFit="1" customWidth="1"/>
    <col min="4361" max="4610" width="9.140625" style="1"/>
    <col min="4611" max="4611" width="6" style="1" customWidth="1"/>
    <col min="4612" max="4612" width="9.5703125" style="1" customWidth="1"/>
    <col min="4613" max="4613" width="50" style="1" customWidth="1"/>
    <col min="4614" max="4614" width="12.28515625" style="1" customWidth="1"/>
    <col min="4615" max="4615" width="8.5703125" style="1" customWidth="1"/>
    <col min="4616" max="4616" width="14.42578125" style="1" bestFit="1" customWidth="1"/>
    <col min="4617" max="4866" width="9.140625" style="1"/>
    <col min="4867" max="4867" width="6" style="1" customWidth="1"/>
    <col min="4868" max="4868" width="9.5703125" style="1" customWidth="1"/>
    <col min="4869" max="4869" width="50" style="1" customWidth="1"/>
    <col min="4870" max="4870" width="12.28515625" style="1" customWidth="1"/>
    <col min="4871" max="4871" width="8.5703125" style="1" customWidth="1"/>
    <col min="4872" max="4872" width="14.42578125" style="1" bestFit="1" customWidth="1"/>
    <col min="4873" max="5122" width="9.140625" style="1"/>
    <col min="5123" max="5123" width="6" style="1" customWidth="1"/>
    <col min="5124" max="5124" width="9.5703125" style="1" customWidth="1"/>
    <col min="5125" max="5125" width="50" style="1" customWidth="1"/>
    <col min="5126" max="5126" width="12.28515625" style="1" customWidth="1"/>
    <col min="5127" max="5127" width="8.5703125" style="1" customWidth="1"/>
    <col min="5128" max="5128" width="14.42578125" style="1" bestFit="1" customWidth="1"/>
    <col min="5129" max="5378" width="9.140625" style="1"/>
    <col min="5379" max="5379" width="6" style="1" customWidth="1"/>
    <col min="5380" max="5380" width="9.5703125" style="1" customWidth="1"/>
    <col min="5381" max="5381" width="50" style="1" customWidth="1"/>
    <col min="5382" max="5382" width="12.28515625" style="1" customWidth="1"/>
    <col min="5383" max="5383" width="8.5703125" style="1" customWidth="1"/>
    <col min="5384" max="5384" width="14.42578125" style="1" bestFit="1" customWidth="1"/>
    <col min="5385" max="5634" width="9.140625" style="1"/>
    <col min="5635" max="5635" width="6" style="1" customWidth="1"/>
    <col min="5636" max="5636" width="9.5703125" style="1" customWidth="1"/>
    <col min="5637" max="5637" width="50" style="1" customWidth="1"/>
    <col min="5638" max="5638" width="12.28515625" style="1" customWidth="1"/>
    <col min="5639" max="5639" width="8.5703125" style="1" customWidth="1"/>
    <col min="5640" max="5640" width="14.42578125" style="1" bestFit="1" customWidth="1"/>
    <col min="5641" max="5890" width="9.140625" style="1"/>
    <col min="5891" max="5891" width="6" style="1" customWidth="1"/>
    <col min="5892" max="5892" width="9.5703125" style="1" customWidth="1"/>
    <col min="5893" max="5893" width="50" style="1" customWidth="1"/>
    <col min="5894" max="5894" width="12.28515625" style="1" customWidth="1"/>
    <col min="5895" max="5895" width="8.5703125" style="1" customWidth="1"/>
    <col min="5896" max="5896" width="14.42578125" style="1" bestFit="1" customWidth="1"/>
    <col min="5897" max="6146" width="9.140625" style="1"/>
    <col min="6147" max="6147" width="6" style="1" customWidth="1"/>
    <col min="6148" max="6148" width="9.5703125" style="1" customWidth="1"/>
    <col min="6149" max="6149" width="50" style="1" customWidth="1"/>
    <col min="6150" max="6150" width="12.28515625" style="1" customWidth="1"/>
    <col min="6151" max="6151" width="8.5703125" style="1" customWidth="1"/>
    <col min="6152" max="6152" width="14.42578125" style="1" bestFit="1" customWidth="1"/>
    <col min="6153" max="6402" width="9.140625" style="1"/>
    <col min="6403" max="6403" width="6" style="1" customWidth="1"/>
    <col min="6404" max="6404" width="9.5703125" style="1" customWidth="1"/>
    <col min="6405" max="6405" width="50" style="1" customWidth="1"/>
    <col min="6406" max="6406" width="12.28515625" style="1" customWidth="1"/>
    <col min="6407" max="6407" width="8.5703125" style="1" customWidth="1"/>
    <col min="6408" max="6408" width="14.42578125" style="1" bestFit="1" customWidth="1"/>
    <col min="6409" max="6658" width="9.140625" style="1"/>
    <col min="6659" max="6659" width="6" style="1" customWidth="1"/>
    <col min="6660" max="6660" width="9.5703125" style="1" customWidth="1"/>
    <col min="6661" max="6661" width="50" style="1" customWidth="1"/>
    <col min="6662" max="6662" width="12.28515625" style="1" customWidth="1"/>
    <col min="6663" max="6663" width="8.5703125" style="1" customWidth="1"/>
    <col min="6664" max="6664" width="14.42578125" style="1" bestFit="1" customWidth="1"/>
    <col min="6665" max="6914" width="9.140625" style="1"/>
    <col min="6915" max="6915" width="6" style="1" customWidth="1"/>
    <col min="6916" max="6916" width="9.5703125" style="1" customWidth="1"/>
    <col min="6917" max="6917" width="50" style="1" customWidth="1"/>
    <col min="6918" max="6918" width="12.28515625" style="1" customWidth="1"/>
    <col min="6919" max="6919" width="8.5703125" style="1" customWidth="1"/>
    <col min="6920" max="6920" width="14.42578125" style="1" bestFit="1" customWidth="1"/>
    <col min="6921" max="7170" width="9.140625" style="1"/>
    <col min="7171" max="7171" width="6" style="1" customWidth="1"/>
    <col min="7172" max="7172" width="9.5703125" style="1" customWidth="1"/>
    <col min="7173" max="7173" width="50" style="1" customWidth="1"/>
    <col min="7174" max="7174" width="12.28515625" style="1" customWidth="1"/>
    <col min="7175" max="7175" width="8.5703125" style="1" customWidth="1"/>
    <col min="7176" max="7176" width="14.42578125" style="1" bestFit="1" customWidth="1"/>
    <col min="7177" max="7426" width="9.140625" style="1"/>
    <col min="7427" max="7427" width="6" style="1" customWidth="1"/>
    <col min="7428" max="7428" width="9.5703125" style="1" customWidth="1"/>
    <col min="7429" max="7429" width="50" style="1" customWidth="1"/>
    <col min="7430" max="7430" width="12.28515625" style="1" customWidth="1"/>
    <col min="7431" max="7431" width="8.5703125" style="1" customWidth="1"/>
    <col min="7432" max="7432" width="14.42578125" style="1" bestFit="1" customWidth="1"/>
    <col min="7433" max="7682" width="9.140625" style="1"/>
    <col min="7683" max="7683" width="6" style="1" customWidth="1"/>
    <col min="7684" max="7684" width="9.5703125" style="1" customWidth="1"/>
    <col min="7685" max="7685" width="50" style="1" customWidth="1"/>
    <col min="7686" max="7686" width="12.28515625" style="1" customWidth="1"/>
    <col min="7687" max="7687" width="8.5703125" style="1" customWidth="1"/>
    <col min="7688" max="7688" width="14.42578125" style="1" bestFit="1" customWidth="1"/>
    <col min="7689" max="7938" width="9.140625" style="1"/>
    <col min="7939" max="7939" width="6" style="1" customWidth="1"/>
    <col min="7940" max="7940" width="9.5703125" style="1" customWidth="1"/>
    <col min="7941" max="7941" width="50" style="1" customWidth="1"/>
    <col min="7942" max="7942" width="12.28515625" style="1" customWidth="1"/>
    <col min="7943" max="7943" width="8.5703125" style="1" customWidth="1"/>
    <col min="7944" max="7944" width="14.42578125" style="1" bestFit="1" customWidth="1"/>
    <col min="7945" max="8194" width="9.140625" style="1"/>
    <col min="8195" max="8195" width="6" style="1" customWidth="1"/>
    <col min="8196" max="8196" width="9.5703125" style="1" customWidth="1"/>
    <col min="8197" max="8197" width="50" style="1" customWidth="1"/>
    <col min="8198" max="8198" width="12.28515625" style="1" customWidth="1"/>
    <col min="8199" max="8199" width="8.5703125" style="1" customWidth="1"/>
    <col min="8200" max="8200" width="14.42578125" style="1" bestFit="1" customWidth="1"/>
    <col min="8201" max="8450" width="9.140625" style="1"/>
    <col min="8451" max="8451" width="6" style="1" customWidth="1"/>
    <col min="8452" max="8452" width="9.5703125" style="1" customWidth="1"/>
    <col min="8453" max="8453" width="50" style="1" customWidth="1"/>
    <col min="8454" max="8454" width="12.28515625" style="1" customWidth="1"/>
    <col min="8455" max="8455" width="8.5703125" style="1" customWidth="1"/>
    <col min="8456" max="8456" width="14.42578125" style="1" bestFit="1" customWidth="1"/>
    <col min="8457" max="8706" width="9.140625" style="1"/>
    <col min="8707" max="8707" width="6" style="1" customWidth="1"/>
    <col min="8708" max="8708" width="9.5703125" style="1" customWidth="1"/>
    <col min="8709" max="8709" width="50" style="1" customWidth="1"/>
    <col min="8710" max="8710" width="12.28515625" style="1" customWidth="1"/>
    <col min="8711" max="8711" width="8.5703125" style="1" customWidth="1"/>
    <col min="8712" max="8712" width="14.42578125" style="1" bestFit="1" customWidth="1"/>
    <col min="8713" max="8962" width="9.140625" style="1"/>
    <col min="8963" max="8963" width="6" style="1" customWidth="1"/>
    <col min="8964" max="8964" width="9.5703125" style="1" customWidth="1"/>
    <col min="8965" max="8965" width="50" style="1" customWidth="1"/>
    <col min="8966" max="8966" width="12.28515625" style="1" customWidth="1"/>
    <col min="8967" max="8967" width="8.5703125" style="1" customWidth="1"/>
    <col min="8968" max="8968" width="14.42578125" style="1" bestFit="1" customWidth="1"/>
    <col min="8969" max="9218" width="9.140625" style="1"/>
    <col min="9219" max="9219" width="6" style="1" customWidth="1"/>
    <col min="9220" max="9220" width="9.5703125" style="1" customWidth="1"/>
    <col min="9221" max="9221" width="50" style="1" customWidth="1"/>
    <col min="9222" max="9222" width="12.28515625" style="1" customWidth="1"/>
    <col min="9223" max="9223" width="8.5703125" style="1" customWidth="1"/>
    <col min="9224" max="9224" width="14.42578125" style="1" bestFit="1" customWidth="1"/>
    <col min="9225" max="9474" width="9.140625" style="1"/>
    <col min="9475" max="9475" width="6" style="1" customWidth="1"/>
    <col min="9476" max="9476" width="9.5703125" style="1" customWidth="1"/>
    <col min="9477" max="9477" width="50" style="1" customWidth="1"/>
    <col min="9478" max="9478" width="12.28515625" style="1" customWidth="1"/>
    <col min="9479" max="9479" width="8.5703125" style="1" customWidth="1"/>
    <col min="9480" max="9480" width="14.42578125" style="1" bestFit="1" customWidth="1"/>
    <col min="9481" max="9730" width="9.140625" style="1"/>
    <col min="9731" max="9731" width="6" style="1" customWidth="1"/>
    <col min="9732" max="9732" width="9.5703125" style="1" customWidth="1"/>
    <col min="9733" max="9733" width="50" style="1" customWidth="1"/>
    <col min="9734" max="9734" width="12.28515625" style="1" customWidth="1"/>
    <col min="9735" max="9735" width="8.5703125" style="1" customWidth="1"/>
    <col min="9736" max="9736" width="14.42578125" style="1" bestFit="1" customWidth="1"/>
    <col min="9737" max="9986" width="9.140625" style="1"/>
    <col min="9987" max="9987" width="6" style="1" customWidth="1"/>
    <col min="9988" max="9988" width="9.5703125" style="1" customWidth="1"/>
    <col min="9989" max="9989" width="50" style="1" customWidth="1"/>
    <col min="9990" max="9990" width="12.28515625" style="1" customWidth="1"/>
    <col min="9991" max="9991" width="8.5703125" style="1" customWidth="1"/>
    <col min="9992" max="9992" width="14.42578125" style="1" bestFit="1" customWidth="1"/>
    <col min="9993" max="10242" width="9.140625" style="1"/>
    <col min="10243" max="10243" width="6" style="1" customWidth="1"/>
    <col min="10244" max="10244" width="9.5703125" style="1" customWidth="1"/>
    <col min="10245" max="10245" width="50" style="1" customWidth="1"/>
    <col min="10246" max="10246" width="12.28515625" style="1" customWidth="1"/>
    <col min="10247" max="10247" width="8.5703125" style="1" customWidth="1"/>
    <col min="10248" max="10248" width="14.42578125" style="1" bestFit="1" customWidth="1"/>
    <col min="10249" max="10498" width="9.140625" style="1"/>
    <col min="10499" max="10499" width="6" style="1" customWidth="1"/>
    <col min="10500" max="10500" width="9.5703125" style="1" customWidth="1"/>
    <col min="10501" max="10501" width="50" style="1" customWidth="1"/>
    <col min="10502" max="10502" width="12.28515625" style="1" customWidth="1"/>
    <col min="10503" max="10503" width="8.5703125" style="1" customWidth="1"/>
    <col min="10504" max="10504" width="14.42578125" style="1" bestFit="1" customWidth="1"/>
    <col min="10505" max="10754" width="9.140625" style="1"/>
    <col min="10755" max="10755" width="6" style="1" customWidth="1"/>
    <col min="10756" max="10756" width="9.5703125" style="1" customWidth="1"/>
    <col min="10757" max="10757" width="50" style="1" customWidth="1"/>
    <col min="10758" max="10758" width="12.28515625" style="1" customWidth="1"/>
    <col min="10759" max="10759" width="8.5703125" style="1" customWidth="1"/>
    <col min="10760" max="10760" width="14.42578125" style="1" bestFit="1" customWidth="1"/>
    <col min="10761" max="11010" width="9.140625" style="1"/>
    <col min="11011" max="11011" width="6" style="1" customWidth="1"/>
    <col min="11012" max="11012" width="9.5703125" style="1" customWidth="1"/>
    <col min="11013" max="11013" width="50" style="1" customWidth="1"/>
    <col min="11014" max="11014" width="12.28515625" style="1" customWidth="1"/>
    <col min="11015" max="11015" width="8.5703125" style="1" customWidth="1"/>
    <col min="11016" max="11016" width="14.42578125" style="1" bestFit="1" customWidth="1"/>
    <col min="11017" max="11266" width="9.140625" style="1"/>
    <col min="11267" max="11267" width="6" style="1" customWidth="1"/>
    <col min="11268" max="11268" width="9.5703125" style="1" customWidth="1"/>
    <col min="11269" max="11269" width="50" style="1" customWidth="1"/>
    <col min="11270" max="11270" width="12.28515625" style="1" customWidth="1"/>
    <col min="11271" max="11271" width="8.5703125" style="1" customWidth="1"/>
    <col min="11272" max="11272" width="14.42578125" style="1" bestFit="1" customWidth="1"/>
    <col min="11273" max="11522" width="9.140625" style="1"/>
    <col min="11523" max="11523" width="6" style="1" customWidth="1"/>
    <col min="11524" max="11524" width="9.5703125" style="1" customWidth="1"/>
    <col min="11525" max="11525" width="50" style="1" customWidth="1"/>
    <col min="11526" max="11526" width="12.28515625" style="1" customWidth="1"/>
    <col min="11527" max="11527" width="8.5703125" style="1" customWidth="1"/>
    <col min="11528" max="11528" width="14.42578125" style="1" bestFit="1" customWidth="1"/>
    <col min="11529" max="11778" width="9.140625" style="1"/>
    <col min="11779" max="11779" width="6" style="1" customWidth="1"/>
    <col min="11780" max="11780" width="9.5703125" style="1" customWidth="1"/>
    <col min="11781" max="11781" width="50" style="1" customWidth="1"/>
    <col min="11782" max="11782" width="12.28515625" style="1" customWidth="1"/>
    <col min="11783" max="11783" width="8.5703125" style="1" customWidth="1"/>
    <col min="11784" max="11784" width="14.42578125" style="1" bestFit="1" customWidth="1"/>
    <col min="11785" max="12034" width="9.140625" style="1"/>
    <col min="12035" max="12035" width="6" style="1" customWidth="1"/>
    <col min="12036" max="12036" width="9.5703125" style="1" customWidth="1"/>
    <col min="12037" max="12037" width="50" style="1" customWidth="1"/>
    <col min="12038" max="12038" width="12.28515625" style="1" customWidth="1"/>
    <col min="12039" max="12039" width="8.5703125" style="1" customWidth="1"/>
    <col min="12040" max="12040" width="14.42578125" style="1" bestFit="1" customWidth="1"/>
    <col min="12041" max="12290" width="9.140625" style="1"/>
    <col min="12291" max="12291" width="6" style="1" customWidth="1"/>
    <col min="12292" max="12292" width="9.5703125" style="1" customWidth="1"/>
    <col min="12293" max="12293" width="50" style="1" customWidth="1"/>
    <col min="12294" max="12294" width="12.28515625" style="1" customWidth="1"/>
    <col min="12295" max="12295" width="8.5703125" style="1" customWidth="1"/>
    <col min="12296" max="12296" width="14.42578125" style="1" bestFit="1" customWidth="1"/>
    <col min="12297" max="12546" width="9.140625" style="1"/>
    <col min="12547" max="12547" width="6" style="1" customWidth="1"/>
    <col min="12548" max="12548" width="9.5703125" style="1" customWidth="1"/>
    <col min="12549" max="12549" width="50" style="1" customWidth="1"/>
    <col min="12550" max="12550" width="12.28515625" style="1" customWidth="1"/>
    <col min="12551" max="12551" width="8.5703125" style="1" customWidth="1"/>
    <col min="12552" max="12552" width="14.42578125" style="1" bestFit="1" customWidth="1"/>
    <col min="12553" max="12802" width="9.140625" style="1"/>
    <col min="12803" max="12803" width="6" style="1" customWidth="1"/>
    <col min="12804" max="12804" width="9.5703125" style="1" customWidth="1"/>
    <col min="12805" max="12805" width="50" style="1" customWidth="1"/>
    <col min="12806" max="12806" width="12.28515625" style="1" customWidth="1"/>
    <col min="12807" max="12807" width="8.5703125" style="1" customWidth="1"/>
    <col min="12808" max="12808" width="14.42578125" style="1" bestFit="1" customWidth="1"/>
    <col min="12809" max="13058" width="9.140625" style="1"/>
    <col min="13059" max="13059" width="6" style="1" customWidth="1"/>
    <col min="13060" max="13060" width="9.5703125" style="1" customWidth="1"/>
    <col min="13061" max="13061" width="50" style="1" customWidth="1"/>
    <col min="13062" max="13062" width="12.28515625" style="1" customWidth="1"/>
    <col min="13063" max="13063" width="8.5703125" style="1" customWidth="1"/>
    <col min="13064" max="13064" width="14.42578125" style="1" bestFit="1" customWidth="1"/>
    <col min="13065" max="13314" width="9.140625" style="1"/>
    <col min="13315" max="13315" width="6" style="1" customWidth="1"/>
    <col min="13316" max="13316" width="9.5703125" style="1" customWidth="1"/>
    <col min="13317" max="13317" width="50" style="1" customWidth="1"/>
    <col min="13318" max="13318" width="12.28515625" style="1" customWidth="1"/>
    <col min="13319" max="13319" width="8.5703125" style="1" customWidth="1"/>
    <col min="13320" max="13320" width="14.42578125" style="1" bestFit="1" customWidth="1"/>
    <col min="13321" max="13570" width="9.140625" style="1"/>
    <col min="13571" max="13571" width="6" style="1" customWidth="1"/>
    <col min="13572" max="13572" width="9.5703125" style="1" customWidth="1"/>
    <col min="13573" max="13573" width="50" style="1" customWidth="1"/>
    <col min="13574" max="13574" width="12.28515625" style="1" customWidth="1"/>
    <col min="13575" max="13575" width="8.5703125" style="1" customWidth="1"/>
    <col min="13576" max="13576" width="14.42578125" style="1" bestFit="1" customWidth="1"/>
    <col min="13577" max="13826" width="9.140625" style="1"/>
    <col min="13827" max="13827" width="6" style="1" customWidth="1"/>
    <col min="13828" max="13828" width="9.5703125" style="1" customWidth="1"/>
    <col min="13829" max="13829" width="50" style="1" customWidth="1"/>
    <col min="13830" max="13830" width="12.28515625" style="1" customWidth="1"/>
    <col min="13831" max="13831" width="8.5703125" style="1" customWidth="1"/>
    <col min="13832" max="13832" width="14.42578125" style="1" bestFit="1" customWidth="1"/>
    <col min="13833" max="14082" width="9.140625" style="1"/>
    <col min="14083" max="14083" width="6" style="1" customWidth="1"/>
    <col min="14084" max="14084" width="9.5703125" style="1" customWidth="1"/>
    <col min="14085" max="14085" width="50" style="1" customWidth="1"/>
    <col min="14086" max="14086" width="12.28515625" style="1" customWidth="1"/>
    <col min="14087" max="14087" width="8.5703125" style="1" customWidth="1"/>
    <col min="14088" max="14088" width="14.42578125" style="1" bestFit="1" customWidth="1"/>
    <col min="14089" max="14338" width="9.140625" style="1"/>
    <col min="14339" max="14339" width="6" style="1" customWidth="1"/>
    <col min="14340" max="14340" width="9.5703125" style="1" customWidth="1"/>
    <col min="14341" max="14341" width="50" style="1" customWidth="1"/>
    <col min="14342" max="14342" width="12.28515625" style="1" customWidth="1"/>
    <col min="14343" max="14343" width="8.5703125" style="1" customWidth="1"/>
    <col min="14344" max="14344" width="14.42578125" style="1" bestFit="1" customWidth="1"/>
    <col min="14345" max="14594" width="9.140625" style="1"/>
    <col min="14595" max="14595" width="6" style="1" customWidth="1"/>
    <col min="14596" max="14596" width="9.5703125" style="1" customWidth="1"/>
    <col min="14597" max="14597" width="50" style="1" customWidth="1"/>
    <col min="14598" max="14598" width="12.28515625" style="1" customWidth="1"/>
    <col min="14599" max="14599" width="8.5703125" style="1" customWidth="1"/>
    <col min="14600" max="14600" width="14.42578125" style="1" bestFit="1" customWidth="1"/>
    <col min="14601" max="14850" width="9.140625" style="1"/>
    <col min="14851" max="14851" width="6" style="1" customWidth="1"/>
    <col min="14852" max="14852" width="9.5703125" style="1" customWidth="1"/>
    <col min="14853" max="14853" width="50" style="1" customWidth="1"/>
    <col min="14854" max="14854" width="12.28515625" style="1" customWidth="1"/>
    <col min="14855" max="14855" width="8.5703125" style="1" customWidth="1"/>
    <col min="14856" max="14856" width="14.42578125" style="1" bestFit="1" customWidth="1"/>
    <col min="14857" max="15106" width="9.140625" style="1"/>
    <col min="15107" max="15107" width="6" style="1" customWidth="1"/>
    <col min="15108" max="15108" width="9.5703125" style="1" customWidth="1"/>
    <col min="15109" max="15109" width="50" style="1" customWidth="1"/>
    <col min="15110" max="15110" width="12.28515625" style="1" customWidth="1"/>
    <col min="15111" max="15111" width="8.5703125" style="1" customWidth="1"/>
    <col min="15112" max="15112" width="14.42578125" style="1" bestFit="1" customWidth="1"/>
    <col min="15113" max="15362" width="9.140625" style="1"/>
    <col min="15363" max="15363" width="6" style="1" customWidth="1"/>
    <col min="15364" max="15364" width="9.5703125" style="1" customWidth="1"/>
    <col min="15365" max="15365" width="50" style="1" customWidth="1"/>
    <col min="15366" max="15366" width="12.28515625" style="1" customWidth="1"/>
    <col min="15367" max="15367" width="8.5703125" style="1" customWidth="1"/>
    <col min="15368" max="15368" width="14.42578125" style="1" bestFit="1" customWidth="1"/>
    <col min="15369" max="15618" width="9.140625" style="1"/>
    <col min="15619" max="15619" width="6" style="1" customWidth="1"/>
    <col min="15620" max="15620" width="9.5703125" style="1" customWidth="1"/>
    <col min="15621" max="15621" width="50" style="1" customWidth="1"/>
    <col min="15622" max="15622" width="12.28515625" style="1" customWidth="1"/>
    <col min="15623" max="15623" width="8.5703125" style="1" customWidth="1"/>
    <col min="15624" max="15624" width="14.42578125" style="1" bestFit="1" customWidth="1"/>
    <col min="15625" max="15874" width="9.140625" style="1"/>
    <col min="15875" max="15875" width="6" style="1" customWidth="1"/>
    <col min="15876" max="15876" width="9.5703125" style="1" customWidth="1"/>
    <col min="15877" max="15877" width="50" style="1" customWidth="1"/>
    <col min="15878" max="15878" width="12.28515625" style="1" customWidth="1"/>
    <col min="15879" max="15879" width="8.5703125" style="1" customWidth="1"/>
    <col min="15880" max="15880" width="14.42578125" style="1" bestFit="1" customWidth="1"/>
    <col min="15881" max="16130" width="9.140625" style="1"/>
    <col min="16131" max="16131" width="6" style="1" customWidth="1"/>
    <col min="16132" max="16132" width="9.5703125" style="1" customWidth="1"/>
    <col min="16133" max="16133" width="50" style="1" customWidth="1"/>
    <col min="16134" max="16134" width="12.28515625" style="1" customWidth="1"/>
    <col min="16135" max="16135" width="8.5703125" style="1" customWidth="1"/>
    <col min="16136" max="16136" width="14.42578125" style="1" bestFit="1" customWidth="1"/>
    <col min="16137" max="16384" width="9.140625" style="1"/>
  </cols>
  <sheetData>
    <row r="1" spans="1:8" ht="16.5" customHeight="1">
      <c r="A1" s="548" t="s">
        <v>18</v>
      </c>
      <c r="B1" s="548"/>
      <c r="C1" s="548"/>
      <c r="D1" s="548"/>
      <c r="E1" s="548"/>
      <c r="F1" s="548"/>
      <c r="G1" s="548"/>
      <c r="H1" s="548"/>
    </row>
    <row r="2" spans="1:8" ht="9" customHeight="1">
      <c r="A2" s="548"/>
      <c r="B2" s="548"/>
      <c r="C2" s="548"/>
      <c r="D2" s="548"/>
      <c r="E2" s="548"/>
      <c r="F2" s="548"/>
      <c r="G2" s="548"/>
      <c r="H2" s="548"/>
    </row>
    <row r="3" spans="1:8" ht="45">
      <c r="A3" s="119" t="s">
        <v>19</v>
      </c>
      <c r="B3" s="189" t="s">
        <v>129</v>
      </c>
      <c r="C3" s="119" t="s">
        <v>20</v>
      </c>
      <c r="D3" s="119" t="s">
        <v>21</v>
      </c>
      <c r="E3" s="190" t="s">
        <v>294</v>
      </c>
      <c r="F3" s="190" t="s">
        <v>307</v>
      </c>
      <c r="G3" s="119" t="s">
        <v>295</v>
      </c>
      <c r="H3" s="119" t="s">
        <v>22</v>
      </c>
    </row>
    <row r="4" spans="1:8" ht="165">
      <c r="A4" s="120">
        <v>1</v>
      </c>
      <c r="B4" s="121" t="s">
        <v>23</v>
      </c>
      <c r="C4" s="105" t="s">
        <v>280</v>
      </c>
      <c r="D4" s="122"/>
      <c r="E4" s="122"/>
      <c r="F4" s="122"/>
      <c r="G4" s="102"/>
      <c r="H4" s="123"/>
    </row>
    <row r="5" spans="1:8" ht="45">
      <c r="A5" s="120">
        <v>2</v>
      </c>
      <c r="B5" s="121" t="s">
        <v>24</v>
      </c>
      <c r="C5" s="105" t="s">
        <v>200</v>
      </c>
      <c r="D5" s="124" t="s">
        <v>25</v>
      </c>
      <c r="E5" s="125">
        <v>4.95</v>
      </c>
      <c r="F5" s="102">
        <v>0</v>
      </c>
      <c r="G5" s="125">
        <f>E5+F5</f>
        <v>4.95</v>
      </c>
      <c r="H5" s="126">
        <f>+G5</f>
        <v>4.95</v>
      </c>
    </row>
    <row r="6" spans="1:8" ht="30">
      <c r="A6" s="120">
        <v>3</v>
      </c>
      <c r="B6" s="121" t="s">
        <v>26</v>
      </c>
      <c r="C6" s="195" t="s">
        <v>201</v>
      </c>
      <c r="D6" s="124" t="s">
        <v>25</v>
      </c>
      <c r="E6" s="125">
        <v>38.15</v>
      </c>
      <c r="F6" s="102">
        <v>0</v>
      </c>
      <c r="G6" s="125">
        <f t="shared" ref="G6:G11" si="0">E6+F6</f>
        <v>38.15</v>
      </c>
      <c r="H6" s="126">
        <f t="shared" ref="H6:H12" si="1">+G6</f>
        <v>38.15</v>
      </c>
    </row>
    <row r="7" spans="1:8" ht="60">
      <c r="A7" s="120">
        <v>4</v>
      </c>
      <c r="B7" s="121" t="s">
        <v>27</v>
      </c>
      <c r="C7" s="195" t="s">
        <v>216</v>
      </c>
      <c r="D7" s="124" t="s">
        <v>25</v>
      </c>
      <c r="E7" s="128">
        <v>28.85</v>
      </c>
      <c r="F7" s="102">
        <v>0</v>
      </c>
      <c r="G7" s="125">
        <f t="shared" si="0"/>
        <v>28.85</v>
      </c>
      <c r="H7" s="126">
        <f t="shared" si="1"/>
        <v>28.85</v>
      </c>
    </row>
    <row r="8" spans="1:8">
      <c r="A8" s="120">
        <v>5</v>
      </c>
      <c r="B8" s="121" t="s">
        <v>28</v>
      </c>
      <c r="C8" s="195" t="s">
        <v>153</v>
      </c>
      <c r="D8" s="124" t="s">
        <v>25</v>
      </c>
      <c r="E8" s="125">
        <f>20*1.15</f>
        <v>23</v>
      </c>
      <c r="F8" s="102">
        <v>0</v>
      </c>
      <c r="G8" s="125">
        <f t="shared" si="0"/>
        <v>23</v>
      </c>
      <c r="H8" s="126">
        <f t="shared" si="1"/>
        <v>23</v>
      </c>
    </row>
    <row r="9" spans="1:8">
      <c r="A9" s="120">
        <v>6</v>
      </c>
      <c r="B9" s="121" t="s">
        <v>29</v>
      </c>
      <c r="C9" s="197" t="s">
        <v>217</v>
      </c>
      <c r="D9" s="124" t="s">
        <v>25</v>
      </c>
      <c r="E9" s="125">
        <v>24.8</v>
      </c>
      <c r="F9" s="102">
        <v>0</v>
      </c>
      <c r="G9" s="125">
        <f t="shared" si="0"/>
        <v>24.8</v>
      </c>
      <c r="H9" s="126">
        <f t="shared" si="1"/>
        <v>24.8</v>
      </c>
    </row>
    <row r="10" spans="1:8" ht="45">
      <c r="A10" s="120">
        <v>7</v>
      </c>
      <c r="B10" s="121" t="s">
        <v>30</v>
      </c>
      <c r="C10" s="195" t="s">
        <v>218</v>
      </c>
      <c r="D10" s="124" t="s">
        <v>25</v>
      </c>
      <c r="E10" s="125">
        <v>10.85</v>
      </c>
      <c r="F10" s="102">
        <v>0</v>
      </c>
      <c r="G10" s="125">
        <f t="shared" si="0"/>
        <v>10.85</v>
      </c>
      <c r="H10" s="126">
        <f t="shared" si="1"/>
        <v>10.85</v>
      </c>
    </row>
    <row r="11" spans="1:8" ht="45">
      <c r="A11" s="120">
        <v>8</v>
      </c>
      <c r="B11" s="121" t="s">
        <v>31</v>
      </c>
      <c r="C11" s="195" t="s">
        <v>219</v>
      </c>
      <c r="D11" s="124" t="s">
        <v>25</v>
      </c>
      <c r="E11" s="125">
        <v>12.4</v>
      </c>
      <c r="F11" s="102">
        <v>0</v>
      </c>
      <c r="G11" s="125">
        <f t="shared" si="0"/>
        <v>12.4</v>
      </c>
      <c r="H11" s="126">
        <f t="shared" si="1"/>
        <v>12.4</v>
      </c>
    </row>
    <row r="12" spans="1:8" ht="75">
      <c r="A12" s="120">
        <v>10</v>
      </c>
      <c r="B12" s="121" t="s">
        <v>32</v>
      </c>
      <c r="C12" s="195" t="s">
        <v>220</v>
      </c>
      <c r="D12" s="122" t="s">
        <v>25</v>
      </c>
      <c r="E12" s="125">
        <v>500</v>
      </c>
      <c r="F12" s="102">
        <v>0</v>
      </c>
      <c r="G12" s="125">
        <f t="shared" ref="G12:G16" si="2">E12+F12</f>
        <v>500</v>
      </c>
      <c r="H12" s="126">
        <f t="shared" si="1"/>
        <v>500</v>
      </c>
    </row>
    <row r="13" spans="1:8" ht="90">
      <c r="A13" s="120">
        <v>11</v>
      </c>
      <c r="B13" s="121" t="s">
        <v>33</v>
      </c>
      <c r="C13" s="195" t="s">
        <v>221</v>
      </c>
      <c r="D13" s="122" t="s">
        <v>25</v>
      </c>
      <c r="E13" s="125">
        <v>12.35</v>
      </c>
      <c r="F13" s="102">
        <v>0</v>
      </c>
      <c r="G13" s="125">
        <f t="shared" si="2"/>
        <v>12.35</v>
      </c>
      <c r="H13" s="126">
        <f>+G13</f>
        <v>12.35</v>
      </c>
    </row>
    <row r="14" spans="1:8" ht="45">
      <c r="A14" s="120">
        <v>12</v>
      </c>
      <c r="B14" s="121" t="s">
        <v>34</v>
      </c>
      <c r="C14" s="195" t="s">
        <v>222</v>
      </c>
      <c r="D14" s="122" t="s">
        <v>35</v>
      </c>
      <c r="E14" s="125">
        <v>13.9</v>
      </c>
      <c r="F14" s="102">
        <v>0</v>
      </c>
      <c r="G14" s="125">
        <f>E14+F14</f>
        <v>13.9</v>
      </c>
      <c r="H14" s="126">
        <f>+G14*1.5</f>
        <v>20.85</v>
      </c>
    </row>
    <row r="15" spans="1:8">
      <c r="A15" s="120">
        <v>13</v>
      </c>
      <c r="B15" s="121" t="s">
        <v>36</v>
      </c>
      <c r="C15" s="195" t="s">
        <v>223</v>
      </c>
      <c r="D15" s="122" t="s">
        <v>25</v>
      </c>
      <c r="E15" s="125">
        <v>5</v>
      </c>
      <c r="F15" s="102">
        <v>0</v>
      </c>
      <c r="G15" s="125">
        <f t="shared" si="2"/>
        <v>5</v>
      </c>
      <c r="H15" s="126">
        <f t="shared" ref="H15" si="3">+G15</f>
        <v>5</v>
      </c>
    </row>
    <row r="16" spans="1:8">
      <c r="A16" s="120">
        <v>14</v>
      </c>
      <c r="B16" s="121"/>
      <c r="C16" s="108" t="s">
        <v>37</v>
      </c>
      <c r="D16" s="122"/>
      <c r="E16" s="125">
        <v>20</v>
      </c>
      <c r="F16" s="102">
        <v>0</v>
      </c>
      <c r="G16" s="125">
        <f t="shared" si="2"/>
        <v>20</v>
      </c>
      <c r="H16" s="126">
        <v>20</v>
      </c>
    </row>
    <row r="17" spans="1:10">
      <c r="A17" s="129"/>
      <c r="B17" s="130"/>
      <c r="C17" s="131" t="s">
        <v>38</v>
      </c>
      <c r="D17" s="132"/>
      <c r="E17" s="132"/>
      <c r="F17" s="132"/>
      <c r="G17" s="130"/>
      <c r="H17" s="133">
        <f>SUM(H5:H16)</f>
        <v>701.2</v>
      </c>
    </row>
    <row r="18" spans="1:10">
      <c r="A18" s="134"/>
      <c r="B18" s="135"/>
      <c r="C18" s="136" t="s">
        <v>39</v>
      </c>
      <c r="D18" s="137"/>
      <c r="E18" s="137"/>
      <c r="F18" s="137"/>
      <c r="G18" s="138">
        <v>0.1</v>
      </c>
      <c r="H18" s="139">
        <f>+H17*10%</f>
        <v>70.12</v>
      </c>
      <c r="J18" s="2"/>
    </row>
    <row r="19" spans="1:10">
      <c r="A19" s="140"/>
      <c r="B19" s="135"/>
      <c r="C19" s="141" t="s">
        <v>38</v>
      </c>
      <c r="D19" s="137"/>
      <c r="E19" s="142"/>
      <c r="F19" s="142"/>
      <c r="G19" s="143"/>
      <c r="H19" s="144">
        <f>+H18+H17</f>
        <v>771.32</v>
      </c>
    </row>
    <row r="20" spans="1:10">
      <c r="A20" s="145" t="s">
        <v>40</v>
      </c>
      <c r="B20" s="135"/>
      <c r="C20" s="146" t="s">
        <v>140</v>
      </c>
      <c r="D20" s="137"/>
      <c r="E20" s="137"/>
      <c r="F20" s="137"/>
      <c r="G20" s="135"/>
      <c r="H20" s="147">
        <f>H19/2000</f>
        <v>0.38566</v>
      </c>
    </row>
    <row r="21" spans="1:10">
      <c r="A21" s="148"/>
      <c r="B21" s="149"/>
      <c r="C21" s="95" t="s">
        <v>181</v>
      </c>
      <c r="D21" s="150"/>
      <c r="E21" s="150"/>
      <c r="F21" s="150"/>
      <c r="G21" s="151"/>
      <c r="H21" s="143"/>
    </row>
    <row r="23" spans="1:10">
      <c r="F23" s="143"/>
      <c r="G23" s="166" t="s">
        <v>126</v>
      </c>
      <c r="H23" s="143"/>
    </row>
    <row r="24" spans="1:10">
      <c r="F24" s="143"/>
      <c r="G24" s="166"/>
      <c r="H24" s="143"/>
    </row>
  </sheetData>
  <mergeCells count="1">
    <mergeCell ref="A1:H2"/>
  </mergeCells>
  <pageMargins left="0.51" right="0.14000000000000001" top="0.63" bottom="0.75" header="0.3" footer="0.3"/>
  <pageSetup paperSize="9" scale="96" fitToHeight="0"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tint="0.79998168889431442"/>
    <pageSetUpPr fitToPage="1"/>
  </sheetPr>
  <dimension ref="A1:L27"/>
  <sheetViews>
    <sheetView view="pageBreakPreview" topLeftCell="A13" zoomScale="85" zoomScaleNormal="85" zoomScaleSheetLayoutView="85" workbookViewId="0">
      <selection activeCell="F23" sqref="F23"/>
    </sheetView>
  </sheetViews>
  <sheetFormatPr defaultRowHeight="15"/>
  <cols>
    <col min="1" max="1" width="11.28515625" style="249" customWidth="1"/>
    <col min="2" max="2" width="45.7109375" style="249" customWidth="1"/>
    <col min="3" max="3" width="6.7109375" style="249" customWidth="1"/>
    <col min="4" max="4" width="6" style="249" customWidth="1"/>
    <col min="5" max="5" width="10.28515625" style="249" customWidth="1"/>
    <col min="6" max="6" width="11" style="249" customWidth="1"/>
    <col min="7" max="7" width="10.5703125" style="249" customWidth="1"/>
    <col min="8" max="8" width="5.7109375" style="249" customWidth="1"/>
    <col min="9" max="9" width="9.5703125" style="249" customWidth="1"/>
    <col min="10" max="10" width="3.42578125" style="249" hidden="1" customWidth="1"/>
    <col min="11" max="11" width="9.42578125" style="249" hidden="1" customWidth="1"/>
    <col min="12" max="12" width="17" style="249" customWidth="1"/>
    <col min="13" max="16384" width="9.140625" style="249"/>
  </cols>
  <sheetData>
    <row r="1" spans="1:12" ht="16.5" customHeight="1">
      <c r="A1" s="557" t="s">
        <v>188</v>
      </c>
      <c r="B1" s="557"/>
      <c r="C1" s="557"/>
      <c r="D1" s="557"/>
      <c r="E1" s="557"/>
      <c r="F1" s="557"/>
      <c r="G1" s="557"/>
      <c r="H1" s="557"/>
      <c r="I1" s="557"/>
    </row>
    <row r="2" spans="1:12">
      <c r="A2" s="558"/>
      <c r="B2" s="558"/>
      <c r="C2" s="558"/>
      <c r="D2" s="558"/>
      <c r="E2" s="558"/>
      <c r="F2" s="558"/>
      <c r="G2" s="558"/>
      <c r="H2" s="558"/>
      <c r="I2" s="558"/>
    </row>
    <row r="3" spans="1:12">
      <c r="A3" s="259"/>
      <c r="B3" s="260"/>
      <c r="C3" s="260"/>
      <c r="G3" s="261" t="s">
        <v>77</v>
      </c>
      <c r="H3" s="260"/>
      <c r="I3" s="260"/>
    </row>
    <row r="4" spans="1:12" s="262" customFormat="1" ht="28.5" customHeight="1">
      <c r="A4" s="559" t="s">
        <v>76</v>
      </c>
      <c r="B4" s="559" t="s">
        <v>75</v>
      </c>
      <c r="C4" s="561" t="s">
        <v>21</v>
      </c>
      <c r="D4" s="559" t="s">
        <v>154</v>
      </c>
      <c r="E4" s="560" t="s">
        <v>189</v>
      </c>
      <c r="F4" s="560"/>
      <c r="G4" s="560"/>
      <c r="H4" s="560"/>
      <c r="I4" s="559" t="s">
        <v>22</v>
      </c>
    </row>
    <row r="5" spans="1:12" s="264" customFormat="1" ht="45">
      <c r="A5" s="559"/>
      <c r="B5" s="559"/>
      <c r="C5" s="562"/>
      <c r="D5" s="559"/>
      <c r="E5" s="263" t="s">
        <v>64</v>
      </c>
      <c r="F5" s="304" t="s">
        <v>307</v>
      </c>
      <c r="G5" s="263" t="s">
        <v>190</v>
      </c>
      <c r="H5" s="263" t="s">
        <v>65</v>
      </c>
      <c r="I5" s="559"/>
    </row>
    <row r="6" spans="1:12" s="269" customFormat="1" ht="75">
      <c r="A6" s="265" t="s">
        <v>74</v>
      </c>
      <c r="B6" s="285" t="s">
        <v>247</v>
      </c>
      <c r="C6" s="285" t="s">
        <v>69</v>
      </c>
      <c r="D6" s="265">
        <v>1</v>
      </c>
      <c r="E6" s="266">
        <v>356.65</v>
      </c>
      <c r="F6" s="266">
        <v>0</v>
      </c>
      <c r="G6" s="266">
        <f>E6+F6</f>
        <v>356.65</v>
      </c>
      <c r="H6" s="267">
        <v>1</v>
      </c>
      <c r="I6" s="268">
        <f t="shared" ref="I6" si="0">+ROUND(D6*G6/H6,0)</f>
        <v>357</v>
      </c>
      <c r="L6" s="270"/>
    </row>
    <row r="7" spans="1:12" s="269" customFormat="1" ht="210">
      <c r="A7" s="265" t="s">
        <v>73</v>
      </c>
      <c r="B7" s="285" t="s">
        <v>248</v>
      </c>
      <c r="C7" s="285"/>
      <c r="D7" s="265"/>
      <c r="E7" s="266"/>
      <c r="F7" s="266"/>
      <c r="G7" s="266"/>
      <c r="H7" s="267"/>
      <c r="I7" s="267"/>
      <c r="L7" s="270"/>
    </row>
    <row r="8" spans="1:12" s="269" customFormat="1" ht="30">
      <c r="A8" s="265" t="s">
        <v>121</v>
      </c>
      <c r="B8" s="269" t="s">
        <v>250</v>
      </c>
      <c r="C8" s="267" t="s">
        <v>79</v>
      </c>
      <c r="D8" s="265">
        <v>0.2</v>
      </c>
      <c r="E8" s="266">
        <v>1982.25</v>
      </c>
      <c r="F8" s="266">
        <v>0</v>
      </c>
      <c r="G8" s="266">
        <f t="shared" ref="G8:G20" si="1">E8+F8</f>
        <v>1982.25</v>
      </c>
      <c r="H8" s="271">
        <v>1</v>
      </c>
      <c r="I8" s="268">
        <f t="shared" ref="I8:I10" si="2">+ROUND(D8*G8/H8,0)</f>
        <v>396</v>
      </c>
      <c r="L8" s="270"/>
    </row>
    <row r="9" spans="1:12" s="269" customFormat="1" ht="30">
      <c r="A9" s="265" t="s">
        <v>249</v>
      </c>
      <c r="B9" s="272" t="s">
        <v>251</v>
      </c>
      <c r="C9" s="267" t="s">
        <v>79</v>
      </c>
      <c r="D9" s="265">
        <v>0.2</v>
      </c>
      <c r="E9" s="266">
        <v>2979.55</v>
      </c>
      <c r="F9" s="266">
        <v>0</v>
      </c>
      <c r="G9" s="266">
        <f t="shared" si="1"/>
        <v>2979.55</v>
      </c>
      <c r="H9" s="271">
        <v>1</v>
      </c>
      <c r="I9" s="268">
        <f t="shared" si="2"/>
        <v>596</v>
      </c>
      <c r="L9" s="270"/>
    </row>
    <row r="10" spans="1:12" s="269" customFormat="1" ht="60">
      <c r="A10" s="265" t="s">
        <v>235</v>
      </c>
      <c r="B10" s="272" t="s">
        <v>252</v>
      </c>
      <c r="C10" s="267" t="s">
        <v>79</v>
      </c>
      <c r="D10" s="265">
        <v>0.6</v>
      </c>
      <c r="E10" s="266">
        <v>7000</v>
      </c>
      <c r="F10" s="266">
        <v>0</v>
      </c>
      <c r="G10" s="266">
        <f t="shared" si="1"/>
        <v>7000</v>
      </c>
      <c r="H10" s="271">
        <v>1</v>
      </c>
      <c r="I10" s="268">
        <f t="shared" si="2"/>
        <v>4200</v>
      </c>
      <c r="L10" s="270"/>
    </row>
    <row r="11" spans="1:12" s="269" customFormat="1" ht="150">
      <c r="A11" s="265" t="s">
        <v>72</v>
      </c>
      <c r="B11" s="285" t="s">
        <v>253</v>
      </c>
      <c r="C11" s="285"/>
      <c r="D11" s="265"/>
      <c r="E11" s="266"/>
      <c r="F11" s="266">
        <f t="shared" ref="F11" si="3">E11*25%</f>
        <v>0</v>
      </c>
      <c r="G11" s="266">
        <f t="shared" si="1"/>
        <v>0</v>
      </c>
      <c r="H11" s="267"/>
      <c r="I11" s="267"/>
    </row>
    <row r="12" spans="1:12" s="269" customFormat="1" ht="30">
      <c r="A12" s="265" t="s">
        <v>121</v>
      </c>
      <c r="B12" s="269" t="s">
        <v>250</v>
      </c>
      <c r="C12" s="267" t="s">
        <v>79</v>
      </c>
      <c r="D12" s="265">
        <v>0.4</v>
      </c>
      <c r="E12" s="266">
        <v>5184.3</v>
      </c>
      <c r="F12" s="266">
        <v>0</v>
      </c>
      <c r="G12" s="266">
        <f t="shared" si="1"/>
        <v>5184.3</v>
      </c>
      <c r="H12" s="271">
        <v>1</v>
      </c>
      <c r="I12" s="268">
        <f t="shared" ref="I12:I14" si="4">+ROUND(D12*G12/H12,0)</f>
        <v>2074</v>
      </c>
    </row>
    <row r="13" spans="1:12" s="269" customFormat="1" ht="30">
      <c r="A13" s="265" t="s">
        <v>249</v>
      </c>
      <c r="B13" s="272" t="s">
        <v>251</v>
      </c>
      <c r="C13" s="267" t="s">
        <v>79</v>
      </c>
      <c r="D13" s="265">
        <v>0.3</v>
      </c>
      <c r="E13" s="266">
        <v>10034.1</v>
      </c>
      <c r="F13" s="266">
        <v>0</v>
      </c>
      <c r="G13" s="266">
        <f t="shared" si="1"/>
        <v>10034.1</v>
      </c>
      <c r="H13" s="271">
        <v>1</v>
      </c>
      <c r="I13" s="268">
        <f t="shared" si="4"/>
        <v>3010</v>
      </c>
    </row>
    <row r="14" spans="1:12" s="269" customFormat="1" ht="60">
      <c r="A14" s="265" t="s">
        <v>235</v>
      </c>
      <c r="B14" s="272" t="s">
        <v>252</v>
      </c>
      <c r="C14" s="267" t="s">
        <v>79</v>
      </c>
      <c r="D14" s="265">
        <v>0.3</v>
      </c>
      <c r="E14" s="266">
        <v>13044.8</v>
      </c>
      <c r="F14" s="266">
        <v>0</v>
      </c>
      <c r="G14" s="266">
        <f t="shared" si="1"/>
        <v>13044.8</v>
      </c>
      <c r="H14" s="271">
        <v>1</v>
      </c>
      <c r="I14" s="268">
        <f t="shared" si="4"/>
        <v>3913</v>
      </c>
    </row>
    <row r="15" spans="1:12" s="269" customFormat="1" ht="45">
      <c r="A15" s="265" t="s">
        <v>71</v>
      </c>
      <c r="B15" s="272" t="s">
        <v>254</v>
      </c>
      <c r="C15" s="272"/>
      <c r="D15" s="265"/>
      <c r="E15" s="266"/>
      <c r="F15" s="266"/>
      <c r="G15" s="266"/>
      <c r="H15" s="267"/>
      <c r="I15" s="267"/>
    </row>
    <row r="16" spans="1:12" s="269" customFormat="1" ht="30">
      <c r="A16" s="265" t="s">
        <v>121</v>
      </c>
      <c r="B16" s="269" t="s">
        <v>250</v>
      </c>
      <c r="C16" s="267" t="s">
        <v>79</v>
      </c>
      <c r="D16" s="265">
        <v>0.4</v>
      </c>
      <c r="E16" s="266">
        <v>5520.1</v>
      </c>
      <c r="F16" s="266">
        <v>0</v>
      </c>
      <c r="G16" s="266">
        <f t="shared" si="1"/>
        <v>5520.1</v>
      </c>
      <c r="H16" s="271">
        <v>1</v>
      </c>
      <c r="I16" s="268">
        <f t="shared" ref="I16:I18" si="5">+ROUND(D16*G16/H16,0)</f>
        <v>2208</v>
      </c>
    </row>
    <row r="17" spans="1:12" s="269" customFormat="1" ht="30">
      <c r="A17" s="265" t="s">
        <v>249</v>
      </c>
      <c r="B17" s="272" t="s">
        <v>251</v>
      </c>
      <c r="C17" s="267" t="s">
        <v>79</v>
      </c>
      <c r="D17" s="265">
        <v>0.4</v>
      </c>
      <c r="E17" s="266">
        <v>8759.7999999999993</v>
      </c>
      <c r="F17" s="266">
        <v>0</v>
      </c>
      <c r="G17" s="266">
        <f t="shared" si="1"/>
        <v>8759.7999999999993</v>
      </c>
      <c r="H17" s="271">
        <v>1</v>
      </c>
      <c r="I17" s="268">
        <f t="shared" si="5"/>
        <v>3504</v>
      </c>
    </row>
    <row r="18" spans="1:12" s="269" customFormat="1" ht="60">
      <c r="A18" s="265" t="s">
        <v>235</v>
      </c>
      <c r="B18" s="272" t="s">
        <v>252</v>
      </c>
      <c r="C18" s="267" t="s">
        <v>79</v>
      </c>
      <c r="D18" s="265">
        <v>0.2</v>
      </c>
      <c r="E18" s="266">
        <v>10213.950000000001</v>
      </c>
      <c r="F18" s="266">
        <v>0</v>
      </c>
      <c r="G18" s="266">
        <f t="shared" si="1"/>
        <v>10213.950000000001</v>
      </c>
      <c r="H18" s="271">
        <v>1</v>
      </c>
      <c r="I18" s="268">
        <f t="shared" si="5"/>
        <v>2043</v>
      </c>
    </row>
    <row r="19" spans="1:12" s="269" customFormat="1" ht="195">
      <c r="A19" s="265" t="s">
        <v>117</v>
      </c>
      <c r="B19" s="272" t="s">
        <v>255</v>
      </c>
      <c r="C19" s="272"/>
      <c r="D19" s="265"/>
      <c r="E19" s="266"/>
      <c r="F19" s="266"/>
      <c r="G19" s="266"/>
      <c r="H19" s="267"/>
      <c r="I19" s="267"/>
    </row>
    <row r="20" spans="1:12" s="269" customFormat="1" ht="30">
      <c r="A20" s="265" t="s">
        <v>121</v>
      </c>
      <c r="B20" s="272" t="s">
        <v>256</v>
      </c>
      <c r="C20" s="272" t="s">
        <v>146</v>
      </c>
      <c r="D20" s="265">
        <v>1</v>
      </c>
      <c r="E20" s="266">
        <v>16378.65</v>
      </c>
      <c r="F20" s="266">
        <v>0</v>
      </c>
      <c r="G20" s="266">
        <f t="shared" si="1"/>
        <v>16378.65</v>
      </c>
      <c r="H20" s="267">
        <v>1</v>
      </c>
      <c r="I20" s="268">
        <f t="shared" ref="I20" si="6">+ROUND(D20*G20/H20,0)</f>
        <v>16379</v>
      </c>
    </row>
    <row r="21" spans="1:12" s="277" customFormat="1">
      <c r="A21" s="273"/>
      <c r="B21" s="274" t="s">
        <v>68</v>
      </c>
      <c r="C21" s="274"/>
      <c r="D21" s="275"/>
      <c r="E21" s="275"/>
      <c r="F21" s="275"/>
      <c r="G21" s="275"/>
      <c r="H21" s="275"/>
      <c r="I21" s="276">
        <f>SUM(I6:I20)</f>
        <v>38680</v>
      </c>
      <c r="K21" s="278">
        <f>I21/100000</f>
        <v>0.38679999999999998</v>
      </c>
      <c r="L21" s="279">
        <f>I21/100000</f>
        <v>0.38679999999999998</v>
      </c>
    </row>
    <row r="22" spans="1:12">
      <c r="A22" s="280"/>
      <c r="B22" s="229" t="s">
        <v>181</v>
      </c>
      <c r="C22" s="229"/>
      <c r="D22" s="280"/>
      <c r="E22" s="280"/>
      <c r="F22" s="280"/>
      <c r="G22" s="280"/>
      <c r="H22" s="280"/>
      <c r="I22" s="280"/>
    </row>
    <row r="23" spans="1:12">
      <c r="A23" s="280"/>
      <c r="B23" s="280"/>
      <c r="C23" s="280"/>
      <c r="D23" s="280"/>
      <c r="E23" s="280"/>
      <c r="F23" s="280"/>
      <c r="G23" s="280"/>
      <c r="H23" s="280"/>
      <c r="I23" s="280"/>
    </row>
    <row r="24" spans="1:12">
      <c r="B24" s="281"/>
      <c r="C24" s="281"/>
      <c r="D24" s="260"/>
      <c r="E24" s="260"/>
      <c r="F24" s="260"/>
      <c r="G24" s="281"/>
      <c r="H24" s="281"/>
      <c r="I24" s="260"/>
    </row>
    <row r="25" spans="1:12">
      <c r="B25" s="260"/>
      <c r="C25" s="260"/>
      <c r="D25" s="260"/>
      <c r="E25" s="260"/>
      <c r="F25" s="260"/>
      <c r="G25" s="286" t="s">
        <v>126</v>
      </c>
      <c r="H25" s="283"/>
      <c r="I25" s="281"/>
    </row>
    <row r="26" spans="1:12">
      <c r="B26" s="260"/>
      <c r="C26" s="260"/>
      <c r="D26" s="260"/>
      <c r="E26" s="260"/>
      <c r="F26" s="260"/>
      <c r="G26" s="286"/>
      <c r="H26" s="283"/>
      <c r="I26" s="284"/>
    </row>
    <row r="27" spans="1:12">
      <c r="B27" s="260"/>
      <c r="C27" s="260"/>
      <c r="I27" s="260"/>
    </row>
  </sheetData>
  <mergeCells count="8">
    <mergeCell ref="A1:I1"/>
    <mergeCell ref="A2:I2"/>
    <mergeCell ref="A4:A5"/>
    <mergeCell ref="B4:B5"/>
    <mergeCell ref="D4:D5"/>
    <mergeCell ref="E4:H4"/>
    <mergeCell ref="I4:I5"/>
    <mergeCell ref="C4:C5"/>
  </mergeCells>
  <printOptions horizontalCentered="1"/>
  <pageMargins left="0.53" right="0.5" top="0.6" bottom="0.6" header="0.41" footer="0.25"/>
  <pageSetup paperSize="9" scale="58"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tint="0.79998168889431442"/>
    <pageSetUpPr fitToPage="1"/>
  </sheetPr>
  <dimension ref="A1:J45"/>
  <sheetViews>
    <sheetView view="pageBreakPreview" topLeftCell="A16" zoomScale="85" zoomScaleNormal="85" zoomScaleSheetLayoutView="85" workbookViewId="0">
      <selection activeCell="G7" sqref="G7"/>
    </sheetView>
  </sheetViews>
  <sheetFormatPr defaultRowHeight="14.25"/>
  <cols>
    <col min="1" max="1" width="10.5703125" style="207" customWidth="1"/>
    <col min="2" max="2" width="45.7109375" style="20" customWidth="1"/>
    <col min="3" max="3" width="5.5703125" style="21" bestFit="1" customWidth="1"/>
    <col min="4" max="4" width="7" style="20" customWidth="1"/>
    <col min="5" max="5" width="9.42578125" style="20" bestFit="1" customWidth="1"/>
    <col min="6" max="6" width="12.140625" style="20" customWidth="1"/>
    <col min="7" max="7" width="10.28515625" style="20" customWidth="1"/>
    <col min="8" max="8" width="4.85546875" style="20" bestFit="1" customWidth="1"/>
    <col min="9" max="9" width="12.140625" style="20" bestFit="1" customWidth="1"/>
    <col min="10" max="10" width="3.42578125" style="20" customWidth="1"/>
    <col min="11" max="257" width="9.140625" style="20"/>
    <col min="258" max="258" width="10.5703125" style="20" customWidth="1"/>
    <col min="259" max="259" width="75.28515625" style="20" customWidth="1"/>
    <col min="260" max="260" width="12.140625" style="20" customWidth="1"/>
    <col min="261" max="261" width="10.28515625" style="20" customWidth="1"/>
    <col min="262" max="262" width="9.140625" style="20" bestFit="1" customWidth="1"/>
    <col min="263" max="263" width="12.140625" style="20" bestFit="1" customWidth="1"/>
    <col min="264" max="264" width="3.42578125" style="20" customWidth="1"/>
    <col min="265" max="265" width="9.42578125" style="20" bestFit="1" customWidth="1"/>
    <col min="266" max="266" width="11" style="20" bestFit="1" customWidth="1"/>
    <col min="267" max="513" width="9.140625" style="20"/>
    <col min="514" max="514" width="10.5703125" style="20" customWidth="1"/>
    <col min="515" max="515" width="75.28515625" style="20" customWidth="1"/>
    <col min="516" max="516" width="12.140625" style="20" customWidth="1"/>
    <col min="517" max="517" width="10.28515625" style="20" customWidth="1"/>
    <col min="518" max="518" width="9.140625" style="20" bestFit="1" customWidth="1"/>
    <col min="519" max="519" width="12.140625" style="20" bestFit="1" customWidth="1"/>
    <col min="520" max="520" width="3.42578125" style="20" customWidth="1"/>
    <col min="521" max="521" width="9.42578125" style="20" bestFit="1" customWidth="1"/>
    <col min="522" max="522" width="11" style="20" bestFit="1" customWidth="1"/>
    <col min="523" max="769" width="9.140625" style="20"/>
    <col min="770" max="770" width="10.5703125" style="20" customWidth="1"/>
    <col min="771" max="771" width="75.28515625" style="20" customWidth="1"/>
    <col min="772" max="772" width="12.140625" style="20" customWidth="1"/>
    <col min="773" max="773" width="10.28515625" style="20" customWidth="1"/>
    <col min="774" max="774" width="9.140625" style="20" bestFit="1" customWidth="1"/>
    <col min="775" max="775" width="12.140625" style="20" bestFit="1" customWidth="1"/>
    <col min="776" max="776" width="3.42578125" style="20" customWidth="1"/>
    <col min="777" max="777" width="9.42578125" style="20" bestFit="1" customWidth="1"/>
    <col min="778" max="778" width="11" style="20" bestFit="1" customWidth="1"/>
    <col min="779" max="1025" width="9.140625" style="20"/>
    <col min="1026" max="1026" width="10.5703125" style="20" customWidth="1"/>
    <col min="1027" max="1027" width="75.28515625" style="20" customWidth="1"/>
    <col min="1028" max="1028" width="12.140625" style="20" customWidth="1"/>
    <col min="1029" max="1029" width="10.28515625" style="20" customWidth="1"/>
    <col min="1030" max="1030" width="9.140625" style="20" bestFit="1" customWidth="1"/>
    <col min="1031" max="1031" width="12.140625" style="20" bestFit="1" customWidth="1"/>
    <col min="1032" max="1032" width="3.42578125" style="20" customWidth="1"/>
    <col min="1033" max="1033" width="9.42578125" style="20" bestFit="1" customWidth="1"/>
    <col min="1034" max="1034" width="11" style="20" bestFit="1" customWidth="1"/>
    <col min="1035" max="1281" width="9.140625" style="20"/>
    <col min="1282" max="1282" width="10.5703125" style="20" customWidth="1"/>
    <col min="1283" max="1283" width="75.28515625" style="20" customWidth="1"/>
    <col min="1284" max="1284" width="12.140625" style="20" customWidth="1"/>
    <col min="1285" max="1285" width="10.28515625" style="20" customWidth="1"/>
    <col min="1286" max="1286" width="9.140625" style="20" bestFit="1" customWidth="1"/>
    <col min="1287" max="1287" width="12.140625" style="20" bestFit="1" customWidth="1"/>
    <col min="1288" max="1288" width="3.42578125" style="20" customWidth="1"/>
    <col min="1289" max="1289" width="9.42578125" style="20" bestFit="1" customWidth="1"/>
    <col min="1290" max="1290" width="11" style="20" bestFit="1" customWidth="1"/>
    <col min="1291" max="1537" width="9.140625" style="20"/>
    <col min="1538" max="1538" width="10.5703125" style="20" customWidth="1"/>
    <col min="1539" max="1539" width="75.28515625" style="20" customWidth="1"/>
    <col min="1540" max="1540" width="12.140625" style="20" customWidth="1"/>
    <col min="1541" max="1541" width="10.28515625" style="20" customWidth="1"/>
    <col min="1542" max="1542" width="9.140625" style="20" bestFit="1" customWidth="1"/>
    <col min="1543" max="1543" width="12.140625" style="20" bestFit="1" customWidth="1"/>
    <col min="1544" max="1544" width="3.42578125" style="20" customWidth="1"/>
    <col min="1545" max="1545" width="9.42578125" style="20" bestFit="1" customWidth="1"/>
    <col min="1546" max="1546" width="11" style="20" bestFit="1" customWidth="1"/>
    <col min="1547" max="1793" width="9.140625" style="20"/>
    <col min="1794" max="1794" width="10.5703125" style="20" customWidth="1"/>
    <col min="1795" max="1795" width="75.28515625" style="20" customWidth="1"/>
    <col min="1796" max="1796" width="12.140625" style="20" customWidth="1"/>
    <col min="1797" max="1797" width="10.28515625" style="20" customWidth="1"/>
    <col min="1798" max="1798" width="9.140625" style="20" bestFit="1" customWidth="1"/>
    <col min="1799" max="1799" width="12.140625" style="20" bestFit="1" customWidth="1"/>
    <col min="1800" max="1800" width="3.42578125" style="20" customWidth="1"/>
    <col min="1801" max="1801" width="9.42578125" style="20" bestFit="1" customWidth="1"/>
    <col min="1802" max="1802" width="11" style="20" bestFit="1" customWidth="1"/>
    <col min="1803" max="2049" width="9.140625" style="20"/>
    <col min="2050" max="2050" width="10.5703125" style="20" customWidth="1"/>
    <col min="2051" max="2051" width="75.28515625" style="20" customWidth="1"/>
    <col min="2052" max="2052" width="12.140625" style="20" customWidth="1"/>
    <col min="2053" max="2053" width="10.28515625" style="20" customWidth="1"/>
    <col min="2054" max="2054" width="9.140625" style="20" bestFit="1" customWidth="1"/>
    <col min="2055" max="2055" width="12.140625" style="20" bestFit="1" customWidth="1"/>
    <col min="2056" max="2056" width="3.42578125" style="20" customWidth="1"/>
    <col min="2057" max="2057" width="9.42578125" style="20" bestFit="1" customWidth="1"/>
    <col min="2058" max="2058" width="11" style="20" bestFit="1" customWidth="1"/>
    <col min="2059" max="2305" width="9.140625" style="20"/>
    <col min="2306" max="2306" width="10.5703125" style="20" customWidth="1"/>
    <col min="2307" max="2307" width="75.28515625" style="20" customWidth="1"/>
    <col min="2308" max="2308" width="12.140625" style="20" customWidth="1"/>
    <col min="2309" max="2309" width="10.28515625" style="20" customWidth="1"/>
    <col min="2310" max="2310" width="9.140625" style="20" bestFit="1" customWidth="1"/>
    <col min="2311" max="2311" width="12.140625" style="20" bestFit="1" customWidth="1"/>
    <col min="2312" max="2312" width="3.42578125" style="20" customWidth="1"/>
    <col min="2313" max="2313" width="9.42578125" style="20" bestFit="1" customWidth="1"/>
    <col min="2314" max="2314" width="11" style="20" bestFit="1" customWidth="1"/>
    <col min="2315" max="2561" width="9.140625" style="20"/>
    <col min="2562" max="2562" width="10.5703125" style="20" customWidth="1"/>
    <col min="2563" max="2563" width="75.28515625" style="20" customWidth="1"/>
    <col min="2564" max="2564" width="12.140625" style="20" customWidth="1"/>
    <col min="2565" max="2565" width="10.28515625" style="20" customWidth="1"/>
    <col min="2566" max="2566" width="9.140625" style="20" bestFit="1" customWidth="1"/>
    <col min="2567" max="2567" width="12.140625" style="20" bestFit="1" customWidth="1"/>
    <col min="2568" max="2568" width="3.42578125" style="20" customWidth="1"/>
    <col min="2569" max="2569" width="9.42578125" style="20" bestFit="1" customWidth="1"/>
    <col min="2570" max="2570" width="11" style="20" bestFit="1" customWidth="1"/>
    <col min="2571" max="2817" width="9.140625" style="20"/>
    <col min="2818" max="2818" width="10.5703125" style="20" customWidth="1"/>
    <col min="2819" max="2819" width="75.28515625" style="20" customWidth="1"/>
    <col min="2820" max="2820" width="12.140625" style="20" customWidth="1"/>
    <col min="2821" max="2821" width="10.28515625" style="20" customWidth="1"/>
    <col min="2822" max="2822" width="9.140625" style="20" bestFit="1" customWidth="1"/>
    <col min="2823" max="2823" width="12.140625" style="20" bestFit="1" customWidth="1"/>
    <col min="2824" max="2824" width="3.42578125" style="20" customWidth="1"/>
    <col min="2825" max="2825" width="9.42578125" style="20" bestFit="1" customWidth="1"/>
    <col min="2826" max="2826" width="11" style="20" bestFit="1" customWidth="1"/>
    <col min="2827" max="3073" width="9.140625" style="20"/>
    <col min="3074" max="3074" width="10.5703125" style="20" customWidth="1"/>
    <col min="3075" max="3075" width="75.28515625" style="20" customWidth="1"/>
    <col min="3076" max="3076" width="12.140625" style="20" customWidth="1"/>
    <col min="3077" max="3077" width="10.28515625" style="20" customWidth="1"/>
    <col min="3078" max="3078" width="9.140625" style="20" bestFit="1" customWidth="1"/>
    <col min="3079" max="3079" width="12.140625" style="20" bestFit="1" customWidth="1"/>
    <col min="3080" max="3080" width="3.42578125" style="20" customWidth="1"/>
    <col min="3081" max="3081" width="9.42578125" style="20" bestFit="1" customWidth="1"/>
    <col min="3082" max="3082" width="11" style="20" bestFit="1" customWidth="1"/>
    <col min="3083" max="3329" width="9.140625" style="20"/>
    <col min="3330" max="3330" width="10.5703125" style="20" customWidth="1"/>
    <col min="3331" max="3331" width="75.28515625" style="20" customWidth="1"/>
    <col min="3332" max="3332" width="12.140625" style="20" customWidth="1"/>
    <col min="3333" max="3333" width="10.28515625" style="20" customWidth="1"/>
    <col min="3334" max="3334" width="9.140625" style="20" bestFit="1" customWidth="1"/>
    <col min="3335" max="3335" width="12.140625" style="20" bestFit="1" customWidth="1"/>
    <col min="3336" max="3336" width="3.42578125" style="20" customWidth="1"/>
    <col min="3337" max="3337" width="9.42578125" style="20" bestFit="1" customWidth="1"/>
    <col min="3338" max="3338" width="11" style="20" bestFit="1" customWidth="1"/>
    <col min="3339" max="3585" width="9.140625" style="20"/>
    <col min="3586" max="3586" width="10.5703125" style="20" customWidth="1"/>
    <col min="3587" max="3587" width="75.28515625" style="20" customWidth="1"/>
    <col min="3588" max="3588" width="12.140625" style="20" customWidth="1"/>
    <col min="3589" max="3589" width="10.28515625" style="20" customWidth="1"/>
    <col min="3590" max="3590" width="9.140625" style="20" bestFit="1" customWidth="1"/>
    <col min="3591" max="3591" width="12.140625" style="20" bestFit="1" customWidth="1"/>
    <col min="3592" max="3592" width="3.42578125" style="20" customWidth="1"/>
    <col min="3593" max="3593" width="9.42578125" style="20" bestFit="1" customWidth="1"/>
    <col min="3594" max="3594" width="11" style="20" bestFit="1" customWidth="1"/>
    <col min="3595" max="3841" width="9.140625" style="20"/>
    <col min="3842" max="3842" width="10.5703125" style="20" customWidth="1"/>
    <col min="3843" max="3843" width="75.28515625" style="20" customWidth="1"/>
    <col min="3844" max="3844" width="12.140625" style="20" customWidth="1"/>
    <col min="3845" max="3845" width="10.28515625" style="20" customWidth="1"/>
    <col min="3846" max="3846" width="9.140625" style="20" bestFit="1" customWidth="1"/>
    <col min="3847" max="3847" width="12.140625" style="20" bestFit="1" customWidth="1"/>
    <col min="3848" max="3848" width="3.42578125" style="20" customWidth="1"/>
    <col min="3849" max="3849" width="9.42578125" style="20" bestFit="1" customWidth="1"/>
    <col min="3850" max="3850" width="11" style="20" bestFit="1" customWidth="1"/>
    <col min="3851" max="4097" width="9.140625" style="20"/>
    <col min="4098" max="4098" width="10.5703125" style="20" customWidth="1"/>
    <col min="4099" max="4099" width="75.28515625" style="20" customWidth="1"/>
    <col min="4100" max="4100" width="12.140625" style="20" customWidth="1"/>
    <col min="4101" max="4101" width="10.28515625" style="20" customWidth="1"/>
    <col min="4102" max="4102" width="9.140625" style="20" bestFit="1" customWidth="1"/>
    <col min="4103" max="4103" width="12.140625" style="20" bestFit="1" customWidth="1"/>
    <col min="4104" max="4104" width="3.42578125" style="20" customWidth="1"/>
    <col min="4105" max="4105" width="9.42578125" style="20" bestFit="1" customWidth="1"/>
    <col min="4106" max="4106" width="11" style="20" bestFit="1" customWidth="1"/>
    <col min="4107" max="4353" width="9.140625" style="20"/>
    <col min="4354" max="4354" width="10.5703125" style="20" customWidth="1"/>
    <col min="4355" max="4355" width="75.28515625" style="20" customWidth="1"/>
    <col min="4356" max="4356" width="12.140625" style="20" customWidth="1"/>
    <col min="4357" max="4357" width="10.28515625" style="20" customWidth="1"/>
    <col min="4358" max="4358" width="9.140625" style="20" bestFit="1" customWidth="1"/>
    <col min="4359" max="4359" width="12.140625" style="20" bestFit="1" customWidth="1"/>
    <col min="4360" max="4360" width="3.42578125" style="20" customWidth="1"/>
    <col min="4361" max="4361" width="9.42578125" style="20" bestFit="1" customWidth="1"/>
    <col min="4362" max="4362" width="11" style="20" bestFit="1" customWidth="1"/>
    <col min="4363" max="4609" width="9.140625" style="20"/>
    <col min="4610" max="4610" width="10.5703125" style="20" customWidth="1"/>
    <col min="4611" max="4611" width="75.28515625" style="20" customWidth="1"/>
    <col min="4612" max="4612" width="12.140625" style="20" customWidth="1"/>
    <col min="4613" max="4613" width="10.28515625" style="20" customWidth="1"/>
    <col min="4614" max="4614" width="9.140625" style="20" bestFit="1" customWidth="1"/>
    <col min="4615" max="4615" width="12.140625" style="20" bestFit="1" customWidth="1"/>
    <col min="4616" max="4616" width="3.42578125" style="20" customWidth="1"/>
    <col min="4617" max="4617" width="9.42578125" style="20" bestFit="1" customWidth="1"/>
    <col min="4618" max="4618" width="11" style="20" bestFit="1" customWidth="1"/>
    <col min="4619" max="4865" width="9.140625" style="20"/>
    <col min="4866" max="4866" width="10.5703125" style="20" customWidth="1"/>
    <col min="4867" max="4867" width="75.28515625" style="20" customWidth="1"/>
    <col min="4868" max="4868" width="12.140625" style="20" customWidth="1"/>
    <col min="4869" max="4869" width="10.28515625" style="20" customWidth="1"/>
    <col min="4870" max="4870" width="9.140625" style="20" bestFit="1" customWidth="1"/>
    <col min="4871" max="4871" width="12.140625" style="20" bestFit="1" customWidth="1"/>
    <col min="4872" max="4872" width="3.42578125" style="20" customWidth="1"/>
    <col min="4873" max="4873" width="9.42578125" style="20" bestFit="1" customWidth="1"/>
    <col min="4874" max="4874" width="11" style="20" bestFit="1" customWidth="1"/>
    <col min="4875" max="5121" width="9.140625" style="20"/>
    <col min="5122" max="5122" width="10.5703125" style="20" customWidth="1"/>
    <col min="5123" max="5123" width="75.28515625" style="20" customWidth="1"/>
    <col min="5124" max="5124" width="12.140625" style="20" customWidth="1"/>
    <col min="5125" max="5125" width="10.28515625" style="20" customWidth="1"/>
    <col min="5126" max="5126" width="9.140625" style="20" bestFit="1" customWidth="1"/>
    <col min="5127" max="5127" width="12.140625" style="20" bestFit="1" customWidth="1"/>
    <col min="5128" max="5128" width="3.42578125" style="20" customWidth="1"/>
    <col min="5129" max="5129" width="9.42578125" style="20" bestFit="1" customWidth="1"/>
    <col min="5130" max="5130" width="11" style="20" bestFit="1" customWidth="1"/>
    <col min="5131" max="5377" width="9.140625" style="20"/>
    <col min="5378" max="5378" width="10.5703125" style="20" customWidth="1"/>
    <col min="5379" max="5379" width="75.28515625" style="20" customWidth="1"/>
    <col min="5380" max="5380" width="12.140625" style="20" customWidth="1"/>
    <col min="5381" max="5381" width="10.28515625" style="20" customWidth="1"/>
    <col min="5382" max="5382" width="9.140625" style="20" bestFit="1" customWidth="1"/>
    <col min="5383" max="5383" width="12.140625" style="20" bestFit="1" customWidth="1"/>
    <col min="5384" max="5384" width="3.42578125" style="20" customWidth="1"/>
    <col min="5385" max="5385" width="9.42578125" style="20" bestFit="1" customWidth="1"/>
    <col min="5386" max="5386" width="11" style="20" bestFit="1" customWidth="1"/>
    <col min="5387" max="5633" width="9.140625" style="20"/>
    <col min="5634" max="5634" width="10.5703125" style="20" customWidth="1"/>
    <col min="5635" max="5635" width="75.28515625" style="20" customWidth="1"/>
    <col min="5636" max="5636" width="12.140625" style="20" customWidth="1"/>
    <col min="5637" max="5637" width="10.28515625" style="20" customWidth="1"/>
    <col min="5638" max="5638" width="9.140625" style="20" bestFit="1" customWidth="1"/>
    <col min="5639" max="5639" width="12.140625" style="20" bestFit="1" customWidth="1"/>
    <col min="5640" max="5640" width="3.42578125" style="20" customWidth="1"/>
    <col min="5641" max="5641" width="9.42578125" style="20" bestFit="1" customWidth="1"/>
    <col min="5642" max="5642" width="11" style="20" bestFit="1" customWidth="1"/>
    <col min="5643" max="5889" width="9.140625" style="20"/>
    <col min="5890" max="5890" width="10.5703125" style="20" customWidth="1"/>
    <col min="5891" max="5891" width="75.28515625" style="20" customWidth="1"/>
    <col min="5892" max="5892" width="12.140625" style="20" customWidth="1"/>
    <col min="5893" max="5893" width="10.28515625" style="20" customWidth="1"/>
    <col min="5894" max="5894" width="9.140625" style="20" bestFit="1" customWidth="1"/>
    <col min="5895" max="5895" width="12.140625" style="20" bestFit="1" customWidth="1"/>
    <col min="5896" max="5896" width="3.42578125" style="20" customWidth="1"/>
    <col min="5897" max="5897" width="9.42578125" style="20" bestFit="1" customWidth="1"/>
    <col min="5898" max="5898" width="11" style="20" bestFit="1" customWidth="1"/>
    <col min="5899" max="6145" width="9.140625" style="20"/>
    <col min="6146" max="6146" width="10.5703125" style="20" customWidth="1"/>
    <col min="6147" max="6147" width="75.28515625" style="20" customWidth="1"/>
    <col min="6148" max="6148" width="12.140625" style="20" customWidth="1"/>
    <col min="6149" max="6149" width="10.28515625" style="20" customWidth="1"/>
    <col min="6150" max="6150" width="9.140625" style="20" bestFit="1" customWidth="1"/>
    <col min="6151" max="6151" width="12.140625" style="20" bestFit="1" customWidth="1"/>
    <col min="6152" max="6152" width="3.42578125" style="20" customWidth="1"/>
    <col min="6153" max="6153" width="9.42578125" style="20" bestFit="1" customWidth="1"/>
    <col min="6154" max="6154" width="11" style="20" bestFit="1" customWidth="1"/>
    <col min="6155" max="6401" width="9.140625" style="20"/>
    <col min="6402" max="6402" width="10.5703125" style="20" customWidth="1"/>
    <col min="6403" max="6403" width="75.28515625" style="20" customWidth="1"/>
    <col min="6404" max="6404" width="12.140625" style="20" customWidth="1"/>
    <col min="6405" max="6405" width="10.28515625" style="20" customWidth="1"/>
    <col min="6406" max="6406" width="9.140625" style="20" bestFit="1" customWidth="1"/>
    <col min="6407" max="6407" width="12.140625" style="20" bestFit="1" customWidth="1"/>
    <col min="6408" max="6408" width="3.42578125" style="20" customWidth="1"/>
    <col min="6409" max="6409" width="9.42578125" style="20" bestFit="1" customWidth="1"/>
    <col min="6410" max="6410" width="11" style="20" bestFit="1" customWidth="1"/>
    <col min="6411" max="6657" width="9.140625" style="20"/>
    <col min="6658" max="6658" width="10.5703125" style="20" customWidth="1"/>
    <col min="6659" max="6659" width="75.28515625" style="20" customWidth="1"/>
    <col min="6660" max="6660" width="12.140625" style="20" customWidth="1"/>
    <col min="6661" max="6661" width="10.28515625" style="20" customWidth="1"/>
    <col min="6662" max="6662" width="9.140625" style="20" bestFit="1" customWidth="1"/>
    <col min="6663" max="6663" width="12.140625" style="20" bestFit="1" customWidth="1"/>
    <col min="6664" max="6664" width="3.42578125" style="20" customWidth="1"/>
    <col min="6665" max="6665" width="9.42578125" style="20" bestFit="1" customWidth="1"/>
    <col min="6666" max="6666" width="11" style="20" bestFit="1" customWidth="1"/>
    <col min="6667" max="6913" width="9.140625" style="20"/>
    <col min="6914" max="6914" width="10.5703125" style="20" customWidth="1"/>
    <col min="6915" max="6915" width="75.28515625" style="20" customWidth="1"/>
    <col min="6916" max="6916" width="12.140625" style="20" customWidth="1"/>
    <col min="6917" max="6917" width="10.28515625" style="20" customWidth="1"/>
    <col min="6918" max="6918" width="9.140625" style="20" bestFit="1" customWidth="1"/>
    <col min="6919" max="6919" width="12.140625" style="20" bestFit="1" customWidth="1"/>
    <col min="6920" max="6920" width="3.42578125" style="20" customWidth="1"/>
    <col min="6921" max="6921" width="9.42578125" style="20" bestFit="1" customWidth="1"/>
    <col min="6922" max="6922" width="11" style="20" bestFit="1" customWidth="1"/>
    <col min="6923" max="7169" width="9.140625" style="20"/>
    <col min="7170" max="7170" width="10.5703125" style="20" customWidth="1"/>
    <col min="7171" max="7171" width="75.28515625" style="20" customWidth="1"/>
    <col min="7172" max="7172" width="12.140625" style="20" customWidth="1"/>
    <col min="7173" max="7173" width="10.28515625" style="20" customWidth="1"/>
    <col min="7174" max="7174" width="9.140625" style="20" bestFit="1" customWidth="1"/>
    <col min="7175" max="7175" width="12.140625" style="20" bestFit="1" customWidth="1"/>
    <col min="7176" max="7176" width="3.42578125" style="20" customWidth="1"/>
    <col min="7177" max="7177" width="9.42578125" style="20" bestFit="1" customWidth="1"/>
    <col min="7178" max="7178" width="11" style="20" bestFit="1" customWidth="1"/>
    <col min="7179" max="7425" width="9.140625" style="20"/>
    <col min="7426" max="7426" width="10.5703125" style="20" customWidth="1"/>
    <col min="7427" max="7427" width="75.28515625" style="20" customWidth="1"/>
    <col min="7428" max="7428" width="12.140625" style="20" customWidth="1"/>
    <col min="7429" max="7429" width="10.28515625" style="20" customWidth="1"/>
    <col min="7430" max="7430" width="9.140625" style="20" bestFit="1" customWidth="1"/>
    <col min="7431" max="7431" width="12.140625" style="20" bestFit="1" customWidth="1"/>
    <col min="7432" max="7432" width="3.42578125" style="20" customWidth="1"/>
    <col min="7433" max="7433" width="9.42578125" style="20" bestFit="1" customWidth="1"/>
    <col min="7434" max="7434" width="11" style="20" bestFit="1" customWidth="1"/>
    <col min="7435" max="7681" width="9.140625" style="20"/>
    <col min="7682" max="7682" width="10.5703125" style="20" customWidth="1"/>
    <col min="7683" max="7683" width="75.28515625" style="20" customWidth="1"/>
    <col min="7684" max="7684" width="12.140625" style="20" customWidth="1"/>
    <col min="7685" max="7685" width="10.28515625" style="20" customWidth="1"/>
    <col min="7686" max="7686" width="9.140625" style="20" bestFit="1" customWidth="1"/>
    <col min="7687" max="7687" width="12.140625" style="20" bestFit="1" customWidth="1"/>
    <col min="7688" max="7688" width="3.42578125" style="20" customWidth="1"/>
    <col min="7689" max="7689" width="9.42578125" style="20" bestFit="1" customWidth="1"/>
    <col min="7690" max="7690" width="11" style="20" bestFit="1" customWidth="1"/>
    <col min="7691" max="7937" width="9.140625" style="20"/>
    <col min="7938" max="7938" width="10.5703125" style="20" customWidth="1"/>
    <col min="7939" max="7939" width="75.28515625" style="20" customWidth="1"/>
    <col min="7940" max="7940" width="12.140625" style="20" customWidth="1"/>
    <col min="7941" max="7941" width="10.28515625" style="20" customWidth="1"/>
    <col min="7942" max="7942" width="9.140625" style="20" bestFit="1" customWidth="1"/>
    <col min="7943" max="7943" width="12.140625" style="20" bestFit="1" customWidth="1"/>
    <col min="7944" max="7944" width="3.42578125" style="20" customWidth="1"/>
    <col min="7945" max="7945" width="9.42578125" style="20" bestFit="1" customWidth="1"/>
    <col min="7946" max="7946" width="11" style="20" bestFit="1" customWidth="1"/>
    <col min="7947" max="8193" width="9.140625" style="20"/>
    <col min="8194" max="8194" width="10.5703125" style="20" customWidth="1"/>
    <col min="8195" max="8195" width="75.28515625" style="20" customWidth="1"/>
    <col min="8196" max="8196" width="12.140625" style="20" customWidth="1"/>
    <col min="8197" max="8197" width="10.28515625" style="20" customWidth="1"/>
    <col min="8198" max="8198" width="9.140625" style="20" bestFit="1" customWidth="1"/>
    <col min="8199" max="8199" width="12.140625" style="20" bestFit="1" customWidth="1"/>
    <col min="8200" max="8200" width="3.42578125" style="20" customWidth="1"/>
    <col min="8201" max="8201" width="9.42578125" style="20" bestFit="1" customWidth="1"/>
    <col min="8202" max="8202" width="11" style="20" bestFit="1" customWidth="1"/>
    <col min="8203" max="8449" width="9.140625" style="20"/>
    <col min="8450" max="8450" width="10.5703125" style="20" customWidth="1"/>
    <col min="8451" max="8451" width="75.28515625" style="20" customWidth="1"/>
    <col min="8452" max="8452" width="12.140625" style="20" customWidth="1"/>
    <col min="8453" max="8453" width="10.28515625" style="20" customWidth="1"/>
    <col min="8454" max="8454" width="9.140625" style="20" bestFit="1" customWidth="1"/>
    <col min="8455" max="8455" width="12.140625" style="20" bestFit="1" customWidth="1"/>
    <col min="8456" max="8456" width="3.42578125" style="20" customWidth="1"/>
    <col min="8457" max="8457" width="9.42578125" style="20" bestFit="1" customWidth="1"/>
    <col min="8458" max="8458" width="11" style="20" bestFit="1" customWidth="1"/>
    <col min="8459" max="8705" width="9.140625" style="20"/>
    <col min="8706" max="8706" width="10.5703125" style="20" customWidth="1"/>
    <col min="8707" max="8707" width="75.28515625" style="20" customWidth="1"/>
    <col min="8708" max="8708" width="12.140625" style="20" customWidth="1"/>
    <col min="8709" max="8709" width="10.28515625" style="20" customWidth="1"/>
    <col min="8710" max="8710" width="9.140625" style="20" bestFit="1" customWidth="1"/>
    <col min="8711" max="8711" width="12.140625" style="20" bestFit="1" customWidth="1"/>
    <col min="8712" max="8712" width="3.42578125" style="20" customWidth="1"/>
    <col min="8713" max="8713" width="9.42578125" style="20" bestFit="1" customWidth="1"/>
    <col min="8714" max="8714" width="11" style="20" bestFit="1" customWidth="1"/>
    <col min="8715" max="8961" width="9.140625" style="20"/>
    <col min="8962" max="8962" width="10.5703125" style="20" customWidth="1"/>
    <col min="8963" max="8963" width="75.28515625" style="20" customWidth="1"/>
    <col min="8964" max="8964" width="12.140625" style="20" customWidth="1"/>
    <col min="8965" max="8965" width="10.28515625" style="20" customWidth="1"/>
    <col min="8966" max="8966" width="9.140625" style="20" bestFit="1" customWidth="1"/>
    <col min="8967" max="8967" width="12.140625" style="20" bestFit="1" customWidth="1"/>
    <col min="8968" max="8968" width="3.42578125" style="20" customWidth="1"/>
    <col min="8969" max="8969" width="9.42578125" style="20" bestFit="1" customWidth="1"/>
    <col min="8970" max="8970" width="11" style="20" bestFit="1" customWidth="1"/>
    <col min="8971" max="9217" width="9.140625" style="20"/>
    <col min="9218" max="9218" width="10.5703125" style="20" customWidth="1"/>
    <col min="9219" max="9219" width="75.28515625" style="20" customWidth="1"/>
    <col min="9220" max="9220" width="12.140625" style="20" customWidth="1"/>
    <col min="9221" max="9221" width="10.28515625" style="20" customWidth="1"/>
    <col min="9222" max="9222" width="9.140625" style="20" bestFit="1" customWidth="1"/>
    <col min="9223" max="9223" width="12.140625" style="20" bestFit="1" customWidth="1"/>
    <col min="9224" max="9224" width="3.42578125" style="20" customWidth="1"/>
    <col min="9225" max="9225" width="9.42578125" style="20" bestFit="1" customWidth="1"/>
    <col min="9226" max="9226" width="11" style="20" bestFit="1" customWidth="1"/>
    <col min="9227" max="9473" width="9.140625" style="20"/>
    <col min="9474" max="9474" width="10.5703125" style="20" customWidth="1"/>
    <col min="9475" max="9475" width="75.28515625" style="20" customWidth="1"/>
    <col min="9476" max="9476" width="12.140625" style="20" customWidth="1"/>
    <col min="9477" max="9477" width="10.28515625" style="20" customWidth="1"/>
    <col min="9478" max="9478" width="9.140625" style="20" bestFit="1" customWidth="1"/>
    <col min="9479" max="9479" width="12.140625" style="20" bestFit="1" customWidth="1"/>
    <col min="9480" max="9480" width="3.42578125" style="20" customWidth="1"/>
    <col min="9481" max="9481" width="9.42578125" style="20" bestFit="1" customWidth="1"/>
    <col min="9482" max="9482" width="11" style="20" bestFit="1" customWidth="1"/>
    <col min="9483" max="9729" width="9.140625" style="20"/>
    <col min="9730" max="9730" width="10.5703125" style="20" customWidth="1"/>
    <col min="9731" max="9731" width="75.28515625" style="20" customWidth="1"/>
    <col min="9732" max="9732" width="12.140625" style="20" customWidth="1"/>
    <col min="9733" max="9733" width="10.28515625" style="20" customWidth="1"/>
    <col min="9734" max="9734" width="9.140625" style="20" bestFit="1" customWidth="1"/>
    <col min="9735" max="9735" width="12.140625" style="20" bestFit="1" customWidth="1"/>
    <col min="9736" max="9736" width="3.42578125" style="20" customWidth="1"/>
    <col min="9737" max="9737" width="9.42578125" style="20" bestFit="1" customWidth="1"/>
    <col min="9738" max="9738" width="11" style="20" bestFit="1" customWidth="1"/>
    <col min="9739" max="9985" width="9.140625" style="20"/>
    <col min="9986" max="9986" width="10.5703125" style="20" customWidth="1"/>
    <col min="9987" max="9987" width="75.28515625" style="20" customWidth="1"/>
    <col min="9988" max="9988" width="12.140625" style="20" customWidth="1"/>
    <col min="9989" max="9989" width="10.28515625" style="20" customWidth="1"/>
    <col min="9990" max="9990" width="9.140625" style="20" bestFit="1" customWidth="1"/>
    <col min="9991" max="9991" width="12.140625" style="20" bestFit="1" customWidth="1"/>
    <col min="9992" max="9992" width="3.42578125" style="20" customWidth="1"/>
    <col min="9993" max="9993" width="9.42578125" style="20" bestFit="1" customWidth="1"/>
    <col min="9994" max="9994" width="11" style="20" bestFit="1" customWidth="1"/>
    <col min="9995" max="10241" width="9.140625" style="20"/>
    <col min="10242" max="10242" width="10.5703125" style="20" customWidth="1"/>
    <col min="10243" max="10243" width="75.28515625" style="20" customWidth="1"/>
    <col min="10244" max="10244" width="12.140625" style="20" customWidth="1"/>
    <col min="10245" max="10245" width="10.28515625" style="20" customWidth="1"/>
    <col min="10246" max="10246" width="9.140625" style="20" bestFit="1" customWidth="1"/>
    <col min="10247" max="10247" width="12.140625" style="20" bestFit="1" customWidth="1"/>
    <col min="10248" max="10248" width="3.42578125" style="20" customWidth="1"/>
    <col min="10249" max="10249" width="9.42578125" style="20" bestFit="1" customWidth="1"/>
    <col min="10250" max="10250" width="11" style="20" bestFit="1" customWidth="1"/>
    <col min="10251" max="10497" width="9.140625" style="20"/>
    <col min="10498" max="10498" width="10.5703125" style="20" customWidth="1"/>
    <col min="10499" max="10499" width="75.28515625" style="20" customWidth="1"/>
    <col min="10500" max="10500" width="12.140625" style="20" customWidth="1"/>
    <col min="10501" max="10501" width="10.28515625" style="20" customWidth="1"/>
    <col min="10502" max="10502" width="9.140625" style="20" bestFit="1" customWidth="1"/>
    <col min="10503" max="10503" width="12.140625" style="20" bestFit="1" customWidth="1"/>
    <col min="10504" max="10504" width="3.42578125" style="20" customWidth="1"/>
    <col min="10505" max="10505" width="9.42578125" style="20" bestFit="1" customWidth="1"/>
    <col min="10506" max="10506" width="11" style="20" bestFit="1" customWidth="1"/>
    <col min="10507" max="10753" width="9.140625" style="20"/>
    <col min="10754" max="10754" width="10.5703125" style="20" customWidth="1"/>
    <col min="10755" max="10755" width="75.28515625" style="20" customWidth="1"/>
    <col min="10756" max="10756" width="12.140625" style="20" customWidth="1"/>
    <col min="10757" max="10757" width="10.28515625" style="20" customWidth="1"/>
    <col min="10758" max="10758" width="9.140625" style="20" bestFit="1" customWidth="1"/>
    <col min="10759" max="10759" width="12.140625" style="20" bestFit="1" customWidth="1"/>
    <col min="10760" max="10760" width="3.42578125" style="20" customWidth="1"/>
    <col min="10761" max="10761" width="9.42578125" style="20" bestFit="1" customWidth="1"/>
    <col min="10762" max="10762" width="11" style="20" bestFit="1" customWidth="1"/>
    <col min="10763" max="11009" width="9.140625" style="20"/>
    <col min="11010" max="11010" width="10.5703125" style="20" customWidth="1"/>
    <col min="11011" max="11011" width="75.28515625" style="20" customWidth="1"/>
    <col min="11012" max="11012" width="12.140625" style="20" customWidth="1"/>
    <col min="11013" max="11013" width="10.28515625" style="20" customWidth="1"/>
    <col min="11014" max="11014" width="9.140625" style="20" bestFit="1" customWidth="1"/>
    <col min="11015" max="11015" width="12.140625" style="20" bestFit="1" customWidth="1"/>
    <col min="11016" max="11016" width="3.42578125" style="20" customWidth="1"/>
    <col min="11017" max="11017" width="9.42578125" style="20" bestFit="1" customWidth="1"/>
    <col min="11018" max="11018" width="11" style="20" bestFit="1" customWidth="1"/>
    <col min="11019" max="11265" width="9.140625" style="20"/>
    <col min="11266" max="11266" width="10.5703125" style="20" customWidth="1"/>
    <col min="11267" max="11267" width="75.28515625" style="20" customWidth="1"/>
    <col min="11268" max="11268" width="12.140625" style="20" customWidth="1"/>
    <col min="11269" max="11269" width="10.28515625" style="20" customWidth="1"/>
    <col min="11270" max="11270" width="9.140625" style="20" bestFit="1" customWidth="1"/>
    <col min="11271" max="11271" width="12.140625" style="20" bestFit="1" customWidth="1"/>
    <col min="11272" max="11272" width="3.42578125" style="20" customWidth="1"/>
    <col min="11273" max="11273" width="9.42578125" style="20" bestFit="1" customWidth="1"/>
    <col min="11274" max="11274" width="11" style="20" bestFit="1" customWidth="1"/>
    <col min="11275" max="11521" width="9.140625" style="20"/>
    <col min="11522" max="11522" width="10.5703125" style="20" customWidth="1"/>
    <col min="11523" max="11523" width="75.28515625" style="20" customWidth="1"/>
    <col min="11524" max="11524" width="12.140625" style="20" customWidth="1"/>
    <col min="11525" max="11525" width="10.28515625" style="20" customWidth="1"/>
    <col min="11526" max="11526" width="9.140625" style="20" bestFit="1" customWidth="1"/>
    <col min="11527" max="11527" width="12.140625" style="20" bestFit="1" customWidth="1"/>
    <col min="11528" max="11528" width="3.42578125" style="20" customWidth="1"/>
    <col min="11529" max="11529" width="9.42578125" style="20" bestFit="1" customWidth="1"/>
    <col min="11530" max="11530" width="11" style="20" bestFit="1" customWidth="1"/>
    <col min="11531" max="11777" width="9.140625" style="20"/>
    <col min="11778" max="11778" width="10.5703125" style="20" customWidth="1"/>
    <col min="11779" max="11779" width="75.28515625" style="20" customWidth="1"/>
    <col min="11780" max="11780" width="12.140625" style="20" customWidth="1"/>
    <col min="11781" max="11781" width="10.28515625" style="20" customWidth="1"/>
    <col min="11782" max="11782" width="9.140625" style="20" bestFit="1" customWidth="1"/>
    <col min="11783" max="11783" width="12.140625" style="20" bestFit="1" customWidth="1"/>
    <col min="11784" max="11784" width="3.42578125" style="20" customWidth="1"/>
    <col min="11785" max="11785" width="9.42578125" style="20" bestFit="1" customWidth="1"/>
    <col min="11786" max="11786" width="11" style="20" bestFit="1" customWidth="1"/>
    <col min="11787" max="12033" width="9.140625" style="20"/>
    <col min="12034" max="12034" width="10.5703125" style="20" customWidth="1"/>
    <col min="12035" max="12035" width="75.28515625" style="20" customWidth="1"/>
    <col min="12036" max="12036" width="12.140625" style="20" customWidth="1"/>
    <col min="12037" max="12037" width="10.28515625" style="20" customWidth="1"/>
    <col min="12038" max="12038" width="9.140625" style="20" bestFit="1" customWidth="1"/>
    <col min="12039" max="12039" width="12.140625" style="20" bestFit="1" customWidth="1"/>
    <col min="12040" max="12040" width="3.42578125" style="20" customWidth="1"/>
    <col min="12041" max="12041" width="9.42578125" style="20" bestFit="1" customWidth="1"/>
    <col min="12042" max="12042" width="11" style="20" bestFit="1" customWidth="1"/>
    <col min="12043" max="12289" width="9.140625" style="20"/>
    <col min="12290" max="12290" width="10.5703125" style="20" customWidth="1"/>
    <col min="12291" max="12291" width="75.28515625" style="20" customWidth="1"/>
    <col min="12292" max="12292" width="12.140625" style="20" customWidth="1"/>
    <col min="12293" max="12293" width="10.28515625" style="20" customWidth="1"/>
    <col min="12294" max="12294" width="9.140625" style="20" bestFit="1" customWidth="1"/>
    <col min="12295" max="12295" width="12.140625" style="20" bestFit="1" customWidth="1"/>
    <col min="12296" max="12296" width="3.42578125" style="20" customWidth="1"/>
    <col min="12297" max="12297" width="9.42578125" style="20" bestFit="1" customWidth="1"/>
    <col min="12298" max="12298" width="11" style="20" bestFit="1" customWidth="1"/>
    <col min="12299" max="12545" width="9.140625" style="20"/>
    <col min="12546" max="12546" width="10.5703125" style="20" customWidth="1"/>
    <col min="12547" max="12547" width="75.28515625" style="20" customWidth="1"/>
    <col min="12548" max="12548" width="12.140625" style="20" customWidth="1"/>
    <col min="12549" max="12549" width="10.28515625" style="20" customWidth="1"/>
    <col min="12550" max="12550" width="9.140625" style="20" bestFit="1" customWidth="1"/>
    <col min="12551" max="12551" width="12.140625" style="20" bestFit="1" customWidth="1"/>
    <col min="12552" max="12552" width="3.42578125" style="20" customWidth="1"/>
    <col min="12553" max="12553" width="9.42578125" style="20" bestFit="1" customWidth="1"/>
    <col min="12554" max="12554" width="11" style="20" bestFit="1" customWidth="1"/>
    <col min="12555" max="12801" width="9.140625" style="20"/>
    <col min="12802" max="12802" width="10.5703125" style="20" customWidth="1"/>
    <col min="12803" max="12803" width="75.28515625" style="20" customWidth="1"/>
    <col min="12804" max="12804" width="12.140625" style="20" customWidth="1"/>
    <col min="12805" max="12805" width="10.28515625" style="20" customWidth="1"/>
    <col min="12806" max="12806" width="9.140625" style="20" bestFit="1" customWidth="1"/>
    <col min="12807" max="12807" width="12.140625" style="20" bestFit="1" customWidth="1"/>
    <col min="12808" max="12808" width="3.42578125" style="20" customWidth="1"/>
    <col min="12809" max="12809" width="9.42578125" style="20" bestFit="1" customWidth="1"/>
    <col min="12810" max="12810" width="11" style="20" bestFit="1" customWidth="1"/>
    <col min="12811" max="13057" width="9.140625" style="20"/>
    <col min="13058" max="13058" width="10.5703125" style="20" customWidth="1"/>
    <col min="13059" max="13059" width="75.28515625" style="20" customWidth="1"/>
    <col min="13060" max="13060" width="12.140625" style="20" customWidth="1"/>
    <col min="13061" max="13061" width="10.28515625" style="20" customWidth="1"/>
    <col min="13062" max="13062" width="9.140625" style="20" bestFit="1" customWidth="1"/>
    <col min="13063" max="13063" width="12.140625" style="20" bestFit="1" customWidth="1"/>
    <col min="13064" max="13064" width="3.42578125" style="20" customWidth="1"/>
    <col min="13065" max="13065" width="9.42578125" style="20" bestFit="1" customWidth="1"/>
    <col min="13066" max="13066" width="11" style="20" bestFit="1" customWidth="1"/>
    <col min="13067" max="13313" width="9.140625" style="20"/>
    <col min="13314" max="13314" width="10.5703125" style="20" customWidth="1"/>
    <col min="13315" max="13315" width="75.28515625" style="20" customWidth="1"/>
    <col min="13316" max="13316" width="12.140625" style="20" customWidth="1"/>
    <col min="13317" max="13317" width="10.28515625" style="20" customWidth="1"/>
    <col min="13318" max="13318" width="9.140625" style="20" bestFit="1" customWidth="1"/>
    <col min="13319" max="13319" width="12.140625" style="20" bestFit="1" customWidth="1"/>
    <col min="13320" max="13320" width="3.42578125" style="20" customWidth="1"/>
    <col min="13321" max="13321" width="9.42578125" style="20" bestFit="1" customWidth="1"/>
    <col min="13322" max="13322" width="11" style="20" bestFit="1" customWidth="1"/>
    <col min="13323" max="13569" width="9.140625" style="20"/>
    <col min="13570" max="13570" width="10.5703125" style="20" customWidth="1"/>
    <col min="13571" max="13571" width="75.28515625" style="20" customWidth="1"/>
    <col min="13572" max="13572" width="12.140625" style="20" customWidth="1"/>
    <col min="13573" max="13573" width="10.28515625" style="20" customWidth="1"/>
    <col min="13574" max="13574" width="9.140625" style="20" bestFit="1" customWidth="1"/>
    <col min="13575" max="13575" width="12.140625" style="20" bestFit="1" customWidth="1"/>
    <col min="13576" max="13576" width="3.42578125" style="20" customWidth="1"/>
    <col min="13577" max="13577" width="9.42578125" style="20" bestFit="1" customWidth="1"/>
    <col min="13578" max="13578" width="11" style="20" bestFit="1" customWidth="1"/>
    <col min="13579" max="13825" width="9.140625" style="20"/>
    <col min="13826" max="13826" width="10.5703125" style="20" customWidth="1"/>
    <col min="13827" max="13827" width="75.28515625" style="20" customWidth="1"/>
    <col min="13828" max="13828" width="12.140625" style="20" customWidth="1"/>
    <col min="13829" max="13829" width="10.28515625" style="20" customWidth="1"/>
    <col min="13830" max="13830" width="9.140625" style="20" bestFit="1" customWidth="1"/>
    <col min="13831" max="13831" width="12.140625" style="20" bestFit="1" customWidth="1"/>
    <col min="13832" max="13832" width="3.42578125" style="20" customWidth="1"/>
    <col min="13833" max="13833" width="9.42578125" style="20" bestFit="1" customWidth="1"/>
    <col min="13834" max="13834" width="11" style="20" bestFit="1" customWidth="1"/>
    <col min="13835" max="14081" width="9.140625" style="20"/>
    <col min="14082" max="14082" width="10.5703125" style="20" customWidth="1"/>
    <col min="14083" max="14083" width="75.28515625" style="20" customWidth="1"/>
    <col min="14084" max="14084" width="12.140625" style="20" customWidth="1"/>
    <col min="14085" max="14085" width="10.28515625" style="20" customWidth="1"/>
    <col min="14086" max="14086" width="9.140625" style="20" bestFit="1" customWidth="1"/>
    <col min="14087" max="14087" width="12.140625" style="20" bestFit="1" customWidth="1"/>
    <col min="14088" max="14088" width="3.42578125" style="20" customWidth="1"/>
    <col min="14089" max="14089" width="9.42578125" style="20" bestFit="1" customWidth="1"/>
    <col min="14090" max="14090" width="11" style="20" bestFit="1" customWidth="1"/>
    <col min="14091" max="14337" width="9.140625" style="20"/>
    <col min="14338" max="14338" width="10.5703125" style="20" customWidth="1"/>
    <col min="14339" max="14339" width="75.28515625" style="20" customWidth="1"/>
    <col min="14340" max="14340" width="12.140625" style="20" customWidth="1"/>
    <col min="14341" max="14341" width="10.28515625" style="20" customWidth="1"/>
    <col min="14342" max="14342" width="9.140625" style="20" bestFit="1" customWidth="1"/>
    <col min="14343" max="14343" width="12.140625" style="20" bestFit="1" customWidth="1"/>
    <col min="14344" max="14344" width="3.42578125" style="20" customWidth="1"/>
    <col min="14345" max="14345" width="9.42578125" style="20" bestFit="1" customWidth="1"/>
    <col min="14346" max="14346" width="11" style="20" bestFit="1" customWidth="1"/>
    <col min="14347" max="14593" width="9.140625" style="20"/>
    <col min="14594" max="14594" width="10.5703125" style="20" customWidth="1"/>
    <col min="14595" max="14595" width="75.28515625" style="20" customWidth="1"/>
    <col min="14596" max="14596" width="12.140625" style="20" customWidth="1"/>
    <col min="14597" max="14597" width="10.28515625" style="20" customWidth="1"/>
    <col min="14598" max="14598" width="9.140625" style="20" bestFit="1" customWidth="1"/>
    <col min="14599" max="14599" width="12.140625" style="20" bestFit="1" customWidth="1"/>
    <col min="14600" max="14600" width="3.42578125" style="20" customWidth="1"/>
    <col min="14601" max="14601" width="9.42578125" style="20" bestFit="1" customWidth="1"/>
    <col min="14602" max="14602" width="11" style="20" bestFit="1" customWidth="1"/>
    <col min="14603" max="14849" width="9.140625" style="20"/>
    <col min="14850" max="14850" width="10.5703125" style="20" customWidth="1"/>
    <col min="14851" max="14851" width="75.28515625" style="20" customWidth="1"/>
    <col min="14852" max="14852" width="12.140625" style="20" customWidth="1"/>
    <col min="14853" max="14853" width="10.28515625" style="20" customWidth="1"/>
    <col min="14854" max="14854" width="9.140625" style="20" bestFit="1" customWidth="1"/>
    <col min="14855" max="14855" width="12.140625" style="20" bestFit="1" customWidth="1"/>
    <col min="14856" max="14856" width="3.42578125" style="20" customWidth="1"/>
    <col min="14857" max="14857" width="9.42578125" style="20" bestFit="1" customWidth="1"/>
    <col min="14858" max="14858" width="11" style="20" bestFit="1" customWidth="1"/>
    <col min="14859" max="15105" width="9.140625" style="20"/>
    <col min="15106" max="15106" width="10.5703125" style="20" customWidth="1"/>
    <col min="15107" max="15107" width="75.28515625" style="20" customWidth="1"/>
    <col min="15108" max="15108" width="12.140625" style="20" customWidth="1"/>
    <col min="15109" max="15109" width="10.28515625" style="20" customWidth="1"/>
    <col min="15110" max="15110" width="9.140625" style="20" bestFit="1" customWidth="1"/>
    <col min="15111" max="15111" width="12.140625" style="20" bestFit="1" customWidth="1"/>
    <col min="15112" max="15112" width="3.42578125" style="20" customWidth="1"/>
    <col min="15113" max="15113" width="9.42578125" style="20" bestFit="1" customWidth="1"/>
    <col min="15114" max="15114" width="11" style="20" bestFit="1" customWidth="1"/>
    <col min="15115" max="15361" width="9.140625" style="20"/>
    <col min="15362" max="15362" width="10.5703125" style="20" customWidth="1"/>
    <col min="15363" max="15363" width="75.28515625" style="20" customWidth="1"/>
    <col min="15364" max="15364" width="12.140625" style="20" customWidth="1"/>
    <col min="15365" max="15365" width="10.28515625" style="20" customWidth="1"/>
    <col min="15366" max="15366" width="9.140625" style="20" bestFit="1" customWidth="1"/>
    <col min="15367" max="15367" width="12.140625" style="20" bestFit="1" customWidth="1"/>
    <col min="15368" max="15368" width="3.42578125" style="20" customWidth="1"/>
    <col min="15369" max="15369" width="9.42578125" style="20" bestFit="1" customWidth="1"/>
    <col min="15370" max="15370" width="11" style="20" bestFit="1" customWidth="1"/>
    <col min="15371" max="15617" width="9.140625" style="20"/>
    <col min="15618" max="15618" width="10.5703125" style="20" customWidth="1"/>
    <col min="15619" max="15619" width="75.28515625" style="20" customWidth="1"/>
    <col min="15620" max="15620" width="12.140625" style="20" customWidth="1"/>
    <col min="15621" max="15621" width="10.28515625" style="20" customWidth="1"/>
    <col min="15622" max="15622" width="9.140625" style="20" bestFit="1" customWidth="1"/>
    <col min="15623" max="15623" width="12.140625" style="20" bestFit="1" customWidth="1"/>
    <col min="15624" max="15624" width="3.42578125" style="20" customWidth="1"/>
    <col min="15625" max="15625" width="9.42578125" style="20" bestFit="1" customWidth="1"/>
    <col min="15626" max="15626" width="11" style="20" bestFit="1" customWidth="1"/>
    <col min="15627" max="15873" width="9.140625" style="20"/>
    <col min="15874" max="15874" width="10.5703125" style="20" customWidth="1"/>
    <col min="15875" max="15875" width="75.28515625" style="20" customWidth="1"/>
    <col min="15876" max="15876" width="12.140625" style="20" customWidth="1"/>
    <col min="15877" max="15877" width="10.28515625" style="20" customWidth="1"/>
    <col min="15878" max="15878" width="9.140625" style="20" bestFit="1" customWidth="1"/>
    <col min="15879" max="15879" width="12.140625" style="20" bestFit="1" customWidth="1"/>
    <col min="15880" max="15880" width="3.42578125" style="20" customWidth="1"/>
    <col min="15881" max="15881" width="9.42578125" style="20" bestFit="1" customWidth="1"/>
    <col min="15882" max="15882" width="11" style="20" bestFit="1" customWidth="1"/>
    <col min="15883" max="16129" width="9.140625" style="20"/>
    <col min="16130" max="16130" width="10.5703125" style="20" customWidth="1"/>
    <col min="16131" max="16131" width="75.28515625" style="20" customWidth="1"/>
    <col min="16132" max="16132" width="12.140625" style="20" customWidth="1"/>
    <col min="16133" max="16133" width="10.28515625" style="20" customWidth="1"/>
    <col min="16134" max="16134" width="9.140625" style="20" bestFit="1" customWidth="1"/>
    <col min="16135" max="16135" width="12.140625" style="20" bestFit="1" customWidth="1"/>
    <col min="16136" max="16136" width="3.42578125" style="20" customWidth="1"/>
    <col min="16137" max="16137" width="9.42578125" style="20" bestFit="1" customWidth="1"/>
    <col min="16138" max="16138" width="11" style="20" bestFit="1" customWidth="1"/>
    <col min="16139" max="16384" width="9.140625" style="20"/>
  </cols>
  <sheetData>
    <row r="1" spans="1:10" ht="16.5" customHeight="1">
      <c r="A1" s="557" t="s">
        <v>141</v>
      </c>
      <c r="B1" s="557"/>
      <c r="C1" s="557"/>
      <c r="D1" s="557"/>
      <c r="E1" s="557"/>
      <c r="F1" s="557"/>
      <c r="G1" s="557"/>
      <c r="H1" s="557"/>
      <c r="I1" s="557"/>
    </row>
    <row r="2" spans="1:10">
      <c r="B2" s="21"/>
      <c r="D2" s="21"/>
      <c r="E2" s="21"/>
      <c r="F2" s="21"/>
      <c r="G2" s="21"/>
      <c r="H2" s="21"/>
      <c r="I2" s="21"/>
    </row>
    <row r="3" spans="1:10" ht="15">
      <c r="A3" s="208"/>
      <c r="B3" s="252"/>
      <c r="C3" s="253"/>
      <c r="D3" s="117"/>
      <c r="E3" s="117"/>
      <c r="F3" s="117"/>
      <c r="G3" s="252"/>
      <c r="H3" s="252"/>
      <c r="I3" s="118" t="s">
        <v>77</v>
      </c>
    </row>
    <row r="4" spans="1:10" s="22" customFormat="1" ht="28.5" customHeight="1">
      <c r="A4" s="565" t="s">
        <v>76</v>
      </c>
      <c r="B4" s="565" t="s">
        <v>75</v>
      </c>
      <c r="C4" s="565" t="s">
        <v>194</v>
      </c>
      <c r="D4" s="565" t="s">
        <v>154</v>
      </c>
      <c r="E4" s="564" t="s">
        <v>189</v>
      </c>
      <c r="F4" s="564"/>
      <c r="G4" s="564"/>
      <c r="H4" s="564"/>
      <c r="I4" s="565" t="s">
        <v>22</v>
      </c>
    </row>
    <row r="5" spans="1:10" s="23" customFormat="1" ht="45">
      <c r="A5" s="565"/>
      <c r="B5" s="565"/>
      <c r="C5" s="565"/>
      <c r="D5" s="565"/>
      <c r="E5" s="191" t="s">
        <v>64</v>
      </c>
      <c r="F5" s="304" t="s">
        <v>307</v>
      </c>
      <c r="G5" s="191" t="s">
        <v>190</v>
      </c>
      <c r="H5" s="191" t="s">
        <v>65</v>
      </c>
      <c r="I5" s="565"/>
    </row>
    <row r="6" spans="1:10" s="24" customFormat="1" ht="75">
      <c r="A6" s="53" t="s">
        <v>142</v>
      </c>
      <c r="B6" s="48" t="s">
        <v>192</v>
      </c>
      <c r="C6" s="254"/>
      <c r="D6" s="254"/>
      <c r="E6" s="254"/>
      <c r="F6" s="254"/>
      <c r="G6" s="254"/>
      <c r="H6" s="254"/>
      <c r="I6" s="254"/>
    </row>
    <row r="7" spans="1:10" s="24" customFormat="1" ht="15">
      <c r="A7" s="53" t="s">
        <v>121</v>
      </c>
      <c r="B7" s="48" t="s">
        <v>257</v>
      </c>
      <c r="C7" s="255" t="s">
        <v>79</v>
      </c>
      <c r="D7" s="294">
        <v>1</v>
      </c>
      <c r="E7" s="295">
        <v>3056</v>
      </c>
      <c r="F7" s="296">
        <v>0</v>
      </c>
      <c r="G7" s="297">
        <f>E7+F7</f>
        <v>3056</v>
      </c>
      <c r="H7" s="298">
        <v>1</v>
      </c>
      <c r="I7" s="232">
        <f t="shared" ref="I7:I8" si="0">+ROUND(D7*G7/H7,0)</f>
        <v>3056</v>
      </c>
    </row>
    <row r="8" spans="1:10" s="24" customFormat="1" ht="45">
      <c r="A8" s="53" t="s">
        <v>193</v>
      </c>
      <c r="B8" s="212" t="s">
        <v>258</v>
      </c>
      <c r="C8" s="255" t="s">
        <v>79</v>
      </c>
      <c r="D8" s="294">
        <v>1</v>
      </c>
      <c r="E8" s="295">
        <v>1053.3</v>
      </c>
      <c r="F8" s="296">
        <v>0</v>
      </c>
      <c r="G8" s="295">
        <f t="shared" ref="G8" si="1">E8+F8</f>
        <v>1053.3</v>
      </c>
      <c r="H8" s="298">
        <v>1</v>
      </c>
      <c r="I8" s="232">
        <f t="shared" si="0"/>
        <v>1053</v>
      </c>
    </row>
    <row r="9" spans="1:10" s="24" customFormat="1" ht="45">
      <c r="A9" s="203" t="s">
        <v>85</v>
      </c>
      <c r="B9" s="219" t="s">
        <v>259</v>
      </c>
      <c r="C9" s="231" t="s">
        <v>147</v>
      </c>
      <c r="D9" s="294">
        <v>1111</v>
      </c>
      <c r="E9" s="296">
        <v>85.1</v>
      </c>
      <c r="F9" s="296">
        <v>0</v>
      </c>
      <c r="G9" s="295">
        <f t="shared" ref="G9:G19" si="2">E9+F9</f>
        <v>85.1</v>
      </c>
      <c r="H9" s="298">
        <v>100</v>
      </c>
      <c r="I9" s="232">
        <f>+ROUND(D9*G9/H9,0)</f>
        <v>945</v>
      </c>
      <c r="J9" s="25"/>
    </row>
    <row r="10" spans="1:10" s="24" customFormat="1" ht="30">
      <c r="A10" s="203" t="s">
        <v>86</v>
      </c>
      <c r="B10" s="213" t="s">
        <v>260</v>
      </c>
      <c r="C10" s="231" t="s">
        <v>147</v>
      </c>
      <c r="D10" s="294">
        <f>$D$9</f>
        <v>1111</v>
      </c>
      <c r="E10" s="296">
        <v>54.25</v>
      </c>
      <c r="F10" s="296">
        <v>0</v>
      </c>
      <c r="G10" s="295">
        <f t="shared" si="2"/>
        <v>54.25</v>
      </c>
      <c r="H10" s="298">
        <v>100</v>
      </c>
      <c r="I10" s="232">
        <f>+ROUND(D10*G10/H10,0)</f>
        <v>603</v>
      </c>
      <c r="J10" s="25"/>
    </row>
    <row r="11" spans="1:10" s="24" customFormat="1" ht="45">
      <c r="A11" s="203" t="s">
        <v>108</v>
      </c>
      <c r="B11" s="213" t="s">
        <v>261</v>
      </c>
      <c r="C11" s="231"/>
      <c r="D11" s="294"/>
      <c r="E11" s="296"/>
      <c r="F11" s="296"/>
      <c r="G11" s="295"/>
      <c r="H11" s="298"/>
      <c r="I11" s="232"/>
      <c r="J11" s="25"/>
    </row>
    <row r="12" spans="1:10" s="24" customFormat="1" ht="15">
      <c r="A12" s="211" t="s">
        <v>249</v>
      </c>
      <c r="B12" s="47" t="s">
        <v>262</v>
      </c>
      <c r="C12" s="231" t="s">
        <v>147</v>
      </c>
      <c r="D12" s="294">
        <f>$D$9</f>
        <v>1111</v>
      </c>
      <c r="E12" s="296">
        <v>10.15</v>
      </c>
      <c r="F12" s="296">
        <v>0</v>
      </c>
      <c r="G12" s="295">
        <f t="shared" si="2"/>
        <v>10.15</v>
      </c>
      <c r="H12" s="298">
        <v>1</v>
      </c>
      <c r="I12" s="232">
        <f>+ROUND(D12*G12/H12,0)</f>
        <v>11277</v>
      </c>
      <c r="J12" s="25"/>
    </row>
    <row r="13" spans="1:10" s="24" customFormat="1" ht="15">
      <c r="A13" s="211"/>
      <c r="B13" s="214" t="s">
        <v>270</v>
      </c>
      <c r="C13" s="231"/>
      <c r="D13" s="294"/>
      <c r="E13" s="296"/>
      <c r="F13" s="296"/>
      <c r="G13" s="295"/>
      <c r="H13" s="298"/>
      <c r="I13" s="232"/>
      <c r="J13" s="25"/>
    </row>
    <row r="14" spans="1:10" s="27" customFormat="1" ht="30">
      <c r="A14" s="54" t="s">
        <v>44</v>
      </c>
      <c r="B14" s="256" t="s">
        <v>263</v>
      </c>
      <c r="C14" s="246" t="s">
        <v>67</v>
      </c>
      <c r="D14" s="299">
        <v>0</v>
      </c>
      <c r="E14" s="296">
        <f>348.16/1.12</f>
        <v>310.85714285714283</v>
      </c>
      <c r="F14" s="298">
        <v>0</v>
      </c>
      <c r="G14" s="295">
        <f t="shared" si="2"/>
        <v>310.85714285714283</v>
      </c>
      <c r="H14" s="300">
        <v>1</v>
      </c>
      <c r="I14" s="232">
        <f>+ROUND(D14*G14/H14,0)</f>
        <v>0</v>
      </c>
      <c r="J14" s="26"/>
    </row>
    <row r="15" spans="1:10" s="28" customFormat="1" ht="45">
      <c r="A15" s="203"/>
      <c r="B15" s="219" t="s">
        <v>191</v>
      </c>
      <c r="C15" s="231"/>
      <c r="D15" s="294"/>
      <c r="E15" s="296"/>
      <c r="F15" s="298">
        <f t="shared" ref="F15:F18" si="3">E15*25%</f>
        <v>0</v>
      </c>
      <c r="G15" s="295">
        <f t="shared" si="2"/>
        <v>0</v>
      </c>
      <c r="H15" s="298"/>
      <c r="I15" s="233"/>
    </row>
    <row r="16" spans="1:10" s="28" customFormat="1" ht="15">
      <c r="A16" s="203" t="s">
        <v>81</v>
      </c>
      <c r="B16" s="47" t="s">
        <v>264</v>
      </c>
      <c r="C16" s="231" t="s">
        <v>147</v>
      </c>
      <c r="D16" s="294">
        <f>$D$9</f>
        <v>1111</v>
      </c>
      <c r="E16" s="296">
        <v>109.7</v>
      </c>
      <c r="F16" s="298">
        <v>0</v>
      </c>
      <c r="G16" s="295">
        <f t="shared" si="2"/>
        <v>109.7</v>
      </c>
      <c r="H16" s="298">
        <v>100</v>
      </c>
      <c r="I16" s="232">
        <f>+ROUND(D16*G16/H16,0)</f>
        <v>1219</v>
      </c>
    </row>
    <row r="17" spans="1:9" s="28" customFormat="1" ht="30">
      <c r="A17" s="203" t="s">
        <v>82</v>
      </c>
      <c r="B17" s="47" t="s">
        <v>265</v>
      </c>
      <c r="C17" s="231" t="s">
        <v>147</v>
      </c>
      <c r="D17" s="294">
        <f>$D$9</f>
        <v>1111</v>
      </c>
      <c r="E17" s="296">
        <f>3.85*20</f>
        <v>77</v>
      </c>
      <c r="F17" s="298">
        <v>0</v>
      </c>
      <c r="G17" s="295">
        <f t="shared" si="2"/>
        <v>77</v>
      </c>
      <c r="H17" s="298">
        <v>100</v>
      </c>
      <c r="I17" s="232">
        <f>+ROUND(D17*G17/H17,0)</f>
        <v>855</v>
      </c>
    </row>
    <row r="18" spans="1:9" s="24" customFormat="1" ht="30">
      <c r="A18" s="203" t="s">
        <v>83</v>
      </c>
      <c r="B18" s="219" t="s">
        <v>87</v>
      </c>
      <c r="C18" s="231"/>
      <c r="D18" s="294"/>
      <c r="E18" s="296"/>
      <c r="F18" s="298">
        <f t="shared" si="3"/>
        <v>0</v>
      </c>
      <c r="G18" s="295">
        <f t="shared" si="2"/>
        <v>0</v>
      </c>
      <c r="H18" s="298"/>
      <c r="I18" s="232"/>
    </row>
    <row r="19" spans="1:9" s="24" customFormat="1" ht="15">
      <c r="A19" s="211" t="s">
        <v>249</v>
      </c>
      <c r="B19" s="47" t="s">
        <v>195</v>
      </c>
      <c r="C19" s="231" t="s">
        <v>147</v>
      </c>
      <c r="D19" s="294">
        <f>$D$9</f>
        <v>1111</v>
      </c>
      <c r="E19" s="296">
        <v>87.45</v>
      </c>
      <c r="F19" s="296">
        <v>0</v>
      </c>
      <c r="G19" s="295">
        <f t="shared" si="2"/>
        <v>87.45</v>
      </c>
      <c r="H19" s="298">
        <v>100</v>
      </c>
      <c r="I19" s="232">
        <f>+ROUND(D19*G19/H19,0)</f>
        <v>972</v>
      </c>
    </row>
    <row r="20" spans="1:9" s="24" customFormat="1" ht="30">
      <c r="A20" s="203" t="s">
        <v>88</v>
      </c>
      <c r="B20" s="215" t="s">
        <v>266</v>
      </c>
      <c r="C20" s="254"/>
      <c r="D20" s="254"/>
      <c r="E20" s="254"/>
      <c r="F20" s="254"/>
      <c r="G20" s="254"/>
      <c r="H20" s="254"/>
      <c r="I20" s="254"/>
    </row>
    <row r="21" spans="1:9" s="24" customFormat="1" ht="120">
      <c r="A21" s="203"/>
      <c r="B21" s="216" t="s">
        <v>267</v>
      </c>
      <c r="C21" s="231" t="s">
        <v>147</v>
      </c>
      <c r="D21" s="294">
        <f>$D$9</f>
        <v>1111</v>
      </c>
      <c r="E21" s="296">
        <v>37.4</v>
      </c>
      <c r="F21" s="296">
        <v>0</v>
      </c>
      <c r="G21" s="295">
        <f>E21+F21</f>
        <v>37.4</v>
      </c>
      <c r="H21" s="298">
        <v>100</v>
      </c>
      <c r="I21" s="232">
        <f>+ROUND(D21*G21/H21,0)</f>
        <v>416</v>
      </c>
    </row>
    <row r="22" spans="1:9" s="24" customFormat="1" ht="15">
      <c r="A22" s="203"/>
      <c r="B22" s="236" t="s">
        <v>268</v>
      </c>
      <c r="C22" s="231" t="s">
        <v>147</v>
      </c>
      <c r="D22" s="294">
        <f>$D$9</f>
        <v>1111</v>
      </c>
      <c r="E22" s="296">
        <v>1</v>
      </c>
      <c r="F22" s="296">
        <v>0</v>
      </c>
      <c r="G22" s="295">
        <f>E22+F22</f>
        <v>1</v>
      </c>
      <c r="H22" s="298">
        <v>1</v>
      </c>
      <c r="I22" s="232">
        <f>+ROUND(D22*G22/H22,0)</f>
        <v>1111</v>
      </c>
    </row>
    <row r="23" spans="1:9" s="24" customFormat="1" ht="15">
      <c r="A23" s="203"/>
      <c r="B23" s="47" t="s">
        <v>91</v>
      </c>
      <c r="C23" s="231"/>
      <c r="D23" s="294"/>
      <c r="E23" s="296"/>
      <c r="F23" s="296"/>
      <c r="G23" s="295"/>
      <c r="H23" s="298"/>
      <c r="I23" s="232"/>
    </row>
    <row r="24" spans="1:9" s="24" customFormat="1" ht="15">
      <c r="A24" s="204" t="s">
        <v>109</v>
      </c>
      <c r="B24" s="49" t="s">
        <v>197</v>
      </c>
      <c r="C24" s="231" t="s">
        <v>147</v>
      </c>
      <c r="D24" s="294">
        <f>$D$9</f>
        <v>1111</v>
      </c>
      <c r="E24" s="301">
        <v>416.65</v>
      </c>
      <c r="F24" s="296">
        <v>0</v>
      </c>
      <c r="G24" s="295">
        <f>E24+F24</f>
        <v>416.65</v>
      </c>
      <c r="H24" s="302">
        <v>100</v>
      </c>
      <c r="I24" s="293">
        <f>ROUND(D24*G24/100,0)</f>
        <v>4629</v>
      </c>
    </row>
    <row r="25" spans="1:9" s="24" customFormat="1" ht="120">
      <c r="A25" s="217" t="s">
        <v>113</v>
      </c>
      <c r="B25" s="236" t="s">
        <v>274</v>
      </c>
      <c r="C25" s="231" t="s">
        <v>147</v>
      </c>
      <c r="D25" s="294">
        <f>$D$9</f>
        <v>1111</v>
      </c>
      <c r="E25" s="301">
        <v>252.25</v>
      </c>
      <c r="F25" s="296">
        <v>0</v>
      </c>
      <c r="G25" s="295">
        <f>E25+F25</f>
        <v>252.25</v>
      </c>
      <c r="H25" s="302">
        <v>101</v>
      </c>
      <c r="I25" s="293">
        <f>ROUND(D25*G25/100,0)</f>
        <v>2802</v>
      </c>
    </row>
    <row r="26" spans="1:9" s="24" customFormat="1" ht="105">
      <c r="A26" s="205" t="s">
        <v>92</v>
      </c>
      <c r="B26" s="206" t="s">
        <v>269</v>
      </c>
      <c r="C26" s="230"/>
      <c r="D26" s="563" t="s">
        <v>114</v>
      </c>
      <c r="E26" s="563"/>
      <c r="F26" s="563"/>
      <c r="G26" s="563"/>
      <c r="H26" s="563"/>
      <c r="I26" s="563"/>
    </row>
    <row r="27" spans="1:9" s="24" customFormat="1" ht="60">
      <c r="A27" s="205" t="s">
        <v>108</v>
      </c>
      <c r="B27" s="213" t="s">
        <v>279</v>
      </c>
      <c r="C27" s="231" t="s">
        <v>147</v>
      </c>
      <c r="D27" s="298">
        <f>ROUND($D$21*0.2,0)</f>
        <v>222</v>
      </c>
      <c r="E27" s="296">
        <f>R_SMM!E12/2</f>
        <v>5.0750000000000002</v>
      </c>
      <c r="F27" s="296">
        <v>0</v>
      </c>
      <c r="G27" s="295">
        <f t="shared" ref="G27:G38" si="4">E27+F27</f>
        <v>5.0750000000000002</v>
      </c>
      <c r="H27" s="298">
        <v>1</v>
      </c>
      <c r="I27" s="232">
        <f t="shared" ref="I27:I37" si="5">+ROUND(D27*G27/H27,0)</f>
        <v>1127</v>
      </c>
    </row>
    <row r="28" spans="1:9" s="24" customFormat="1" ht="60">
      <c r="A28" s="203" t="s">
        <v>271</v>
      </c>
      <c r="B28" s="219" t="s">
        <v>273</v>
      </c>
      <c r="C28" s="231" t="s">
        <v>147</v>
      </c>
      <c r="D28" s="298">
        <f>ROUND($D$21*0.2,0)</f>
        <v>222</v>
      </c>
      <c r="E28" s="296">
        <f>E16+E17</f>
        <v>186.7</v>
      </c>
      <c r="F28" s="296">
        <v>0</v>
      </c>
      <c r="G28" s="295">
        <f t="shared" si="4"/>
        <v>186.7</v>
      </c>
      <c r="H28" s="298">
        <v>100</v>
      </c>
      <c r="I28" s="232">
        <f t="shared" si="5"/>
        <v>414</v>
      </c>
    </row>
    <row r="29" spans="1:9" s="24" customFormat="1" ht="45">
      <c r="A29" s="203" t="s">
        <v>83</v>
      </c>
      <c r="B29" s="219" t="s">
        <v>272</v>
      </c>
      <c r="C29" s="231" t="s">
        <v>147</v>
      </c>
      <c r="D29" s="298">
        <f>ROUND($D$21*0.2,0)</f>
        <v>222</v>
      </c>
      <c r="E29" s="296">
        <f>E19</f>
        <v>87.45</v>
      </c>
      <c r="F29" s="296">
        <v>0</v>
      </c>
      <c r="G29" s="295">
        <f t="shared" si="4"/>
        <v>87.45</v>
      </c>
      <c r="H29" s="298">
        <v>100</v>
      </c>
      <c r="I29" s="232">
        <f t="shared" si="5"/>
        <v>194</v>
      </c>
    </row>
    <row r="30" spans="1:9" s="24" customFormat="1" ht="15">
      <c r="A30" s="205" t="s">
        <v>109</v>
      </c>
      <c r="B30" s="49" t="s">
        <v>197</v>
      </c>
      <c r="C30" s="231" t="s">
        <v>147</v>
      </c>
      <c r="D30" s="298">
        <f>ROUND($D$21*0.2,0)</f>
        <v>222</v>
      </c>
      <c r="E30" s="296">
        <f>E24</f>
        <v>416.65</v>
      </c>
      <c r="F30" s="296">
        <v>0</v>
      </c>
      <c r="G30" s="295">
        <f t="shared" si="4"/>
        <v>416.65</v>
      </c>
      <c r="H30" s="298">
        <v>100</v>
      </c>
      <c r="I30" s="232">
        <f t="shared" si="5"/>
        <v>925</v>
      </c>
    </row>
    <row r="31" spans="1:9" s="24" customFormat="1" ht="15">
      <c r="A31" s="203" t="s">
        <v>89</v>
      </c>
      <c r="B31" s="236" t="s">
        <v>90</v>
      </c>
      <c r="C31" s="231" t="s">
        <v>147</v>
      </c>
      <c r="D31" s="294">
        <f>$D$9</f>
        <v>1111</v>
      </c>
      <c r="E31" s="296">
        <v>1</v>
      </c>
      <c r="F31" s="296">
        <v>0</v>
      </c>
      <c r="G31" s="295">
        <f t="shared" si="4"/>
        <v>1</v>
      </c>
      <c r="H31" s="298">
        <v>1</v>
      </c>
      <c r="I31" s="232">
        <f t="shared" si="5"/>
        <v>1111</v>
      </c>
    </row>
    <row r="32" spans="1:9" s="24" customFormat="1" ht="90">
      <c r="A32" s="203" t="s">
        <v>196</v>
      </c>
      <c r="B32" s="216" t="s">
        <v>275</v>
      </c>
      <c r="C32" s="231" t="s">
        <v>147</v>
      </c>
      <c r="D32" s="294">
        <f>$D$9</f>
        <v>1111</v>
      </c>
      <c r="E32" s="296">
        <v>37.4</v>
      </c>
      <c r="F32" s="296">
        <v>0</v>
      </c>
      <c r="G32" s="295">
        <f t="shared" si="4"/>
        <v>37.4</v>
      </c>
      <c r="H32" s="298">
        <v>100</v>
      </c>
      <c r="I32" s="232">
        <f t="shared" si="5"/>
        <v>416</v>
      </c>
    </row>
    <row r="33" spans="1:10" s="24" customFormat="1" ht="15">
      <c r="A33" s="211"/>
      <c r="B33" s="215" t="s">
        <v>276</v>
      </c>
      <c r="C33" s="231"/>
      <c r="D33" s="294"/>
      <c r="E33" s="296"/>
      <c r="F33" s="296"/>
      <c r="G33" s="295"/>
      <c r="H33" s="298"/>
      <c r="I33" s="232"/>
      <c r="J33" s="25"/>
    </row>
    <row r="34" spans="1:10" s="24" customFormat="1" ht="30">
      <c r="A34" s="203" t="s">
        <v>93</v>
      </c>
      <c r="B34" s="219" t="s">
        <v>111</v>
      </c>
      <c r="C34" s="231" t="s">
        <v>147</v>
      </c>
      <c r="D34" s="294">
        <f>$D$9</f>
        <v>1111</v>
      </c>
      <c r="E34" s="296">
        <v>119</v>
      </c>
      <c r="F34" s="296">
        <v>0</v>
      </c>
      <c r="G34" s="295">
        <f t="shared" si="4"/>
        <v>119</v>
      </c>
      <c r="H34" s="298">
        <v>100</v>
      </c>
      <c r="I34" s="232">
        <f t="shared" si="5"/>
        <v>1322</v>
      </c>
    </row>
    <row r="35" spans="1:10" s="24" customFormat="1" ht="60">
      <c r="A35" s="203" t="s">
        <v>94</v>
      </c>
      <c r="B35" s="219" t="s">
        <v>110</v>
      </c>
      <c r="C35" s="231" t="s">
        <v>147</v>
      </c>
      <c r="D35" s="294">
        <f>$D$9</f>
        <v>1111</v>
      </c>
      <c r="E35" s="296">
        <v>625</v>
      </c>
      <c r="F35" s="296">
        <v>0</v>
      </c>
      <c r="G35" s="295">
        <f t="shared" si="4"/>
        <v>625</v>
      </c>
      <c r="H35" s="298">
        <v>100</v>
      </c>
      <c r="I35" s="232">
        <f t="shared" si="5"/>
        <v>6944</v>
      </c>
    </row>
    <row r="36" spans="1:10" s="24" customFormat="1" ht="75">
      <c r="A36" s="203" t="s">
        <v>95</v>
      </c>
      <c r="B36" s="219" t="s">
        <v>277</v>
      </c>
      <c r="C36" s="231" t="s">
        <v>79</v>
      </c>
      <c r="D36" s="294">
        <v>1</v>
      </c>
      <c r="E36" s="296">
        <v>2321.4</v>
      </c>
      <c r="F36" s="296">
        <v>0</v>
      </c>
      <c r="G36" s="295">
        <f t="shared" si="4"/>
        <v>2321.4</v>
      </c>
      <c r="H36" s="298">
        <v>1</v>
      </c>
      <c r="I36" s="232">
        <f t="shared" si="5"/>
        <v>2321</v>
      </c>
    </row>
    <row r="37" spans="1:10" s="24" customFormat="1" ht="90">
      <c r="A37" s="203" t="s">
        <v>96</v>
      </c>
      <c r="B37" s="219" t="s">
        <v>278</v>
      </c>
      <c r="C37" s="231" t="s">
        <v>79</v>
      </c>
      <c r="D37" s="294">
        <v>1</v>
      </c>
      <c r="E37" s="296">
        <v>3477.05</v>
      </c>
      <c r="F37" s="296">
        <v>0</v>
      </c>
      <c r="G37" s="295">
        <f t="shared" si="4"/>
        <v>3477.05</v>
      </c>
      <c r="H37" s="298">
        <v>1</v>
      </c>
      <c r="I37" s="232">
        <f t="shared" si="5"/>
        <v>3477</v>
      </c>
    </row>
    <row r="38" spans="1:10" s="24" customFormat="1" ht="210">
      <c r="A38" s="203" t="s">
        <v>302</v>
      </c>
      <c r="B38" s="216" t="s">
        <v>301</v>
      </c>
      <c r="C38" s="305" t="s">
        <v>79</v>
      </c>
      <c r="D38" s="306">
        <v>1</v>
      </c>
      <c r="E38" s="307">
        <v>8757</v>
      </c>
      <c r="F38" s="308">
        <v>0</v>
      </c>
      <c r="G38" s="309">
        <f t="shared" si="4"/>
        <v>8757</v>
      </c>
      <c r="H38" s="310" t="s">
        <v>79</v>
      </c>
      <c r="I38" s="311"/>
    </row>
    <row r="39" spans="1:10" s="29" customFormat="1" ht="15">
      <c r="A39" s="192"/>
      <c r="B39" s="50" t="s">
        <v>68</v>
      </c>
      <c r="C39" s="257"/>
      <c r="D39" s="247"/>
      <c r="E39" s="247"/>
      <c r="F39" s="247"/>
      <c r="G39" s="248"/>
      <c r="H39" s="248"/>
      <c r="I39" s="52">
        <f>SUM(I7:I38)</f>
        <v>47189</v>
      </c>
    </row>
    <row r="40" spans="1:10" ht="15">
      <c r="A40" s="209"/>
      <c r="B40" s="250" t="s">
        <v>181</v>
      </c>
      <c r="C40" s="258"/>
      <c r="D40" s="250"/>
      <c r="E40" s="250"/>
      <c r="F40" s="250"/>
      <c r="G40" s="250"/>
      <c r="H40" s="250"/>
      <c r="I40" s="250"/>
    </row>
    <row r="43" spans="1:10" ht="15">
      <c r="F43" s="90"/>
      <c r="G43" s="166" t="s">
        <v>126</v>
      </c>
      <c r="H43" s="90"/>
      <c r="I43" s="90"/>
    </row>
    <row r="44" spans="1:10" ht="15">
      <c r="F44" s="90"/>
      <c r="G44" s="166"/>
      <c r="H44" s="90"/>
      <c r="I44" s="90"/>
    </row>
    <row r="45" spans="1:10">
      <c r="G45" s="21"/>
    </row>
  </sheetData>
  <mergeCells count="8">
    <mergeCell ref="A1:I1"/>
    <mergeCell ref="D26:I26"/>
    <mergeCell ref="E4:H4"/>
    <mergeCell ref="I4:I5"/>
    <mergeCell ref="D4:D5"/>
    <mergeCell ref="B4:B5"/>
    <mergeCell ref="A4:A5"/>
    <mergeCell ref="C4:C5"/>
  </mergeCells>
  <printOptions horizontalCentered="1"/>
  <pageMargins left="0.49" right="0.25" top="0.35" bottom="0.21" header="0.41" footer="0.25"/>
  <pageSetup paperSize="9" scale="42" orientation="portrait" r:id="rId1"/>
  <headerFooter alignWithMargins="0"/>
  <colBreaks count="1" manualBreakCount="1">
    <brk id="9" max="34"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tint="0.79998168889431442"/>
    <pageSetUpPr fitToPage="1"/>
  </sheetPr>
  <dimension ref="A1:K26"/>
  <sheetViews>
    <sheetView view="pageBreakPreview" topLeftCell="A5" zoomScale="90" zoomScaleNormal="85" zoomScaleSheetLayoutView="90" workbookViewId="0">
      <selection activeCell="D5" sqref="D5:D6"/>
    </sheetView>
  </sheetViews>
  <sheetFormatPr defaultRowHeight="14.25"/>
  <cols>
    <col min="1" max="1" width="11.42578125" style="7" customWidth="1"/>
    <col min="2" max="2" width="45.7109375" style="7" customWidth="1"/>
    <col min="3" max="3" width="4.85546875" style="7" bestFit="1" customWidth="1"/>
    <col min="4" max="4" width="7.85546875" style="7" customWidth="1"/>
    <col min="5" max="5" width="9.42578125" style="7" bestFit="1" customWidth="1"/>
    <col min="6" max="6" width="9.28515625" style="7" bestFit="1" customWidth="1"/>
    <col min="7" max="7" width="9.85546875" style="7" customWidth="1"/>
    <col min="8" max="8" width="4.42578125" style="7" bestFit="1" customWidth="1"/>
    <col min="9" max="9" width="11.7109375" style="7" customWidth="1"/>
    <col min="10" max="10" width="3.42578125" style="7" customWidth="1"/>
    <col min="11" max="254" width="9.140625" style="7"/>
    <col min="255" max="255" width="11.42578125" style="7" customWidth="1"/>
    <col min="256" max="256" width="56.140625" style="7" customWidth="1"/>
    <col min="257" max="257" width="10.140625" style="7" customWidth="1"/>
    <col min="258" max="258" width="7.85546875" style="7" customWidth="1"/>
    <col min="259" max="259" width="10.85546875" style="7" customWidth="1"/>
    <col min="260" max="260" width="5.140625" style="7" bestFit="1" customWidth="1"/>
    <col min="261" max="261" width="11.7109375" style="7" customWidth="1"/>
    <col min="262" max="262" width="3.42578125" style="7" customWidth="1"/>
    <col min="263" max="510" width="9.140625" style="7"/>
    <col min="511" max="511" width="11.42578125" style="7" customWidth="1"/>
    <col min="512" max="512" width="56.140625" style="7" customWidth="1"/>
    <col min="513" max="513" width="10.140625" style="7" customWidth="1"/>
    <col min="514" max="514" width="7.85546875" style="7" customWidth="1"/>
    <col min="515" max="515" width="10.85546875" style="7" customWidth="1"/>
    <col min="516" max="516" width="5.140625" style="7" bestFit="1" customWidth="1"/>
    <col min="517" max="517" width="11.7109375" style="7" customWidth="1"/>
    <col min="518" max="518" width="3.42578125" style="7" customWidth="1"/>
    <col min="519" max="766" width="9.140625" style="7"/>
    <col min="767" max="767" width="11.42578125" style="7" customWidth="1"/>
    <col min="768" max="768" width="56.140625" style="7" customWidth="1"/>
    <col min="769" max="769" width="10.140625" style="7" customWidth="1"/>
    <col min="770" max="770" width="7.85546875" style="7" customWidth="1"/>
    <col min="771" max="771" width="10.85546875" style="7" customWidth="1"/>
    <col min="772" max="772" width="5.140625" style="7" bestFit="1" customWidth="1"/>
    <col min="773" max="773" width="11.7109375" style="7" customWidth="1"/>
    <col min="774" max="774" width="3.42578125" style="7" customWidth="1"/>
    <col min="775" max="1022" width="9.140625" style="7"/>
    <col min="1023" max="1023" width="11.42578125" style="7" customWidth="1"/>
    <col min="1024" max="1024" width="56.140625" style="7" customWidth="1"/>
    <col min="1025" max="1025" width="10.140625" style="7" customWidth="1"/>
    <col min="1026" max="1026" width="7.85546875" style="7" customWidth="1"/>
    <col min="1027" max="1027" width="10.85546875" style="7" customWidth="1"/>
    <col min="1028" max="1028" width="5.140625" style="7" bestFit="1" customWidth="1"/>
    <col min="1029" max="1029" width="11.7109375" style="7" customWidth="1"/>
    <col min="1030" max="1030" width="3.42578125" style="7" customWidth="1"/>
    <col min="1031" max="1278" width="9.140625" style="7"/>
    <col min="1279" max="1279" width="11.42578125" style="7" customWidth="1"/>
    <col min="1280" max="1280" width="56.140625" style="7" customWidth="1"/>
    <col min="1281" max="1281" width="10.140625" style="7" customWidth="1"/>
    <col min="1282" max="1282" width="7.85546875" style="7" customWidth="1"/>
    <col min="1283" max="1283" width="10.85546875" style="7" customWidth="1"/>
    <col min="1284" max="1284" width="5.140625" style="7" bestFit="1" customWidth="1"/>
    <col min="1285" max="1285" width="11.7109375" style="7" customWidth="1"/>
    <col min="1286" max="1286" width="3.42578125" style="7" customWidth="1"/>
    <col min="1287" max="1534" width="9.140625" style="7"/>
    <col min="1535" max="1535" width="11.42578125" style="7" customWidth="1"/>
    <col min="1536" max="1536" width="56.140625" style="7" customWidth="1"/>
    <col min="1537" max="1537" width="10.140625" style="7" customWidth="1"/>
    <col min="1538" max="1538" width="7.85546875" style="7" customWidth="1"/>
    <col min="1539" max="1539" width="10.85546875" style="7" customWidth="1"/>
    <col min="1540" max="1540" width="5.140625" style="7" bestFit="1" customWidth="1"/>
    <col min="1541" max="1541" width="11.7109375" style="7" customWidth="1"/>
    <col min="1542" max="1542" width="3.42578125" style="7" customWidth="1"/>
    <col min="1543" max="1790" width="9.140625" style="7"/>
    <col min="1791" max="1791" width="11.42578125" style="7" customWidth="1"/>
    <col min="1792" max="1792" width="56.140625" style="7" customWidth="1"/>
    <col min="1793" max="1793" width="10.140625" style="7" customWidth="1"/>
    <col min="1794" max="1794" width="7.85546875" style="7" customWidth="1"/>
    <col min="1795" max="1795" width="10.85546875" style="7" customWidth="1"/>
    <col min="1796" max="1796" width="5.140625" style="7" bestFit="1" customWidth="1"/>
    <col min="1797" max="1797" width="11.7109375" style="7" customWidth="1"/>
    <col min="1798" max="1798" width="3.42578125" style="7" customWidth="1"/>
    <col min="1799" max="2046" width="9.140625" style="7"/>
    <col min="2047" max="2047" width="11.42578125" style="7" customWidth="1"/>
    <col min="2048" max="2048" width="56.140625" style="7" customWidth="1"/>
    <col min="2049" max="2049" width="10.140625" style="7" customWidth="1"/>
    <col min="2050" max="2050" width="7.85546875" style="7" customWidth="1"/>
    <col min="2051" max="2051" width="10.85546875" style="7" customWidth="1"/>
    <col min="2052" max="2052" width="5.140625" style="7" bestFit="1" customWidth="1"/>
    <col min="2053" max="2053" width="11.7109375" style="7" customWidth="1"/>
    <col min="2054" max="2054" width="3.42578125" style="7" customWidth="1"/>
    <col min="2055" max="2302" width="9.140625" style="7"/>
    <col min="2303" max="2303" width="11.42578125" style="7" customWidth="1"/>
    <col min="2304" max="2304" width="56.140625" style="7" customWidth="1"/>
    <col min="2305" max="2305" width="10.140625" style="7" customWidth="1"/>
    <col min="2306" max="2306" width="7.85546875" style="7" customWidth="1"/>
    <col min="2307" max="2307" width="10.85546875" style="7" customWidth="1"/>
    <col min="2308" max="2308" width="5.140625" style="7" bestFit="1" customWidth="1"/>
    <col min="2309" max="2309" width="11.7109375" style="7" customWidth="1"/>
    <col min="2310" max="2310" width="3.42578125" style="7" customWidth="1"/>
    <col min="2311" max="2558" width="9.140625" style="7"/>
    <col min="2559" max="2559" width="11.42578125" style="7" customWidth="1"/>
    <col min="2560" max="2560" width="56.140625" style="7" customWidth="1"/>
    <col min="2561" max="2561" width="10.140625" style="7" customWidth="1"/>
    <col min="2562" max="2562" width="7.85546875" style="7" customWidth="1"/>
    <col min="2563" max="2563" width="10.85546875" style="7" customWidth="1"/>
    <col min="2564" max="2564" width="5.140625" style="7" bestFit="1" customWidth="1"/>
    <col min="2565" max="2565" width="11.7109375" style="7" customWidth="1"/>
    <col min="2566" max="2566" width="3.42578125" style="7" customWidth="1"/>
    <col min="2567" max="2814" width="9.140625" style="7"/>
    <col min="2815" max="2815" width="11.42578125" style="7" customWidth="1"/>
    <col min="2816" max="2816" width="56.140625" style="7" customWidth="1"/>
    <col min="2817" max="2817" width="10.140625" style="7" customWidth="1"/>
    <col min="2818" max="2818" width="7.85546875" style="7" customWidth="1"/>
    <col min="2819" max="2819" width="10.85546875" style="7" customWidth="1"/>
    <col min="2820" max="2820" width="5.140625" style="7" bestFit="1" customWidth="1"/>
    <col min="2821" max="2821" width="11.7109375" style="7" customWidth="1"/>
    <col min="2822" max="2822" width="3.42578125" style="7" customWidth="1"/>
    <col min="2823" max="3070" width="9.140625" style="7"/>
    <col min="3071" max="3071" width="11.42578125" style="7" customWidth="1"/>
    <col min="3072" max="3072" width="56.140625" style="7" customWidth="1"/>
    <col min="3073" max="3073" width="10.140625" style="7" customWidth="1"/>
    <col min="3074" max="3074" width="7.85546875" style="7" customWidth="1"/>
    <col min="3075" max="3075" width="10.85546875" style="7" customWidth="1"/>
    <col min="3076" max="3076" width="5.140625" style="7" bestFit="1" customWidth="1"/>
    <col min="3077" max="3077" width="11.7109375" style="7" customWidth="1"/>
    <col min="3078" max="3078" width="3.42578125" style="7" customWidth="1"/>
    <col min="3079" max="3326" width="9.140625" style="7"/>
    <col min="3327" max="3327" width="11.42578125" style="7" customWidth="1"/>
    <col min="3328" max="3328" width="56.140625" style="7" customWidth="1"/>
    <col min="3329" max="3329" width="10.140625" style="7" customWidth="1"/>
    <col min="3330" max="3330" width="7.85546875" style="7" customWidth="1"/>
    <col min="3331" max="3331" width="10.85546875" style="7" customWidth="1"/>
    <col min="3332" max="3332" width="5.140625" style="7" bestFit="1" customWidth="1"/>
    <col min="3333" max="3333" width="11.7109375" style="7" customWidth="1"/>
    <col min="3334" max="3334" width="3.42578125" style="7" customWidth="1"/>
    <col min="3335" max="3582" width="9.140625" style="7"/>
    <col min="3583" max="3583" width="11.42578125" style="7" customWidth="1"/>
    <col min="3584" max="3584" width="56.140625" style="7" customWidth="1"/>
    <col min="3585" max="3585" width="10.140625" style="7" customWidth="1"/>
    <col min="3586" max="3586" width="7.85546875" style="7" customWidth="1"/>
    <col min="3587" max="3587" width="10.85546875" style="7" customWidth="1"/>
    <col min="3588" max="3588" width="5.140625" style="7" bestFit="1" customWidth="1"/>
    <col min="3589" max="3589" width="11.7109375" style="7" customWidth="1"/>
    <col min="3590" max="3590" width="3.42578125" style="7" customWidth="1"/>
    <col min="3591" max="3838" width="9.140625" style="7"/>
    <col min="3839" max="3839" width="11.42578125" style="7" customWidth="1"/>
    <col min="3840" max="3840" width="56.140625" style="7" customWidth="1"/>
    <col min="3841" max="3841" width="10.140625" style="7" customWidth="1"/>
    <col min="3842" max="3842" width="7.85546875" style="7" customWidth="1"/>
    <col min="3843" max="3843" width="10.85546875" style="7" customWidth="1"/>
    <col min="3844" max="3844" width="5.140625" style="7" bestFit="1" customWidth="1"/>
    <col min="3845" max="3845" width="11.7109375" style="7" customWidth="1"/>
    <col min="3846" max="3846" width="3.42578125" style="7" customWidth="1"/>
    <col min="3847" max="4094" width="9.140625" style="7"/>
    <col min="4095" max="4095" width="11.42578125" style="7" customWidth="1"/>
    <col min="4096" max="4096" width="56.140625" style="7" customWidth="1"/>
    <col min="4097" max="4097" width="10.140625" style="7" customWidth="1"/>
    <col min="4098" max="4098" width="7.85546875" style="7" customWidth="1"/>
    <col min="4099" max="4099" width="10.85546875" style="7" customWidth="1"/>
    <col min="4100" max="4100" width="5.140625" style="7" bestFit="1" customWidth="1"/>
    <col min="4101" max="4101" width="11.7109375" style="7" customWidth="1"/>
    <col min="4102" max="4102" width="3.42578125" style="7" customWidth="1"/>
    <col min="4103" max="4350" width="9.140625" style="7"/>
    <col min="4351" max="4351" width="11.42578125" style="7" customWidth="1"/>
    <col min="4352" max="4352" width="56.140625" style="7" customWidth="1"/>
    <col min="4353" max="4353" width="10.140625" style="7" customWidth="1"/>
    <col min="4354" max="4354" width="7.85546875" style="7" customWidth="1"/>
    <col min="4355" max="4355" width="10.85546875" style="7" customWidth="1"/>
    <col min="4356" max="4356" width="5.140625" style="7" bestFit="1" customWidth="1"/>
    <col min="4357" max="4357" width="11.7109375" style="7" customWidth="1"/>
    <col min="4358" max="4358" width="3.42578125" style="7" customWidth="1"/>
    <col min="4359" max="4606" width="9.140625" style="7"/>
    <col min="4607" max="4607" width="11.42578125" style="7" customWidth="1"/>
    <col min="4608" max="4608" width="56.140625" style="7" customWidth="1"/>
    <col min="4609" max="4609" width="10.140625" style="7" customWidth="1"/>
    <col min="4610" max="4610" width="7.85546875" style="7" customWidth="1"/>
    <col min="4611" max="4611" width="10.85546875" style="7" customWidth="1"/>
    <col min="4612" max="4612" width="5.140625" style="7" bestFit="1" customWidth="1"/>
    <col min="4613" max="4613" width="11.7109375" style="7" customWidth="1"/>
    <col min="4614" max="4614" width="3.42578125" style="7" customWidth="1"/>
    <col min="4615" max="4862" width="9.140625" style="7"/>
    <col min="4863" max="4863" width="11.42578125" style="7" customWidth="1"/>
    <col min="4864" max="4864" width="56.140625" style="7" customWidth="1"/>
    <col min="4865" max="4865" width="10.140625" style="7" customWidth="1"/>
    <col min="4866" max="4866" width="7.85546875" style="7" customWidth="1"/>
    <col min="4867" max="4867" width="10.85546875" style="7" customWidth="1"/>
    <col min="4868" max="4868" width="5.140625" style="7" bestFit="1" customWidth="1"/>
    <col min="4869" max="4869" width="11.7109375" style="7" customWidth="1"/>
    <col min="4870" max="4870" width="3.42578125" style="7" customWidth="1"/>
    <col min="4871" max="5118" width="9.140625" style="7"/>
    <col min="5119" max="5119" width="11.42578125" style="7" customWidth="1"/>
    <col min="5120" max="5120" width="56.140625" style="7" customWidth="1"/>
    <col min="5121" max="5121" width="10.140625" style="7" customWidth="1"/>
    <col min="5122" max="5122" width="7.85546875" style="7" customWidth="1"/>
    <col min="5123" max="5123" width="10.85546875" style="7" customWidth="1"/>
    <col min="5124" max="5124" width="5.140625" style="7" bestFit="1" customWidth="1"/>
    <col min="5125" max="5125" width="11.7109375" style="7" customWidth="1"/>
    <col min="5126" max="5126" width="3.42578125" style="7" customWidth="1"/>
    <col min="5127" max="5374" width="9.140625" style="7"/>
    <col min="5375" max="5375" width="11.42578125" style="7" customWidth="1"/>
    <col min="5376" max="5376" width="56.140625" style="7" customWidth="1"/>
    <col min="5377" max="5377" width="10.140625" style="7" customWidth="1"/>
    <col min="5378" max="5378" width="7.85546875" style="7" customWidth="1"/>
    <col min="5379" max="5379" width="10.85546875" style="7" customWidth="1"/>
    <col min="5380" max="5380" width="5.140625" style="7" bestFit="1" customWidth="1"/>
    <col min="5381" max="5381" width="11.7109375" style="7" customWidth="1"/>
    <col min="5382" max="5382" width="3.42578125" style="7" customWidth="1"/>
    <col min="5383" max="5630" width="9.140625" style="7"/>
    <col min="5631" max="5631" width="11.42578125" style="7" customWidth="1"/>
    <col min="5632" max="5632" width="56.140625" style="7" customWidth="1"/>
    <col min="5633" max="5633" width="10.140625" style="7" customWidth="1"/>
    <col min="5634" max="5634" width="7.85546875" style="7" customWidth="1"/>
    <col min="5635" max="5635" width="10.85546875" style="7" customWidth="1"/>
    <col min="5636" max="5636" width="5.140625" style="7" bestFit="1" customWidth="1"/>
    <col min="5637" max="5637" width="11.7109375" style="7" customWidth="1"/>
    <col min="5638" max="5638" width="3.42578125" style="7" customWidth="1"/>
    <col min="5639" max="5886" width="9.140625" style="7"/>
    <col min="5887" max="5887" width="11.42578125" style="7" customWidth="1"/>
    <col min="5888" max="5888" width="56.140625" style="7" customWidth="1"/>
    <col min="5889" max="5889" width="10.140625" style="7" customWidth="1"/>
    <col min="5890" max="5890" width="7.85546875" style="7" customWidth="1"/>
    <col min="5891" max="5891" width="10.85546875" style="7" customWidth="1"/>
    <col min="5892" max="5892" width="5.140625" style="7" bestFit="1" customWidth="1"/>
    <col min="5893" max="5893" width="11.7109375" style="7" customWidth="1"/>
    <col min="5894" max="5894" width="3.42578125" style="7" customWidth="1"/>
    <col min="5895" max="6142" width="9.140625" style="7"/>
    <col min="6143" max="6143" width="11.42578125" style="7" customWidth="1"/>
    <col min="6144" max="6144" width="56.140625" style="7" customWidth="1"/>
    <col min="6145" max="6145" width="10.140625" style="7" customWidth="1"/>
    <col min="6146" max="6146" width="7.85546875" style="7" customWidth="1"/>
    <col min="6147" max="6147" width="10.85546875" style="7" customWidth="1"/>
    <col min="6148" max="6148" width="5.140625" style="7" bestFit="1" customWidth="1"/>
    <col min="6149" max="6149" width="11.7109375" style="7" customWidth="1"/>
    <col min="6150" max="6150" width="3.42578125" style="7" customWidth="1"/>
    <col min="6151" max="6398" width="9.140625" style="7"/>
    <col min="6399" max="6399" width="11.42578125" style="7" customWidth="1"/>
    <col min="6400" max="6400" width="56.140625" style="7" customWidth="1"/>
    <col min="6401" max="6401" width="10.140625" style="7" customWidth="1"/>
    <col min="6402" max="6402" width="7.85546875" style="7" customWidth="1"/>
    <col min="6403" max="6403" width="10.85546875" style="7" customWidth="1"/>
    <col min="6404" max="6404" width="5.140625" style="7" bestFit="1" customWidth="1"/>
    <col min="6405" max="6405" width="11.7109375" style="7" customWidth="1"/>
    <col min="6406" max="6406" width="3.42578125" style="7" customWidth="1"/>
    <col min="6407" max="6654" width="9.140625" style="7"/>
    <col min="6655" max="6655" width="11.42578125" style="7" customWidth="1"/>
    <col min="6656" max="6656" width="56.140625" style="7" customWidth="1"/>
    <col min="6657" max="6657" width="10.140625" style="7" customWidth="1"/>
    <col min="6658" max="6658" width="7.85546875" style="7" customWidth="1"/>
    <col min="6659" max="6659" width="10.85546875" style="7" customWidth="1"/>
    <col min="6660" max="6660" width="5.140625" style="7" bestFit="1" customWidth="1"/>
    <col min="6661" max="6661" width="11.7109375" style="7" customWidth="1"/>
    <col min="6662" max="6662" width="3.42578125" style="7" customWidth="1"/>
    <col min="6663" max="6910" width="9.140625" style="7"/>
    <col min="6911" max="6911" width="11.42578125" style="7" customWidth="1"/>
    <col min="6912" max="6912" width="56.140625" style="7" customWidth="1"/>
    <col min="6913" max="6913" width="10.140625" style="7" customWidth="1"/>
    <col min="6914" max="6914" width="7.85546875" style="7" customWidth="1"/>
    <col min="6915" max="6915" width="10.85546875" style="7" customWidth="1"/>
    <col min="6916" max="6916" width="5.140625" style="7" bestFit="1" customWidth="1"/>
    <col min="6917" max="6917" width="11.7109375" style="7" customWidth="1"/>
    <col min="6918" max="6918" width="3.42578125" style="7" customWidth="1"/>
    <col min="6919" max="7166" width="9.140625" style="7"/>
    <col min="7167" max="7167" width="11.42578125" style="7" customWidth="1"/>
    <col min="7168" max="7168" width="56.140625" style="7" customWidth="1"/>
    <col min="7169" max="7169" width="10.140625" style="7" customWidth="1"/>
    <col min="7170" max="7170" width="7.85546875" style="7" customWidth="1"/>
    <col min="7171" max="7171" width="10.85546875" style="7" customWidth="1"/>
    <col min="7172" max="7172" width="5.140625" style="7" bestFit="1" customWidth="1"/>
    <col min="7173" max="7173" width="11.7109375" style="7" customWidth="1"/>
    <col min="7174" max="7174" width="3.42578125" style="7" customWidth="1"/>
    <col min="7175" max="7422" width="9.140625" style="7"/>
    <col min="7423" max="7423" width="11.42578125" style="7" customWidth="1"/>
    <col min="7424" max="7424" width="56.140625" style="7" customWidth="1"/>
    <col min="7425" max="7425" width="10.140625" style="7" customWidth="1"/>
    <col min="7426" max="7426" width="7.85546875" style="7" customWidth="1"/>
    <col min="7427" max="7427" width="10.85546875" style="7" customWidth="1"/>
    <col min="7428" max="7428" width="5.140625" style="7" bestFit="1" customWidth="1"/>
    <col min="7429" max="7429" width="11.7109375" style="7" customWidth="1"/>
    <col min="7430" max="7430" width="3.42578125" style="7" customWidth="1"/>
    <col min="7431" max="7678" width="9.140625" style="7"/>
    <col min="7679" max="7679" width="11.42578125" style="7" customWidth="1"/>
    <col min="7680" max="7680" width="56.140625" style="7" customWidth="1"/>
    <col min="7681" max="7681" width="10.140625" style="7" customWidth="1"/>
    <col min="7682" max="7682" width="7.85546875" style="7" customWidth="1"/>
    <col min="7683" max="7683" width="10.85546875" style="7" customWidth="1"/>
    <col min="7684" max="7684" width="5.140625" style="7" bestFit="1" customWidth="1"/>
    <col min="7685" max="7685" width="11.7109375" style="7" customWidth="1"/>
    <col min="7686" max="7686" width="3.42578125" style="7" customWidth="1"/>
    <col min="7687" max="7934" width="9.140625" style="7"/>
    <col min="7935" max="7935" width="11.42578125" style="7" customWidth="1"/>
    <col min="7936" max="7936" width="56.140625" style="7" customWidth="1"/>
    <col min="7937" max="7937" width="10.140625" style="7" customWidth="1"/>
    <col min="7938" max="7938" width="7.85546875" style="7" customWidth="1"/>
    <col min="7939" max="7939" width="10.85546875" style="7" customWidth="1"/>
    <col min="7940" max="7940" width="5.140625" style="7" bestFit="1" customWidth="1"/>
    <col min="7941" max="7941" width="11.7109375" style="7" customWidth="1"/>
    <col min="7942" max="7942" width="3.42578125" style="7" customWidth="1"/>
    <col min="7943" max="8190" width="9.140625" style="7"/>
    <col min="8191" max="8191" width="11.42578125" style="7" customWidth="1"/>
    <col min="8192" max="8192" width="56.140625" style="7" customWidth="1"/>
    <col min="8193" max="8193" width="10.140625" style="7" customWidth="1"/>
    <col min="8194" max="8194" width="7.85546875" style="7" customWidth="1"/>
    <col min="8195" max="8195" width="10.85546875" style="7" customWidth="1"/>
    <col min="8196" max="8196" width="5.140625" style="7" bestFit="1" customWidth="1"/>
    <col min="8197" max="8197" width="11.7109375" style="7" customWidth="1"/>
    <col min="8198" max="8198" width="3.42578125" style="7" customWidth="1"/>
    <col min="8199" max="8446" width="9.140625" style="7"/>
    <col min="8447" max="8447" width="11.42578125" style="7" customWidth="1"/>
    <col min="8448" max="8448" width="56.140625" style="7" customWidth="1"/>
    <col min="8449" max="8449" width="10.140625" style="7" customWidth="1"/>
    <col min="8450" max="8450" width="7.85546875" style="7" customWidth="1"/>
    <col min="8451" max="8451" width="10.85546875" style="7" customWidth="1"/>
    <col min="8452" max="8452" width="5.140625" style="7" bestFit="1" customWidth="1"/>
    <col min="8453" max="8453" width="11.7109375" style="7" customWidth="1"/>
    <col min="8454" max="8454" width="3.42578125" style="7" customWidth="1"/>
    <col min="8455" max="8702" width="9.140625" style="7"/>
    <col min="8703" max="8703" width="11.42578125" style="7" customWidth="1"/>
    <col min="8704" max="8704" width="56.140625" style="7" customWidth="1"/>
    <col min="8705" max="8705" width="10.140625" style="7" customWidth="1"/>
    <col min="8706" max="8706" width="7.85546875" style="7" customWidth="1"/>
    <col min="8707" max="8707" width="10.85546875" style="7" customWidth="1"/>
    <col min="8708" max="8708" width="5.140625" style="7" bestFit="1" customWidth="1"/>
    <col min="8709" max="8709" width="11.7109375" style="7" customWidth="1"/>
    <col min="8710" max="8710" width="3.42578125" style="7" customWidth="1"/>
    <col min="8711" max="8958" width="9.140625" style="7"/>
    <col min="8959" max="8959" width="11.42578125" style="7" customWidth="1"/>
    <col min="8960" max="8960" width="56.140625" style="7" customWidth="1"/>
    <col min="8961" max="8961" width="10.140625" style="7" customWidth="1"/>
    <col min="8962" max="8962" width="7.85546875" style="7" customWidth="1"/>
    <col min="8963" max="8963" width="10.85546875" style="7" customWidth="1"/>
    <col min="8964" max="8964" width="5.140625" style="7" bestFit="1" customWidth="1"/>
    <col min="8965" max="8965" width="11.7109375" style="7" customWidth="1"/>
    <col min="8966" max="8966" width="3.42578125" style="7" customWidth="1"/>
    <col min="8967" max="9214" width="9.140625" style="7"/>
    <col min="9215" max="9215" width="11.42578125" style="7" customWidth="1"/>
    <col min="9216" max="9216" width="56.140625" style="7" customWidth="1"/>
    <col min="9217" max="9217" width="10.140625" style="7" customWidth="1"/>
    <col min="9218" max="9218" width="7.85546875" style="7" customWidth="1"/>
    <col min="9219" max="9219" width="10.85546875" style="7" customWidth="1"/>
    <col min="9220" max="9220" width="5.140625" style="7" bestFit="1" customWidth="1"/>
    <col min="9221" max="9221" width="11.7109375" style="7" customWidth="1"/>
    <col min="9222" max="9222" width="3.42578125" style="7" customWidth="1"/>
    <col min="9223" max="9470" width="9.140625" style="7"/>
    <col min="9471" max="9471" width="11.42578125" style="7" customWidth="1"/>
    <col min="9472" max="9472" width="56.140625" style="7" customWidth="1"/>
    <col min="9473" max="9473" width="10.140625" style="7" customWidth="1"/>
    <col min="9474" max="9474" width="7.85546875" style="7" customWidth="1"/>
    <col min="9475" max="9475" width="10.85546875" style="7" customWidth="1"/>
    <col min="9476" max="9476" width="5.140625" style="7" bestFit="1" customWidth="1"/>
    <col min="9477" max="9477" width="11.7109375" style="7" customWidth="1"/>
    <col min="9478" max="9478" width="3.42578125" style="7" customWidth="1"/>
    <col min="9479" max="9726" width="9.140625" style="7"/>
    <col min="9727" max="9727" width="11.42578125" style="7" customWidth="1"/>
    <col min="9728" max="9728" width="56.140625" style="7" customWidth="1"/>
    <col min="9729" max="9729" width="10.140625" style="7" customWidth="1"/>
    <col min="9730" max="9730" width="7.85546875" style="7" customWidth="1"/>
    <col min="9731" max="9731" width="10.85546875" style="7" customWidth="1"/>
    <col min="9732" max="9732" width="5.140625" style="7" bestFit="1" customWidth="1"/>
    <col min="9733" max="9733" width="11.7109375" style="7" customWidth="1"/>
    <col min="9734" max="9734" width="3.42578125" style="7" customWidth="1"/>
    <col min="9735" max="9982" width="9.140625" style="7"/>
    <col min="9983" max="9983" width="11.42578125" style="7" customWidth="1"/>
    <col min="9984" max="9984" width="56.140625" style="7" customWidth="1"/>
    <col min="9985" max="9985" width="10.140625" style="7" customWidth="1"/>
    <col min="9986" max="9986" width="7.85546875" style="7" customWidth="1"/>
    <col min="9987" max="9987" width="10.85546875" style="7" customWidth="1"/>
    <col min="9988" max="9988" width="5.140625" style="7" bestFit="1" customWidth="1"/>
    <col min="9989" max="9989" width="11.7109375" style="7" customWidth="1"/>
    <col min="9990" max="9990" width="3.42578125" style="7" customWidth="1"/>
    <col min="9991" max="10238" width="9.140625" style="7"/>
    <col min="10239" max="10239" width="11.42578125" style="7" customWidth="1"/>
    <col min="10240" max="10240" width="56.140625" style="7" customWidth="1"/>
    <col min="10241" max="10241" width="10.140625" style="7" customWidth="1"/>
    <col min="10242" max="10242" width="7.85546875" style="7" customWidth="1"/>
    <col min="10243" max="10243" width="10.85546875" style="7" customWidth="1"/>
    <col min="10244" max="10244" width="5.140625" style="7" bestFit="1" customWidth="1"/>
    <col min="10245" max="10245" width="11.7109375" style="7" customWidth="1"/>
    <col min="10246" max="10246" width="3.42578125" style="7" customWidth="1"/>
    <col min="10247" max="10494" width="9.140625" style="7"/>
    <col min="10495" max="10495" width="11.42578125" style="7" customWidth="1"/>
    <col min="10496" max="10496" width="56.140625" style="7" customWidth="1"/>
    <col min="10497" max="10497" width="10.140625" style="7" customWidth="1"/>
    <col min="10498" max="10498" width="7.85546875" style="7" customWidth="1"/>
    <col min="10499" max="10499" width="10.85546875" style="7" customWidth="1"/>
    <col min="10500" max="10500" width="5.140625" style="7" bestFit="1" customWidth="1"/>
    <col min="10501" max="10501" width="11.7109375" style="7" customWidth="1"/>
    <col min="10502" max="10502" width="3.42578125" style="7" customWidth="1"/>
    <col min="10503" max="10750" width="9.140625" style="7"/>
    <col min="10751" max="10751" width="11.42578125" style="7" customWidth="1"/>
    <col min="10752" max="10752" width="56.140625" style="7" customWidth="1"/>
    <col min="10753" max="10753" width="10.140625" style="7" customWidth="1"/>
    <col min="10754" max="10754" width="7.85546875" style="7" customWidth="1"/>
    <col min="10755" max="10755" width="10.85546875" style="7" customWidth="1"/>
    <col min="10756" max="10756" width="5.140625" style="7" bestFit="1" customWidth="1"/>
    <col min="10757" max="10757" width="11.7109375" style="7" customWidth="1"/>
    <col min="10758" max="10758" width="3.42578125" style="7" customWidth="1"/>
    <col min="10759" max="11006" width="9.140625" style="7"/>
    <col min="11007" max="11007" width="11.42578125" style="7" customWidth="1"/>
    <col min="11008" max="11008" width="56.140625" style="7" customWidth="1"/>
    <col min="11009" max="11009" width="10.140625" style="7" customWidth="1"/>
    <col min="11010" max="11010" width="7.85546875" style="7" customWidth="1"/>
    <col min="11011" max="11011" width="10.85546875" style="7" customWidth="1"/>
    <col min="11012" max="11012" width="5.140625" style="7" bestFit="1" customWidth="1"/>
    <col min="11013" max="11013" width="11.7109375" style="7" customWidth="1"/>
    <col min="11014" max="11014" width="3.42578125" style="7" customWidth="1"/>
    <col min="11015" max="11262" width="9.140625" style="7"/>
    <col min="11263" max="11263" width="11.42578125" style="7" customWidth="1"/>
    <col min="11264" max="11264" width="56.140625" style="7" customWidth="1"/>
    <col min="11265" max="11265" width="10.140625" style="7" customWidth="1"/>
    <col min="11266" max="11266" width="7.85546875" style="7" customWidth="1"/>
    <col min="11267" max="11267" width="10.85546875" style="7" customWidth="1"/>
    <col min="11268" max="11268" width="5.140625" style="7" bestFit="1" customWidth="1"/>
    <col min="11269" max="11269" width="11.7109375" style="7" customWidth="1"/>
    <col min="11270" max="11270" width="3.42578125" style="7" customWidth="1"/>
    <col min="11271" max="11518" width="9.140625" style="7"/>
    <col min="11519" max="11519" width="11.42578125" style="7" customWidth="1"/>
    <col min="11520" max="11520" width="56.140625" style="7" customWidth="1"/>
    <col min="11521" max="11521" width="10.140625" style="7" customWidth="1"/>
    <col min="11522" max="11522" width="7.85546875" style="7" customWidth="1"/>
    <col min="11523" max="11523" width="10.85546875" style="7" customWidth="1"/>
    <col min="11524" max="11524" width="5.140625" style="7" bestFit="1" customWidth="1"/>
    <col min="11525" max="11525" width="11.7109375" style="7" customWidth="1"/>
    <col min="11526" max="11526" width="3.42578125" style="7" customWidth="1"/>
    <col min="11527" max="11774" width="9.140625" style="7"/>
    <col min="11775" max="11775" width="11.42578125" style="7" customWidth="1"/>
    <col min="11776" max="11776" width="56.140625" style="7" customWidth="1"/>
    <col min="11777" max="11777" width="10.140625" style="7" customWidth="1"/>
    <col min="11778" max="11778" width="7.85546875" style="7" customWidth="1"/>
    <col min="11779" max="11779" width="10.85546875" style="7" customWidth="1"/>
    <col min="11780" max="11780" width="5.140625" style="7" bestFit="1" customWidth="1"/>
    <col min="11781" max="11781" width="11.7109375" style="7" customWidth="1"/>
    <col min="11782" max="11782" width="3.42578125" style="7" customWidth="1"/>
    <col min="11783" max="12030" width="9.140625" style="7"/>
    <col min="12031" max="12031" width="11.42578125" style="7" customWidth="1"/>
    <col min="12032" max="12032" width="56.140625" style="7" customWidth="1"/>
    <col min="12033" max="12033" width="10.140625" style="7" customWidth="1"/>
    <col min="12034" max="12034" width="7.85546875" style="7" customWidth="1"/>
    <col min="12035" max="12035" width="10.85546875" style="7" customWidth="1"/>
    <col min="12036" max="12036" width="5.140625" style="7" bestFit="1" customWidth="1"/>
    <col min="12037" max="12037" width="11.7109375" style="7" customWidth="1"/>
    <col min="12038" max="12038" width="3.42578125" style="7" customWidth="1"/>
    <col min="12039" max="12286" width="9.140625" style="7"/>
    <col min="12287" max="12287" width="11.42578125" style="7" customWidth="1"/>
    <col min="12288" max="12288" width="56.140625" style="7" customWidth="1"/>
    <col min="12289" max="12289" width="10.140625" style="7" customWidth="1"/>
    <col min="12290" max="12290" width="7.85546875" style="7" customWidth="1"/>
    <col min="12291" max="12291" width="10.85546875" style="7" customWidth="1"/>
    <col min="12292" max="12292" width="5.140625" style="7" bestFit="1" customWidth="1"/>
    <col min="12293" max="12293" width="11.7109375" style="7" customWidth="1"/>
    <col min="12294" max="12294" width="3.42578125" style="7" customWidth="1"/>
    <col min="12295" max="12542" width="9.140625" style="7"/>
    <col min="12543" max="12543" width="11.42578125" style="7" customWidth="1"/>
    <col min="12544" max="12544" width="56.140625" style="7" customWidth="1"/>
    <col min="12545" max="12545" width="10.140625" style="7" customWidth="1"/>
    <col min="12546" max="12546" width="7.85546875" style="7" customWidth="1"/>
    <col min="12547" max="12547" width="10.85546875" style="7" customWidth="1"/>
    <col min="12548" max="12548" width="5.140625" style="7" bestFit="1" customWidth="1"/>
    <col min="12549" max="12549" width="11.7109375" style="7" customWidth="1"/>
    <col min="12550" max="12550" width="3.42578125" style="7" customWidth="1"/>
    <col min="12551" max="12798" width="9.140625" style="7"/>
    <col min="12799" max="12799" width="11.42578125" style="7" customWidth="1"/>
    <col min="12800" max="12800" width="56.140625" style="7" customWidth="1"/>
    <col min="12801" max="12801" width="10.140625" style="7" customWidth="1"/>
    <col min="12802" max="12802" width="7.85546875" style="7" customWidth="1"/>
    <col min="12803" max="12803" width="10.85546875" style="7" customWidth="1"/>
    <col min="12804" max="12804" width="5.140625" style="7" bestFit="1" customWidth="1"/>
    <col min="12805" max="12805" width="11.7109375" style="7" customWidth="1"/>
    <col min="12806" max="12806" width="3.42578125" style="7" customWidth="1"/>
    <col min="12807" max="13054" width="9.140625" style="7"/>
    <col min="13055" max="13055" width="11.42578125" style="7" customWidth="1"/>
    <col min="13056" max="13056" width="56.140625" style="7" customWidth="1"/>
    <col min="13057" max="13057" width="10.140625" style="7" customWidth="1"/>
    <col min="13058" max="13058" width="7.85546875" style="7" customWidth="1"/>
    <col min="13059" max="13059" width="10.85546875" style="7" customWidth="1"/>
    <col min="13060" max="13060" width="5.140625" style="7" bestFit="1" customWidth="1"/>
    <col min="13061" max="13061" width="11.7109375" style="7" customWidth="1"/>
    <col min="13062" max="13062" width="3.42578125" style="7" customWidth="1"/>
    <col min="13063" max="13310" width="9.140625" style="7"/>
    <col min="13311" max="13311" width="11.42578125" style="7" customWidth="1"/>
    <col min="13312" max="13312" width="56.140625" style="7" customWidth="1"/>
    <col min="13313" max="13313" width="10.140625" style="7" customWidth="1"/>
    <col min="13314" max="13314" width="7.85546875" style="7" customWidth="1"/>
    <col min="13315" max="13315" width="10.85546875" style="7" customWidth="1"/>
    <col min="13316" max="13316" width="5.140625" style="7" bestFit="1" customWidth="1"/>
    <col min="13317" max="13317" width="11.7109375" style="7" customWidth="1"/>
    <col min="13318" max="13318" width="3.42578125" style="7" customWidth="1"/>
    <col min="13319" max="13566" width="9.140625" style="7"/>
    <col min="13567" max="13567" width="11.42578125" style="7" customWidth="1"/>
    <col min="13568" max="13568" width="56.140625" style="7" customWidth="1"/>
    <col min="13569" max="13569" width="10.140625" style="7" customWidth="1"/>
    <col min="13570" max="13570" width="7.85546875" style="7" customWidth="1"/>
    <col min="13571" max="13571" width="10.85546875" style="7" customWidth="1"/>
    <col min="13572" max="13572" width="5.140625" style="7" bestFit="1" customWidth="1"/>
    <col min="13573" max="13573" width="11.7109375" style="7" customWidth="1"/>
    <col min="13574" max="13574" width="3.42578125" style="7" customWidth="1"/>
    <col min="13575" max="13822" width="9.140625" style="7"/>
    <col min="13823" max="13823" width="11.42578125" style="7" customWidth="1"/>
    <col min="13824" max="13824" width="56.140625" style="7" customWidth="1"/>
    <col min="13825" max="13825" width="10.140625" style="7" customWidth="1"/>
    <col min="13826" max="13826" width="7.85546875" style="7" customWidth="1"/>
    <col min="13827" max="13827" width="10.85546875" style="7" customWidth="1"/>
    <col min="13828" max="13828" width="5.140625" style="7" bestFit="1" customWidth="1"/>
    <col min="13829" max="13829" width="11.7109375" style="7" customWidth="1"/>
    <col min="13830" max="13830" width="3.42578125" style="7" customWidth="1"/>
    <col min="13831" max="14078" width="9.140625" style="7"/>
    <col min="14079" max="14079" width="11.42578125" style="7" customWidth="1"/>
    <col min="14080" max="14080" width="56.140625" style="7" customWidth="1"/>
    <col min="14081" max="14081" width="10.140625" style="7" customWidth="1"/>
    <col min="14082" max="14082" width="7.85546875" style="7" customWidth="1"/>
    <col min="14083" max="14083" width="10.85546875" style="7" customWidth="1"/>
    <col min="14084" max="14084" width="5.140625" style="7" bestFit="1" customWidth="1"/>
    <col min="14085" max="14085" width="11.7109375" style="7" customWidth="1"/>
    <col min="14086" max="14086" width="3.42578125" style="7" customWidth="1"/>
    <col min="14087" max="14334" width="9.140625" style="7"/>
    <col min="14335" max="14335" width="11.42578125" style="7" customWidth="1"/>
    <col min="14336" max="14336" width="56.140625" style="7" customWidth="1"/>
    <col min="14337" max="14337" width="10.140625" style="7" customWidth="1"/>
    <col min="14338" max="14338" width="7.85546875" style="7" customWidth="1"/>
    <col min="14339" max="14339" width="10.85546875" style="7" customWidth="1"/>
    <col min="14340" max="14340" width="5.140625" style="7" bestFit="1" customWidth="1"/>
    <col min="14341" max="14341" width="11.7109375" style="7" customWidth="1"/>
    <col min="14342" max="14342" width="3.42578125" style="7" customWidth="1"/>
    <col min="14343" max="14590" width="9.140625" style="7"/>
    <col min="14591" max="14591" width="11.42578125" style="7" customWidth="1"/>
    <col min="14592" max="14592" width="56.140625" style="7" customWidth="1"/>
    <col min="14593" max="14593" width="10.140625" style="7" customWidth="1"/>
    <col min="14594" max="14594" width="7.85546875" style="7" customWidth="1"/>
    <col min="14595" max="14595" width="10.85546875" style="7" customWidth="1"/>
    <col min="14596" max="14596" width="5.140625" style="7" bestFit="1" customWidth="1"/>
    <col min="14597" max="14597" width="11.7109375" style="7" customWidth="1"/>
    <col min="14598" max="14598" width="3.42578125" style="7" customWidth="1"/>
    <col min="14599" max="14846" width="9.140625" style="7"/>
    <col min="14847" max="14847" width="11.42578125" style="7" customWidth="1"/>
    <col min="14848" max="14848" width="56.140625" style="7" customWidth="1"/>
    <col min="14849" max="14849" width="10.140625" style="7" customWidth="1"/>
    <col min="14850" max="14850" width="7.85546875" style="7" customWidth="1"/>
    <col min="14851" max="14851" width="10.85546875" style="7" customWidth="1"/>
    <col min="14852" max="14852" width="5.140625" style="7" bestFit="1" customWidth="1"/>
    <col min="14853" max="14853" width="11.7109375" style="7" customWidth="1"/>
    <col min="14854" max="14854" width="3.42578125" style="7" customWidth="1"/>
    <col min="14855" max="15102" width="9.140625" style="7"/>
    <col min="15103" max="15103" width="11.42578125" style="7" customWidth="1"/>
    <col min="15104" max="15104" width="56.140625" style="7" customWidth="1"/>
    <col min="15105" max="15105" width="10.140625" style="7" customWidth="1"/>
    <col min="15106" max="15106" width="7.85546875" style="7" customWidth="1"/>
    <col min="15107" max="15107" width="10.85546875" style="7" customWidth="1"/>
    <col min="15108" max="15108" width="5.140625" style="7" bestFit="1" customWidth="1"/>
    <col min="15109" max="15109" width="11.7109375" style="7" customWidth="1"/>
    <col min="15110" max="15110" width="3.42578125" style="7" customWidth="1"/>
    <col min="15111" max="15358" width="9.140625" style="7"/>
    <col min="15359" max="15359" width="11.42578125" style="7" customWidth="1"/>
    <col min="15360" max="15360" width="56.140625" style="7" customWidth="1"/>
    <col min="15361" max="15361" width="10.140625" style="7" customWidth="1"/>
    <col min="15362" max="15362" width="7.85546875" style="7" customWidth="1"/>
    <col min="15363" max="15363" width="10.85546875" style="7" customWidth="1"/>
    <col min="15364" max="15364" width="5.140625" style="7" bestFit="1" customWidth="1"/>
    <col min="15365" max="15365" width="11.7109375" style="7" customWidth="1"/>
    <col min="15366" max="15366" width="3.42578125" style="7" customWidth="1"/>
    <col min="15367" max="15614" width="9.140625" style="7"/>
    <col min="15615" max="15615" width="11.42578125" style="7" customWidth="1"/>
    <col min="15616" max="15616" width="56.140625" style="7" customWidth="1"/>
    <col min="15617" max="15617" width="10.140625" style="7" customWidth="1"/>
    <col min="15618" max="15618" width="7.85546875" style="7" customWidth="1"/>
    <col min="15619" max="15619" width="10.85546875" style="7" customWidth="1"/>
    <col min="15620" max="15620" width="5.140625" style="7" bestFit="1" customWidth="1"/>
    <col min="15621" max="15621" width="11.7109375" style="7" customWidth="1"/>
    <col min="15622" max="15622" width="3.42578125" style="7" customWidth="1"/>
    <col min="15623" max="15870" width="9.140625" style="7"/>
    <col min="15871" max="15871" width="11.42578125" style="7" customWidth="1"/>
    <col min="15872" max="15872" width="56.140625" style="7" customWidth="1"/>
    <col min="15873" max="15873" width="10.140625" style="7" customWidth="1"/>
    <col min="15874" max="15874" width="7.85546875" style="7" customWidth="1"/>
    <col min="15875" max="15875" width="10.85546875" style="7" customWidth="1"/>
    <col min="15876" max="15876" width="5.140625" style="7" bestFit="1" customWidth="1"/>
    <col min="15877" max="15877" width="11.7109375" style="7" customWidth="1"/>
    <col min="15878" max="15878" width="3.42578125" style="7" customWidth="1"/>
    <col min="15879" max="16126" width="9.140625" style="7"/>
    <col min="16127" max="16127" width="11.42578125" style="7" customWidth="1"/>
    <col min="16128" max="16128" width="56.140625" style="7" customWidth="1"/>
    <col min="16129" max="16129" width="10.140625" style="7" customWidth="1"/>
    <col min="16130" max="16130" width="7.85546875" style="7" customWidth="1"/>
    <col min="16131" max="16131" width="10.85546875" style="7" customWidth="1"/>
    <col min="16132" max="16132" width="5.140625" style="7" bestFit="1" customWidth="1"/>
    <col min="16133" max="16133" width="11.7109375" style="7" customWidth="1"/>
    <col min="16134" max="16134" width="3.42578125" style="7" customWidth="1"/>
    <col min="16135" max="16384" width="9.140625" style="7"/>
  </cols>
  <sheetData>
    <row r="1" spans="1:11">
      <c r="A1" s="14"/>
      <c r="B1" s="14"/>
      <c r="C1" s="14"/>
      <c r="D1" s="14"/>
      <c r="E1" s="14"/>
      <c r="F1" s="14"/>
      <c r="G1" s="14"/>
      <c r="H1" s="14"/>
      <c r="I1" s="14"/>
    </row>
    <row r="2" spans="1:11" s="13" customFormat="1" ht="15.75">
      <c r="A2" s="566" t="s">
        <v>143</v>
      </c>
      <c r="B2" s="566"/>
      <c r="C2" s="566"/>
      <c r="D2" s="566"/>
      <c r="E2" s="566"/>
      <c r="F2" s="566"/>
      <c r="G2" s="566"/>
      <c r="H2" s="566"/>
      <c r="I2" s="566"/>
    </row>
    <row r="3" spans="1:11">
      <c r="A3" s="8"/>
      <c r="B3" s="8"/>
      <c r="C3" s="31"/>
      <c r="D3" s="8"/>
      <c r="E3" s="31"/>
      <c r="F3" s="31"/>
      <c r="G3" s="8"/>
      <c r="H3" s="8"/>
      <c r="I3" s="8"/>
    </row>
    <row r="4" spans="1:11" ht="15">
      <c r="A4" s="250"/>
      <c r="B4" s="250"/>
      <c r="C4" s="250"/>
      <c r="D4" s="251" t="s">
        <v>77</v>
      </c>
      <c r="E4" s="251"/>
      <c r="F4" s="251"/>
      <c r="G4" s="250"/>
      <c r="H4" s="250"/>
      <c r="I4" s="250"/>
    </row>
    <row r="5" spans="1:11" s="22" customFormat="1" ht="28.5" customHeight="1">
      <c r="A5" s="565" t="s">
        <v>76</v>
      </c>
      <c r="B5" s="565" t="s">
        <v>75</v>
      </c>
      <c r="C5" s="570" t="s">
        <v>21</v>
      </c>
      <c r="D5" s="565" t="s">
        <v>154</v>
      </c>
      <c r="E5" s="564" t="s">
        <v>189</v>
      </c>
      <c r="F5" s="564"/>
      <c r="G5" s="564"/>
      <c r="H5" s="564"/>
      <c r="I5" s="565" t="s">
        <v>22</v>
      </c>
    </row>
    <row r="6" spans="1:11" s="23" customFormat="1" ht="45">
      <c r="A6" s="565"/>
      <c r="B6" s="565"/>
      <c r="C6" s="571"/>
      <c r="D6" s="565"/>
      <c r="E6" s="191" t="s">
        <v>64</v>
      </c>
      <c r="F6" s="304" t="s">
        <v>307</v>
      </c>
      <c r="G6" s="191" t="s">
        <v>190</v>
      </c>
      <c r="H6" s="191" t="s">
        <v>65</v>
      </c>
      <c r="I6" s="565"/>
    </row>
    <row r="7" spans="1:11" s="12" customFormat="1" ht="105">
      <c r="A7" s="230" t="s">
        <v>80</v>
      </c>
      <c r="B7" s="206" t="s">
        <v>269</v>
      </c>
      <c r="C7" s="220"/>
      <c r="D7" s="567" t="s">
        <v>114</v>
      </c>
      <c r="E7" s="568"/>
      <c r="F7" s="568"/>
      <c r="G7" s="568"/>
      <c r="H7" s="568"/>
      <c r="I7" s="569"/>
    </row>
    <row r="8" spans="1:11" s="11" customFormat="1" ht="60">
      <c r="A8" s="231" t="s">
        <v>108</v>
      </c>
      <c r="B8" s="213" t="s">
        <v>279</v>
      </c>
      <c r="C8" s="213" t="s">
        <v>147</v>
      </c>
      <c r="D8" s="232">
        <f>ROUND(1111*0.25,0)</f>
        <v>278</v>
      </c>
      <c r="E8" s="233">
        <f>R_SMM!E12</f>
        <v>10.15</v>
      </c>
      <c r="F8" s="233">
        <v>0</v>
      </c>
      <c r="G8" s="233">
        <f>E8+F8</f>
        <v>10.15</v>
      </c>
      <c r="H8" s="232">
        <v>1</v>
      </c>
      <c r="I8" s="232">
        <f t="shared" ref="I8:I15" si="0">+ROUND(D8*G8/H8,0)</f>
        <v>2822</v>
      </c>
    </row>
    <row r="9" spans="1:11" s="11" customFormat="1" ht="60">
      <c r="A9" s="231" t="s">
        <v>81</v>
      </c>
      <c r="B9" s="219" t="s">
        <v>292</v>
      </c>
      <c r="C9" s="213" t="s">
        <v>147</v>
      </c>
      <c r="D9" s="232">
        <f t="shared" ref="D9:D12" si="1">ROUND(1111*0.25,0)</f>
        <v>278</v>
      </c>
      <c r="E9" s="233">
        <f>R_SMM!E16</f>
        <v>109.7</v>
      </c>
      <c r="F9" s="233">
        <v>0</v>
      </c>
      <c r="G9" s="233">
        <f t="shared" ref="G9:G21" si="2">E9+F9</f>
        <v>109.7</v>
      </c>
      <c r="H9" s="232">
        <v>100</v>
      </c>
      <c r="I9" s="232">
        <f t="shared" si="0"/>
        <v>305</v>
      </c>
    </row>
    <row r="10" spans="1:11" s="11" customFormat="1" ht="60">
      <c r="A10" s="231" t="s">
        <v>82</v>
      </c>
      <c r="B10" s="219" t="s">
        <v>293</v>
      </c>
      <c r="C10" s="213" t="s">
        <v>147</v>
      </c>
      <c r="D10" s="232">
        <f t="shared" si="1"/>
        <v>278</v>
      </c>
      <c r="E10" s="233">
        <f>R_SMM!E17</f>
        <v>77</v>
      </c>
      <c r="F10" s="233">
        <v>0</v>
      </c>
      <c r="G10" s="233">
        <f t="shared" si="2"/>
        <v>77</v>
      </c>
      <c r="H10" s="232">
        <v>100</v>
      </c>
      <c r="I10" s="232">
        <f t="shared" si="0"/>
        <v>214</v>
      </c>
    </row>
    <row r="11" spans="1:11" s="11" customFormat="1" ht="45">
      <c r="A11" s="231" t="s">
        <v>83</v>
      </c>
      <c r="B11" s="219" t="s">
        <v>272</v>
      </c>
      <c r="C11" s="213" t="s">
        <v>147</v>
      </c>
      <c r="D11" s="232">
        <f t="shared" si="1"/>
        <v>278</v>
      </c>
      <c r="E11" s="233">
        <v>135.25</v>
      </c>
      <c r="F11" s="233">
        <v>0</v>
      </c>
      <c r="G11" s="233">
        <f t="shared" si="2"/>
        <v>135.25</v>
      </c>
      <c r="H11" s="232">
        <v>100</v>
      </c>
      <c r="I11" s="232">
        <f t="shared" si="0"/>
        <v>376</v>
      </c>
    </row>
    <row r="12" spans="1:11" s="11" customFormat="1" ht="15">
      <c r="A12" s="234" t="s">
        <v>109</v>
      </c>
      <c r="B12" s="49" t="s">
        <v>197</v>
      </c>
      <c r="C12" s="213" t="s">
        <v>147</v>
      </c>
      <c r="D12" s="232">
        <f t="shared" si="1"/>
        <v>278</v>
      </c>
      <c r="E12" s="235">
        <f>R_SMM!E24</f>
        <v>416.65</v>
      </c>
      <c r="F12" s="233">
        <v>0</v>
      </c>
      <c r="G12" s="233">
        <f t="shared" si="2"/>
        <v>416.65</v>
      </c>
      <c r="H12" s="232">
        <v>100</v>
      </c>
      <c r="I12" s="232">
        <f t="shared" si="0"/>
        <v>1158</v>
      </c>
    </row>
    <row r="13" spans="1:11" s="24" customFormat="1" ht="120">
      <c r="A13" s="217" t="s">
        <v>113</v>
      </c>
      <c r="B13" s="236" t="s">
        <v>274</v>
      </c>
      <c r="C13" s="303" t="s">
        <v>147</v>
      </c>
      <c r="D13" s="237">
        <v>0</v>
      </c>
      <c r="E13" s="301">
        <v>252.25</v>
      </c>
      <c r="F13" s="296">
        <v>0</v>
      </c>
      <c r="G13" s="295">
        <f>E13+F13</f>
        <v>252.25</v>
      </c>
      <c r="H13" s="302">
        <v>100</v>
      </c>
      <c r="I13" s="293">
        <f>ROUND(D13*G13/100,0)</f>
        <v>0</v>
      </c>
    </row>
    <row r="14" spans="1:11" s="11" customFormat="1" ht="30">
      <c r="A14" s="231" t="s">
        <v>89</v>
      </c>
      <c r="B14" s="236" t="s">
        <v>119</v>
      </c>
      <c r="C14" s="213" t="s">
        <v>147</v>
      </c>
      <c r="D14" s="237">
        <f>R_SMM!$D$9</f>
        <v>1111</v>
      </c>
      <c r="E14" s="233">
        <f>R_SMM!E31/2</f>
        <v>0.5</v>
      </c>
      <c r="F14" s="233"/>
      <c r="G14" s="233">
        <f t="shared" si="2"/>
        <v>0.5</v>
      </c>
      <c r="H14" s="232">
        <v>1</v>
      </c>
      <c r="I14" s="232">
        <f t="shared" si="0"/>
        <v>556</v>
      </c>
    </row>
    <row r="15" spans="1:11" s="11" customFormat="1" ht="90">
      <c r="A15" s="231" t="s">
        <v>88</v>
      </c>
      <c r="B15" s="216" t="s">
        <v>275</v>
      </c>
      <c r="C15" s="213" t="s">
        <v>147</v>
      </c>
      <c r="D15" s="237">
        <f>R_SMM!$D$9</f>
        <v>1111</v>
      </c>
      <c r="E15" s="233">
        <f>R_SMM!E32/2</f>
        <v>18.7</v>
      </c>
      <c r="F15" s="233">
        <v>0</v>
      </c>
      <c r="G15" s="233">
        <f t="shared" si="2"/>
        <v>18.7</v>
      </c>
      <c r="H15" s="232">
        <v>100</v>
      </c>
      <c r="I15" s="232">
        <f t="shared" si="0"/>
        <v>208</v>
      </c>
    </row>
    <row r="16" spans="1:11" s="24" customFormat="1" ht="15">
      <c r="A16" s="211"/>
      <c r="B16" s="215" t="s">
        <v>276</v>
      </c>
      <c r="C16" s="215"/>
      <c r="D16" s="231"/>
      <c r="E16" s="238"/>
      <c r="F16" s="239"/>
      <c r="G16" s="239"/>
      <c r="H16" s="240"/>
      <c r="I16" s="241"/>
      <c r="J16" s="210"/>
      <c r="K16" s="25"/>
    </row>
    <row r="17" spans="1:9" s="12" customFormat="1" ht="60">
      <c r="A17" s="231" t="s">
        <v>94</v>
      </c>
      <c r="B17" s="48" t="s">
        <v>198</v>
      </c>
      <c r="C17" s="213" t="s">
        <v>147</v>
      </c>
      <c r="D17" s="237">
        <f>R_SMM!$D$9</f>
        <v>1111</v>
      </c>
      <c r="E17" s="233">
        <v>625</v>
      </c>
      <c r="F17" s="233">
        <v>0</v>
      </c>
      <c r="G17" s="233">
        <f t="shared" si="2"/>
        <v>625</v>
      </c>
      <c r="H17" s="232">
        <v>100</v>
      </c>
      <c r="I17" s="242">
        <f>ROUND((D17*G17)/H17,0)</f>
        <v>6944</v>
      </c>
    </row>
    <row r="18" spans="1:9" s="11" customFormat="1" ht="76.5" customHeight="1">
      <c r="A18" s="230" t="s">
        <v>78</v>
      </c>
      <c r="B18" s="219" t="s">
        <v>278</v>
      </c>
      <c r="C18" s="219" t="s">
        <v>146</v>
      </c>
      <c r="D18" s="243">
        <v>0.7</v>
      </c>
      <c r="E18" s="244">
        <v>3477.05</v>
      </c>
      <c r="F18" s="233">
        <v>0</v>
      </c>
      <c r="G18" s="233">
        <f t="shared" si="2"/>
        <v>3477.05</v>
      </c>
      <c r="H18" s="242">
        <v>1</v>
      </c>
      <c r="I18" s="242">
        <f>ROUND((D18*G18),0)</f>
        <v>2434</v>
      </c>
    </row>
    <row r="19" spans="1:9" s="12" customFormat="1" ht="75">
      <c r="A19" s="245" t="s">
        <v>112</v>
      </c>
      <c r="B19" s="219" t="s">
        <v>115</v>
      </c>
      <c r="C19" s="219" t="s">
        <v>146</v>
      </c>
      <c r="D19" s="243">
        <v>1</v>
      </c>
      <c r="E19" s="244">
        <v>2321.4</v>
      </c>
      <c r="F19" s="233">
        <v>0</v>
      </c>
      <c r="G19" s="233">
        <f t="shared" si="2"/>
        <v>2321.4</v>
      </c>
      <c r="H19" s="242">
        <v>1</v>
      </c>
      <c r="I19" s="242">
        <f>ROUND((D19*G19),0)</f>
        <v>2321</v>
      </c>
    </row>
    <row r="20" spans="1:9" s="11" customFormat="1" ht="45">
      <c r="A20" s="230" t="s">
        <v>84</v>
      </c>
      <c r="B20" s="219" t="s">
        <v>122</v>
      </c>
      <c r="C20" s="213" t="s">
        <v>147</v>
      </c>
      <c r="D20" s="237">
        <f>R_SMM!$D$9</f>
        <v>1111</v>
      </c>
      <c r="E20" s="233">
        <v>118.35</v>
      </c>
      <c r="F20" s="233">
        <v>0</v>
      </c>
      <c r="G20" s="233">
        <f t="shared" si="2"/>
        <v>118.35</v>
      </c>
      <c r="H20" s="232">
        <v>100</v>
      </c>
      <c r="I20" s="232">
        <f>+ROUND(D20*G20/H20,0)</f>
        <v>1315</v>
      </c>
    </row>
    <row r="21" spans="1:9" s="12" customFormat="1" ht="210">
      <c r="A21" s="312" t="s">
        <v>303</v>
      </c>
      <c r="B21" s="216" t="s">
        <v>304</v>
      </c>
      <c r="C21" s="305" t="s">
        <v>79</v>
      </c>
      <c r="D21" s="305">
        <v>1</v>
      </c>
      <c r="E21" s="313">
        <v>8757</v>
      </c>
      <c r="F21" s="314">
        <v>0</v>
      </c>
      <c r="G21" s="315">
        <f t="shared" si="2"/>
        <v>8757</v>
      </c>
      <c r="H21" s="316" t="s">
        <v>79</v>
      </c>
      <c r="I21" s="311"/>
    </row>
    <row r="22" spans="1:9" s="12" customFormat="1" ht="15">
      <c r="A22" s="247"/>
      <c r="B22" s="50" t="s">
        <v>68</v>
      </c>
      <c r="C22" s="50"/>
      <c r="D22" s="248"/>
      <c r="E22" s="248"/>
      <c r="F22" s="248"/>
      <c r="G22" s="248"/>
      <c r="H22" s="248"/>
      <c r="I22" s="52">
        <f>SUM(I7:I21)</f>
        <v>18653</v>
      </c>
    </row>
    <row r="23" spans="1:9" ht="15">
      <c r="A23" s="90"/>
      <c r="B23" s="250" t="s">
        <v>181</v>
      </c>
      <c r="C23" s="90"/>
      <c r="D23" s="90"/>
      <c r="E23" s="90"/>
      <c r="F23" s="90"/>
      <c r="G23" s="90"/>
      <c r="H23" s="90"/>
      <c r="I23" s="90"/>
    </row>
    <row r="25" spans="1:9" ht="17.25">
      <c r="F25" s="249"/>
      <c r="G25" s="282" t="s">
        <v>126</v>
      </c>
      <c r="H25" s="249"/>
      <c r="I25" s="249"/>
    </row>
    <row r="26" spans="1:9" ht="17.25">
      <c r="F26" s="249"/>
      <c r="G26" s="282"/>
      <c r="H26" s="249"/>
      <c r="I26" s="249"/>
    </row>
  </sheetData>
  <mergeCells count="8">
    <mergeCell ref="A2:I2"/>
    <mergeCell ref="D7:I7"/>
    <mergeCell ref="A5:A6"/>
    <mergeCell ref="B5:B6"/>
    <mergeCell ref="D5:D6"/>
    <mergeCell ref="E5:H5"/>
    <mergeCell ref="I5:I6"/>
    <mergeCell ref="C5:C6"/>
  </mergeCells>
  <printOptions horizontalCentered="1"/>
  <pageMargins left="0.17" right="0.17" top="0.6" bottom="0.33" header="0.41" footer="0.25"/>
  <pageSetup paperSize="9" scale="61"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tint="0.79998168889431442"/>
    <pageSetUpPr fitToPage="1"/>
  </sheetPr>
  <dimension ref="A1:K31"/>
  <sheetViews>
    <sheetView view="pageBreakPreview" topLeftCell="A2" zoomScale="85" zoomScaleNormal="85" zoomScaleSheetLayoutView="85" workbookViewId="0">
      <selection activeCell="A2" sqref="A2:I2"/>
    </sheetView>
  </sheetViews>
  <sheetFormatPr defaultRowHeight="14.25"/>
  <cols>
    <col min="1" max="1" width="10.140625" style="10" customWidth="1"/>
    <col min="2" max="2" width="47.140625" style="7" customWidth="1"/>
    <col min="3" max="3" width="4.85546875" style="7" bestFit="1" customWidth="1"/>
    <col min="4" max="4" width="7.85546875" style="7" customWidth="1"/>
    <col min="5" max="6" width="8.28515625" style="7" bestFit="1" customWidth="1"/>
    <col min="7" max="7" width="8.85546875" style="7" customWidth="1"/>
    <col min="8" max="8" width="9.42578125" style="7" customWidth="1"/>
    <col min="9" max="9" width="11.7109375" style="7" customWidth="1"/>
    <col min="10" max="10" width="3.42578125" style="7" customWidth="1"/>
    <col min="11" max="255" width="9.140625" style="7"/>
    <col min="256" max="256" width="10.140625" style="7" customWidth="1"/>
    <col min="257" max="257" width="44" style="7" customWidth="1"/>
    <col min="258" max="258" width="8.140625" style="7" customWidth="1"/>
    <col min="259" max="259" width="7.85546875" style="7" customWidth="1"/>
    <col min="260" max="260" width="10.85546875" style="7" customWidth="1"/>
    <col min="261" max="261" width="5.140625" style="7" bestFit="1" customWidth="1"/>
    <col min="262" max="262" width="11.7109375" style="7" customWidth="1"/>
    <col min="263" max="263" width="3.42578125" style="7" customWidth="1"/>
    <col min="264" max="511" width="9.140625" style="7"/>
    <col min="512" max="512" width="10.140625" style="7" customWidth="1"/>
    <col min="513" max="513" width="44" style="7" customWidth="1"/>
    <col min="514" max="514" width="8.140625" style="7" customWidth="1"/>
    <col min="515" max="515" width="7.85546875" style="7" customWidth="1"/>
    <col min="516" max="516" width="10.85546875" style="7" customWidth="1"/>
    <col min="517" max="517" width="5.140625" style="7" bestFit="1" customWidth="1"/>
    <col min="518" max="518" width="11.7109375" style="7" customWidth="1"/>
    <col min="519" max="519" width="3.42578125" style="7" customWidth="1"/>
    <col min="520" max="767" width="9.140625" style="7"/>
    <col min="768" max="768" width="10.140625" style="7" customWidth="1"/>
    <col min="769" max="769" width="44" style="7" customWidth="1"/>
    <col min="770" max="770" width="8.140625" style="7" customWidth="1"/>
    <col min="771" max="771" width="7.85546875" style="7" customWidth="1"/>
    <col min="772" max="772" width="10.85546875" style="7" customWidth="1"/>
    <col min="773" max="773" width="5.140625" style="7" bestFit="1" customWidth="1"/>
    <col min="774" max="774" width="11.7109375" style="7" customWidth="1"/>
    <col min="775" max="775" width="3.42578125" style="7" customWidth="1"/>
    <col min="776" max="1023" width="9.140625" style="7"/>
    <col min="1024" max="1024" width="10.140625" style="7" customWidth="1"/>
    <col min="1025" max="1025" width="44" style="7" customWidth="1"/>
    <col min="1026" max="1026" width="8.140625" style="7" customWidth="1"/>
    <col min="1027" max="1027" width="7.85546875" style="7" customWidth="1"/>
    <col min="1028" max="1028" width="10.85546875" style="7" customWidth="1"/>
    <col min="1029" max="1029" width="5.140625" style="7" bestFit="1" customWidth="1"/>
    <col min="1030" max="1030" width="11.7109375" style="7" customWidth="1"/>
    <col min="1031" max="1031" width="3.42578125" style="7" customWidth="1"/>
    <col min="1032" max="1279" width="9.140625" style="7"/>
    <col min="1280" max="1280" width="10.140625" style="7" customWidth="1"/>
    <col min="1281" max="1281" width="44" style="7" customWidth="1"/>
    <col min="1282" max="1282" width="8.140625" style="7" customWidth="1"/>
    <col min="1283" max="1283" width="7.85546875" style="7" customWidth="1"/>
    <col min="1284" max="1284" width="10.85546875" style="7" customWidth="1"/>
    <col min="1285" max="1285" width="5.140625" style="7" bestFit="1" customWidth="1"/>
    <col min="1286" max="1286" width="11.7109375" style="7" customWidth="1"/>
    <col min="1287" max="1287" width="3.42578125" style="7" customWidth="1"/>
    <col min="1288" max="1535" width="9.140625" style="7"/>
    <col min="1536" max="1536" width="10.140625" style="7" customWidth="1"/>
    <col min="1537" max="1537" width="44" style="7" customWidth="1"/>
    <col min="1538" max="1538" width="8.140625" style="7" customWidth="1"/>
    <col min="1539" max="1539" width="7.85546875" style="7" customWidth="1"/>
    <col min="1540" max="1540" width="10.85546875" style="7" customWidth="1"/>
    <col min="1541" max="1541" width="5.140625" style="7" bestFit="1" customWidth="1"/>
    <col min="1542" max="1542" width="11.7109375" style="7" customWidth="1"/>
    <col min="1543" max="1543" width="3.42578125" style="7" customWidth="1"/>
    <col min="1544" max="1791" width="9.140625" style="7"/>
    <col min="1792" max="1792" width="10.140625" style="7" customWidth="1"/>
    <col min="1793" max="1793" width="44" style="7" customWidth="1"/>
    <col min="1794" max="1794" width="8.140625" style="7" customWidth="1"/>
    <col min="1795" max="1795" width="7.85546875" style="7" customWidth="1"/>
    <col min="1796" max="1796" width="10.85546875" style="7" customWidth="1"/>
    <col min="1797" max="1797" width="5.140625" style="7" bestFit="1" customWidth="1"/>
    <col min="1798" max="1798" width="11.7109375" style="7" customWidth="1"/>
    <col min="1799" max="1799" width="3.42578125" style="7" customWidth="1"/>
    <col min="1800" max="2047" width="9.140625" style="7"/>
    <col min="2048" max="2048" width="10.140625" style="7" customWidth="1"/>
    <col min="2049" max="2049" width="44" style="7" customWidth="1"/>
    <col min="2050" max="2050" width="8.140625" style="7" customWidth="1"/>
    <col min="2051" max="2051" width="7.85546875" style="7" customWidth="1"/>
    <col min="2052" max="2052" width="10.85546875" style="7" customWidth="1"/>
    <col min="2053" max="2053" width="5.140625" style="7" bestFit="1" customWidth="1"/>
    <col min="2054" max="2054" width="11.7109375" style="7" customWidth="1"/>
    <col min="2055" max="2055" width="3.42578125" style="7" customWidth="1"/>
    <col min="2056" max="2303" width="9.140625" style="7"/>
    <col min="2304" max="2304" width="10.140625" style="7" customWidth="1"/>
    <col min="2305" max="2305" width="44" style="7" customWidth="1"/>
    <col min="2306" max="2306" width="8.140625" style="7" customWidth="1"/>
    <col min="2307" max="2307" width="7.85546875" style="7" customWidth="1"/>
    <col min="2308" max="2308" width="10.85546875" style="7" customWidth="1"/>
    <col min="2309" max="2309" width="5.140625" style="7" bestFit="1" customWidth="1"/>
    <col min="2310" max="2310" width="11.7109375" style="7" customWidth="1"/>
    <col min="2311" max="2311" width="3.42578125" style="7" customWidth="1"/>
    <col min="2312" max="2559" width="9.140625" style="7"/>
    <col min="2560" max="2560" width="10.140625" style="7" customWidth="1"/>
    <col min="2561" max="2561" width="44" style="7" customWidth="1"/>
    <col min="2562" max="2562" width="8.140625" style="7" customWidth="1"/>
    <col min="2563" max="2563" width="7.85546875" style="7" customWidth="1"/>
    <col min="2564" max="2564" width="10.85546875" style="7" customWidth="1"/>
    <col min="2565" max="2565" width="5.140625" style="7" bestFit="1" customWidth="1"/>
    <col min="2566" max="2566" width="11.7109375" style="7" customWidth="1"/>
    <col min="2567" max="2567" width="3.42578125" style="7" customWidth="1"/>
    <col min="2568" max="2815" width="9.140625" style="7"/>
    <col min="2816" max="2816" width="10.140625" style="7" customWidth="1"/>
    <col min="2817" max="2817" width="44" style="7" customWidth="1"/>
    <col min="2818" max="2818" width="8.140625" style="7" customWidth="1"/>
    <col min="2819" max="2819" width="7.85546875" style="7" customWidth="1"/>
    <col min="2820" max="2820" width="10.85546875" style="7" customWidth="1"/>
    <col min="2821" max="2821" width="5.140625" style="7" bestFit="1" customWidth="1"/>
    <col min="2822" max="2822" width="11.7109375" style="7" customWidth="1"/>
    <col min="2823" max="2823" width="3.42578125" style="7" customWidth="1"/>
    <col min="2824" max="3071" width="9.140625" style="7"/>
    <col min="3072" max="3072" width="10.140625" style="7" customWidth="1"/>
    <col min="3073" max="3073" width="44" style="7" customWidth="1"/>
    <col min="3074" max="3074" width="8.140625" style="7" customWidth="1"/>
    <col min="3075" max="3075" width="7.85546875" style="7" customWidth="1"/>
    <col min="3076" max="3076" width="10.85546875" style="7" customWidth="1"/>
    <col min="3077" max="3077" width="5.140625" style="7" bestFit="1" customWidth="1"/>
    <col min="3078" max="3078" width="11.7109375" style="7" customWidth="1"/>
    <col min="3079" max="3079" width="3.42578125" style="7" customWidth="1"/>
    <col min="3080" max="3327" width="9.140625" style="7"/>
    <col min="3328" max="3328" width="10.140625" style="7" customWidth="1"/>
    <col min="3329" max="3329" width="44" style="7" customWidth="1"/>
    <col min="3330" max="3330" width="8.140625" style="7" customWidth="1"/>
    <col min="3331" max="3331" width="7.85546875" style="7" customWidth="1"/>
    <col min="3332" max="3332" width="10.85546875" style="7" customWidth="1"/>
    <col min="3333" max="3333" width="5.140625" style="7" bestFit="1" customWidth="1"/>
    <col min="3334" max="3334" width="11.7109375" style="7" customWidth="1"/>
    <col min="3335" max="3335" width="3.42578125" style="7" customWidth="1"/>
    <col min="3336" max="3583" width="9.140625" style="7"/>
    <col min="3584" max="3584" width="10.140625" style="7" customWidth="1"/>
    <col min="3585" max="3585" width="44" style="7" customWidth="1"/>
    <col min="3586" max="3586" width="8.140625" style="7" customWidth="1"/>
    <col min="3587" max="3587" width="7.85546875" style="7" customWidth="1"/>
    <col min="3588" max="3588" width="10.85546875" style="7" customWidth="1"/>
    <col min="3589" max="3589" width="5.140625" style="7" bestFit="1" customWidth="1"/>
    <col min="3590" max="3590" width="11.7109375" style="7" customWidth="1"/>
    <col min="3591" max="3591" width="3.42578125" style="7" customWidth="1"/>
    <col min="3592" max="3839" width="9.140625" style="7"/>
    <col min="3840" max="3840" width="10.140625" style="7" customWidth="1"/>
    <col min="3841" max="3841" width="44" style="7" customWidth="1"/>
    <col min="3842" max="3842" width="8.140625" style="7" customWidth="1"/>
    <col min="3843" max="3843" width="7.85546875" style="7" customWidth="1"/>
    <col min="3844" max="3844" width="10.85546875" style="7" customWidth="1"/>
    <col min="3845" max="3845" width="5.140625" style="7" bestFit="1" customWidth="1"/>
    <col min="3846" max="3846" width="11.7109375" style="7" customWidth="1"/>
    <col min="3847" max="3847" width="3.42578125" style="7" customWidth="1"/>
    <col min="3848" max="4095" width="9.140625" style="7"/>
    <col min="4096" max="4096" width="10.140625" style="7" customWidth="1"/>
    <col min="4097" max="4097" width="44" style="7" customWidth="1"/>
    <col min="4098" max="4098" width="8.140625" style="7" customWidth="1"/>
    <col min="4099" max="4099" width="7.85546875" style="7" customWidth="1"/>
    <col min="4100" max="4100" width="10.85546875" style="7" customWidth="1"/>
    <col min="4101" max="4101" width="5.140625" style="7" bestFit="1" customWidth="1"/>
    <col min="4102" max="4102" width="11.7109375" style="7" customWidth="1"/>
    <col min="4103" max="4103" width="3.42578125" style="7" customWidth="1"/>
    <col min="4104" max="4351" width="9.140625" style="7"/>
    <col min="4352" max="4352" width="10.140625" style="7" customWidth="1"/>
    <col min="4353" max="4353" width="44" style="7" customWidth="1"/>
    <col min="4354" max="4354" width="8.140625" style="7" customWidth="1"/>
    <col min="4355" max="4355" width="7.85546875" style="7" customWidth="1"/>
    <col min="4356" max="4356" width="10.85546875" style="7" customWidth="1"/>
    <col min="4357" max="4357" width="5.140625" style="7" bestFit="1" customWidth="1"/>
    <col min="4358" max="4358" width="11.7109375" style="7" customWidth="1"/>
    <col min="4359" max="4359" width="3.42578125" style="7" customWidth="1"/>
    <col min="4360" max="4607" width="9.140625" style="7"/>
    <col min="4608" max="4608" width="10.140625" style="7" customWidth="1"/>
    <col min="4609" max="4609" width="44" style="7" customWidth="1"/>
    <col min="4610" max="4610" width="8.140625" style="7" customWidth="1"/>
    <col min="4611" max="4611" width="7.85546875" style="7" customWidth="1"/>
    <col min="4612" max="4612" width="10.85546875" style="7" customWidth="1"/>
    <col min="4613" max="4613" width="5.140625" style="7" bestFit="1" customWidth="1"/>
    <col min="4614" max="4614" width="11.7109375" style="7" customWidth="1"/>
    <col min="4615" max="4615" width="3.42578125" style="7" customWidth="1"/>
    <col min="4616" max="4863" width="9.140625" style="7"/>
    <col min="4864" max="4864" width="10.140625" style="7" customWidth="1"/>
    <col min="4865" max="4865" width="44" style="7" customWidth="1"/>
    <col min="4866" max="4866" width="8.140625" style="7" customWidth="1"/>
    <col min="4867" max="4867" width="7.85546875" style="7" customWidth="1"/>
    <col min="4868" max="4868" width="10.85546875" style="7" customWidth="1"/>
    <col min="4869" max="4869" width="5.140625" style="7" bestFit="1" customWidth="1"/>
    <col min="4870" max="4870" width="11.7109375" style="7" customWidth="1"/>
    <col min="4871" max="4871" width="3.42578125" style="7" customWidth="1"/>
    <col min="4872" max="5119" width="9.140625" style="7"/>
    <col min="5120" max="5120" width="10.140625" style="7" customWidth="1"/>
    <col min="5121" max="5121" width="44" style="7" customWidth="1"/>
    <col min="5122" max="5122" width="8.140625" style="7" customWidth="1"/>
    <col min="5123" max="5123" width="7.85546875" style="7" customWidth="1"/>
    <col min="5124" max="5124" width="10.85546875" style="7" customWidth="1"/>
    <col min="5125" max="5125" width="5.140625" style="7" bestFit="1" customWidth="1"/>
    <col min="5126" max="5126" width="11.7109375" style="7" customWidth="1"/>
    <col min="5127" max="5127" width="3.42578125" style="7" customWidth="1"/>
    <col min="5128" max="5375" width="9.140625" style="7"/>
    <col min="5376" max="5376" width="10.140625" style="7" customWidth="1"/>
    <col min="5377" max="5377" width="44" style="7" customWidth="1"/>
    <col min="5378" max="5378" width="8.140625" style="7" customWidth="1"/>
    <col min="5379" max="5379" width="7.85546875" style="7" customWidth="1"/>
    <col min="5380" max="5380" width="10.85546875" style="7" customWidth="1"/>
    <col min="5381" max="5381" width="5.140625" style="7" bestFit="1" customWidth="1"/>
    <col min="5382" max="5382" width="11.7109375" style="7" customWidth="1"/>
    <col min="5383" max="5383" width="3.42578125" style="7" customWidth="1"/>
    <col min="5384" max="5631" width="9.140625" style="7"/>
    <col min="5632" max="5632" width="10.140625" style="7" customWidth="1"/>
    <col min="5633" max="5633" width="44" style="7" customWidth="1"/>
    <col min="5634" max="5634" width="8.140625" style="7" customWidth="1"/>
    <col min="5635" max="5635" width="7.85546875" style="7" customWidth="1"/>
    <col min="5636" max="5636" width="10.85546875" style="7" customWidth="1"/>
    <col min="5637" max="5637" width="5.140625" style="7" bestFit="1" customWidth="1"/>
    <col min="5638" max="5638" width="11.7109375" style="7" customWidth="1"/>
    <col min="5639" max="5639" width="3.42578125" style="7" customWidth="1"/>
    <col min="5640" max="5887" width="9.140625" style="7"/>
    <col min="5888" max="5888" width="10.140625" style="7" customWidth="1"/>
    <col min="5889" max="5889" width="44" style="7" customWidth="1"/>
    <col min="5890" max="5890" width="8.140625" style="7" customWidth="1"/>
    <col min="5891" max="5891" width="7.85546875" style="7" customWidth="1"/>
    <col min="5892" max="5892" width="10.85546875" style="7" customWidth="1"/>
    <col min="5893" max="5893" width="5.140625" style="7" bestFit="1" customWidth="1"/>
    <col min="5894" max="5894" width="11.7109375" style="7" customWidth="1"/>
    <col min="5895" max="5895" width="3.42578125" style="7" customWidth="1"/>
    <col min="5896" max="6143" width="9.140625" style="7"/>
    <col min="6144" max="6144" width="10.140625" style="7" customWidth="1"/>
    <col min="6145" max="6145" width="44" style="7" customWidth="1"/>
    <col min="6146" max="6146" width="8.140625" style="7" customWidth="1"/>
    <col min="6147" max="6147" width="7.85546875" style="7" customWidth="1"/>
    <col min="6148" max="6148" width="10.85546875" style="7" customWidth="1"/>
    <col min="6149" max="6149" width="5.140625" style="7" bestFit="1" customWidth="1"/>
    <col min="6150" max="6150" width="11.7109375" style="7" customWidth="1"/>
    <col min="6151" max="6151" width="3.42578125" style="7" customWidth="1"/>
    <col min="6152" max="6399" width="9.140625" style="7"/>
    <col min="6400" max="6400" width="10.140625" style="7" customWidth="1"/>
    <col min="6401" max="6401" width="44" style="7" customWidth="1"/>
    <col min="6402" max="6402" width="8.140625" style="7" customWidth="1"/>
    <col min="6403" max="6403" width="7.85546875" style="7" customWidth="1"/>
    <col min="6404" max="6404" width="10.85546875" style="7" customWidth="1"/>
    <col min="6405" max="6405" width="5.140625" style="7" bestFit="1" customWidth="1"/>
    <col min="6406" max="6406" width="11.7109375" style="7" customWidth="1"/>
    <col min="6407" max="6407" width="3.42578125" style="7" customWidth="1"/>
    <col min="6408" max="6655" width="9.140625" style="7"/>
    <col min="6656" max="6656" width="10.140625" style="7" customWidth="1"/>
    <col min="6657" max="6657" width="44" style="7" customWidth="1"/>
    <col min="6658" max="6658" width="8.140625" style="7" customWidth="1"/>
    <col min="6659" max="6659" width="7.85546875" style="7" customWidth="1"/>
    <col min="6660" max="6660" width="10.85546875" style="7" customWidth="1"/>
    <col min="6661" max="6661" width="5.140625" style="7" bestFit="1" customWidth="1"/>
    <col min="6662" max="6662" width="11.7109375" style="7" customWidth="1"/>
    <col min="6663" max="6663" width="3.42578125" style="7" customWidth="1"/>
    <col min="6664" max="6911" width="9.140625" style="7"/>
    <col min="6912" max="6912" width="10.140625" style="7" customWidth="1"/>
    <col min="6913" max="6913" width="44" style="7" customWidth="1"/>
    <col min="6914" max="6914" width="8.140625" style="7" customWidth="1"/>
    <col min="6915" max="6915" width="7.85546875" style="7" customWidth="1"/>
    <col min="6916" max="6916" width="10.85546875" style="7" customWidth="1"/>
    <col min="6917" max="6917" width="5.140625" style="7" bestFit="1" customWidth="1"/>
    <col min="6918" max="6918" width="11.7109375" style="7" customWidth="1"/>
    <col min="6919" max="6919" width="3.42578125" style="7" customWidth="1"/>
    <col min="6920" max="7167" width="9.140625" style="7"/>
    <col min="7168" max="7168" width="10.140625" style="7" customWidth="1"/>
    <col min="7169" max="7169" width="44" style="7" customWidth="1"/>
    <col min="7170" max="7170" width="8.140625" style="7" customWidth="1"/>
    <col min="7171" max="7171" width="7.85546875" style="7" customWidth="1"/>
    <col min="7172" max="7172" width="10.85546875" style="7" customWidth="1"/>
    <col min="7173" max="7173" width="5.140625" style="7" bestFit="1" customWidth="1"/>
    <col min="7174" max="7174" width="11.7109375" style="7" customWidth="1"/>
    <col min="7175" max="7175" width="3.42578125" style="7" customWidth="1"/>
    <col min="7176" max="7423" width="9.140625" style="7"/>
    <col min="7424" max="7424" width="10.140625" style="7" customWidth="1"/>
    <col min="7425" max="7425" width="44" style="7" customWidth="1"/>
    <col min="7426" max="7426" width="8.140625" style="7" customWidth="1"/>
    <col min="7427" max="7427" width="7.85546875" style="7" customWidth="1"/>
    <col min="7428" max="7428" width="10.85546875" style="7" customWidth="1"/>
    <col min="7429" max="7429" width="5.140625" style="7" bestFit="1" customWidth="1"/>
    <col min="7430" max="7430" width="11.7109375" style="7" customWidth="1"/>
    <col min="7431" max="7431" width="3.42578125" style="7" customWidth="1"/>
    <col min="7432" max="7679" width="9.140625" style="7"/>
    <col min="7680" max="7680" width="10.140625" style="7" customWidth="1"/>
    <col min="7681" max="7681" width="44" style="7" customWidth="1"/>
    <col min="7682" max="7682" width="8.140625" style="7" customWidth="1"/>
    <col min="7683" max="7683" width="7.85546875" style="7" customWidth="1"/>
    <col min="7684" max="7684" width="10.85546875" style="7" customWidth="1"/>
    <col min="7685" max="7685" width="5.140625" style="7" bestFit="1" customWidth="1"/>
    <col min="7686" max="7686" width="11.7109375" style="7" customWidth="1"/>
    <col min="7687" max="7687" width="3.42578125" style="7" customWidth="1"/>
    <col min="7688" max="7935" width="9.140625" style="7"/>
    <col min="7936" max="7936" width="10.140625" style="7" customWidth="1"/>
    <col min="7937" max="7937" width="44" style="7" customWidth="1"/>
    <col min="7938" max="7938" width="8.140625" style="7" customWidth="1"/>
    <col min="7939" max="7939" width="7.85546875" style="7" customWidth="1"/>
    <col min="7940" max="7940" width="10.85546875" style="7" customWidth="1"/>
    <col min="7941" max="7941" width="5.140625" style="7" bestFit="1" customWidth="1"/>
    <col min="7942" max="7942" width="11.7109375" style="7" customWidth="1"/>
    <col min="7943" max="7943" width="3.42578125" style="7" customWidth="1"/>
    <col min="7944" max="8191" width="9.140625" style="7"/>
    <col min="8192" max="8192" width="10.140625" style="7" customWidth="1"/>
    <col min="8193" max="8193" width="44" style="7" customWidth="1"/>
    <col min="8194" max="8194" width="8.140625" style="7" customWidth="1"/>
    <col min="8195" max="8195" width="7.85546875" style="7" customWidth="1"/>
    <col min="8196" max="8196" width="10.85546875" style="7" customWidth="1"/>
    <col min="8197" max="8197" width="5.140625" style="7" bestFit="1" customWidth="1"/>
    <col min="8198" max="8198" width="11.7109375" style="7" customWidth="1"/>
    <col min="8199" max="8199" width="3.42578125" style="7" customWidth="1"/>
    <col min="8200" max="8447" width="9.140625" style="7"/>
    <col min="8448" max="8448" width="10.140625" style="7" customWidth="1"/>
    <col min="8449" max="8449" width="44" style="7" customWidth="1"/>
    <col min="8450" max="8450" width="8.140625" style="7" customWidth="1"/>
    <col min="8451" max="8451" width="7.85546875" style="7" customWidth="1"/>
    <col min="8452" max="8452" width="10.85546875" style="7" customWidth="1"/>
    <col min="8453" max="8453" width="5.140625" style="7" bestFit="1" customWidth="1"/>
    <col min="8454" max="8454" width="11.7109375" style="7" customWidth="1"/>
    <col min="8455" max="8455" width="3.42578125" style="7" customWidth="1"/>
    <col min="8456" max="8703" width="9.140625" style="7"/>
    <col min="8704" max="8704" width="10.140625" style="7" customWidth="1"/>
    <col min="8705" max="8705" width="44" style="7" customWidth="1"/>
    <col min="8706" max="8706" width="8.140625" style="7" customWidth="1"/>
    <col min="8707" max="8707" width="7.85546875" style="7" customWidth="1"/>
    <col min="8708" max="8708" width="10.85546875" style="7" customWidth="1"/>
    <col min="8709" max="8709" width="5.140625" style="7" bestFit="1" customWidth="1"/>
    <col min="8710" max="8710" width="11.7109375" style="7" customWidth="1"/>
    <col min="8711" max="8711" width="3.42578125" style="7" customWidth="1"/>
    <col min="8712" max="8959" width="9.140625" style="7"/>
    <col min="8960" max="8960" width="10.140625" style="7" customWidth="1"/>
    <col min="8961" max="8961" width="44" style="7" customWidth="1"/>
    <col min="8962" max="8962" width="8.140625" style="7" customWidth="1"/>
    <col min="8963" max="8963" width="7.85546875" style="7" customWidth="1"/>
    <col min="8964" max="8964" width="10.85546875" style="7" customWidth="1"/>
    <col min="8965" max="8965" width="5.140625" style="7" bestFit="1" customWidth="1"/>
    <col min="8966" max="8966" width="11.7109375" style="7" customWidth="1"/>
    <col min="8967" max="8967" width="3.42578125" style="7" customWidth="1"/>
    <col min="8968" max="9215" width="9.140625" style="7"/>
    <col min="9216" max="9216" width="10.140625" style="7" customWidth="1"/>
    <col min="9217" max="9217" width="44" style="7" customWidth="1"/>
    <col min="9218" max="9218" width="8.140625" style="7" customWidth="1"/>
    <col min="9219" max="9219" width="7.85546875" style="7" customWidth="1"/>
    <col min="9220" max="9220" width="10.85546875" style="7" customWidth="1"/>
    <col min="9221" max="9221" width="5.140625" style="7" bestFit="1" customWidth="1"/>
    <col min="9222" max="9222" width="11.7109375" style="7" customWidth="1"/>
    <col min="9223" max="9223" width="3.42578125" style="7" customWidth="1"/>
    <col min="9224" max="9471" width="9.140625" style="7"/>
    <col min="9472" max="9472" width="10.140625" style="7" customWidth="1"/>
    <col min="9473" max="9473" width="44" style="7" customWidth="1"/>
    <col min="9474" max="9474" width="8.140625" style="7" customWidth="1"/>
    <col min="9475" max="9475" width="7.85546875" style="7" customWidth="1"/>
    <col min="9476" max="9476" width="10.85546875" style="7" customWidth="1"/>
    <col min="9477" max="9477" width="5.140625" style="7" bestFit="1" customWidth="1"/>
    <col min="9478" max="9478" width="11.7109375" style="7" customWidth="1"/>
    <col min="9479" max="9479" width="3.42578125" style="7" customWidth="1"/>
    <col min="9480" max="9727" width="9.140625" style="7"/>
    <col min="9728" max="9728" width="10.140625" style="7" customWidth="1"/>
    <col min="9729" max="9729" width="44" style="7" customWidth="1"/>
    <col min="9730" max="9730" width="8.140625" style="7" customWidth="1"/>
    <col min="9731" max="9731" width="7.85546875" style="7" customWidth="1"/>
    <col min="9732" max="9732" width="10.85546875" style="7" customWidth="1"/>
    <col min="9733" max="9733" width="5.140625" style="7" bestFit="1" customWidth="1"/>
    <col min="9734" max="9734" width="11.7109375" style="7" customWidth="1"/>
    <col min="9735" max="9735" width="3.42578125" style="7" customWidth="1"/>
    <col min="9736" max="9983" width="9.140625" style="7"/>
    <col min="9984" max="9984" width="10.140625" style="7" customWidth="1"/>
    <col min="9985" max="9985" width="44" style="7" customWidth="1"/>
    <col min="9986" max="9986" width="8.140625" style="7" customWidth="1"/>
    <col min="9987" max="9987" width="7.85546875" style="7" customWidth="1"/>
    <col min="9988" max="9988" width="10.85546875" style="7" customWidth="1"/>
    <col min="9989" max="9989" width="5.140625" style="7" bestFit="1" customWidth="1"/>
    <col min="9990" max="9990" width="11.7109375" style="7" customWidth="1"/>
    <col min="9991" max="9991" width="3.42578125" style="7" customWidth="1"/>
    <col min="9992" max="10239" width="9.140625" style="7"/>
    <col min="10240" max="10240" width="10.140625" style="7" customWidth="1"/>
    <col min="10241" max="10241" width="44" style="7" customWidth="1"/>
    <col min="10242" max="10242" width="8.140625" style="7" customWidth="1"/>
    <col min="10243" max="10243" width="7.85546875" style="7" customWidth="1"/>
    <col min="10244" max="10244" width="10.85546875" style="7" customWidth="1"/>
    <col min="10245" max="10245" width="5.140625" style="7" bestFit="1" customWidth="1"/>
    <col min="10246" max="10246" width="11.7109375" style="7" customWidth="1"/>
    <col min="10247" max="10247" width="3.42578125" style="7" customWidth="1"/>
    <col min="10248" max="10495" width="9.140625" style="7"/>
    <col min="10496" max="10496" width="10.140625" style="7" customWidth="1"/>
    <col min="10497" max="10497" width="44" style="7" customWidth="1"/>
    <col min="10498" max="10498" width="8.140625" style="7" customWidth="1"/>
    <col min="10499" max="10499" width="7.85546875" style="7" customWidth="1"/>
    <col min="10500" max="10500" width="10.85546875" style="7" customWidth="1"/>
    <col min="10501" max="10501" width="5.140625" style="7" bestFit="1" customWidth="1"/>
    <col min="10502" max="10502" width="11.7109375" style="7" customWidth="1"/>
    <col min="10503" max="10503" width="3.42578125" style="7" customWidth="1"/>
    <col min="10504" max="10751" width="9.140625" style="7"/>
    <col min="10752" max="10752" width="10.140625" style="7" customWidth="1"/>
    <col min="10753" max="10753" width="44" style="7" customWidth="1"/>
    <col min="10754" max="10754" width="8.140625" style="7" customWidth="1"/>
    <col min="10755" max="10755" width="7.85546875" style="7" customWidth="1"/>
    <col min="10756" max="10756" width="10.85546875" style="7" customWidth="1"/>
    <col min="10757" max="10757" width="5.140625" style="7" bestFit="1" customWidth="1"/>
    <col min="10758" max="10758" width="11.7109375" style="7" customWidth="1"/>
    <col min="10759" max="10759" width="3.42578125" style="7" customWidth="1"/>
    <col min="10760" max="11007" width="9.140625" style="7"/>
    <col min="11008" max="11008" width="10.140625" style="7" customWidth="1"/>
    <col min="11009" max="11009" width="44" style="7" customWidth="1"/>
    <col min="11010" max="11010" width="8.140625" style="7" customWidth="1"/>
    <col min="11011" max="11011" width="7.85546875" style="7" customWidth="1"/>
    <col min="11012" max="11012" width="10.85546875" style="7" customWidth="1"/>
    <col min="11013" max="11013" width="5.140625" style="7" bestFit="1" customWidth="1"/>
    <col min="11014" max="11014" width="11.7109375" style="7" customWidth="1"/>
    <col min="11015" max="11015" width="3.42578125" style="7" customWidth="1"/>
    <col min="11016" max="11263" width="9.140625" style="7"/>
    <col min="11264" max="11264" width="10.140625" style="7" customWidth="1"/>
    <col min="11265" max="11265" width="44" style="7" customWidth="1"/>
    <col min="11266" max="11266" width="8.140625" style="7" customWidth="1"/>
    <col min="11267" max="11267" width="7.85546875" style="7" customWidth="1"/>
    <col min="11268" max="11268" width="10.85546875" style="7" customWidth="1"/>
    <col min="11269" max="11269" width="5.140625" style="7" bestFit="1" customWidth="1"/>
    <col min="11270" max="11270" width="11.7109375" style="7" customWidth="1"/>
    <col min="11271" max="11271" width="3.42578125" style="7" customWidth="1"/>
    <col min="11272" max="11519" width="9.140625" style="7"/>
    <col min="11520" max="11520" width="10.140625" style="7" customWidth="1"/>
    <col min="11521" max="11521" width="44" style="7" customWidth="1"/>
    <col min="11522" max="11522" width="8.140625" style="7" customWidth="1"/>
    <col min="11523" max="11523" width="7.85546875" style="7" customWidth="1"/>
    <col min="11524" max="11524" width="10.85546875" style="7" customWidth="1"/>
    <col min="11525" max="11525" width="5.140625" style="7" bestFit="1" customWidth="1"/>
    <col min="11526" max="11526" width="11.7109375" style="7" customWidth="1"/>
    <col min="11527" max="11527" width="3.42578125" style="7" customWidth="1"/>
    <col min="11528" max="11775" width="9.140625" style="7"/>
    <col min="11776" max="11776" width="10.140625" style="7" customWidth="1"/>
    <col min="11777" max="11777" width="44" style="7" customWidth="1"/>
    <col min="11778" max="11778" width="8.140625" style="7" customWidth="1"/>
    <col min="11779" max="11779" width="7.85546875" style="7" customWidth="1"/>
    <col min="11780" max="11780" width="10.85546875" style="7" customWidth="1"/>
    <col min="11781" max="11781" width="5.140625" style="7" bestFit="1" customWidth="1"/>
    <col min="11782" max="11782" width="11.7109375" style="7" customWidth="1"/>
    <col min="11783" max="11783" width="3.42578125" style="7" customWidth="1"/>
    <col min="11784" max="12031" width="9.140625" style="7"/>
    <col min="12032" max="12032" width="10.140625" style="7" customWidth="1"/>
    <col min="12033" max="12033" width="44" style="7" customWidth="1"/>
    <col min="12034" max="12034" width="8.140625" style="7" customWidth="1"/>
    <col min="12035" max="12035" width="7.85546875" style="7" customWidth="1"/>
    <col min="12036" max="12036" width="10.85546875" style="7" customWidth="1"/>
    <col min="12037" max="12037" width="5.140625" style="7" bestFit="1" customWidth="1"/>
    <col min="12038" max="12038" width="11.7109375" style="7" customWidth="1"/>
    <col min="12039" max="12039" width="3.42578125" style="7" customWidth="1"/>
    <col min="12040" max="12287" width="9.140625" style="7"/>
    <col min="12288" max="12288" width="10.140625" style="7" customWidth="1"/>
    <col min="12289" max="12289" width="44" style="7" customWidth="1"/>
    <col min="12290" max="12290" width="8.140625" style="7" customWidth="1"/>
    <col min="12291" max="12291" width="7.85546875" style="7" customWidth="1"/>
    <col min="12292" max="12292" width="10.85546875" style="7" customWidth="1"/>
    <col min="12293" max="12293" width="5.140625" style="7" bestFit="1" customWidth="1"/>
    <col min="12294" max="12294" width="11.7109375" style="7" customWidth="1"/>
    <col min="12295" max="12295" width="3.42578125" style="7" customWidth="1"/>
    <col min="12296" max="12543" width="9.140625" style="7"/>
    <col min="12544" max="12544" width="10.140625" style="7" customWidth="1"/>
    <col min="12545" max="12545" width="44" style="7" customWidth="1"/>
    <col min="12546" max="12546" width="8.140625" style="7" customWidth="1"/>
    <col min="12547" max="12547" width="7.85546875" style="7" customWidth="1"/>
    <col min="12548" max="12548" width="10.85546875" style="7" customWidth="1"/>
    <col min="12549" max="12549" width="5.140625" style="7" bestFit="1" customWidth="1"/>
    <col min="12550" max="12550" width="11.7109375" style="7" customWidth="1"/>
    <col min="12551" max="12551" width="3.42578125" style="7" customWidth="1"/>
    <col min="12552" max="12799" width="9.140625" style="7"/>
    <col min="12800" max="12800" width="10.140625" style="7" customWidth="1"/>
    <col min="12801" max="12801" width="44" style="7" customWidth="1"/>
    <col min="12802" max="12802" width="8.140625" style="7" customWidth="1"/>
    <col min="12803" max="12803" width="7.85546875" style="7" customWidth="1"/>
    <col min="12804" max="12804" width="10.85546875" style="7" customWidth="1"/>
    <col min="12805" max="12805" width="5.140625" style="7" bestFit="1" customWidth="1"/>
    <col min="12806" max="12806" width="11.7109375" style="7" customWidth="1"/>
    <col min="12807" max="12807" width="3.42578125" style="7" customWidth="1"/>
    <col min="12808" max="13055" width="9.140625" style="7"/>
    <col min="13056" max="13056" width="10.140625" style="7" customWidth="1"/>
    <col min="13057" max="13057" width="44" style="7" customWidth="1"/>
    <col min="13058" max="13058" width="8.140625" style="7" customWidth="1"/>
    <col min="13059" max="13059" width="7.85546875" style="7" customWidth="1"/>
    <col min="13060" max="13060" width="10.85546875" style="7" customWidth="1"/>
    <col min="13061" max="13061" width="5.140625" style="7" bestFit="1" customWidth="1"/>
    <col min="13062" max="13062" width="11.7109375" style="7" customWidth="1"/>
    <col min="13063" max="13063" width="3.42578125" style="7" customWidth="1"/>
    <col min="13064" max="13311" width="9.140625" style="7"/>
    <col min="13312" max="13312" width="10.140625" style="7" customWidth="1"/>
    <col min="13313" max="13313" width="44" style="7" customWidth="1"/>
    <col min="13314" max="13314" width="8.140625" style="7" customWidth="1"/>
    <col min="13315" max="13315" width="7.85546875" style="7" customWidth="1"/>
    <col min="13316" max="13316" width="10.85546875" style="7" customWidth="1"/>
    <col min="13317" max="13317" width="5.140625" style="7" bestFit="1" customWidth="1"/>
    <col min="13318" max="13318" width="11.7109375" style="7" customWidth="1"/>
    <col min="13319" max="13319" width="3.42578125" style="7" customWidth="1"/>
    <col min="13320" max="13567" width="9.140625" style="7"/>
    <col min="13568" max="13568" width="10.140625" style="7" customWidth="1"/>
    <col min="13569" max="13569" width="44" style="7" customWidth="1"/>
    <col min="13570" max="13570" width="8.140625" style="7" customWidth="1"/>
    <col min="13571" max="13571" width="7.85546875" style="7" customWidth="1"/>
    <col min="13572" max="13572" width="10.85546875" style="7" customWidth="1"/>
    <col min="13573" max="13573" width="5.140625" style="7" bestFit="1" customWidth="1"/>
    <col min="13574" max="13574" width="11.7109375" style="7" customWidth="1"/>
    <col min="13575" max="13575" width="3.42578125" style="7" customWidth="1"/>
    <col min="13576" max="13823" width="9.140625" style="7"/>
    <col min="13824" max="13824" width="10.140625" style="7" customWidth="1"/>
    <col min="13825" max="13825" width="44" style="7" customWidth="1"/>
    <col min="13826" max="13826" width="8.140625" style="7" customWidth="1"/>
    <col min="13827" max="13827" width="7.85546875" style="7" customWidth="1"/>
    <col min="13828" max="13828" width="10.85546875" style="7" customWidth="1"/>
    <col min="13829" max="13829" width="5.140625" style="7" bestFit="1" customWidth="1"/>
    <col min="13830" max="13830" width="11.7109375" style="7" customWidth="1"/>
    <col min="13831" max="13831" width="3.42578125" style="7" customWidth="1"/>
    <col min="13832" max="14079" width="9.140625" style="7"/>
    <col min="14080" max="14080" width="10.140625" style="7" customWidth="1"/>
    <col min="14081" max="14081" width="44" style="7" customWidth="1"/>
    <col min="14082" max="14082" width="8.140625" style="7" customWidth="1"/>
    <col min="14083" max="14083" width="7.85546875" style="7" customWidth="1"/>
    <col min="14084" max="14084" width="10.85546875" style="7" customWidth="1"/>
    <col min="14085" max="14085" width="5.140625" style="7" bestFit="1" customWidth="1"/>
    <col min="14086" max="14086" width="11.7109375" style="7" customWidth="1"/>
    <col min="14087" max="14087" width="3.42578125" style="7" customWidth="1"/>
    <col min="14088" max="14335" width="9.140625" style="7"/>
    <col min="14336" max="14336" width="10.140625" style="7" customWidth="1"/>
    <col min="14337" max="14337" width="44" style="7" customWidth="1"/>
    <col min="14338" max="14338" width="8.140625" style="7" customWidth="1"/>
    <col min="14339" max="14339" width="7.85546875" style="7" customWidth="1"/>
    <col min="14340" max="14340" width="10.85546875" style="7" customWidth="1"/>
    <col min="14341" max="14341" width="5.140625" style="7" bestFit="1" customWidth="1"/>
    <col min="14342" max="14342" width="11.7109375" style="7" customWidth="1"/>
    <col min="14343" max="14343" width="3.42578125" style="7" customWidth="1"/>
    <col min="14344" max="14591" width="9.140625" style="7"/>
    <col min="14592" max="14592" width="10.140625" style="7" customWidth="1"/>
    <col min="14593" max="14593" width="44" style="7" customWidth="1"/>
    <col min="14594" max="14594" width="8.140625" style="7" customWidth="1"/>
    <col min="14595" max="14595" width="7.85546875" style="7" customWidth="1"/>
    <col min="14596" max="14596" width="10.85546875" style="7" customWidth="1"/>
    <col min="14597" max="14597" width="5.140625" style="7" bestFit="1" customWidth="1"/>
    <col min="14598" max="14598" width="11.7109375" style="7" customWidth="1"/>
    <col min="14599" max="14599" width="3.42578125" style="7" customWidth="1"/>
    <col min="14600" max="14847" width="9.140625" style="7"/>
    <col min="14848" max="14848" width="10.140625" style="7" customWidth="1"/>
    <col min="14849" max="14849" width="44" style="7" customWidth="1"/>
    <col min="14850" max="14850" width="8.140625" style="7" customWidth="1"/>
    <col min="14851" max="14851" width="7.85546875" style="7" customWidth="1"/>
    <col min="14852" max="14852" width="10.85546875" style="7" customWidth="1"/>
    <col min="14853" max="14853" width="5.140625" style="7" bestFit="1" customWidth="1"/>
    <col min="14854" max="14854" width="11.7109375" style="7" customWidth="1"/>
    <col min="14855" max="14855" width="3.42578125" style="7" customWidth="1"/>
    <col min="14856" max="15103" width="9.140625" style="7"/>
    <col min="15104" max="15104" width="10.140625" style="7" customWidth="1"/>
    <col min="15105" max="15105" width="44" style="7" customWidth="1"/>
    <col min="15106" max="15106" width="8.140625" style="7" customWidth="1"/>
    <col min="15107" max="15107" width="7.85546875" style="7" customWidth="1"/>
    <col min="15108" max="15108" width="10.85546875" style="7" customWidth="1"/>
    <col min="15109" max="15109" width="5.140625" style="7" bestFit="1" customWidth="1"/>
    <col min="15110" max="15110" width="11.7109375" style="7" customWidth="1"/>
    <col min="15111" max="15111" width="3.42578125" style="7" customWidth="1"/>
    <col min="15112" max="15359" width="9.140625" style="7"/>
    <col min="15360" max="15360" width="10.140625" style="7" customWidth="1"/>
    <col min="15361" max="15361" width="44" style="7" customWidth="1"/>
    <col min="15362" max="15362" width="8.140625" style="7" customWidth="1"/>
    <col min="15363" max="15363" width="7.85546875" style="7" customWidth="1"/>
    <col min="15364" max="15364" width="10.85546875" style="7" customWidth="1"/>
    <col min="15365" max="15365" width="5.140625" style="7" bestFit="1" customWidth="1"/>
    <col min="15366" max="15366" width="11.7109375" style="7" customWidth="1"/>
    <col min="15367" max="15367" width="3.42578125" style="7" customWidth="1"/>
    <col min="15368" max="15615" width="9.140625" style="7"/>
    <col min="15616" max="15616" width="10.140625" style="7" customWidth="1"/>
    <col min="15617" max="15617" width="44" style="7" customWidth="1"/>
    <col min="15618" max="15618" width="8.140625" style="7" customWidth="1"/>
    <col min="15619" max="15619" width="7.85546875" style="7" customWidth="1"/>
    <col min="15620" max="15620" width="10.85546875" style="7" customWidth="1"/>
    <col min="15621" max="15621" width="5.140625" style="7" bestFit="1" customWidth="1"/>
    <col min="15622" max="15622" width="11.7109375" style="7" customWidth="1"/>
    <col min="15623" max="15623" width="3.42578125" style="7" customWidth="1"/>
    <col min="15624" max="15871" width="9.140625" style="7"/>
    <col min="15872" max="15872" width="10.140625" style="7" customWidth="1"/>
    <col min="15873" max="15873" width="44" style="7" customWidth="1"/>
    <col min="15874" max="15874" width="8.140625" style="7" customWidth="1"/>
    <col min="15875" max="15875" width="7.85546875" style="7" customWidth="1"/>
    <col min="15876" max="15876" width="10.85546875" style="7" customWidth="1"/>
    <col min="15877" max="15877" width="5.140625" style="7" bestFit="1" customWidth="1"/>
    <col min="15878" max="15878" width="11.7109375" style="7" customWidth="1"/>
    <col min="15879" max="15879" width="3.42578125" style="7" customWidth="1"/>
    <col min="15880" max="16127" width="9.140625" style="7"/>
    <col min="16128" max="16128" width="10.140625" style="7" customWidth="1"/>
    <col min="16129" max="16129" width="44" style="7" customWidth="1"/>
    <col min="16130" max="16130" width="8.140625" style="7" customWidth="1"/>
    <col min="16131" max="16131" width="7.85546875" style="7" customWidth="1"/>
    <col min="16132" max="16132" width="10.85546875" style="7" customWidth="1"/>
    <col min="16133" max="16133" width="5.140625" style="7" bestFit="1" customWidth="1"/>
    <col min="16134" max="16134" width="11.7109375" style="7" customWidth="1"/>
    <col min="16135" max="16135" width="3.42578125" style="7" customWidth="1"/>
    <col min="16136" max="16384" width="9.140625" style="7"/>
  </cols>
  <sheetData>
    <row r="1" spans="1:9">
      <c r="A1" s="14"/>
      <c r="B1" s="14"/>
      <c r="C1" s="14"/>
      <c r="D1" s="14"/>
      <c r="E1" s="14"/>
      <c r="F1" s="14"/>
      <c r="G1" s="14"/>
      <c r="H1" s="14"/>
      <c r="I1" s="14"/>
    </row>
    <row r="2" spans="1:9" ht="15.75">
      <c r="A2" s="566" t="s">
        <v>123</v>
      </c>
      <c r="B2" s="566"/>
      <c r="C2" s="566"/>
      <c r="D2" s="566"/>
      <c r="E2" s="566"/>
      <c r="F2" s="566"/>
      <c r="G2" s="566"/>
      <c r="H2" s="566"/>
      <c r="I2" s="566"/>
    </row>
    <row r="3" spans="1:9" ht="8.25" customHeight="1">
      <c r="A3" s="288"/>
      <c r="B3" s="8"/>
      <c r="C3" s="31"/>
      <c r="D3" s="8"/>
      <c r="E3" s="31"/>
      <c r="F3" s="31"/>
      <c r="G3" s="8"/>
      <c r="H3" s="8"/>
      <c r="I3" s="8"/>
    </row>
    <row r="4" spans="1:9">
      <c r="D4" s="10" t="s">
        <v>77</v>
      </c>
      <c r="E4" s="10"/>
      <c r="F4" s="10"/>
    </row>
    <row r="5" spans="1:9" s="22" customFormat="1" ht="28.5" customHeight="1">
      <c r="A5" s="565" t="s">
        <v>76</v>
      </c>
      <c r="B5" s="565" t="s">
        <v>75</v>
      </c>
      <c r="C5" s="570" t="s">
        <v>21</v>
      </c>
      <c r="D5" s="565" t="s">
        <v>154</v>
      </c>
      <c r="E5" s="564" t="s">
        <v>189</v>
      </c>
      <c r="F5" s="564"/>
      <c r="G5" s="564"/>
      <c r="H5" s="564"/>
      <c r="I5" s="565" t="s">
        <v>22</v>
      </c>
    </row>
    <row r="6" spans="1:9" s="23" customFormat="1" ht="45">
      <c r="A6" s="565"/>
      <c r="B6" s="565"/>
      <c r="C6" s="571"/>
      <c r="D6" s="565"/>
      <c r="E6" s="46" t="s">
        <v>64</v>
      </c>
      <c r="F6" s="304" t="s">
        <v>307</v>
      </c>
      <c r="G6" s="46" t="s">
        <v>190</v>
      </c>
      <c r="H6" s="46" t="s">
        <v>65</v>
      </c>
      <c r="I6" s="565"/>
    </row>
    <row r="7" spans="1:9" s="12" customFormat="1" ht="120">
      <c r="A7" s="205" t="s">
        <v>80</v>
      </c>
      <c r="B7" s="206" t="s">
        <v>298</v>
      </c>
      <c r="C7" s="220"/>
      <c r="D7" s="572" t="s">
        <v>114</v>
      </c>
      <c r="E7" s="573"/>
      <c r="F7" s="573"/>
      <c r="G7" s="573"/>
      <c r="H7" s="573"/>
      <c r="I7" s="574"/>
    </row>
    <row r="8" spans="1:9" s="11" customFormat="1" ht="60">
      <c r="A8" s="96" t="s">
        <v>108</v>
      </c>
      <c r="B8" s="213" t="s">
        <v>279</v>
      </c>
      <c r="C8" s="213" t="s">
        <v>147</v>
      </c>
      <c r="D8" s="94">
        <f>ROUND(1111*0.05,0)</f>
        <v>56</v>
      </c>
      <c r="E8" s="107">
        <f>R_SMM!E12</f>
        <v>10.15</v>
      </c>
      <c r="F8" s="93">
        <v>0</v>
      </c>
      <c r="G8" s="93">
        <f>E8+F8</f>
        <v>10.15</v>
      </c>
      <c r="H8" s="94">
        <v>1</v>
      </c>
      <c r="I8" s="232">
        <f>+ROUND(D8*G8/H8,0)</f>
        <v>568</v>
      </c>
    </row>
    <row r="9" spans="1:9" s="11" customFormat="1" ht="60">
      <c r="A9" s="96" t="s">
        <v>81</v>
      </c>
      <c r="B9" s="219" t="s">
        <v>292</v>
      </c>
      <c r="C9" s="213" t="s">
        <v>147</v>
      </c>
      <c r="D9" s="94">
        <f t="shared" ref="D9:D12" si="0">ROUND(1111*0.05,0)</f>
        <v>56</v>
      </c>
      <c r="E9" s="107">
        <f>R_SMM!E16</f>
        <v>109.7</v>
      </c>
      <c r="F9" s="93">
        <v>0</v>
      </c>
      <c r="G9" s="93">
        <f t="shared" ref="G9:G18" si="1">E9+F9</f>
        <v>109.7</v>
      </c>
      <c r="H9" s="94">
        <v>100</v>
      </c>
      <c r="I9" s="232">
        <f t="shared" ref="I9:I17" si="2">+ROUND(D9*G9/H9,0)</f>
        <v>61</v>
      </c>
    </row>
    <row r="10" spans="1:9" s="11" customFormat="1" ht="60">
      <c r="A10" s="96" t="s">
        <v>82</v>
      </c>
      <c r="B10" s="219" t="s">
        <v>293</v>
      </c>
      <c r="C10" s="213" t="s">
        <v>147</v>
      </c>
      <c r="D10" s="94">
        <f t="shared" si="0"/>
        <v>56</v>
      </c>
      <c r="E10" s="107">
        <f>R_SMM!E17</f>
        <v>77</v>
      </c>
      <c r="F10" s="93">
        <v>0</v>
      </c>
      <c r="G10" s="93">
        <f t="shared" si="1"/>
        <v>77</v>
      </c>
      <c r="H10" s="94">
        <v>100</v>
      </c>
      <c r="I10" s="232">
        <f t="shared" si="2"/>
        <v>43</v>
      </c>
    </row>
    <row r="11" spans="1:9" s="11" customFormat="1" ht="45">
      <c r="A11" s="96" t="s">
        <v>83</v>
      </c>
      <c r="B11" s="219" t="s">
        <v>272</v>
      </c>
      <c r="C11" s="213" t="s">
        <v>147</v>
      </c>
      <c r="D11" s="94">
        <f t="shared" si="0"/>
        <v>56</v>
      </c>
      <c r="E11" s="107">
        <v>135.25</v>
      </c>
      <c r="F11" s="93">
        <v>0</v>
      </c>
      <c r="G11" s="93">
        <f t="shared" si="1"/>
        <v>135.25</v>
      </c>
      <c r="H11" s="94">
        <v>100</v>
      </c>
      <c r="I11" s="232">
        <f t="shared" si="2"/>
        <v>76</v>
      </c>
    </row>
    <row r="12" spans="1:9" s="11" customFormat="1" ht="15">
      <c r="A12" s="121" t="s">
        <v>109</v>
      </c>
      <c r="B12" s="49" t="s">
        <v>197</v>
      </c>
      <c r="C12" s="213" t="s">
        <v>147</v>
      </c>
      <c r="D12" s="94">
        <f t="shared" si="0"/>
        <v>56</v>
      </c>
      <c r="E12" s="109">
        <f>R_SMM!E24</f>
        <v>416.65</v>
      </c>
      <c r="F12" s="93">
        <v>0</v>
      </c>
      <c r="G12" s="93">
        <f t="shared" si="1"/>
        <v>416.65</v>
      </c>
      <c r="H12" s="94">
        <v>100</v>
      </c>
      <c r="I12" s="232">
        <f t="shared" si="2"/>
        <v>233</v>
      </c>
    </row>
    <row r="13" spans="1:9" s="12" customFormat="1" ht="75">
      <c r="A13" s="289" t="s">
        <v>112</v>
      </c>
      <c r="B13" s="92" t="s">
        <v>115</v>
      </c>
      <c r="C13" s="92" t="s">
        <v>146</v>
      </c>
      <c r="D13" s="99">
        <v>1</v>
      </c>
      <c r="E13" s="110">
        <v>2321.4</v>
      </c>
      <c r="F13" s="93">
        <v>0</v>
      </c>
      <c r="G13" s="93">
        <f t="shared" si="1"/>
        <v>2321.4</v>
      </c>
      <c r="H13" s="103">
        <v>1</v>
      </c>
      <c r="I13" s="232">
        <f t="shared" si="2"/>
        <v>2321</v>
      </c>
    </row>
    <row r="14" spans="1:9" s="12" customFormat="1" ht="46.5" customHeight="1">
      <c r="A14" s="96" t="s">
        <v>97</v>
      </c>
      <c r="B14" s="100" t="s">
        <v>116</v>
      </c>
      <c r="C14" s="213" t="s">
        <v>147</v>
      </c>
      <c r="D14" s="97">
        <f>R_SMM!$D$9</f>
        <v>1111</v>
      </c>
      <c r="E14" s="93">
        <v>625</v>
      </c>
      <c r="F14" s="93">
        <v>0</v>
      </c>
      <c r="G14" s="93">
        <f t="shared" si="1"/>
        <v>625</v>
      </c>
      <c r="H14" s="94">
        <v>100</v>
      </c>
      <c r="I14" s="232">
        <f t="shared" si="2"/>
        <v>6944</v>
      </c>
    </row>
    <row r="15" spans="1:9" s="12" customFormat="1" ht="38.25">
      <c r="A15" s="96" t="s">
        <v>144</v>
      </c>
      <c r="B15" s="287" t="s">
        <v>299</v>
      </c>
      <c r="C15" s="213" t="s">
        <v>147</v>
      </c>
      <c r="D15" s="97">
        <f>R_SMM!$D$9</f>
        <v>1111</v>
      </c>
      <c r="E15" s="93">
        <v>118.35</v>
      </c>
      <c r="F15" s="93">
        <v>0</v>
      </c>
      <c r="G15" s="93">
        <f t="shared" si="1"/>
        <v>118.35</v>
      </c>
      <c r="H15" s="94">
        <v>100</v>
      </c>
      <c r="I15" s="232">
        <f t="shared" si="2"/>
        <v>1315</v>
      </c>
    </row>
    <row r="16" spans="1:9" s="6" customFormat="1" ht="60">
      <c r="A16" s="111" t="s">
        <v>70</v>
      </c>
      <c r="B16" s="112" t="s">
        <v>105</v>
      </c>
      <c r="C16" s="213" t="s">
        <v>66</v>
      </c>
      <c r="D16" s="112">
        <v>100</v>
      </c>
      <c r="E16" s="113">
        <v>5.85</v>
      </c>
      <c r="F16" s="93">
        <v>0</v>
      </c>
      <c r="G16" s="93">
        <f t="shared" si="1"/>
        <v>5.85</v>
      </c>
      <c r="H16" s="112">
        <v>1</v>
      </c>
      <c r="I16" s="232">
        <f t="shared" si="2"/>
        <v>585</v>
      </c>
    </row>
    <row r="17" spans="1:11" s="11" customFormat="1" ht="90">
      <c r="A17" s="205" t="s">
        <v>78</v>
      </c>
      <c r="B17" s="219" t="s">
        <v>278</v>
      </c>
      <c r="C17" s="219" t="s">
        <v>146</v>
      </c>
      <c r="D17" s="114">
        <v>0.6</v>
      </c>
      <c r="E17" s="115">
        <v>3477.05</v>
      </c>
      <c r="F17" s="93">
        <v>0</v>
      </c>
      <c r="G17" s="93">
        <f t="shared" si="1"/>
        <v>3477.05</v>
      </c>
      <c r="H17" s="103">
        <v>1</v>
      </c>
      <c r="I17" s="232">
        <f t="shared" si="2"/>
        <v>2086</v>
      </c>
    </row>
    <row r="18" spans="1:11" s="12" customFormat="1" ht="210">
      <c r="A18" s="121" t="s">
        <v>305</v>
      </c>
      <c r="B18" s="216" t="s">
        <v>304</v>
      </c>
      <c r="C18" s="305" t="s">
        <v>79</v>
      </c>
      <c r="D18" s="305">
        <v>1</v>
      </c>
      <c r="E18" s="313">
        <v>8757</v>
      </c>
      <c r="F18" s="314">
        <v>0</v>
      </c>
      <c r="G18" s="315">
        <f t="shared" si="1"/>
        <v>8757</v>
      </c>
      <c r="H18" s="316" t="s">
        <v>79</v>
      </c>
      <c r="I18" s="311"/>
    </row>
    <row r="19" spans="1:11" s="12" customFormat="1" ht="15">
      <c r="A19" s="290"/>
      <c r="B19" s="291" t="s">
        <v>68</v>
      </c>
      <c r="C19" s="116"/>
      <c r="D19" s="51"/>
      <c r="E19" s="51"/>
      <c r="F19" s="51"/>
      <c r="G19" s="51"/>
      <c r="H19" s="51"/>
      <c r="I19" s="52">
        <f>SUM(I8:I18)</f>
        <v>14232</v>
      </c>
      <c r="K19" s="15">
        <f>I19/100000</f>
        <v>0.14232</v>
      </c>
    </row>
    <row r="20" spans="1:11" ht="15">
      <c r="B20" s="250" t="s">
        <v>181</v>
      </c>
      <c r="C20" s="9"/>
      <c r="D20" s="9"/>
      <c r="E20" s="9"/>
      <c r="F20" s="9"/>
      <c r="G20" s="9"/>
      <c r="H20" s="9"/>
    </row>
    <row r="21" spans="1:11">
      <c r="B21" s="9"/>
      <c r="C21" s="9"/>
      <c r="D21" s="9"/>
      <c r="E21" s="9"/>
      <c r="F21" s="9"/>
      <c r="G21" s="9"/>
      <c r="H21" s="9"/>
    </row>
    <row r="22" spans="1:11">
      <c r="B22" s="9"/>
      <c r="C22" s="9"/>
      <c r="D22" s="9"/>
      <c r="E22" s="9"/>
      <c r="F22" s="9"/>
      <c r="G22" s="9"/>
      <c r="H22" s="9"/>
    </row>
    <row r="23" spans="1:11">
      <c r="B23" s="9"/>
      <c r="C23" s="9"/>
      <c r="D23" s="9"/>
      <c r="E23" s="9"/>
      <c r="F23" s="9"/>
      <c r="G23" s="9"/>
      <c r="H23" s="9"/>
    </row>
    <row r="24" spans="1:11" ht="17.25">
      <c r="B24" s="9"/>
      <c r="C24" s="9"/>
      <c r="D24" s="9"/>
      <c r="E24" s="9"/>
      <c r="F24" s="260"/>
      <c r="G24" s="282" t="s">
        <v>126</v>
      </c>
      <c r="H24" s="260"/>
    </row>
    <row r="25" spans="1:11" ht="17.25">
      <c r="B25" s="9"/>
      <c r="C25" s="9"/>
      <c r="D25" s="9"/>
      <c r="E25" s="9"/>
      <c r="F25" s="260"/>
      <c r="G25" s="282"/>
      <c r="H25" s="260"/>
    </row>
    <row r="26" spans="1:11">
      <c r="B26" s="9"/>
      <c r="C26" s="9"/>
      <c r="D26" s="9"/>
      <c r="E26" s="9"/>
      <c r="F26" s="9"/>
      <c r="G26" s="9"/>
      <c r="H26" s="9"/>
    </row>
    <row r="27" spans="1:11">
      <c r="B27" s="9"/>
      <c r="C27" s="9"/>
      <c r="D27" s="9"/>
      <c r="E27" s="9"/>
      <c r="F27" s="9"/>
      <c r="G27" s="9"/>
      <c r="H27" s="9"/>
    </row>
    <row r="28" spans="1:11">
      <c r="B28" s="9"/>
      <c r="C28" s="9"/>
      <c r="D28" s="9"/>
      <c r="E28" s="9"/>
      <c r="F28" s="9"/>
      <c r="G28" s="9"/>
      <c r="H28" s="9"/>
    </row>
    <row r="29" spans="1:11">
      <c r="B29" s="9"/>
      <c r="C29" s="9"/>
      <c r="D29" s="9"/>
      <c r="E29" s="9"/>
      <c r="F29" s="9"/>
      <c r="G29" s="9"/>
      <c r="H29" s="9"/>
    </row>
    <row r="30" spans="1:11">
      <c r="B30" s="9"/>
      <c r="C30" s="9"/>
      <c r="D30" s="9"/>
      <c r="E30" s="9"/>
      <c r="F30" s="9"/>
      <c r="G30" s="9"/>
      <c r="H30" s="9"/>
    </row>
    <row r="31" spans="1:11">
      <c r="B31" s="9"/>
      <c r="C31" s="9"/>
      <c r="D31" s="9"/>
      <c r="E31" s="9"/>
      <c r="F31" s="9"/>
      <c r="G31" s="9"/>
      <c r="H31" s="9"/>
    </row>
  </sheetData>
  <mergeCells count="8">
    <mergeCell ref="A2:I2"/>
    <mergeCell ref="D7:I7"/>
    <mergeCell ref="A5:A6"/>
    <mergeCell ref="B5:B6"/>
    <mergeCell ref="D5:D6"/>
    <mergeCell ref="E5:H5"/>
    <mergeCell ref="I5:I6"/>
    <mergeCell ref="C5:C6"/>
  </mergeCells>
  <printOptions horizontalCentered="1"/>
  <pageMargins left="0.27" right="0.18" top="0.6" bottom="0.6" header="0.41" footer="0.25"/>
  <pageSetup paperSize="9" scale="67"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tint="0.79998168889431442"/>
    <pageSetUpPr fitToPage="1"/>
  </sheetPr>
  <dimension ref="A1:K16"/>
  <sheetViews>
    <sheetView view="pageBreakPreview" zoomScale="90" zoomScaleNormal="85" zoomScaleSheetLayoutView="90" workbookViewId="0">
      <selection activeCell="D9" sqref="D9"/>
    </sheetView>
  </sheetViews>
  <sheetFormatPr defaultRowHeight="14.25"/>
  <cols>
    <col min="1" max="1" width="11.42578125" style="7" customWidth="1"/>
    <col min="2" max="2" width="45.7109375" style="7" customWidth="1"/>
    <col min="3" max="3" width="4.85546875" style="7" bestFit="1" customWidth="1"/>
    <col min="4" max="4" width="7.85546875" style="7" customWidth="1"/>
    <col min="5" max="5" width="9.42578125" style="7" bestFit="1" customWidth="1"/>
    <col min="6" max="6" width="7.85546875" style="7" customWidth="1"/>
    <col min="7" max="7" width="10.85546875" style="7" customWidth="1"/>
    <col min="8" max="8" width="8.42578125" style="7" customWidth="1"/>
    <col min="9" max="9" width="11.7109375" style="7" customWidth="1"/>
    <col min="10" max="10" width="3.42578125" style="7" customWidth="1"/>
    <col min="11" max="258" width="9.140625" style="7"/>
    <col min="259" max="259" width="11.42578125" style="7" customWidth="1"/>
    <col min="260" max="260" width="44" style="7" customWidth="1"/>
    <col min="261" max="261" width="8.140625" style="7" customWidth="1"/>
    <col min="262" max="262" width="7.85546875" style="7" customWidth="1"/>
    <col min="263" max="263" width="10.85546875" style="7" customWidth="1"/>
    <col min="264" max="264" width="5.140625" style="7" bestFit="1" customWidth="1"/>
    <col min="265" max="265" width="11.7109375" style="7" customWidth="1"/>
    <col min="266" max="266" width="3.42578125" style="7" customWidth="1"/>
    <col min="267" max="514" width="9.140625" style="7"/>
    <col min="515" max="515" width="11.42578125" style="7" customWidth="1"/>
    <col min="516" max="516" width="44" style="7" customWidth="1"/>
    <col min="517" max="517" width="8.140625" style="7" customWidth="1"/>
    <col min="518" max="518" width="7.85546875" style="7" customWidth="1"/>
    <col min="519" max="519" width="10.85546875" style="7" customWidth="1"/>
    <col min="520" max="520" width="5.140625" style="7" bestFit="1" customWidth="1"/>
    <col min="521" max="521" width="11.7109375" style="7" customWidth="1"/>
    <col min="522" max="522" width="3.42578125" style="7" customWidth="1"/>
    <col min="523" max="770" width="9.140625" style="7"/>
    <col min="771" max="771" width="11.42578125" style="7" customWidth="1"/>
    <col min="772" max="772" width="44" style="7" customWidth="1"/>
    <col min="773" max="773" width="8.140625" style="7" customWidth="1"/>
    <col min="774" max="774" width="7.85546875" style="7" customWidth="1"/>
    <col min="775" max="775" width="10.85546875" style="7" customWidth="1"/>
    <col min="776" max="776" width="5.140625" style="7" bestFit="1" customWidth="1"/>
    <col min="777" max="777" width="11.7109375" style="7" customWidth="1"/>
    <col min="778" max="778" width="3.42578125" style="7" customWidth="1"/>
    <col min="779" max="1026" width="9.140625" style="7"/>
    <col min="1027" max="1027" width="11.42578125" style="7" customWidth="1"/>
    <col min="1028" max="1028" width="44" style="7" customWidth="1"/>
    <col min="1029" max="1029" width="8.140625" style="7" customWidth="1"/>
    <col min="1030" max="1030" width="7.85546875" style="7" customWidth="1"/>
    <col min="1031" max="1031" width="10.85546875" style="7" customWidth="1"/>
    <col min="1032" max="1032" width="5.140625" style="7" bestFit="1" customWidth="1"/>
    <col min="1033" max="1033" width="11.7109375" style="7" customWidth="1"/>
    <col min="1034" max="1034" width="3.42578125" style="7" customWidth="1"/>
    <col min="1035" max="1282" width="9.140625" style="7"/>
    <col min="1283" max="1283" width="11.42578125" style="7" customWidth="1"/>
    <col min="1284" max="1284" width="44" style="7" customWidth="1"/>
    <col min="1285" max="1285" width="8.140625" style="7" customWidth="1"/>
    <col min="1286" max="1286" width="7.85546875" style="7" customWidth="1"/>
    <col min="1287" max="1287" width="10.85546875" style="7" customWidth="1"/>
    <col min="1288" max="1288" width="5.140625" style="7" bestFit="1" customWidth="1"/>
    <col min="1289" max="1289" width="11.7109375" style="7" customWidth="1"/>
    <col min="1290" max="1290" width="3.42578125" style="7" customWidth="1"/>
    <col min="1291" max="1538" width="9.140625" style="7"/>
    <col min="1539" max="1539" width="11.42578125" style="7" customWidth="1"/>
    <col min="1540" max="1540" width="44" style="7" customWidth="1"/>
    <col min="1541" max="1541" width="8.140625" style="7" customWidth="1"/>
    <col min="1542" max="1542" width="7.85546875" style="7" customWidth="1"/>
    <col min="1543" max="1543" width="10.85546875" style="7" customWidth="1"/>
    <col min="1544" max="1544" width="5.140625" style="7" bestFit="1" customWidth="1"/>
    <col min="1545" max="1545" width="11.7109375" style="7" customWidth="1"/>
    <col min="1546" max="1546" width="3.42578125" style="7" customWidth="1"/>
    <col min="1547" max="1794" width="9.140625" style="7"/>
    <col min="1795" max="1795" width="11.42578125" style="7" customWidth="1"/>
    <col min="1796" max="1796" width="44" style="7" customWidth="1"/>
    <col min="1797" max="1797" width="8.140625" style="7" customWidth="1"/>
    <col min="1798" max="1798" width="7.85546875" style="7" customWidth="1"/>
    <col min="1799" max="1799" width="10.85546875" style="7" customWidth="1"/>
    <col min="1800" max="1800" width="5.140625" style="7" bestFit="1" customWidth="1"/>
    <col min="1801" max="1801" width="11.7109375" style="7" customWidth="1"/>
    <col min="1802" max="1802" width="3.42578125" style="7" customWidth="1"/>
    <col min="1803" max="2050" width="9.140625" style="7"/>
    <col min="2051" max="2051" width="11.42578125" style="7" customWidth="1"/>
    <col min="2052" max="2052" width="44" style="7" customWidth="1"/>
    <col min="2053" max="2053" width="8.140625" style="7" customWidth="1"/>
    <col min="2054" max="2054" width="7.85546875" style="7" customWidth="1"/>
    <col min="2055" max="2055" width="10.85546875" style="7" customWidth="1"/>
    <col min="2056" max="2056" width="5.140625" style="7" bestFit="1" customWidth="1"/>
    <col min="2057" max="2057" width="11.7109375" style="7" customWidth="1"/>
    <col min="2058" max="2058" width="3.42578125" style="7" customWidth="1"/>
    <col min="2059" max="2306" width="9.140625" style="7"/>
    <col min="2307" max="2307" width="11.42578125" style="7" customWidth="1"/>
    <col min="2308" max="2308" width="44" style="7" customWidth="1"/>
    <col min="2309" max="2309" width="8.140625" style="7" customWidth="1"/>
    <col min="2310" max="2310" width="7.85546875" style="7" customWidth="1"/>
    <col min="2311" max="2311" width="10.85546875" style="7" customWidth="1"/>
    <col min="2312" max="2312" width="5.140625" style="7" bestFit="1" customWidth="1"/>
    <col min="2313" max="2313" width="11.7109375" style="7" customWidth="1"/>
    <col min="2314" max="2314" width="3.42578125" style="7" customWidth="1"/>
    <col min="2315" max="2562" width="9.140625" style="7"/>
    <col min="2563" max="2563" width="11.42578125" style="7" customWidth="1"/>
    <col min="2564" max="2564" width="44" style="7" customWidth="1"/>
    <col min="2565" max="2565" width="8.140625" style="7" customWidth="1"/>
    <col min="2566" max="2566" width="7.85546875" style="7" customWidth="1"/>
    <col min="2567" max="2567" width="10.85546875" style="7" customWidth="1"/>
    <col min="2568" max="2568" width="5.140625" style="7" bestFit="1" customWidth="1"/>
    <col min="2569" max="2569" width="11.7109375" style="7" customWidth="1"/>
    <col min="2570" max="2570" width="3.42578125" style="7" customWidth="1"/>
    <col min="2571" max="2818" width="9.140625" style="7"/>
    <col min="2819" max="2819" width="11.42578125" style="7" customWidth="1"/>
    <col min="2820" max="2820" width="44" style="7" customWidth="1"/>
    <col min="2821" max="2821" width="8.140625" style="7" customWidth="1"/>
    <col min="2822" max="2822" width="7.85546875" style="7" customWidth="1"/>
    <col min="2823" max="2823" width="10.85546875" style="7" customWidth="1"/>
    <col min="2824" max="2824" width="5.140625" style="7" bestFit="1" customWidth="1"/>
    <col min="2825" max="2825" width="11.7109375" style="7" customWidth="1"/>
    <col min="2826" max="2826" width="3.42578125" style="7" customWidth="1"/>
    <col min="2827" max="3074" width="9.140625" style="7"/>
    <col min="3075" max="3075" width="11.42578125" style="7" customWidth="1"/>
    <col min="3076" max="3076" width="44" style="7" customWidth="1"/>
    <col min="3077" max="3077" width="8.140625" style="7" customWidth="1"/>
    <col min="3078" max="3078" width="7.85546875" style="7" customWidth="1"/>
    <col min="3079" max="3079" width="10.85546875" style="7" customWidth="1"/>
    <col min="3080" max="3080" width="5.140625" style="7" bestFit="1" customWidth="1"/>
    <col min="3081" max="3081" width="11.7109375" style="7" customWidth="1"/>
    <col min="3082" max="3082" width="3.42578125" style="7" customWidth="1"/>
    <col min="3083" max="3330" width="9.140625" style="7"/>
    <col min="3331" max="3331" width="11.42578125" style="7" customWidth="1"/>
    <col min="3332" max="3332" width="44" style="7" customWidth="1"/>
    <col min="3333" max="3333" width="8.140625" style="7" customWidth="1"/>
    <col min="3334" max="3334" width="7.85546875" style="7" customWidth="1"/>
    <col min="3335" max="3335" width="10.85546875" style="7" customWidth="1"/>
    <col min="3336" max="3336" width="5.140625" style="7" bestFit="1" customWidth="1"/>
    <col min="3337" max="3337" width="11.7109375" style="7" customWidth="1"/>
    <col min="3338" max="3338" width="3.42578125" style="7" customWidth="1"/>
    <col min="3339" max="3586" width="9.140625" style="7"/>
    <col min="3587" max="3587" width="11.42578125" style="7" customWidth="1"/>
    <col min="3588" max="3588" width="44" style="7" customWidth="1"/>
    <col min="3589" max="3589" width="8.140625" style="7" customWidth="1"/>
    <col min="3590" max="3590" width="7.85546875" style="7" customWidth="1"/>
    <col min="3591" max="3591" width="10.85546875" style="7" customWidth="1"/>
    <col min="3592" max="3592" width="5.140625" style="7" bestFit="1" customWidth="1"/>
    <col min="3593" max="3593" width="11.7109375" style="7" customWidth="1"/>
    <col min="3594" max="3594" width="3.42578125" style="7" customWidth="1"/>
    <col min="3595" max="3842" width="9.140625" style="7"/>
    <col min="3843" max="3843" width="11.42578125" style="7" customWidth="1"/>
    <col min="3844" max="3844" width="44" style="7" customWidth="1"/>
    <col min="3845" max="3845" width="8.140625" style="7" customWidth="1"/>
    <col min="3846" max="3846" width="7.85546875" style="7" customWidth="1"/>
    <col min="3847" max="3847" width="10.85546875" style="7" customWidth="1"/>
    <col min="3848" max="3848" width="5.140625" style="7" bestFit="1" customWidth="1"/>
    <col min="3849" max="3849" width="11.7109375" style="7" customWidth="1"/>
    <col min="3850" max="3850" width="3.42578125" style="7" customWidth="1"/>
    <col min="3851" max="4098" width="9.140625" style="7"/>
    <col min="4099" max="4099" width="11.42578125" style="7" customWidth="1"/>
    <col min="4100" max="4100" width="44" style="7" customWidth="1"/>
    <col min="4101" max="4101" width="8.140625" style="7" customWidth="1"/>
    <col min="4102" max="4102" width="7.85546875" style="7" customWidth="1"/>
    <col min="4103" max="4103" width="10.85546875" style="7" customWidth="1"/>
    <col min="4104" max="4104" width="5.140625" style="7" bestFit="1" customWidth="1"/>
    <col min="4105" max="4105" width="11.7109375" style="7" customWidth="1"/>
    <col min="4106" max="4106" width="3.42578125" style="7" customWidth="1"/>
    <col min="4107" max="4354" width="9.140625" style="7"/>
    <col min="4355" max="4355" width="11.42578125" style="7" customWidth="1"/>
    <col min="4356" max="4356" width="44" style="7" customWidth="1"/>
    <col min="4357" max="4357" width="8.140625" style="7" customWidth="1"/>
    <col min="4358" max="4358" width="7.85546875" style="7" customWidth="1"/>
    <col min="4359" max="4359" width="10.85546875" style="7" customWidth="1"/>
    <col min="4360" max="4360" width="5.140625" style="7" bestFit="1" customWidth="1"/>
    <col min="4361" max="4361" width="11.7109375" style="7" customWidth="1"/>
    <col min="4362" max="4362" width="3.42578125" style="7" customWidth="1"/>
    <col min="4363" max="4610" width="9.140625" style="7"/>
    <col min="4611" max="4611" width="11.42578125" style="7" customWidth="1"/>
    <col min="4612" max="4612" width="44" style="7" customWidth="1"/>
    <col min="4613" max="4613" width="8.140625" style="7" customWidth="1"/>
    <col min="4614" max="4614" width="7.85546875" style="7" customWidth="1"/>
    <col min="4615" max="4615" width="10.85546875" style="7" customWidth="1"/>
    <col min="4616" max="4616" width="5.140625" style="7" bestFit="1" customWidth="1"/>
    <col min="4617" max="4617" width="11.7109375" style="7" customWidth="1"/>
    <col min="4618" max="4618" width="3.42578125" style="7" customWidth="1"/>
    <col min="4619" max="4866" width="9.140625" style="7"/>
    <col min="4867" max="4867" width="11.42578125" style="7" customWidth="1"/>
    <col min="4868" max="4868" width="44" style="7" customWidth="1"/>
    <col min="4869" max="4869" width="8.140625" style="7" customWidth="1"/>
    <col min="4870" max="4870" width="7.85546875" style="7" customWidth="1"/>
    <col min="4871" max="4871" width="10.85546875" style="7" customWidth="1"/>
    <col min="4872" max="4872" width="5.140625" style="7" bestFit="1" customWidth="1"/>
    <col min="4873" max="4873" width="11.7109375" style="7" customWidth="1"/>
    <col min="4874" max="4874" width="3.42578125" style="7" customWidth="1"/>
    <col min="4875" max="5122" width="9.140625" style="7"/>
    <col min="5123" max="5123" width="11.42578125" style="7" customWidth="1"/>
    <col min="5124" max="5124" width="44" style="7" customWidth="1"/>
    <col min="5125" max="5125" width="8.140625" style="7" customWidth="1"/>
    <col min="5126" max="5126" width="7.85546875" style="7" customWidth="1"/>
    <col min="5127" max="5127" width="10.85546875" style="7" customWidth="1"/>
    <col min="5128" max="5128" width="5.140625" style="7" bestFit="1" customWidth="1"/>
    <col min="5129" max="5129" width="11.7109375" style="7" customWidth="1"/>
    <col min="5130" max="5130" width="3.42578125" style="7" customWidth="1"/>
    <col min="5131" max="5378" width="9.140625" style="7"/>
    <col min="5379" max="5379" width="11.42578125" style="7" customWidth="1"/>
    <col min="5380" max="5380" width="44" style="7" customWidth="1"/>
    <col min="5381" max="5381" width="8.140625" style="7" customWidth="1"/>
    <col min="5382" max="5382" width="7.85546875" style="7" customWidth="1"/>
    <col min="5383" max="5383" width="10.85546875" style="7" customWidth="1"/>
    <col min="5384" max="5384" width="5.140625" style="7" bestFit="1" customWidth="1"/>
    <col min="5385" max="5385" width="11.7109375" style="7" customWidth="1"/>
    <col min="5386" max="5386" width="3.42578125" style="7" customWidth="1"/>
    <col min="5387" max="5634" width="9.140625" style="7"/>
    <col min="5635" max="5635" width="11.42578125" style="7" customWidth="1"/>
    <col min="5636" max="5636" width="44" style="7" customWidth="1"/>
    <col min="5637" max="5637" width="8.140625" style="7" customWidth="1"/>
    <col min="5638" max="5638" width="7.85546875" style="7" customWidth="1"/>
    <col min="5639" max="5639" width="10.85546875" style="7" customWidth="1"/>
    <col min="5640" max="5640" width="5.140625" style="7" bestFit="1" customWidth="1"/>
    <col min="5641" max="5641" width="11.7109375" style="7" customWidth="1"/>
    <col min="5642" max="5642" width="3.42578125" style="7" customWidth="1"/>
    <col min="5643" max="5890" width="9.140625" style="7"/>
    <col min="5891" max="5891" width="11.42578125" style="7" customWidth="1"/>
    <col min="5892" max="5892" width="44" style="7" customWidth="1"/>
    <col min="5893" max="5893" width="8.140625" style="7" customWidth="1"/>
    <col min="5894" max="5894" width="7.85546875" style="7" customWidth="1"/>
    <col min="5895" max="5895" width="10.85546875" style="7" customWidth="1"/>
    <col min="5896" max="5896" width="5.140625" style="7" bestFit="1" customWidth="1"/>
    <col min="5897" max="5897" width="11.7109375" style="7" customWidth="1"/>
    <col min="5898" max="5898" width="3.42578125" style="7" customWidth="1"/>
    <col min="5899" max="6146" width="9.140625" style="7"/>
    <col min="6147" max="6147" width="11.42578125" style="7" customWidth="1"/>
    <col min="6148" max="6148" width="44" style="7" customWidth="1"/>
    <col min="6149" max="6149" width="8.140625" style="7" customWidth="1"/>
    <col min="6150" max="6150" width="7.85546875" style="7" customWidth="1"/>
    <col min="6151" max="6151" width="10.85546875" style="7" customWidth="1"/>
    <col min="6152" max="6152" width="5.140625" style="7" bestFit="1" customWidth="1"/>
    <col min="6153" max="6153" width="11.7109375" style="7" customWidth="1"/>
    <col min="6154" max="6154" width="3.42578125" style="7" customWidth="1"/>
    <col min="6155" max="6402" width="9.140625" style="7"/>
    <col min="6403" max="6403" width="11.42578125" style="7" customWidth="1"/>
    <col min="6404" max="6404" width="44" style="7" customWidth="1"/>
    <col min="6405" max="6405" width="8.140625" style="7" customWidth="1"/>
    <col min="6406" max="6406" width="7.85546875" style="7" customWidth="1"/>
    <col min="6407" max="6407" width="10.85546875" style="7" customWidth="1"/>
    <col min="6408" max="6408" width="5.140625" style="7" bestFit="1" customWidth="1"/>
    <col min="6409" max="6409" width="11.7109375" style="7" customWidth="1"/>
    <col min="6410" max="6410" width="3.42578125" style="7" customWidth="1"/>
    <col min="6411" max="6658" width="9.140625" style="7"/>
    <col min="6659" max="6659" width="11.42578125" style="7" customWidth="1"/>
    <col min="6660" max="6660" width="44" style="7" customWidth="1"/>
    <col min="6661" max="6661" width="8.140625" style="7" customWidth="1"/>
    <col min="6662" max="6662" width="7.85546875" style="7" customWidth="1"/>
    <col min="6663" max="6663" width="10.85546875" style="7" customWidth="1"/>
    <col min="6664" max="6664" width="5.140625" style="7" bestFit="1" customWidth="1"/>
    <col min="6665" max="6665" width="11.7109375" style="7" customWidth="1"/>
    <col min="6666" max="6666" width="3.42578125" style="7" customWidth="1"/>
    <col min="6667" max="6914" width="9.140625" style="7"/>
    <col min="6915" max="6915" width="11.42578125" style="7" customWidth="1"/>
    <col min="6916" max="6916" width="44" style="7" customWidth="1"/>
    <col min="6917" max="6917" width="8.140625" style="7" customWidth="1"/>
    <col min="6918" max="6918" width="7.85546875" style="7" customWidth="1"/>
    <col min="6919" max="6919" width="10.85546875" style="7" customWidth="1"/>
    <col min="6920" max="6920" width="5.140625" style="7" bestFit="1" customWidth="1"/>
    <col min="6921" max="6921" width="11.7109375" style="7" customWidth="1"/>
    <col min="6922" max="6922" width="3.42578125" style="7" customWidth="1"/>
    <col min="6923" max="7170" width="9.140625" style="7"/>
    <col min="7171" max="7171" width="11.42578125" style="7" customWidth="1"/>
    <col min="7172" max="7172" width="44" style="7" customWidth="1"/>
    <col min="7173" max="7173" width="8.140625" style="7" customWidth="1"/>
    <col min="7174" max="7174" width="7.85546875" style="7" customWidth="1"/>
    <col min="7175" max="7175" width="10.85546875" style="7" customWidth="1"/>
    <col min="7176" max="7176" width="5.140625" style="7" bestFit="1" customWidth="1"/>
    <col min="7177" max="7177" width="11.7109375" style="7" customWidth="1"/>
    <col min="7178" max="7178" width="3.42578125" style="7" customWidth="1"/>
    <col min="7179" max="7426" width="9.140625" style="7"/>
    <col min="7427" max="7427" width="11.42578125" style="7" customWidth="1"/>
    <col min="7428" max="7428" width="44" style="7" customWidth="1"/>
    <col min="7429" max="7429" width="8.140625" style="7" customWidth="1"/>
    <col min="7430" max="7430" width="7.85546875" style="7" customWidth="1"/>
    <col min="7431" max="7431" width="10.85546875" style="7" customWidth="1"/>
    <col min="7432" max="7432" width="5.140625" style="7" bestFit="1" customWidth="1"/>
    <col min="7433" max="7433" width="11.7109375" style="7" customWidth="1"/>
    <col min="7434" max="7434" width="3.42578125" style="7" customWidth="1"/>
    <col min="7435" max="7682" width="9.140625" style="7"/>
    <col min="7683" max="7683" width="11.42578125" style="7" customWidth="1"/>
    <col min="7684" max="7684" width="44" style="7" customWidth="1"/>
    <col min="7685" max="7685" width="8.140625" style="7" customWidth="1"/>
    <col min="7686" max="7686" width="7.85546875" style="7" customWidth="1"/>
    <col min="7687" max="7687" width="10.85546875" style="7" customWidth="1"/>
    <col min="7688" max="7688" width="5.140625" style="7" bestFit="1" customWidth="1"/>
    <col min="7689" max="7689" width="11.7109375" style="7" customWidth="1"/>
    <col min="7690" max="7690" width="3.42578125" style="7" customWidth="1"/>
    <col min="7691" max="7938" width="9.140625" style="7"/>
    <col min="7939" max="7939" width="11.42578125" style="7" customWidth="1"/>
    <col min="7940" max="7940" width="44" style="7" customWidth="1"/>
    <col min="7941" max="7941" width="8.140625" style="7" customWidth="1"/>
    <col min="7942" max="7942" width="7.85546875" style="7" customWidth="1"/>
    <col min="7943" max="7943" width="10.85546875" style="7" customWidth="1"/>
    <col min="7944" max="7944" width="5.140625" style="7" bestFit="1" customWidth="1"/>
    <col min="7945" max="7945" width="11.7109375" style="7" customWidth="1"/>
    <col min="7946" max="7946" width="3.42578125" style="7" customWidth="1"/>
    <col min="7947" max="8194" width="9.140625" style="7"/>
    <col min="8195" max="8195" width="11.42578125" style="7" customWidth="1"/>
    <col min="8196" max="8196" width="44" style="7" customWidth="1"/>
    <col min="8197" max="8197" width="8.140625" style="7" customWidth="1"/>
    <col min="8198" max="8198" width="7.85546875" style="7" customWidth="1"/>
    <col min="8199" max="8199" width="10.85546875" style="7" customWidth="1"/>
    <col min="8200" max="8200" width="5.140625" style="7" bestFit="1" customWidth="1"/>
    <col min="8201" max="8201" width="11.7109375" style="7" customWidth="1"/>
    <col min="8202" max="8202" width="3.42578125" style="7" customWidth="1"/>
    <col min="8203" max="8450" width="9.140625" style="7"/>
    <col min="8451" max="8451" width="11.42578125" style="7" customWidth="1"/>
    <col min="8452" max="8452" width="44" style="7" customWidth="1"/>
    <col min="8453" max="8453" width="8.140625" style="7" customWidth="1"/>
    <col min="8454" max="8454" width="7.85546875" style="7" customWidth="1"/>
    <col min="8455" max="8455" width="10.85546875" style="7" customWidth="1"/>
    <col min="8456" max="8456" width="5.140625" style="7" bestFit="1" customWidth="1"/>
    <col min="8457" max="8457" width="11.7109375" style="7" customWidth="1"/>
    <col min="8458" max="8458" width="3.42578125" style="7" customWidth="1"/>
    <col min="8459" max="8706" width="9.140625" style="7"/>
    <col min="8707" max="8707" width="11.42578125" style="7" customWidth="1"/>
    <col min="8708" max="8708" width="44" style="7" customWidth="1"/>
    <col min="8709" max="8709" width="8.140625" style="7" customWidth="1"/>
    <col min="8710" max="8710" width="7.85546875" style="7" customWidth="1"/>
    <col min="8711" max="8711" width="10.85546875" style="7" customWidth="1"/>
    <col min="8712" max="8712" width="5.140625" style="7" bestFit="1" customWidth="1"/>
    <col min="8713" max="8713" width="11.7109375" style="7" customWidth="1"/>
    <col min="8714" max="8714" width="3.42578125" style="7" customWidth="1"/>
    <col min="8715" max="8962" width="9.140625" style="7"/>
    <col min="8963" max="8963" width="11.42578125" style="7" customWidth="1"/>
    <col min="8964" max="8964" width="44" style="7" customWidth="1"/>
    <col min="8965" max="8965" width="8.140625" style="7" customWidth="1"/>
    <col min="8966" max="8966" width="7.85546875" style="7" customWidth="1"/>
    <col min="8967" max="8967" width="10.85546875" style="7" customWidth="1"/>
    <col min="8968" max="8968" width="5.140625" style="7" bestFit="1" customWidth="1"/>
    <col min="8969" max="8969" width="11.7109375" style="7" customWidth="1"/>
    <col min="8970" max="8970" width="3.42578125" style="7" customWidth="1"/>
    <col min="8971" max="9218" width="9.140625" style="7"/>
    <col min="9219" max="9219" width="11.42578125" style="7" customWidth="1"/>
    <col min="9220" max="9220" width="44" style="7" customWidth="1"/>
    <col min="9221" max="9221" width="8.140625" style="7" customWidth="1"/>
    <col min="9222" max="9222" width="7.85546875" style="7" customWidth="1"/>
    <col min="9223" max="9223" width="10.85546875" style="7" customWidth="1"/>
    <col min="9224" max="9224" width="5.140625" style="7" bestFit="1" customWidth="1"/>
    <col min="9225" max="9225" width="11.7109375" style="7" customWidth="1"/>
    <col min="9226" max="9226" width="3.42578125" style="7" customWidth="1"/>
    <col min="9227" max="9474" width="9.140625" style="7"/>
    <col min="9475" max="9475" width="11.42578125" style="7" customWidth="1"/>
    <col min="9476" max="9476" width="44" style="7" customWidth="1"/>
    <col min="9477" max="9477" width="8.140625" style="7" customWidth="1"/>
    <col min="9478" max="9478" width="7.85546875" style="7" customWidth="1"/>
    <col min="9479" max="9479" width="10.85546875" style="7" customWidth="1"/>
    <col min="9480" max="9480" width="5.140625" style="7" bestFit="1" customWidth="1"/>
    <col min="9481" max="9481" width="11.7109375" style="7" customWidth="1"/>
    <col min="9482" max="9482" width="3.42578125" style="7" customWidth="1"/>
    <col min="9483" max="9730" width="9.140625" style="7"/>
    <col min="9731" max="9731" width="11.42578125" style="7" customWidth="1"/>
    <col min="9732" max="9732" width="44" style="7" customWidth="1"/>
    <col min="9733" max="9733" width="8.140625" style="7" customWidth="1"/>
    <col min="9734" max="9734" width="7.85546875" style="7" customWidth="1"/>
    <col min="9735" max="9735" width="10.85546875" style="7" customWidth="1"/>
    <col min="9736" max="9736" width="5.140625" style="7" bestFit="1" customWidth="1"/>
    <col min="9737" max="9737" width="11.7109375" style="7" customWidth="1"/>
    <col min="9738" max="9738" width="3.42578125" style="7" customWidth="1"/>
    <col min="9739" max="9986" width="9.140625" style="7"/>
    <col min="9987" max="9987" width="11.42578125" style="7" customWidth="1"/>
    <col min="9988" max="9988" width="44" style="7" customWidth="1"/>
    <col min="9989" max="9989" width="8.140625" style="7" customWidth="1"/>
    <col min="9990" max="9990" width="7.85546875" style="7" customWidth="1"/>
    <col min="9991" max="9991" width="10.85546875" style="7" customWidth="1"/>
    <col min="9992" max="9992" width="5.140625" style="7" bestFit="1" customWidth="1"/>
    <col min="9993" max="9993" width="11.7109375" style="7" customWidth="1"/>
    <col min="9994" max="9994" width="3.42578125" style="7" customWidth="1"/>
    <col min="9995" max="10242" width="9.140625" style="7"/>
    <col min="10243" max="10243" width="11.42578125" style="7" customWidth="1"/>
    <col min="10244" max="10244" width="44" style="7" customWidth="1"/>
    <col min="10245" max="10245" width="8.140625" style="7" customWidth="1"/>
    <col min="10246" max="10246" width="7.85546875" style="7" customWidth="1"/>
    <col min="10247" max="10247" width="10.85546875" style="7" customWidth="1"/>
    <col min="10248" max="10248" width="5.140625" style="7" bestFit="1" customWidth="1"/>
    <col min="10249" max="10249" width="11.7109375" style="7" customWidth="1"/>
    <col min="10250" max="10250" width="3.42578125" style="7" customWidth="1"/>
    <col min="10251" max="10498" width="9.140625" style="7"/>
    <col min="10499" max="10499" width="11.42578125" style="7" customWidth="1"/>
    <col min="10500" max="10500" width="44" style="7" customWidth="1"/>
    <col min="10501" max="10501" width="8.140625" style="7" customWidth="1"/>
    <col min="10502" max="10502" width="7.85546875" style="7" customWidth="1"/>
    <col min="10503" max="10503" width="10.85546875" style="7" customWidth="1"/>
    <col min="10504" max="10504" width="5.140625" style="7" bestFit="1" customWidth="1"/>
    <col min="10505" max="10505" width="11.7109375" style="7" customWidth="1"/>
    <col min="10506" max="10506" width="3.42578125" style="7" customWidth="1"/>
    <col min="10507" max="10754" width="9.140625" style="7"/>
    <col min="10755" max="10755" width="11.42578125" style="7" customWidth="1"/>
    <col min="10756" max="10756" width="44" style="7" customWidth="1"/>
    <col min="10757" max="10757" width="8.140625" style="7" customWidth="1"/>
    <col min="10758" max="10758" width="7.85546875" style="7" customWidth="1"/>
    <col min="10759" max="10759" width="10.85546875" style="7" customWidth="1"/>
    <col min="10760" max="10760" width="5.140625" style="7" bestFit="1" customWidth="1"/>
    <col min="10761" max="10761" width="11.7109375" style="7" customWidth="1"/>
    <col min="10762" max="10762" width="3.42578125" style="7" customWidth="1"/>
    <col min="10763" max="11010" width="9.140625" style="7"/>
    <col min="11011" max="11011" width="11.42578125" style="7" customWidth="1"/>
    <col min="11012" max="11012" width="44" style="7" customWidth="1"/>
    <col min="11013" max="11013" width="8.140625" style="7" customWidth="1"/>
    <col min="11014" max="11014" width="7.85546875" style="7" customWidth="1"/>
    <col min="11015" max="11015" width="10.85546875" style="7" customWidth="1"/>
    <col min="11016" max="11016" width="5.140625" style="7" bestFit="1" customWidth="1"/>
    <col min="11017" max="11017" width="11.7109375" style="7" customWidth="1"/>
    <col min="11018" max="11018" width="3.42578125" style="7" customWidth="1"/>
    <col min="11019" max="11266" width="9.140625" style="7"/>
    <col min="11267" max="11267" width="11.42578125" style="7" customWidth="1"/>
    <col min="11268" max="11268" width="44" style="7" customWidth="1"/>
    <col min="11269" max="11269" width="8.140625" style="7" customWidth="1"/>
    <col min="11270" max="11270" width="7.85546875" style="7" customWidth="1"/>
    <col min="11271" max="11271" width="10.85546875" style="7" customWidth="1"/>
    <col min="11272" max="11272" width="5.140625" style="7" bestFit="1" customWidth="1"/>
    <col min="11273" max="11273" width="11.7109375" style="7" customWidth="1"/>
    <col min="11274" max="11274" width="3.42578125" style="7" customWidth="1"/>
    <col min="11275" max="11522" width="9.140625" style="7"/>
    <col min="11523" max="11523" width="11.42578125" style="7" customWidth="1"/>
    <col min="11524" max="11524" width="44" style="7" customWidth="1"/>
    <col min="11525" max="11525" width="8.140625" style="7" customWidth="1"/>
    <col min="11526" max="11526" width="7.85546875" style="7" customWidth="1"/>
    <col min="11527" max="11527" width="10.85546875" style="7" customWidth="1"/>
    <col min="11528" max="11528" width="5.140625" style="7" bestFit="1" customWidth="1"/>
    <col min="11529" max="11529" width="11.7109375" style="7" customWidth="1"/>
    <col min="11530" max="11530" width="3.42578125" style="7" customWidth="1"/>
    <col min="11531" max="11778" width="9.140625" style="7"/>
    <col min="11779" max="11779" width="11.42578125" style="7" customWidth="1"/>
    <col min="11780" max="11780" width="44" style="7" customWidth="1"/>
    <col min="11781" max="11781" width="8.140625" style="7" customWidth="1"/>
    <col min="11782" max="11782" width="7.85546875" style="7" customWidth="1"/>
    <col min="11783" max="11783" width="10.85546875" style="7" customWidth="1"/>
    <col min="11784" max="11784" width="5.140625" style="7" bestFit="1" customWidth="1"/>
    <col min="11785" max="11785" width="11.7109375" style="7" customWidth="1"/>
    <col min="11786" max="11786" width="3.42578125" style="7" customWidth="1"/>
    <col min="11787" max="12034" width="9.140625" style="7"/>
    <col min="12035" max="12035" width="11.42578125" style="7" customWidth="1"/>
    <col min="12036" max="12036" width="44" style="7" customWidth="1"/>
    <col min="12037" max="12037" width="8.140625" style="7" customWidth="1"/>
    <col min="12038" max="12038" width="7.85546875" style="7" customWidth="1"/>
    <col min="12039" max="12039" width="10.85546875" style="7" customWidth="1"/>
    <col min="12040" max="12040" width="5.140625" style="7" bestFit="1" customWidth="1"/>
    <col min="12041" max="12041" width="11.7109375" style="7" customWidth="1"/>
    <col min="12042" max="12042" width="3.42578125" style="7" customWidth="1"/>
    <col min="12043" max="12290" width="9.140625" style="7"/>
    <col min="12291" max="12291" width="11.42578125" style="7" customWidth="1"/>
    <col min="12292" max="12292" width="44" style="7" customWidth="1"/>
    <col min="12293" max="12293" width="8.140625" style="7" customWidth="1"/>
    <col min="12294" max="12294" width="7.85546875" style="7" customWidth="1"/>
    <col min="12295" max="12295" width="10.85546875" style="7" customWidth="1"/>
    <col min="12296" max="12296" width="5.140625" style="7" bestFit="1" customWidth="1"/>
    <col min="12297" max="12297" width="11.7109375" style="7" customWidth="1"/>
    <col min="12298" max="12298" width="3.42578125" style="7" customWidth="1"/>
    <col min="12299" max="12546" width="9.140625" style="7"/>
    <col min="12547" max="12547" width="11.42578125" style="7" customWidth="1"/>
    <col min="12548" max="12548" width="44" style="7" customWidth="1"/>
    <col min="12549" max="12549" width="8.140625" style="7" customWidth="1"/>
    <col min="12550" max="12550" width="7.85546875" style="7" customWidth="1"/>
    <col min="12551" max="12551" width="10.85546875" style="7" customWidth="1"/>
    <col min="12552" max="12552" width="5.140625" style="7" bestFit="1" customWidth="1"/>
    <col min="12553" max="12553" width="11.7109375" style="7" customWidth="1"/>
    <col min="12554" max="12554" width="3.42578125" style="7" customWidth="1"/>
    <col min="12555" max="12802" width="9.140625" style="7"/>
    <col min="12803" max="12803" width="11.42578125" style="7" customWidth="1"/>
    <col min="12804" max="12804" width="44" style="7" customWidth="1"/>
    <col min="12805" max="12805" width="8.140625" style="7" customWidth="1"/>
    <col min="12806" max="12806" width="7.85546875" style="7" customWidth="1"/>
    <col min="12807" max="12807" width="10.85546875" style="7" customWidth="1"/>
    <col min="12808" max="12808" width="5.140625" style="7" bestFit="1" customWidth="1"/>
    <col min="12809" max="12809" width="11.7109375" style="7" customWidth="1"/>
    <col min="12810" max="12810" width="3.42578125" style="7" customWidth="1"/>
    <col min="12811" max="13058" width="9.140625" style="7"/>
    <col min="13059" max="13059" width="11.42578125" style="7" customWidth="1"/>
    <col min="13060" max="13060" width="44" style="7" customWidth="1"/>
    <col min="13061" max="13061" width="8.140625" style="7" customWidth="1"/>
    <col min="13062" max="13062" width="7.85546875" style="7" customWidth="1"/>
    <col min="13063" max="13063" width="10.85546875" style="7" customWidth="1"/>
    <col min="13064" max="13064" width="5.140625" style="7" bestFit="1" customWidth="1"/>
    <col min="13065" max="13065" width="11.7109375" style="7" customWidth="1"/>
    <col min="13066" max="13066" width="3.42578125" style="7" customWidth="1"/>
    <col min="13067" max="13314" width="9.140625" style="7"/>
    <col min="13315" max="13315" width="11.42578125" style="7" customWidth="1"/>
    <col min="13316" max="13316" width="44" style="7" customWidth="1"/>
    <col min="13317" max="13317" width="8.140625" style="7" customWidth="1"/>
    <col min="13318" max="13318" width="7.85546875" style="7" customWidth="1"/>
    <col min="13319" max="13319" width="10.85546875" style="7" customWidth="1"/>
    <col min="13320" max="13320" width="5.140625" style="7" bestFit="1" customWidth="1"/>
    <col min="13321" max="13321" width="11.7109375" style="7" customWidth="1"/>
    <col min="13322" max="13322" width="3.42578125" style="7" customWidth="1"/>
    <col min="13323" max="13570" width="9.140625" style="7"/>
    <col min="13571" max="13571" width="11.42578125" style="7" customWidth="1"/>
    <col min="13572" max="13572" width="44" style="7" customWidth="1"/>
    <col min="13573" max="13573" width="8.140625" style="7" customWidth="1"/>
    <col min="13574" max="13574" width="7.85546875" style="7" customWidth="1"/>
    <col min="13575" max="13575" width="10.85546875" style="7" customWidth="1"/>
    <col min="13576" max="13576" width="5.140625" style="7" bestFit="1" customWidth="1"/>
    <col min="13577" max="13577" width="11.7109375" style="7" customWidth="1"/>
    <col min="13578" max="13578" width="3.42578125" style="7" customWidth="1"/>
    <col min="13579" max="13826" width="9.140625" style="7"/>
    <col min="13827" max="13827" width="11.42578125" style="7" customWidth="1"/>
    <col min="13828" max="13828" width="44" style="7" customWidth="1"/>
    <col min="13829" max="13829" width="8.140625" style="7" customWidth="1"/>
    <col min="13830" max="13830" width="7.85546875" style="7" customWidth="1"/>
    <col min="13831" max="13831" width="10.85546875" style="7" customWidth="1"/>
    <col min="13832" max="13832" width="5.140625" style="7" bestFit="1" customWidth="1"/>
    <col min="13833" max="13833" width="11.7109375" style="7" customWidth="1"/>
    <col min="13834" max="13834" width="3.42578125" style="7" customWidth="1"/>
    <col min="13835" max="14082" width="9.140625" style="7"/>
    <col min="14083" max="14083" width="11.42578125" style="7" customWidth="1"/>
    <col min="14084" max="14084" width="44" style="7" customWidth="1"/>
    <col min="14085" max="14085" width="8.140625" style="7" customWidth="1"/>
    <col min="14086" max="14086" width="7.85546875" style="7" customWidth="1"/>
    <col min="14087" max="14087" width="10.85546875" style="7" customWidth="1"/>
    <col min="14088" max="14088" width="5.140625" style="7" bestFit="1" customWidth="1"/>
    <col min="14089" max="14089" width="11.7109375" style="7" customWidth="1"/>
    <col min="14090" max="14090" width="3.42578125" style="7" customWidth="1"/>
    <col min="14091" max="14338" width="9.140625" style="7"/>
    <col min="14339" max="14339" width="11.42578125" style="7" customWidth="1"/>
    <col min="14340" max="14340" width="44" style="7" customWidth="1"/>
    <col min="14341" max="14341" width="8.140625" style="7" customWidth="1"/>
    <col min="14342" max="14342" width="7.85546875" style="7" customWidth="1"/>
    <col min="14343" max="14343" width="10.85546875" style="7" customWidth="1"/>
    <col min="14344" max="14344" width="5.140625" style="7" bestFit="1" customWidth="1"/>
    <col min="14345" max="14345" width="11.7109375" style="7" customWidth="1"/>
    <col min="14346" max="14346" width="3.42578125" style="7" customWidth="1"/>
    <col min="14347" max="14594" width="9.140625" style="7"/>
    <col min="14595" max="14595" width="11.42578125" style="7" customWidth="1"/>
    <col min="14596" max="14596" width="44" style="7" customWidth="1"/>
    <col min="14597" max="14597" width="8.140625" style="7" customWidth="1"/>
    <col min="14598" max="14598" width="7.85546875" style="7" customWidth="1"/>
    <col min="14599" max="14599" width="10.85546875" style="7" customWidth="1"/>
    <col min="14600" max="14600" width="5.140625" style="7" bestFit="1" customWidth="1"/>
    <col min="14601" max="14601" width="11.7109375" style="7" customWidth="1"/>
    <col min="14602" max="14602" width="3.42578125" style="7" customWidth="1"/>
    <col min="14603" max="14850" width="9.140625" style="7"/>
    <col min="14851" max="14851" width="11.42578125" style="7" customWidth="1"/>
    <col min="14852" max="14852" width="44" style="7" customWidth="1"/>
    <col min="14853" max="14853" width="8.140625" style="7" customWidth="1"/>
    <col min="14854" max="14854" width="7.85546875" style="7" customWidth="1"/>
    <col min="14855" max="14855" width="10.85546875" style="7" customWidth="1"/>
    <col min="14856" max="14856" width="5.140625" style="7" bestFit="1" customWidth="1"/>
    <col min="14857" max="14857" width="11.7109375" style="7" customWidth="1"/>
    <col min="14858" max="14858" width="3.42578125" style="7" customWidth="1"/>
    <col min="14859" max="15106" width="9.140625" style="7"/>
    <col min="15107" max="15107" width="11.42578125" style="7" customWidth="1"/>
    <col min="15108" max="15108" width="44" style="7" customWidth="1"/>
    <col min="15109" max="15109" width="8.140625" style="7" customWidth="1"/>
    <col min="15110" max="15110" width="7.85546875" style="7" customWidth="1"/>
    <col min="15111" max="15111" width="10.85546875" style="7" customWidth="1"/>
    <col min="15112" max="15112" width="5.140625" style="7" bestFit="1" customWidth="1"/>
    <col min="15113" max="15113" width="11.7109375" style="7" customWidth="1"/>
    <col min="15114" max="15114" width="3.42578125" style="7" customWidth="1"/>
    <col min="15115" max="15362" width="9.140625" style="7"/>
    <col min="15363" max="15363" width="11.42578125" style="7" customWidth="1"/>
    <col min="15364" max="15364" width="44" style="7" customWidth="1"/>
    <col min="15365" max="15365" width="8.140625" style="7" customWidth="1"/>
    <col min="15366" max="15366" width="7.85546875" style="7" customWidth="1"/>
    <col min="15367" max="15367" width="10.85546875" style="7" customWidth="1"/>
    <col min="15368" max="15368" width="5.140625" style="7" bestFit="1" customWidth="1"/>
    <col min="15369" max="15369" width="11.7109375" style="7" customWidth="1"/>
    <col min="15370" max="15370" width="3.42578125" style="7" customWidth="1"/>
    <col min="15371" max="15618" width="9.140625" style="7"/>
    <col min="15619" max="15619" width="11.42578125" style="7" customWidth="1"/>
    <col min="15620" max="15620" width="44" style="7" customWidth="1"/>
    <col min="15621" max="15621" width="8.140625" style="7" customWidth="1"/>
    <col min="15622" max="15622" width="7.85546875" style="7" customWidth="1"/>
    <col min="15623" max="15623" width="10.85546875" style="7" customWidth="1"/>
    <col min="15624" max="15624" width="5.140625" style="7" bestFit="1" customWidth="1"/>
    <col min="15625" max="15625" width="11.7109375" style="7" customWidth="1"/>
    <col min="15626" max="15626" width="3.42578125" style="7" customWidth="1"/>
    <col min="15627" max="15874" width="9.140625" style="7"/>
    <col min="15875" max="15875" width="11.42578125" style="7" customWidth="1"/>
    <col min="15876" max="15876" width="44" style="7" customWidth="1"/>
    <col min="15877" max="15877" width="8.140625" style="7" customWidth="1"/>
    <col min="15878" max="15878" width="7.85546875" style="7" customWidth="1"/>
    <col min="15879" max="15879" width="10.85546875" style="7" customWidth="1"/>
    <col min="15880" max="15880" width="5.140625" style="7" bestFit="1" customWidth="1"/>
    <col min="15881" max="15881" width="11.7109375" style="7" customWidth="1"/>
    <col min="15882" max="15882" width="3.42578125" style="7" customWidth="1"/>
    <col min="15883" max="16130" width="9.140625" style="7"/>
    <col min="16131" max="16131" width="11.42578125" style="7" customWidth="1"/>
    <col min="16132" max="16132" width="44" style="7" customWidth="1"/>
    <col min="16133" max="16133" width="8.140625" style="7" customWidth="1"/>
    <col min="16134" max="16134" width="7.85546875" style="7" customWidth="1"/>
    <col min="16135" max="16135" width="10.85546875" style="7" customWidth="1"/>
    <col min="16136" max="16136" width="5.140625" style="7" bestFit="1" customWidth="1"/>
    <col min="16137" max="16137" width="11.7109375" style="7" customWidth="1"/>
    <col min="16138" max="16138" width="3.42578125" style="7" customWidth="1"/>
    <col min="16139" max="16384" width="9.140625" style="7"/>
  </cols>
  <sheetData>
    <row r="1" spans="1:11">
      <c r="A1" s="14"/>
      <c r="B1" s="14"/>
      <c r="C1" s="14"/>
      <c r="D1" s="14"/>
      <c r="E1" s="14"/>
      <c r="F1" s="14"/>
      <c r="G1" s="14"/>
      <c r="H1" s="14"/>
      <c r="I1" s="14"/>
    </row>
    <row r="2" spans="1:11" ht="15.75">
      <c r="A2" s="575" t="s">
        <v>118</v>
      </c>
      <c r="B2" s="575"/>
      <c r="C2" s="575"/>
      <c r="D2" s="575"/>
      <c r="E2" s="575"/>
      <c r="F2" s="575"/>
      <c r="G2" s="575"/>
      <c r="H2" s="575"/>
      <c r="I2" s="575"/>
    </row>
    <row r="3" spans="1:11" ht="8.25" customHeight="1">
      <c r="A3" s="8"/>
      <c r="B3" s="8"/>
      <c r="C3" s="31"/>
      <c r="D3" s="8"/>
      <c r="E3" s="31"/>
      <c r="F3" s="31"/>
      <c r="G3" s="8"/>
      <c r="H3" s="8"/>
      <c r="I3" s="8"/>
    </row>
    <row r="4" spans="1:11">
      <c r="D4" s="10" t="s">
        <v>77</v>
      </c>
      <c r="E4" s="10"/>
      <c r="F4" s="10"/>
    </row>
    <row r="5" spans="1:11" s="22" customFormat="1" ht="28.5" customHeight="1">
      <c r="A5" s="565" t="s">
        <v>76</v>
      </c>
      <c r="B5" s="565" t="s">
        <v>75</v>
      </c>
      <c r="C5" s="570" t="s">
        <v>21</v>
      </c>
      <c r="D5" s="565" t="s">
        <v>154</v>
      </c>
      <c r="E5" s="564" t="s">
        <v>189</v>
      </c>
      <c r="F5" s="564"/>
      <c r="G5" s="564"/>
      <c r="H5" s="564"/>
      <c r="I5" s="565" t="s">
        <v>22</v>
      </c>
    </row>
    <row r="6" spans="1:11" s="23" customFormat="1" ht="60">
      <c r="A6" s="565"/>
      <c r="B6" s="565"/>
      <c r="C6" s="571"/>
      <c r="D6" s="565"/>
      <c r="E6" s="46" t="s">
        <v>64</v>
      </c>
      <c r="F6" s="304" t="s">
        <v>307</v>
      </c>
      <c r="G6" s="46" t="s">
        <v>190</v>
      </c>
      <c r="H6" s="46" t="s">
        <v>65</v>
      </c>
      <c r="I6" s="565"/>
    </row>
    <row r="7" spans="1:11" s="12" customFormat="1" ht="60">
      <c r="A7" s="91" t="s">
        <v>97</v>
      </c>
      <c r="B7" s="100" t="s">
        <v>116</v>
      </c>
      <c r="C7" s="100" t="s">
        <v>147</v>
      </c>
      <c r="D7" s="97">
        <f>R_SMM!$D$9</f>
        <v>1111</v>
      </c>
      <c r="E7" s="93">
        <f>II_SMM!$E$14</f>
        <v>625</v>
      </c>
      <c r="F7" s="97">
        <v>0</v>
      </c>
      <c r="G7" s="93">
        <f>SUM(E7:F7)</f>
        <v>625</v>
      </c>
      <c r="H7" s="94">
        <v>100</v>
      </c>
      <c r="I7" s="103">
        <f>ROUND((D7*G7)/H7,0)</f>
        <v>6944</v>
      </c>
    </row>
    <row r="8" spans="1:11" s="12" customFormat="1" ht="45">
      <c r="A8" s="91" t="s">
        <v>144</v>
      </c>
      <c r="B8" s="92" t="s">
        <v>122</v>
      </c>
      <c r="C8" s="100" t="s">
        <v>147</v>
      </c>
      <c r="D8" s="97">
        <f>R_SMM!$D$9</f>
        <v>1111</v>
      </c>
      <c r="E8" s="93">
        <f>II_SMM!$E$15</f>
        <v>118.35</v>
      </c>
      <c r="F8" s="97">
        <v>0</v>
      </c>
      <c r="G8" s="93">
        <f t="shared" ref="G8:G9" si="0">SUM(E8:F8)</f>
        <v>118.35</v>
      </c>
      <c r="H8" s="94">
        <v>100</v>
      </c>
      <c r="I8" s="103">
        <f t="shared" ref="I8:I9" si="1">ROUND((D8*G8)/H8,0)</f>
        <v>1315</v>
      </c>
    </row>
    <row r="9" spans="1:11" s="6" customFormat="1" ht="51" customHeight="1">
      <c r="A9" s="104" t="s">
        <v>106</v>
      </c>
      <c r="B9" s="105" t="s">
        <v>107</v>
      </c>
      <c r="C9" s="105" t="s">
        <v>66</v>
      </c>
      <c r="D9" s="99">
        <v>100</v>
      </c>
      <c r="E9" s="110">
        <f>579.3*0.6</f>
        <v>347.58</v>
      </c>
      <c r="F9" s="97">
        <v>0</v>
      </c>
      <c r="G9" s="93">
        <f t="shared" si="0"/>
        <v>347.58</v>
      </c>
      <c r="H9" s="106">
        <v>100</v>
      </c>
      <c r="I9" s="103">
        <f t="shared" si="1"/>
        <v>348</v>
      </c>
    </row>
    <row r="10" spans="1:11" s="12" customFormat="1" ht="210">
      <c r="A10" s="317" t="s">
        <v>305</v>
      </c>
      <c r="B10" s="216" t="s">
        <v>306</v>
      </c>
      <c r="C10" s="305" t="s">
        <v>79</v>
      </c>
      <c r="D10" s="305">
        <v>1</v>
      </c>
      <c r="E10" s="313">
        <v>8757</v>
      </c>
      <c r="F10" s="314">
        <v>0</v>
      </c>
      <c r="G10" s="315">
        <f t="shared" ref="G10" si="2">E10+F10</f>
        <v>8757</v>
      </c>
      <c r="H10" s="316">
        <v>1</v>
      </c>
      <c r="I10" s="311"/>
    </row>
    <row r="11" spans="1:11" s="12" customFormat="1" ht="15">
      <c r="A11" s="98"/>
      <c r="B11" s="50" t="s">
        <v>68</v>
      </c>
      <c r="C11" s="51"/>
      <c r="D11" s="51"/>
      <c r="E11" s="51"/>
      <c r="F11" s="51"/>
      <c r="G11" s="51"/>
      <c r="H11" s="51"/>
      <c r="I11" s="52">
        <f>SUM(I7:I10)</f>
        <v>8607</v>
      </c>
      <c r="K11" s="15">
        <f>I11/100000</f>
        <v>8.6069999999999994E-2</v>
      </c>
    </row>
    <row r="12" spans="1:11" ht="15.75">
      <c r="A12" s="16"/>
      <c r="B12" s="250" t="s">
        <v>181</v>
      </c>
      <c r="C12" s="17"/>
      <c r="D12" s="18"/>
      <c r="E12" s="18"/>
      <c r="F12" s="18"/>
      <c r="G12" s="18"/>
      <c r="H12" s="18"/>
      <c r="I12" s="19"/>
    </row>
    <row r="14" spans="1:11">
      <c r="G14" s="8"/>
    </row>
    <row r="15" spans="1:11" ht="15.75">
      <c r="G15" s="292" t="s">
        <v>126</v>
      </c>
    </row>
    <row r="16" spans="1:11" ht="15.75">
      <c r="G16" s="292"/>
    </row>
  </sheetData>
  <mergeCells count="7">
    <mergeCell ref="A2:I2"/>
    <mergeCell ref="A5:A6"/>
    <mergeCell ref="B5:B6"/>
    <mergeCell ref="D5:D6"/>
    <mergeCell ref="E5:H5"/>
    <mergeCell ref="I5:I6"/>
    <mergeCell ref="C5:C6"/>
  </mergeCells>
  <printOptions horizontalCentered="1"/>
  <pageMargins left="0.2" right="0.17" top="0.6" bottom="0.6" header="0.41" footer="0.25"/>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view="pageBreakPreview" zoomScale="85" zoomScaleNormal="115" zoomScaleSheetLayoutView="85" workbookViewId="0">
      <pane xSplit="1" ySplit="3" topLeftCell="B4" activePane="bottomRight" state="frozen"/>
      <selection pane="topRight" activeCell="C1" sqref="C1"/>
      <selection pane="bottomLeft" activeCell="A5" sqref="A5"/>
      <selection pane="bottomRight" activeCell="D8" sqref="D8"/>
    </sheetView>
  </sheetViews>
  <sheetFormatPr defaultRowHeight="15"/>
  <cols>
    <col min="1" max="1" width="12.28515625" style="346" customWidth="1"/>
    <col min="2" max="2" width="54.42578125" style="346" customWidth="1"/>
    <col min="3" max="3" width="9.42578125" style="346" customWidth="1"/>
    <col min="4" max="4" width="12.42578125" style="346" customWidth="1"/>
    <col min="5" max="5" width="9.7109375" style="346" customWidth="1"/>
    <col min="6" max="6" width="11.85546875" style="346" customWidth="1"/>
    <col min="7" max="256" width="9.140625" style="346"/>
    <col min="257" max="257" width="12.28515625" style="346" customWidth="1"/>
    <col min="258" max="258" width="54.42578125" style="346" customWidth="1"/>
    <col min="259" max="259" width="12" style="346" customWidth="1"/>
    <col min="260" max="260" width="12.42578125" style="346" customWidth="1"/>
    <col min="261" max="261" width="11" style="346" customWidth="1"/>
    <col min="262" max="262" width="11.85546875" style="346" customWidth="1"/>
    <col min="263" max="512" width="9.140625" style="346"/>
    <col min="513" max="513" width="12.28515625" style="346" customWidth="1"/>
    <col min="514" max="514" width="54.42578125" style="346" customWidth="1"/>
    <col min="515" max="515" width="12" style="346" customWidth="1"/>
    <col min="516" max="516" width="12.42578125" style="346" customWidth="1"/>
    <col min="517" max="517" width="11" style="346" customWidth="1"/>
    <col min="518" max="518" width="11.85546875" style="346" customWidth="1"/>
    <col min="519" max="768" width="9.140625" style="346"/>
    <col min="769" max="769" width="12.28515625" style="346" customWidth="1"/>
    <col min="770" max="770" width="54.42578125" style="346" customWidth="1"/>
    <col min="771" max="771" width="12" style="346" customWidth="1"/>
    <col min="772" max="772" width="12.42578125" style="346" customWidth="1"/>
    <col min="773" max="773" width="11" style="346" customWidth="1"/>
    <col min="774" max="774" width="11.85546875" style="346" customWidth="1"/>
    <col min="775" max="1024" width="9.140625" style="346"/>
    <col min="1025" max="1025" width="12.28515625" style="346" customWidth="1"/>
    <col min="1026" max="1026" width="54.42578125" style="346" customWidth="1"/>
    <col min="1027" max="1027" width="12" style="346" customWidth="1"/>
    <col min="1028" max="1028" width="12.42578125" style="346" customWidth="1"/>
    <col min="1029" max="1029" width="11" style="346" customWidth="1"/>
    <col min="1030" max="1030" width="11.85546875" style="346" customWidth="1"/>
    <col min="1031" max="1280" width="9.140625" style="346"/>
    <col min="1281" max="1281" width="12.28515625" style="346" customWidth="1"/>
    <col min="1282" max="1282" width="54.42578125" style="346" customWidth="1"/>
    <col min="1283" max="1283" width="12" style="346" customWidth="1"/>
    <col min="1284" max="1284" width="12.42578125" style="346" customWidth="1"/>
    <col min="1285" max="1285" width="11" style="346" customWidth="1"/>
    <col min="1286" max="1286" width="11.85546875" style="346" customWidth="1"/>
    <col min="1287" max="1536" width="9.140625" style="346"/>
    <col min="1537" max="1537" width="12.28515625" style="346" customWidth="1"/>
    <col min="1538" max="1538" width="54.42578125" style="346" customWidth="1"/>
    <col min="1539" max="1539" width="12" style="346" customWidth="1"/>
    <col min="1540" max="1540" width="12.42578125" style="346" customWidth="1"/>
    <col min="1541" max="1541" width="11" style="346" customWidth="1"/>
    <col min="1542" max="1542" width="11.85546875" style="346" customWidth="1"/>
    <col min="1543" max="1792" width="9.140625" style="346"/>
    <col min="1793" max="1793" width="12.28515625" style="346" customWidth="1"/>
    <col min="1794" max="1794" width="54.42578125" style="346" customWidth="1"/>
    <col min="1795" max="1795" width="12" style="346" customWidth="1"/>
    <col min="1796" max="1796" width="12.42578125" style="346" customWidth="1"/>
    <col min="1797" max="1797" width="11" style="346" customWidth="1"/>
    <col min="1798" max="1798" width="11.85546875" style="346" customWidth="1"/>
    <col min="1799" max="2048" width="9.140625" style="346"/>
    <col min="2049" max="2049" width="12.28515625" style="346" customWidth="1"/>
    <col min="2050" max="2050" width="54.42578125" style="346" customWidth="1"/>
    <col min="2051" max="2051" width="12" style="346" customWidth="1"/>
    <col min="2052" max="2052" width="12.42578125" style="346" customWidth="1"/>
    <col min="2053" max="2053" width="11" style="346" customWidth="1"/>
    <col min="2054" max="2054" width="11.85546875" style="346" customWidth="1"/>
    <col min="2055" max="2304" width="9.140625" style="346"/>
    <col min="2305" max="2305" width="12.28515625" style="346" customWidth="1"/>
    <col min="2306" max="2306" width="54.42578125" style="346" customWidth="1"/>
    <col min="2307" max="2307" width="12" style="346" customWidth="1"/>
    <col min="2308" max="2308" width="12.42578125" style="346" customWidth="1"/>
    <col min="2309" max="2309" width="11" style="346" customWidth="1"/>
    <col min="2310" max="2310" width="11.85546875" style="346" customWidth="1"/>
    <col min="2311" max="2560" width="9.140625" style="346"/>
    <col min="2561" max="2561" width="12.28515625" style="346" customWidth="1"/>
    <col min="2562" max="2562" width="54.42578125" style="346" customWidth="1"/>
    <col min="2563" max="2563" width="12" style="346" customWidth="1"/>
    <col min="2564" max="2564" width="12.42578125" style="346" customWidth="1"/>
    <col min="2565" max="2565" width="11" style="346" customWidth="1"/>
    <col min="2566" max="2566" width="11.85546875" style="346" customWidth="1"/>
    <col min="2567" max="2816" width="9.140625" style="346"/>
    <col min="2817" max="2817" width="12.28515625" style="346" customWidth="1"/>
    <col min="2818" max="2818" width="54.42578125" style="346" customWidth="1"/>
    <col min="2819" max="2819" width="12" style="346" customWidth="1"/>
    <col min="2820" max="2820" width="12.42578125" style="346" customWidth="1"/>
    <col min="2821" max="2821" width="11" style="346" customWidth="1"/>
    <col min="2822" max="2822" width="11.85546875" style="346" customWidth="1"/>
    <col min="2823" max="3072" width="9.140625" style="346"/>
    <col min="3073" max="3073" width="12.28515625" style="346" customWidth="1"/>
    <col min="3074" max="3074" width="54.42578125" style="346" customWidth="1"/>
    <col min="3075" max="3075" width="12" style="346" customWidth="1"/>
    <col min="3076" max="3076" width="12.42578125" style="346" customWidth="1"/>
    <col min="3077" max="3077" width="11" style="346" customWidth="1"/>
    <col min="3078" max="3078" width="11.85546875" style="346" customWidth="1"/>
    <col min="3079" max="3328" width="9.140625" style="346"/>
    <col min="3329" max="3329" width="12.28515625" style="346" customWidth="1"/>
    <col min="3330" max="3330" width="54.42578125" style="346" customWidth="1"/>
    <col min="3331" max="3331" width="12" style="346" customWidth="1"/>
    <col min="3332" max="3332" width="12.42578125" style="346" customWidth="1"/>
    <col min="3333" max="3333" width="11" style="346" customWidth="1"/>
    <col min="3334" max="3334" width="11.85546875" style="346" customWidth="1"/>
    <col min="3335" max="3584" width="9.140625" style="346"/>
    <col min="3585" max="3585" width="12.28515625" style="346" customWidth="1"/>
    <col min="3586" max="3586" width="54.42578125" style="346" customWidth="1"/>
    <col min="3587" max="3587" width="12" style="346" customWidth="1"/>
    <col min="3588" max="3588" width="12.42578125" style="346" customWidth="1"/>
    <col min="3589" max="3589" width="11" style="346" customWidth="1"/>
    <col min="3590" max="3590" width="11.85546875" style="346" customWidth="1"/>
    <col min="3591" max="3840" width="9.140625" style="346"/>
    <col min="3841" max="3841" width="12.28515625" style="346" customWidth="1"/>
    <col min="3842" max="3842" width="54.42578125" style="346" customWidth="1"/>
    <col min="3843" max="3843" width="12" style="346" customWidth="1"/>
    <col min="3844" max="3844" width="12.42578125" style="346" customWidth="1"/>
    <col min="3845" max="3845" width="11" style="346" customWidth="1"/>
    <col min="3846" max="3846" width="11.85546875" style="346" customWidth="1"/>
    <col min="3847" max="4096" width="9.140625" style="346"/>
    <col min="4097" max="4097" width="12.28515625" style="346" customWidth="1"/>
    <col min="4098" max="4098" width="54.42578125" style="346" customWidth="1"/>
    <col min="4099" max="4099" width="12" style="346" customWidth="1"/>
    <col min="4100" max="4100" width="12.42578125" style="346" customWidth="1"/>
    <col min="4101" max="4101" width="11" style="346" customWidth="1"/>
    <col min="4102" max="4102" width="11.85546875" style="346" customWidth="1"/>
    <col min="4103" max="4352" width="9.140625" style="346"/>
    <col min="4353" max="4353" width="12.28515625" style="346" customWidth="1"/>
    <col min="4354" max="4354" width="54.42578125" style="346" customWidth="1"/>
    <col min="4355" max="4355" width="12" style="346" customWidth="1"/>
    <col min="4356" max="4356" width="12.42578125" style="346" customWidth="1"/>
    <col min="4357" max="4357" width="11" style="346" customWidth="1"/>
    <col min="4358" max="4358" width="11.85546875" style="346" customWidth="1"/>
    <col min="4359" max="4608" width="9.140625" style="346"/>
    <col min="4609" max="4609" width="12.28515625" style="346" customWidth="1"/>
    <col min="4610" max="4610" width="54.42578125" style="346" customWidth="1"/>
    <col min="4611" max="4611" width="12" style="346" customWidth="1"/>
    <col min="4612" max="4612" width="12.42578125" style="346" customWidth="1"/>
    <col min="4613" max="4613" width="11" style="346" customWidth="1"/>
    <col min="4614" max="4614" width="11.85546875" style="346" customWidth="1"/>
    <col min="4615" max="4864" width="9.140625" style="346"/>
    <col min="4865" max="4865" width="12.28515625" style="346" customWidth="1"/>
    <col min="4866" max="4866" width="54.42578125" style="346" customWidth="1"/>
    <col min="4867" max="4867" width="12" style="346" customWidth="1"/>
    <col min="4868" max="4868" width="12.42578125" style="346" customWidth="1"/>
    <col min="4869" max="4869" width="11" style="346" customWidth="1"/>
    <col min="4870" max="4870" width="11.85546875" style="346" customWidth="1"/>
    <col min="4871" max="5120" width="9.140625" style="346"/>
    <col min="5121" max="5121" width="12.28515625" style="346" customWidth="1"/>
    <col min="5122" max="5122" width="54.42578125" style="346" customWidth="1"/>
    <col min="5123" max="5123" width="12" style="346" customWidth="1"/>
    <col min="5124" max="5124" width="12.42578125" style="346" customWidth="1"/>
    <col min="5125" max="5125" width="11" style="346" customWidth="1"/>
    <col min="5126" max="5126" width="11.85546875" style="346" customWidth="1"/>
    <col min="5127" max="5376" width="9.140625" style="346"/>
    <col min="5377" max="5377" width="12.28515625" style="346" customWidth="1"/>
    <col min="5378" max="5378" width="54.42578125" style="346" customWidth="1"/>
    <col min="5379" max="5379" width="12" style="346" customWidth="1"/>
    <col min="5380" max="5380" width="12.42578125" style="346" customWidth="1"/>
    <col min="5381" max="5381" width="11" style="346" customWidth="1"/>
    <col min="5382" max="5382" width="11.85546875" style="346" customWidth="1"/>
    <col min="5383" max="5632" width="9.140625" style="346"/>
    <col min="5633" max="5633" width="12.28515625" style="346" customWidth="1"/>
    <col min="5634" max="5634" width="54.42578125" style="346" customWidth="1"/>
    <col min="5635" max="5635" width="12" style="346" customWidth="1"/>
    <col min="5636" max="5636" width="12.42578125" style="346" customWidth="1"/>
    <col min="5637" max="5637" width="11" style="346" customWidth="1"/>
    <col min="5638" max="5638" width="11.85546875" style="346" customWidth="1"/>
    <col min="5639" max="5888" width="9.140625" style="346"/>
    <col min="5889" max="5889" width="12.28515625" style="346" customWidth="1"/>
    <col min="5890" max="5890" width="54.42578125" style="346" customWidth="1"/>
    <col min="5891" max="5891" width="12" style="346" customWidth="1"/>
    <col min="5892" max="5892" width="12.42578125" style="346" customWidth="1"/>
    <col min="5893" max="5893" width="11" style="346" customWidth="1"/>
    <col min="5894" max="5894" width="11.85546875" style="346" customWidth="1"/>
    <col min="5895" max="6144" width="9.140625" style="346"/>
    <col min="6145" max="6145" width="12.28515625" style="346" customWidth="1"/>
    <col min="6146" max="6146" width="54.42578125" style="346" customWidth="1"/>
    <col min="6147" max="6147" width="12" style="346" customWidth="1"/>
    <col min="6148" max="6148" width="12.42578125" style="346" customWidth="1"/>
    <col min="6149" max="6149" width="11" style="346" customWidth="1"/>
    <col min="6150" max="6150" width="11.85546875" style="346" customWidth="1"/>
    <col min="6151" max="6400" width="9.140625" style="346"/>
    <col min="6401" max="6401" width="12.28515625" style="346" customWidth="1"/>
    <col min="6402" max="6402" width="54.42578125" style="346" customWidth="1"/>
    <col min="6403" max="6403" width="12" style="346" customWidth="1"/>
    <col min="6404" max="6404" width="12.42578125" style="346" customWidth="1"/>
    <col min="6405" max="6405" width="11" style="346" customWidth="1"/>
    <col min="6406" max="6406" width="11.85546875" style="346" customWidth="1"/>
    <col min="6407" max="6656" width="9.140625" style="346"/>
    <col min="6657" max="6657" width="12.28515625" style="346" customWidth="1"/>
    <col min="6658" max="6658" width="54.42578125" style="346" customWidth="1"/>
    <col min="6659" max="6659" width="12" style="346" customWidth="1"/>
    <col min="6660" max="6660" width="12.42578125" style="346" customWidth="1"/>
    <col min="6661" max="6661" width="11" style="346" customWidth="1"/>
    <col min="6662" max="6662" width="11.85546875" style="346" customWidth="1"/>
    <col min="6663" max="6912" width="9.140625" style="346"/>
    <col min="6913" max="6913" width="12.28515625" style="346" customWidth="1"/>
    <col min="6914" max="6914" width="54.42578125" style="346" customWidth="1"/>
    <col min="6915" max="6915" width="12" style="346" customWidth="1"/>
    <col min="6916" max="6916" width="12.42578125" style="346" customWidth="1"/>
    <col min="6917" max="6917" width="11" style="346" customWidth="1"/>
    <col min="6918" max="6918" width="11.85546875" style="346" customWidth="1"/>
    <col min="6919" max="7168" width="9.140625" style="346"/>
    <col min="7169" max="7169" width="12.28515625" style="346" customWidth="1"/>
    <col min="7170" max="7170" width="54.42578125" style="346" customWidth="1"/>
    <col min="7171" max="7171" width="12" style="346" customWidth="1"/>
    <col min="7172" max="7172" width="12.42578125" style="346" customWidth="1"/>
    <col min="7173" max="7173" width="11" style="346" customWidth="1"/>
    <col min="7174" max="7174" width="11.85546875" style="346" customWidth="1"/>
    <col min="7175" max="7424" width="9.140625" style="346"/>
    <col min="7425" max="7425" width="12.28515625" style="346" customWidth="1"/>
    <col min="7426" max="7426" width="54.42578125" style="346" customWidth="1"/>
    <col min="7427" max="7427" width="12" style="346" customWidth="1"/>
    <col min="7428" max="7428" width="12.42578125" style="346" customWidth="1"/>
    <col min="7429" max="7429" width="11" style="346" customWidth="1"/>
    <col min="7430" max="7430" width="11.85546875" style="346" customWidth="1"/>
    <col min="7431" max="7680" width="9.140625" style="346"/>
    <col min="7681" max="7681" width="12.28515625" style="346" customWidth="1"/>
    <col min="7682" max="7682" width="54.42578125" style="346" customWidth="1"/>
    <col min="7683" max="7683" width="12" style="346" customWidth="1"/>
    <col min="7684" max="7684" width="12.42578125" style="346" customWidth="1"/>
    <col min="7685" max="7685" width="11" style="346" customWidth="1"/>
    <col min="7686" max="7686" width="11.85546875" style="346" customWidth="1"/>
    <col min="7687" max="7936" width="9.140625" style="346"/>
    <col min="7937" max="7937" width="12.28515625" style="346" customWidth="1"/>
    <col min="7938" max="7938" width="54.42578125" style="346" customWidth="1"/>
    <col min="7939" max="7939" width="12" style="346" customWidth="1"/>
    <col min="7940" max="7940" width="12.42578125" style="346" customWidth="1"/>
    <col min="7941" max="7941" width="11" style="346" customWidth="1"/>
    <col min="7942" max="7942" width="11.85546875" style="346" customWidth="1"/>
    <col min="7943" max="8192" width="9.140625" style="346"/>
    <col min="8193" max="8193" width="12.28515625" style="346" customWidth="1"/>
    <col min="8194" max="8194" width="54.42578125" style="346" customWidth="1"/>
    <col min="8195" max="8195" width="12" style="346" customWidth="1"/>
    <col min="8196" max="8196" width="12.42578125" style="346" customWidth="1"/>
    <col min="8197" max="8197" width="11" style="346" customWidth="1"/>
    <col min="8198" max="8198" width="11.85546875" style="346" customWidth="1"/>
    <col min="8199" max="8448" width="9.140625" style="346"/>
    <col min="8449" max="8449" width="12.28515625" style="346" customWidth="1"/>
    <col min="8450" max="8450" width="54.42578125" style="346" customWidth="1"/>
    <col min="8451" max="8451" width="12" style="346" customWidth="1"/>
    <col min="8452" max="8452" width="12.42578125" style="346" customWidth="1"/>
    <col min="8453" max="8453" width="11" style="346" customWidth="1"/>
    <col min="8454" max="8454" width="11.85546875" style="346" customWidth="1"/>
    <col min="8455" max="8704" width="9.140625" style="346"/>
    <col min="8705" max="8705" width="12.28515625" style="346" customWidth="1"/>
    <col min="8706" max="8706" width="54.42578125" style="346" customWidth="1"/>
    <col min="8707" max="8707" width="12" style="346" customWidth="1"/>
    <col min="8708" max="8708" width="12.42578125" style="346" customWidth="1"/>
    <col min="8709" max="8709" width="11" style="346" customWidth="1"/>
    <col min="8710" max="8710" width="11.85546875" style="346" customWidth="1"/>
    <col min="8711" max="8960" width="9.140625" style="346"/>
    <col min="8961" max="8961" width="12.28515625" style="346" customWidth="1"/>
    <col min="8962" max="8962" width="54.42578125" style="346" customWidth="1"/>
    <col min="8963" max="8963" width="12" style="346" customWidth="1"/>
    <col min="8964" max="8964" width="12.42578125" style="346" customWidth="1"/>
    <col min="8965" max="8965" width="11" style="346" customWidth="1"/>
    <col min="8966" max="8966" width="11.85546875" style="346" customWidth="1"/>
    <col min="8967" max="9216" width="9.140625" style="346"/>
    <col min="9217" max="9217" width="12.28515625" style="346" customWidth="1"/>
    <col min="9218" max="9218" width="54.42578125" style="346" customWidth="1"/>
    <col min="9219" max="9219" width="12" style="346" customWidth="1"/>
    <col min="9220" max="9220" width="12.42578125" style="346" customWidth="1"/>
    <col min="9221" max="9221" width="11" style="346" customWidth="1"/>
    <col min="9222" max="9222" width="11.85546875" style="346" customWidth="1"/>
    <col min="9223" max="9472" width="9.140625" style="346"/>
    <col min="9473" max="9473" width="12.28515625" style="346" customWidth="1"/>
    <col min="9474" max="9474" width="54.42578125" style="346" customWidth="1"/>
    <col min="9475" max="9475" width="12" style="346" customWidth="1"/>
    <col min="9476" max="9476" width="12.42578125" style="346" customWidth="1"/>
    <col min="9477" max="9477" width="11" style="346" customWidth="1"/>
    <col min="9478" max="9478" width="11.85546875" style="346" customWidth="1"/>
    <col min="9479" max="9728" width="9.140625" style="346"/>
    <col min="9729" max="9729" width="12.28515625" style="346" customWidth="1"/>
    <col min="9730" max="9730" width="54.42578125" style="346" customWidth="1"/>
    <col min="9731" max="9731" width="12" style="346" customWidth="1"/>
    <col min="9732" max="9732" width="12.42578125" style="346" customWidth="1"/>
    <col min="9733" max="9733" width="11" style="346" customWidth="1"/>
    <col min="9734" max="9734" width="11.85546875" style="346" customWidth="1"/>
    <col min="9735" max="9984" width="9.140625" style="346"/>
    <col min="9985" max="9985" width="12.28515625" style="346" customWidth="1"/>
    <col min="9986" max="9986" width="54.42578125" style="346" customWidth="1"/>
    <col min="9987" max="9987" width="12" style="346" customWidth="1"/>
    <col min="9988" max="9988" width="12.42578125" style="346" customWidth="1"/>
    <col min="9989" max="9989" width="11" style="346" customWidth="1"/>
    <col min="9990" max="9990" width="11.85546875" style="346" customWidth="1"/>
    <col min="9991" max="10240" width="9.140625" style="346"/>
    <col min="10241" max="10241" width="12.28515625" style="346" customWidth="1"/>
    <col min="10242" max="10242" width="54.42578125" style="346" customWidth="1"/>
    <col min="10243" max="10243" width="12" style="346" customWidth="1"/>
    <col min="10244" max="10244" width="12.42578125" style="346" customWidth="1"/>
    <col min="10245" max="10245" width="11" style="346" customWidth="1"/>
    <col min="10246" max="10246" width="11.85546875" style="346" customWidth="1"/>
    <col min="10247" max="10496" width="9.140625" style="346"/>
    <col min="10497" max="10497" width="12.28515625" style="346" customWidth="1"/>
    <col min="10498" max="10498" width="54.42578125" style="346" customWidth="1"/>
    <col min="10499" max="10499" width="12" style="346" customWidth="1"/>
    <col min="10500" max="10500" width="12.42578125" style="346" customWidth="1"/>
    <col min="10501" max="10501" width="11" style="346" customWidth="1"/>
    <col min="10502" max="10502" width="11.85546875" style="346" customWidth="1"/>
    <col min="10503" max="10752" width="9.140625" style="346"/>
    <col min="10753" max="10753" width="12.28515625" style="346" customWidth="1"/>
    <col min="10754" max="10754" width="54.42578125" style="346" customWidth="1"/>
    <col min="10755" max="10755" width="12" style="346" customWidth="1"/>
    <col min="10756" max="10756" width="12.42578125" style="346" customWidth="1"/>
    <col min="10757" max="10757" width="11" style="346" customWidth="1"/>
    <col min="10758" max="10758" width="11.85546875" style="346" customWidth="1"/>
    <col min="10759" max="11008" width="9.140625" style="346"/>
    <col min="11009" max="11009" width="12.28515625" style="346" customWidth="1"/>
    <col min="11010" max="11010" width="54.42578125" style="346" customWidth="1"/>
    <col min="11011" max="11011" width="12" style="346" customWidth="1"/>
    <col min="11012" max="11012" width="12.42578125" style="346" customWidth="1"/>
    <col min="11013" max="11013" width="11" style="346" customWidth="1"/>
    <col min="11014" max="11014" width="11.85546875" style="346" customWidth="1"/>
    <col min="11015" max="11264" width="9.140625" style="346"/>
    <col min="11265" max="11265" width="12.28515625" style="346" customWidth="1"/>
    <col min="11266" max="11266" width="54.42578125" style="346" customWidth="1"/>
    <col min="11267" max="11267" width="12" style="346" customWidth="1"/>
    <col min="11268" max="11268" width="12.42578125" style="346" customWidth="1"/>
    <col min="11269" max="11269" width="11" style="346" customWidth="1"/>
    <col min="11270" max="11270" width="11.85546875" style="346" customWidth="1"/>
    <col min="11271" max="11520" width="9.140625" style="346"/>
    <col min="11521" max="11521" width="12.28515625" style="346" customWidth="1"/>
    <col min="11522" max="11522" width="54.42578125" style="346" customWidth="1"/>
    <col min="11523" max="11523" width="12" style="346" customWidth="1"/>
    <col min="11524" max="11524" width="12.42578125" style="346" customWidth="1"/>
    <col min="11525" max="11525" width="11" style="346" customWidth="1"/>
    <col min="11526" max="11526" width="11.85546875" style="346" customWidth="1"/>
    <col min="11527" max="11776" width="9.140625" style="346"/>
    <col min="11777" max="11777" width="12.28515625" style="346" customWidth="1"/>
    <col min="11778" max="11778" width="54.42578125" style="346" customWidth="1"/>
    <col min="11779" max="11779" width="12" style="346" customWidth="1"/>
    <col min="11780" max="11780" width="12.42578125" style="346" customWidth="1"/>
    <col min="11781" max="11781" width="11" style="346" customWidth="1"/>
    <col min="11782" max="11782" width="11.85546875" style="346" customWidth="1"/>
    <col min="11783" max="12032" width="9.140625" style="346"/>
    <col min="12033" max="12033" width="12.28515625" style="346" customWidth="1"/>
    <col min="12034" max="12034" width="54.42578125" style="346" customWidth="1"/>
    <col min="12035" max="12035" width="12" style="346" customWidth="1"/>
    <col min="12036" max="12036" width="12.42578125" style="346" customWidth="1"/>
    <col min="12037" max="12037" width="11" style="346" customWidth="1"/>
    <col min="12038" max="12038" width="11.85546875" style="346" customWidth="1"/>
    <col min="12039" max="12288" width="9.140625" style="346"/>
    <col min="12289" max="12289" width="12.28515625" style="346" customWidth="1"/>
    <col min="12290" max="12290" width="54.42578125" style="346" customWidth="1"/>
    <col min="12291" max="12291" width="12" style="346" customWidth="1"/>
    <col min="12292" max="12292" width="12.42578125" style="346" customWidth="1"/>
    <col min="12293" max="12293" width="11" style="346" customWidth="1"/>
    <col min="12294" max="12294" width="11.85546875" style="346" customWidth="1"/>
    <col min="12295" max="12544" width="9.140625" style="346"/>
    <col min="12545" max="12545" width="12.28515625" style="346" customWidth="1"/>
    <col min="12546" max="12546" width="54.42578125" style="346" customWidth="1"/>
    <col min="12547" max="12547" width="12" style="346" customWidth="1"/>
    <col min="12548" max="12548" width="12.42578125" style="346" customWidth="1"/>
    <col min="12549" max="12549" width="11" style="346" customWidth="1"/>
    <col min="12550" max="12550" width="11.85546875" style="346" customWidth="1"/>
    <col min="12551" max="12800" width="9.140625" style="346"/>
    <col min="12801" max="12801" width="12.28515625" style="346" customWidth="1"/>
    <col min="12802" max="12802" width="54.42578125" style="346" customWidth="1"/>
    <col min="12803" max="12803" width="12" style="346" customWidth="1"/>
    <col min="12804" max="12804" width="12.42578125" style="346" customWidth="1"/>
    <col min="12805" max="12805" width="11" style="346" customWidth="1"/>
    <col min="12806" max="12806" width="11.85546875" style="346" customWidth="1"/>
    <col min="12807" max="13056" width="9.140625" style="346"/>
    <col min="13057" max="13057" width="12.28515625" style="346" customWidth="1"/>
    <col min="13058" max="13058" width="54.42578125" style="346" customWidth="1"/>
    <col min="13059" max="13059" width="12" style="346" customWidth="1"/>
    <col min="13060" max="13060" width="12.42578125" style="346" customWidth="1"/>
    <col min="13061" max="13061" width="11" style="346" customWidth="1"/>
    <col min="13062" max="13062" width="11.85546875" style="346" customWidth="1"/>
    <col min="13063" max="13312" width="9.140625" style="346"/>
    <col min="13313" max="13313" width="12.28515625" style="346" customWidth="1"/>
    <col min="13314" max="13314" width="54.42578125" style="346" customWidth="1"/>
    <col min="13315" max="13315" width="12" style="346" customWidth="1"/>
    <col min="13316" max="13316" width="12.42578125" style="346" customWidth="1"/>
    <col min="13317" max="13317" width="11" style="346" customWidth="1"/>
    <col min="13318" max="13318" width="11.85546875" style="346" customWidth="1"/>
    <col min="13319" max="13568" width="9.140625" style="346"/>
    <col min="13569" max="13569" width="12.28515625" style="346" customWidth="1"/>
    <col min="13570" max="13570" width="54.42578125" style="346" customWidth="1"/>
    <col min="13571" max="13571" width="12" style="346" customWidth="1"/>
    <col min="13572" max="13572" width="12.42578125" style="346" customWidth="1"/>
    <col min="13573" max="13573" width="11" style="346" customWidth="1"/>
    <col min="13574" max="13574" width="11.85546875" style="346" customWidth="1"/>
    <col min="13575" max="13824" width="9.140625" style="346"/>
    <col min="13825" max="13825" width="12.28515625" style="346" customWidth="1"/>
    <col min="13826" max="13826" width="54.42578125" style="346" customWidth="1"/>
    <col min="13827" max="13827" width="12" style="346" customWidth="1"/>
    <col min="13828" max="13828" width="12.42578125" style="346" customWidth="1"/>
    <col min="13829" max="13829" width="11" style="346" customWidth="1"/>
    <col min="13830" max="13830" width="11.85546875" style="346" customWidth="1"/>
    <col min="13831" max="14080" width="9.140625" style="346"/>
    <col min="14081" max="14081" width="12.28515625" style="346" customWidth="1"/>
    <col min="14082" max="14082" width="54.42578125" style="346" customWidth="1"/>
    <col min="14083" max="14083" width="12" style="346" customWidth="1"/>
    <col min="14084" max="14084" width="12.42578125" style="346" customWidth="1"/>
    <col min="14085" max="14085" width="11" style="346" customWidth="1"/>
    <col min="14086" max="14086" width="11.85546875" style="346" customWidth="1"/>
    <col min="14087" max="14336" width="9.140625" style="346"/>
    <col min="14337" max="14337" width="12.28515625" style="346" customWidth="1"/>
    <col min="14338" max="14338" width="54.42578125" style="346" customWidth="1"/>
    <col min="14339" max="14339" width="12" style="346" customWidth="1"/>
    <col min="14340" max="14340" width="12.42578125" style="346" customWidth="1"/>
    <col min="14341" max="14341" width="11" style="346" customWidth="1"/>
    <col min="14342" max="14342" width="11.85546875" style="346" customWidth="1"/>
    <col min="14343" max="14592" width="9.140625" style="346"/>
    <col min="14593" max="14593" width="12.28515625" style="346" customWidth="1"/>
    <col min="14594" max="14594" width="54.42578125" style="346" customWidth="1"/>
    <col min="14595" max="14595" width="12" style="346" customWidth="1"/>
    <col min="14596" max="14596" width="12.42578125" style="346" customWidth="1"/>
    <col min="14597" max="14597" width="11" style="346" customWidth="1"/>
    <col min="14598" max="14598" width="11.85546875" style="346" customWidth="1"/>
    <col min="14599" max="14848" width="9.140625" style="346"/>
    <col min="14849" max="14849" width="12.28515625" style="346" customWidth="1"/>
    <col min="14850" max="14850" width="54.42578125" style="346" customWidth="1"/>
    <col min="14851" max="14851" width="12" style="346" customWidth="1"/>
    <col min="14852" max="14852" width="12.42578125" style="346" customWidth="1"/>
    <col min="14853" max="14853" width="11" style="346" customWidth="1"/>
    <col min="14854" max="14854" width="11.85546875" style="346" customWidth="1"/>
    <col min="14855" max="15104" width="9.140625" style="346"/>
    <col min="15105" max="15105" width="12.28515625" style="346" customWidth="1"/>
    <col min="15106" max="15106" width="54.42578125" style="346" customWidth="1"/>
    <col min="15107" max="15107" width="12" style="346" customWidth="1"/>
    <col min="15108" max="15108" width="12.42578125" style="346" customWidth="1"/>
    <col min="15109" max="15109" width="11" style="346" customWidth="1"/>
    <col min="15110" max="15110" width="11.85546875" style="346" customWidth="1"/>
    <col min="15111" max="15360" width="9.140625" style="346"/>
    <col min="15361" max="15361" width="12.28515625" style="346" customWidth="1"/>
    <col min="15362" max="15362" width="54.42578125" style="346" customWidth="1"/>
    <col min="15363" max="15363" width="12" style="346" customWidth="1"/>
    <col min="15364" max="15364" width="12.42578125" style="346" customWidth="1"/>
    <col min="15365" max="15365" width="11" style="346" customWidth="1"/>
    <col min="15366" max="15366" width="11.85546875" style="346" customWidth="1"/>
    <col min="15367" max="15616" width="9.140625" style="346"/>
    <col min="15617" max="15617" width="12.28515625" style="346" customWidth="1"/>
    <col min="15618" max="15618" width="54.42578125" style="346" customWidth="1"/>
    <col min="15619" max="15619" width="12" style="346" customWidth="1"/>
    <col min="15620" max="15620" width="12.42578125" style="346" customWidth="1"/>
    <col min="15621" max="15621" width="11" style="346" customWidth="1"/>
    <col min="15622" max="15622" width="11.85546875" style="346" customWidth="1"/>
    <col min="15623" max="15872" width="9.140625" style="346"/>
    <col min="15873" max="15873" width="12.28515625" style="346" customWidth="1"/>
    <col min="15874" max="15874" width="54.42578125" style="346" customWidth="1"/>
    <col min="15875" max="15875" width="12" style="346" customWidth="1"/>
    <col min="15876" max="15876" width="12.42578125" style="346" customWidth="1"/>
    <col min="15877" max="15877" width="11" style="346" customWidth="1"/>
    <col min="15878" max="15878" width="11.85546875" style="346" customWidth="1"/>
    <col min="15879" max="16128" width="9.140625" style="346"/>
    <col min="16129" max="16129" width="12.28515625" style="346" customWidth="1"/>
    <col min="16130" max="16130" width="54.42578125" style="346" customWidth="1"/>
    <col min="16131" max="16131" width="12" style="346" customWidth="1"/>
    <col min="16132" max="16132" width="12.42578125" style="346" customWidth="1"/>
    <col min="16133" max="16133" width="11" style="346" customWidth="1"/>
    <col min="16134" max="16134" width="11.85546875" style="346" customWidth="1"/>
    <col min="16135" max="16384" width="9.140625" style="346"/>
  </cols>
  <sheetData>
    <row r="1" spans="1:7" ht="27" customHeight="1">
      <c r="A1" s="519" t="s">
        <v>471</v>
      </c>
      <c r="B1" s="519"/>
      <c r="C1" s="519"/>
      <c r="D1" s="519"/>
      <c r="E1" s="519"/>
      <c r="F1" s="519"/>
    </row>
    <row r="2" spans="1:7">
      <c r="F2" s="347" t="s">
        <v>310</v>
      </c>
    </row>
    <row r="3" spans="1:7" ht="36.75" customHeight="1">
      <c r="A3" s="348" t="s">
        <v>311</v>
      </c>
      <c r="B3" s="348" t="s">
        <v>312</v>
      </c>
      <c r="C3" s="348" t="s">
        <v>154</v>
      </c>
      <c r="D3" s="348" t="s">
        <v>64</v>
      </c>
      <c r="E3" s="348" t="s">
        <v>65</v>
      </c>
      <c r="F3" s="348" t="s">
        <v>22</v>
      </c>
    </row>
    <row r="4" spans="1:7" ht="31.5">
      <c r="A4" s="388" t="s">
        <v>106</v>
      </c>
      <c r="B4" s="389" t="s">
        <v>472</v>
      </c>
      <c r="C4" s="390">
        <v>100</v>
      </c>
      <c r="D4" s="391">
        <v>579.29999999999995</v>
      </c>
      <c r="E4" s="392" t="s">
        <v>394</v>
      </c>
      <c r="F4" s="393">
        <f>D4</f>
        <v>579.29999999999995</v>
      </c>
    </row>
    <row r="5" spans="1:7" s="410" customFormat="1" ht="114" customHeight="1">
      <c r="A5" s="406" t="s">
        <v>473</v>
      </c>
      <c r="B5" s="404" t="s">
        <v>441</v>
      </c>
      <c r="C5" s="413"/>
      <c r="D5" s="414"/>
      <c r="E5" s="415"/>
      <c r="F5" s="415"/>
    </row>
    <row r="6" spans="1:7" s="410" customFormat="1" ht="31.5">
      <c r="A6" s="406"/>
      <c r="B6" s="404" t="s">
        <v>442</v>
      </c>
      <c r="C6" s="416">
        <v>0.75</v>
      </c>
      <c r="D6" s="411">
        <v>2247.35</v>
      </c>
      <c r="E6" s="409" t="s">
        <v>461</v>
      </c>
      <c r="F6" s="422">
        <f>D6*C6</f>
        <v>1685.5124999999998</v>
      </c>
    </row>
    <row r="7" spans="1:7" s="410" customFormat="1" ht="31.5">
      <c r="A7" s="406"/>
      <c r="B7" s="404" t="s">
        <v>443</v>
      </c>
      <c r="C7" s="416">
        <v>0.25</v>
      </c>
      <c r="D7" s="411">
        <v>3146.05</v>
      </c>
      <c r="E7" s="409" t="s">
        <v>353</v>
      </c>
      <c r="F7" s="422">
        <f>D7*C7</f>
        <v>786.51250000000005</v>
      </c>
    </row>
    <row r="8" spans="1:7">
      <c r="A8" s="361"/>
      <c r="B8" s="361"/>
      <c r="C8" s="361"/>
      <c r="D8" s="362" t="s">
        <v>38</v>
      </c>
      <c r="E8" s="361"/>
      <c r="F8" s="363">
        <f>SUM(F4:F7)</f>
        <v>3051.3249999999998</v>
      </c>
    </row>
    <row r="9" spans="1:7" ht="15.75">
      <c r="C9" s="364" t="s">
        <v>333</v>
      </c>
      <c r="D9" s="364"/>
      <c r="E9" s="364"/>
      <c r="F9" s="395">
        <f>F8</f>
        <v>3051.3249999999998</v>
      </c>
      <c r="G9" s="365">
        <f>F9/100000</f>
        <v>3.0513249999999999E-2</v>
      </c>
    </row>
    <row r="10" spans="1:7">
      <c r="D10" s="366"/>
    </row>
    <row r="16" spans="1:7">
      <c r="C16" s="346" t="s">
        <v>334</v>
      </c>
    </row>
  </sheetData>
  <mergeCells count="1">
    <mergeCell ref="A1:F1"/>
  </mergeCells>
  <printOptions horizontalCentered="1"/>
  <pageMargins left="0.23622047244094491" right="0.15748031496062992" top="0.98425196850393704" bottom="0.98425196850393704" header="0.51181102362204722" footer="0.51181102362204722"/>
  <pageSetup paperSize="5" scale="8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view="pageBreakPreview" zoomScale="115" zoomScaleSheetLayoutView="115" workbookViewId="0">
      <pane xSplit="1" ySplit="3" topLeftCell="B4" activePane="bottomRight" state="frozen"/>
      <selection pane="topRight" activeCell="C1" sqref="C1"/>
      <selection pane="bottomLeft" activeCell="A5" sqref="A5"/>
      <selection pane="bottomRight" sqref="A1:F1"/>
    </sheetView>
  </sheetViews>
  <sheetFormatPr defaultRowHeight="15"/>
  <cols>
    <col min="1" max="1" width="12.28515625" style="346" customWidth="1"/>
    <col min="2" max="2" width="54.42578125" style="346" customWidth="1"/>
    <col min="3" max="3" width="10.7109375" style="346" customWidth="1"/>
    <col min="4" max="4" width="11.28515625" style="346" customWidth="1"/>
    <col min="5" max="5" width="11" style="346" customWidth="1"/>
    <col min="6" max="6" width="11.85546875" style="346" customWidth="1"/>
    <col min="7" max="256" width="9.140625" style="346"/>
    <col min="257" max="257" width="12.28515625" style="346" customWidth="1"/>
    <col min="258" max="258" width="54.42578125" style="346" customWidth="1"/>
    <col min="259" max="259" width="12" style="346" customWidth="1"/>
    <col min="260" max="260" width="12.42578125" style="346" customWidth="1"/>
    <col min="261" max="261" width="11" style="346" customWidth="1"/>
    <col min="262" max="262" width="11.85546875" style="346" customWidth="1"/>
    <col min="263" max="512" width="9.140625" style="346"/>
    <col min="513" max="513" width="12.28515625" style="346" customWidth="1"/>
    <col min="514" max="514" width="54.42578125" style="346" customWidth="1"/>
    <col min="515" max="515" width="12" style="346" customWidth="1"/>
    <col min="516" max="516" width="12.42578125" style="346" customWidth="1"/>
    <col min="517" max="517" width="11" style="346" customWidth="1"/>
    <col min="518" max="518" width="11.85546875" style="346" customWidth="1"/>
    <col min="519" max="768" width="9.140625" style="346"/>
    <col min="769" max="769" width="12.28515625" style="346" customWidth="1"/>
    <col min="770" max="770" width="54.42578125" style="346" customWidth="1"/>
    <col min="771" max="771" width="12" style="346" customWidth="1"/>
    <col min="772" max="772" width="12.42578125" style="346" customWidth="1"/>
    <col min="773" max="773" width="11" style="346" customWidth="1"/>
    <col min="774" max="774" width="11.85546875" style="346" customWidth="1"/>
    <col min="775" max="1024" width="9.140625" style="346"/>
    <col min="1025" max="1025" width="12.28515625" style="346" customWidth="1"/>
    <col min="1026" max="1026" width="54.42578125" style="346" customWidth="1"/>
    <col min="1027" max="1027" width="12" style="346" customWidth="1"/>
    <col min="1028" max="1028" width="12.42578125" style="346" customWidth="1"/>
    <col min="1029" max="1029" width="11" style="346" customWidth="1"/>
    <col min="1030" max="1030" width="11.85546875" style="346" customWidth="1"/>
    <col min="1031" max="1280" width="9.140625" style="346"/>
    <col min="1281" max="1281" width="12.28515625" style="346" customWidth="1"/>
    <col min="1282" max="1282" width="54.42578125" style="346" customWidth="1"/>
    <col min="1283" max="1283" width="12" style="346" customWidth="1"/>
    <col min="1284" max="1284" width="12.42578125" style="346" customWidth="1"/>
    <col min="1285" max="1285" width="11" style="346" customWidth="1"/>
    <col min="1286" max="1286" width="11.85546875" style="346" customWidth="1"/>
    <col min="1287" max="1536" width="9.140625" style="346"/>
    <col min="1537" max="1537" width="12.28515625" style="346" customWidth="1"/>
    <col min="1538" max="1538" width="54.42578125" style="346" customWidth="1"/>
    <col min="1539" max="1539" width="12" style="346" customWidth="1"/>
    <col min="1540" max="1540" width="12.42578125" style="346" customWidth="1"/>
    <col min="1541" max="1541" width="11" style="346" customWidth="1"/>
    <col min="1542" max="1542" width="11.85546875" style="346" customWidth="1"/>
    <col min="1543" max="1792" width="9.140625" style="346"/>
    <col min="1793" max="1793" width="12.28515625" style="346" customWidth="1"/>
    <col min="1794" max="1794" width="54.42578125" style="346" customWidth="1"/>
    <col min="1795" max="1795" width="12" style="346" customWidth="1"/>
    <col min="1796" max="1796" width="12.42578125" style="346" customWidth="1"/>
    <col min="1797" max="1797" width="11" style="346" customWidth="1"/>
    <col min="1798" max="1798" width="11.85546875" style="346" customWidth="1"/>
    <col min="1799" max="2048" width="9.140625" style="346"/>
    <col min="2049" max="2049" width="12.28515625" style="346" customWidth="1"/>
    <col min="2050" max="2050" width="54.42578125" style="346" customWidth="1"/>
    <col min="2051" max="2051" width="12" style="346" customWidth="1"/>
    <col min="2052" max="2052" width="12.42578125" style="346" customWidth="1"/>
    <col min="2053" max="2053" width="11" style="346" customWidth="1"/>
    <col min="2054" max="2054" width="11.85546875" style="346" customWidth="1"/>
    <col min="2055" max="2304" width="9.140625" style="346"/>
    <col min="2305" max="2305" width="12.28515625" style="346" customWidth="1"/>
    <col min="2306" max="2306" width="54.42578125" style="346" customWidth="1"/>
    <col min="2307" max="2307" width="12" style="346" customWidth="1"/>
    <col min="2308" max="2308" width="12.42578125" style="346" customWidth="1"/>
    <col min="2309" max="2309" width="11" style="346" customWidth="1"/>
    <col min="2310" max="2310" width="11.85546875" style="346" customWidth="1"/>
    <col min="2311" max="2560" width="9.140625" style="346"/>
    <col min="2561" max="2561" width="12.28515625" style="346" customWidth="1"/>
    <col min="2562" max="2562" width="54.42578125" style="346" customWidth="1"/>
    <col min="2563" max="2563" width="12" style="346" customWidth="1"/>
    <col min="2564" max="2564" width="12.42578125" style="346" customWidth="1"/>
    <col min="2565" max="2565" width="11" style="346" customWidth="1"/>
    <col min="2566" max="2566" width="11.85546875" style="346" customWidth="1"/>
    <col min="2567" max="2816" width="9.140625" style="346"/>
    <col min="2817" max="2817" width="12.28515625" style="346" customWidth="1"/>
    <col min="2818" max="2818" width="54.42578125" style="346" customWidth="1"/>
    <col min="2819" max="2819" width="12" style="346" customWidth="1"/>
    <col min="2820" max="2820" width="12.42578125" style="346" customWidth="1"/>
    <col min="2821" max="2821" width="11" style="346" customWidth="1"/>
    <col min="2822" max="2822" width="11.85546875" style="346" customWidth="1"/>
    <col min="2823" max="3072" width="9.140625" style="346"/>
    <col min="3073" max="3073" width="12.28515625" style="346" customWidth="1"/>
    <col min="3074" max="3074" width="54.42578125" style="346" customWidth="1"/>
    <col min="3075" max="3075" width="12" style="346" customWidth="1"/>
    <col min="3076" max="3076" width="12.42578125" style="346" customWidth="1"/>
    <col min="3077" max="3077" width="11" style="346" customWidth="1"/>
    <col min="3078" max="3078" width="11.85546875" style="346" customWidth="1"/>
    <col min="3079" max="3328" width="9.140625" style="346"/>
    <col min="3329" max="3329" width="12.28515625" style="346" customWidth="1"/>
    <col min="3330" max="3330" width="54.42578125" style="346" customWidth="1"/>
    <col min="3331" max="3331" width="12" style="346" customWidth="1"/>
    <col min="3332" max="3332" width="12.42578125" style="346" customWidth="1"/>
    <col min="3333" max="3333" width="11" style="346" customWidth="1"/>
    <col min="3334" max="3334" width="11.85546875" style="346" customWidth="1"/>
    <col min="3335" max="3584" width="9.140625" style="346"/>
    <col min="3585" max="3585" width="12.28515625" style="346" customWidth="1"/>
    <col min="3586" max="3586" width="54.42578125" style="346" customWidth="1"/>
    <col min="3587" max="3587" width="12" style="346" customWidth="1"/>
    <col min="3588" max="3588" width="12.42578125" style="346" customWidth="1"/>
    <col min="3589" max="3589" width="11" style="346" customWidth="1"/>
    <col min="3590" max="3590" width="11.85546875" style="346" customWidth="1"/>
    <col min="3591" max="3840" width="9.140625" style="346"/>
    <col min="3841" max="3841" width="12.28515625" style="346" customWidth="1"/>
    <col min="3842" max="3842" width="54.42578125" style="346" customWidth="1"/>
    <col min="3843" max="3843" width="12" style="346" customWidth="1"/>
    <col min="3844" max="3844" width="12.42578125" style="346" customWidth="1"/>
    <col min="3845" max="3845" width="11" style="346" customWidth="1"/>
    <col min="3846" max="3846" width="11.85546875" style="346" customWidth="1"/>
    <col min="3847" max="4096" width="9.140625" style="346"/>
    <col min="4097" max="4097" width="12.28515625" style="346" customWidth="1"/>
    <col min="4098" max="4098" width="54.42578125" style="346" customWidth="1"/>
    <col min="4099" max="4099" width="12" style="346" customWidth="1"/>
    <col min="4100" max="4100" width="12.42578125" style="346" customWidth="1"/>
    <col min="4101" max="4101" width="11" style="346" customWidth="1"/>
    <col min="4102" max="4102" width="11.85546875" style="346" customWidth="1"/>
    <col min="4103" max="4352" width="9.140625" style="346"/>
    <col min="4353" max="4353" width="12.28515625" style="346" customWidth="1"/>
    <col min="4354" max="4354" width="54.42578125" style="346" customWidth="1"/>
    <col min="4355" max="4355" width="12" style="346" customWidth="1"/>
    <col min="4356" max="4356" width="12.42578125" style="346" customWidth="1"/>
    <col min="4357" max="4357" width="11" style="346" customWidth="1"/>
    <col min="4358" max="4358" width="11.85546875" style="346" customWidth="1"/>
    <col min="4359" max="4608" width="9.140625" style="346"/>
    <col min="4609" max="4609" width="12.28515625" style="346" customWidth="1"/>
    <col min="4610" max="4610" width="54.42578125" style="346" customWidth="1"/>
    <col min="4611" max="4611" width="12" style="346" customWidth="1"/>
    <col min="4612" max="4612" width="12.42578125" style="346" customWidth="1"/>
    <col min="4613" max="4613" width="11" style="346" customWidth="1"/>
    <col min="4614" max="4614" width="11.85546875" style="346" customWidth="1"/>
    <col min="4615" max="4864" width="9.140625" style="346"/>
    <col min="4865" max="4865" width="12.28515625" style="346" customWidth="1"/>
    <col min="4866" max="4866" width="54.42578125" style="346" customWidth="1"/>
    <col min="4867" max="4867" width="12" style="346" customWidth="1"/>
    <col min="4868" max="4868" width="12.42578125" style="346" customWidth="1"/>
    <col min="4869" max="4869" width="11" style="346" customWidth="1"/>
    <col min="4870" max="4870" width="11.85546875" style="346" customWidth="1"/>
    <col min="4871" max="5120" width="9.140625" style="346"/>
    <col min="5121" max="5121" width="12.28515625" style="346" customWidth="1"/>
    <col min="5122" max="5122" width="54.42578125" style="346" customWidth="1"/>
    <col min="5123" max="5123" width="12" style="346" customWidth="1"/>
    <col min="5124" max="5124" width="12.42578125" style="346" customWidth="1"/>
    <col min="5125" max="5125" width="11" style="346" customWidth="1"/>
    <col min="5126" max="5126" width="11.85546875" style="346" customWidth="1"/>
    <col min="5127" max="5376" width="9.140625" style="346"/>
    <col min="5377" max="5377" width="12.28515625" style="346" customWidth="1"/>
    <col min="5378" max="5378" width="54.42578125" style="346" customWidth="1"/>
    <col min="5379" max="5379" width="12" style="346" customWidth="1"/>
    <col min="5380" max="5380" width="12.42578125" style="346" customWidth="1"/>
    <col min="5381" max="5381" width="11" style="346" customWidth="1"/>
    <col min="5382" max="5382" width="11.85546875" style="346" customWidth="1"/>
    <col min="5383" max="5632" width="9.140625" style="346"/>
    <col min="5633" max="5633" width="12.28515625" style="346" customWidth="1"/>
    <col min="5634" max="5634" width="54.42578125" style="346" customWidth="1"/>
    <col min="5635" max="5635" width="12" style="346" customWidth="1"/>
    <col min="5636" max="5636" width="12.42578125" style="346" customWidth="1"/>
    <col min="5637" max="5637" width="11" style="346" customWidth="1"/>
    <col min="5638" max="5638" width="11.85546875" style="346" customWidth="1"/>
    <col min="5639" max="5888" width="9.140625" style="346"/>
    <col min="5889" max="5889" width="12.28515625" style="346" customWidth="1"/>
    <col min="5890" max="5890" width="54.42578125" style="346" customWidth="1"/>
    <col min="5891" max="5891" width="12" style="346" customWidth="1"/>
    <col min="5892" max="5892" width="12.42578125" style="346" customWidth="1"/>
    <col min="5893" max="5893" width="11" style="346" customWidth="1"/>
    <col min="5894" max="5894" width="11.85546875" style="346" customWidth="1"/>
    <col min="5895" max="6144" width="9.140625" style="346"/>
    <col min="6145" max="6145" width="12.28515625" style="346" customWidth="1"/>
    <col min="6146" max="6146" width="54.42578125" style="346" customWidth="1"/>
    <col min="6147" max="6147" width="12" style="346" customWidth="1"/>
    <col min="6148" max="6148" width="12.42578125" style="346" customWidth="1"/>
    <col min="6149" max="6149" width="11" style="346" customWidth="1"/>
    <col min="6150" max="6150" width="11.85546875" style="346" customWidth="1"/>
    <col min="6151" max="6400" width="9.140625" style="346"/>
    <col min="6401" max="6401" width="12.28515625" style="346" customWidth="1"/>
    <col min="6402" max="6402" width="54.42578125" style="346" customWidth="1"/>
    <col min="6403" max="6403" width="12" style="346" customWidth="1"/>
    <col min="6404" max="6404" width="12.42578125" style="346" customWidth="1"/>
    <col min="6405" max="6405" width="11" style="346" customWidth="1"/>
    <col min="6406" max="6406" width="11.85546875" style="346" customWidth="1"/>
    <col min="6407" max="6656" width="9.140625" style="346"/>
    <col min="6657" max="6657" width="12.28515625" style="346" customWidth="1"/>
    <col min="6658" max="6658" width="54.42578125" style="346" customWidth="1"/>
    <col min="6659" max="6659" width="12" style="346" customWidth="1"/>
    <col min="6660" max="6660" width="12.42578125" style="346" customWidth="1"/>
    <col min="6661" max="6661" width="11" style="346" customWidth="1"/>
    <col min="6662" max="6662" width="11.85546875" style="346" customWidth="1"/>
    <col min="6663" max="6912" width="9.140625" style="346"/>
    <col min="6913" max="6913" width="12.28515625" style="346" customWidth="1"/>
    <col min="6914" max="6914" width="54.42578125" style="346" customWidth="1"/>
    <col min="6915" max="6915" width="12" style="346" customWidth="1"/>
    <col min="6916" max="6916" width="12.42578125" style="346" customWidth="1"/>
    <col min="6917" max="6917" width="11" style="346" customWidth="1"/>
    <col min="6918" max="6918" width="11.85546875" style="346" customWidth="1"/>
    <col min="6919" max="7168" width="9.140625" style="346"/>
    <col min="7169" max="7169" width="12.28515625" style="346" customWidth="1"/>
    <col min="7170" max="7170" width="54.42578125" style="346" customWidth="1"/>
    <col min="7171" max="7171" width="12" style="346" customWidth="1"/>
    <col min="7172" max="7172" width="12.42578125" style="346" customWidth="1"/>
    <col min="7173" max="7173" width="11" style="346" customWidth="1"/>
    <col min="7174" max="7174" width="11.85546875" style="346" customWidth="1"/>
    <col min="7175" max="7424" width="9.140625" style="346"/>
    <col min="7425" max="7425" width="12.28515625" style="346" customWidth="1"/>
    <col min="7426" max="7426" width="54.42578125" style="346" customWidth="1"/>
    <col min="7427" max="7427" width="12" style="346" customWidth="1"/>
    <col min="7428" max="7428" width="12.42578125" style="346" customWidth="1"/>
    <col min="7429" max="7429" width="11" style="346" customWidth="1"/>
    <col min="7430" max="7430" width="11.85546875" style="346" customWidth="1"/>
    <col min="7431" max="7680" width="9.140625" style="346"/>
    <col min="7681" max="7681" width="12.28515625" style="346" customWidth="1"/>
    <col min="7682" max="7682" width="54.42578125" style="346" customWidth="1"/>
    <col min="7683" max="7683" width="12" style="346" customWidth="1"/>
    <col min="7684" max="7684" width="12.42578125" style="346" customWidth="1"/>
    <col min="7685" max="7685" width="11" style="346" customWidth="1"/>
    <col min="7686" max="7686" width="11.85546875" style="346" customWidth="1"/>
    <col min="7687" max="7936" width="9.140625" style="346"/>
    <col min="7937" max="7937" width="12.28515625" style="346" customWidth="1"/>
    <col min="7938" max="7938" width="54.42578125" style="346" customWidth="1"/>
    <col min="7939" max="7939" width="12" style="346" customWidth="1"/>
    <col min="7940" max="7940" width="12.42578125" style="346" customWidth="1"/>
    <col min="7941" max="7941" width="11" style="346" customWidth="1"/>
    <col min="7942" max="7942" width="11.85546875" style="346" customWidth="1"/>
    <col min="7943" max="8192" width="9.140625" style="346"/>
    <col min="8193" max="8193" width="12.28515625" style="346" customWidth="1"/>
    <col min="8194" max="8194" width="54.42578125" style="346" customWidth="1"/>
    <col min="8195" max="8195" width="12" style="346" customWidth="1"/>
    <col min="8196" max="8196" width="12.42578125" style="346" customWidth="1"/>
    <col min="8197" max="8197" width="11" style="346" customWidth="1"/>
    <col min="8198" max="8198" width="11.85546875" style="346" customWidth="1"/>
    <col min="8199" max="8448" width="9.140625" style="346"/>
    <col min="8449" max="8449" width="12.28515625" style="346" customWidth="1"/>
    <col min="8450" max="8450" width="54.42578125" style="346" customWidth="1"/>
    <col min="8451" max="8451" width="12" style="346" customWidth="1"/>
    <col min="8452" max="8452" width="12.42578125" style="346" customWidth="1"/>
    <col min="8453" max="8453" width="11" style="346" customWidth="1"/>
    <col min="8454" max="8454" width="11.85546875" style="346" customWidth="1"/>
    <col min="8455" max="8704" width="9.140625" style="346"/>
    <col min="8705" max="8705" width="12.28515625" style="346" customWidth="1"/>
    <col min="8706" max="8706" width="54.42578125" style="346" customWidth="1"/>
    <col min="8707" max="8707" width="12" style="346" customWidth="1"/>
    <col min="8708" max="8708" width="12.42578125" style="346" customWidth="1"/>
    <col min="8709" max="8709" width="11" style="346" customWidth="1"/>
    <col min="8710" max="8710" width="11.85546875" style="346" customWidth="1"/>
    <col min="8711" max="8960" width="9.140625" style="346"/>
    <col min="8961" max="8961" width="12.28515625" style="346" customWidth="1"/>
    <col min="8962" max="8962" width="54.42578125" style="346" customWidth="1"/>
    <col min="8963" max="8963" width="12" style="346" customWidth="1"/>
    <col min="8964" max="8964" width="12.42578125" style="346" customWidth="1"/>
    <col min="8965" max="8965" width="11" style="346" customWidth="1"/>
    <col min="8966" max="8966" width="11.85546875" style="346" customWidth="1"/>
    <col min="8967" max="9216" width="9.140625" style="346"/>
    <col min="9217" max="9217" width="12.28515625" style="346" customWidth="1"/>
    <col min="9218" max="9218" width="54.42578125" style="346" customWidth="1"/>
    <col min="9219" max="9219" width="12" style="346" customWidth="1"/>
    <col min="9220" max="9220" width="12.42578125" style="346" customWidth="1"/>
    <col min="9221" max="9221" width="11" style="346" customWidth="1"/>
    <col min="9222" max="9222" width="11.85546875" style="346" customWidth="1"/>
    <col min="9223" max="9472" width="9.140625" style="346"/>
    <col min="9473" max="9473" width="12.28515625" style="346" customWidth="1"/>
    <col min="9474" max="9474" width="54.42578125" style="346" customWidth="1"/>
    <col min="9475" max="9475" width="12" style="346" customWidth="1"/>
    <col min="9476" max="9476" width="12.42578125" style="346" customWidth="1"/>
    <col min="9477" max="9477" width="11" style="346" customWidth="1"/>
    <col min="9478" max="9478" width="11.85546875" style="346" customWidth="1"/>
    <col min="9479" max="9728" width="9.140625" style="346"/>
    <col min="9729" max="9729" width="12.28515625" style="346" customWidth="1"/>
    <col min="9730" max="9730" width="54.42578125" style="346" customWidth="1"/>
    <col min="9731" max="9731" width="12" style="346" customWidth="1"/>
    <col min="9732" max="9732" width="12.42578125" style="346" customWidth="1"/>
    <col min="9733" max="9733" width="11" style="346" customWidth="1"/>
    <col min="9734" max="9734" width="11.85546875" style="346" customWidth="1"/>
    <col min="9735" max="9984" width="9.140625" style="346"/>
    <col min="9985" max="9985" width="12.28515625" style="346" customWidth="1"/>
    <col min="9986" max="9986" width="54.42578125" style="346" customWidth="1"/>
    <col min="9987" max="9987" width="12" style="346" customWidth="1"/>
    <col min="9988" max="9988" width="12.42578125" style="346" customWidth="1"/>
    <col min="9989" max="9989" width="11" style="346" customWidth="1"/>
    <col min="9990" max="9990" width="11.85546875" style="346" customWidth="1"/>
    <col min="9991" max="10240" width="9.140625" style="346"/>
    <col min="10241" max="10241" width="12.28515625" style="346" customWidth="1"/>
    <col min="10242" max="10242" width="54.42578125" style="346" customWidth="1"/>
    <col min="10243" max="10243" width="12" style="346" customWidth="1"/>
    <col min="10244" max="10244" width="12.42578125" style="346" customWidth="1"/>
    <col min="10245" max="10245" width="11" style="346" customWidth="1"/>
    <col min="10246" max="10246" width="11.85546875" style="346" customWidth="1"/>
    <col min="10247" max="10496" width="9.140625" style="346"/>
    <col min="10497" max="10497" width="12.28515625" style="346" customWidth="1"/>
    <col min="10498" max="10498" width="54.42578125" style="346" customWidth="1"/>
    <col min="10499" max="10499" width="12" style="346" customWidth="1"/>
    <col min="10500" max="10500" width="12.42578125" style="346" customWidth="1"/>
    <col min="10501" max="10501" width="11" style="346" customWidth="1"/>
    <col min="10502" max="10502" width="11.85546875" style="346" customWidth="1"/>
    <col min="10503" max="10752" width="9.140625" style="346"/>
    <col min="10753" max="10753" width="12.28515625" style="346" customWidth="1"/>
    <col min="10754" max="10754" width="54.42578125" style="346" customWidth="1"/>
    <col min="10755" max="10755" width="12" style="346" customWidth="1"/>
    <col min="10756" max="10756" width="12.42578125" style="346" customWidth="1"/>
    <col min="10757" max="10757" width="11" style="346" customWidth="1"/>
    <col min="10758" max="10758" width="11.85546875" style="346" customWidth="1"/>
    <col min="10759" max="11008" width="9.140625" style="346"/>
    <col min="11009" max="11009" width="12.28515625" style="346" customWidth="1"/>
    <col min="11010" max="11010" width="54.42578125" style="346" customWidth="1"/>
    <col min="11011" max="11011" width="12" style="346" customWidth="1"/>
    <col min="11012" max="11012" width="12.42578125" style="346" customWidth="1"/>
    <col min="11013" max="11013" width="11" style="346" customWidth="1"/>
    <col min="11014" max="11014" width="11.85546875" style="346" customWidth="1"/>
    <col min="11015" max="11264" width="9.140625" style="346"/>
    <col min="11265" max="11265" width="12.28515625" style="346" customWidth="1"/>
    <col min="11266" max="11266" width="54.42578125" style="346" customWidth="1"/>
    <col min="11267" max="11267" width="12" style="346" customWidth="1"/>
    <col min="11268" max="11268" width="12.42578125" style="346" customWidth="1"/>
    <col min="11269" max="11269" width="11" style="346" customWidth="1"/>
    <col min="11270" max="11270" width="11.85546875" style="346" customWidth="1"/>
    <col min="11271" max="11520" width="9.140625" style="346"/>
    <col min="11521" max="11521" width="12.28515625" style="346" customWidth="1"/>
    <col min="11522" max="11522" width="54.42578125" style="346" customWidth="1"/>
    <col min="11523" max="11523" width="12" style="346" customWidth="1"/>
    <col min="11524" max="11524" width="12.42578125" style="346" customWidth="1"/>
    <col min="11525" max="11525" width="11" style="346" customWidth="1"/>
    <col min="11526" max="11526" width="11.85546875" style="346" customWidth="1"/>
    <col min="11527" max="11776" width="9.140625" style="346"/>
    <col min="11777" max="11777" width="12.28515625" style="346" customWidth="1"/>
    <col min="11778" max="11778" width="54.42578125" style="346" customWidth="1"/>
    <col min="11779" max="11779" width="12" style="346" customWidth="1"/>
    <col min="11780" max="11780" width="12.42578125" style="346" customWidth="1"/>
    <col min="11781" max="11781" width="11" style="346" customWidth="1"/>
    <col min="11782" max="11782" width="11.85546875" style="346" customWidth="1"/>
    <col min="11783" max="12032" width="9.140625" style="346"/>
    <col min="12033" max="12033" width="12.28515625" style="346" customWidth="1"/>
    <col min="12034" max="12034" width="54.42578125" style="346" customWidth="1"/>
    <col min="12035" max="12035" width="12" style="346" customWidth="1"/>
    <col min="12036" max="12036" width="12.42578125" style="346" customWidth="1"/>
    <col min="12037" max="12037" width="11" style="346" customWidth="1"/>
    <col min="12038" max="12038" width="11.85546875" style="346" customWidth="1"/>
    <col min="12039" max="12288" width="9.140625" style="346"/>
    <col min="12289" max="12289" width="12.28515625" style="346" customWidth="1"/>
    <col min="12290" max="12290" width="54.42578125" style="346" customWidth="1"/>
    <col min="12291" max="12291" width="12" style="346" customWidth="1"/>
    <col min="12292" max="12292" width="12.42578125" style="346" customWidth="1"/>
    <col min="12293" max="12293" width="11" style="346" customWidth="1"/>
    <col min="12294" max="12294" width="11.85546875" style="346" customWidth="1"/>
    <col min="12295" max="12544" width="9.140625" style="346"/>
    <col min="12545" max="12545" width="12.28515625" style="346" customWidth="1"/>
    <col min="12546" max="12546" width="54.42578125" style="346" customWidth="1"/>
    <col min="12547" max="12547" width="12" style="346" customWidth="1"/>
    <col min="12548" max="12548" width="12.42578125" style="346" customWidth="1"/>
    <col min="12549" max="12549" width="11" style="346" customWidth="1"/>
    <col min="12550" max="12550" width="11.85546875" style="346" customWidth="1"/>
    <col min="12551" max="12800" width="9.140625" style="346"/>
    <col min="12801" max="12801" width="12.28515625" style="346" customWidth="1"/>
    <col min="12802" max="12802" width="54.42578125" style="346" customWidth="1"/>
    <col min="12803" max="12803" width="12" style="346" customWidth="1"/>
    <col min="12804" max="12804" width="12.42578125" style="346" customWidth="1"/>
    <col min="12805" max="12805" width="11" style="346" customWidth="1"/>
    <col min="12806" max="12806" width="11.85546875" style="346" customWidth="1"/>
    <col min="12807" max="13056" width="9.140625" style="346"/>
    <col min="13057" max="13057" width="12.28515625" style="346" customWidth="1"/>
    <col min="13058" max="13058" width="54.42578125" style="346" customWidth="1"/>
    <col min="13059" max="13059" width="12" style="346" customWidth="1"/>
    <col min="13060" max="13060" width="12.42578125" style="346" customWidth="1"/>
    <col min="13061" max="13061" width="11" style="346" customWidth="1"/>
    <col min="13062" max="13062" width="11.85546875" style="346" customWidth="1"/>
    <col min="13063" max="13312" width="9.140625" style="346"/>
    <col min="13313" max="13313" width="12.28515625" style="346" customWidth="1"/>
    <col min="13314" max="13314" width="54.42578125" style="346" customWidth="1"/>
    <col min="13315" max="13315" width="12" style="346" customWidth="1"/>
    <col min="13316" max="13316" width="12.42578125" style="346" customWidth="1"/>
    <col min="13317" max="13317" width="11" style="346" customWidth="1"/>
    <col min="13318" max="13318" width="11.85546875" style="346" customWidth="1"/>
    <col min="13319" max="13568" width="9.140625" style="346"/>
    <col min="13569" max="13569" width="12.28515625" style="346" customWidth="1"/>
    <col min="13570" max="13570" width="54.42578125" style="346" customWidth="1"/>
    <col min="13571" max="13571" width="12" style="346" customWidth="1"/>
    <col min="13572" max="13572" width="12.42578125" style="346" customWidth="1"/>
    <col min="13573" max="13573" width="11" style="346" customWidth="1"/>
    <col min="13574" max="13574" width="11.85546875" style="346" customWidth="1"/>
    <col min="13575" max="13824" width="9.140625" style="346"/>
    <col min="13825" max="13825" width="12.28515625" style="346" customWidth="1"/>
    <col min="13826" max="13826" width="54.42578125" style="346" customWidth="1"/>
    <col min="13827" max="13827" width="12" style="346" customWidth="1"/>
    <col min="13828" max="13828" width="12.42578125" style="346" customWidth="1"/>
    <col min="13829" max="13829" width="11" style="346" customWidth="1"/>
    <col min="13830" max="13830" width="11.85546875" style="346" customWidth="1"/>
    <col min="13831" max="14080" width="9.140625" style="346"/>
    <col min="14081" max="14081" width="12.28515625" style="346" customWidth="1"/>
    <col min="14082" max="14082" width="54.42578125" style="346" customWidth="1"/>
    <col min="14083" max="14083" width="12" style="346" customWidth="1"/>
    <col min="14084" max="14084" width="12.42578125" style="346" customWidth="1"/>
    <col min="14085" max="14085" width="11" style="346" customWidth="1"/>
    <col min="14086" max="14086" width="11.85546875" style="346" customWidth="1"/>
    <col min="14087" max="14336" width="9.140625" style="346"/>
    <col min="14337" max="14337" width="12.28515625" style="346" customWidth="1"/>
    <col min="14338" max="14338" width="54.42578125" style="346" customWidth="1"/>
    <col min="14339" max="14339" width="12" style="346" customWidth="1"/>
    <col min="14340" max="14340" width="12.42578125" style="346" customWidth="1"/>
    <col min="14341" max="14341" width="11" style="346" customWidth="1"/>
    <col min="14342" max="14342" width="11.85546875" style="346" customWidth="1"/>
    <col min="14343" max="14592" width="9.140625" style="346"/>
    <col min="14593" max="14593" width="12.28515625" style="346" customWidth="1"/>
    <col min="14594" max="14594" width="54.42578125" style="346" customWidth="1"/>
    <col min="14595" max="14595" width="12" style="346" customWidth="1"/>
    <col min="14596" max="14596" width="12.42578125" style="346" customWidth="1"/>
    <col min="14597" max="14597" width="11" style="346" customWidth="1"/>
    <col min="14598" max="14598" width="11.85546875" style="346" customWidth="1"/>
    <col min="14599" max="14848" width="9.140625" style="346"/>
    <col min="14849" max="14849" width="12.28515625" style="346" customWidth="1"/>
    <col min="14850" max="14850" width="54.42578125" style="346" customWidth="1"/>
    <col min="14851" max="14851" width="12" style="346" customWidth="1"/>
    <col min="14852" max="14852" width="12.42578125" style="346" customWidth="1"/>
    <col min="14853" max="14853" width="11" style="346" customWidth="1"/>
    <col min="14854" max="14854" width="11.85546875" style="346" customWidth="1"/>
    <col min="14855" max="15104" width="9.140625" style="346"/>
    <col min="15105" max="15105" width="12.28515625" style="346" customWidth="1"/>
    <col min="15106" max="15106" width="54.42578125" style="346" customWidth="1"/>
    <col min="15107" max="15107" width="12" style="346" customWidth="1"/>
    <col min="15108" max="15108" width="12.42578125" style="346" customWidth="1"/>
    <col min="15109" max="15109" width="11" style="346" customWidth="1"/>
    <col min="15110" max="15110" width="11.85546875" style="346" customWidth="1"/>
    <col min="15111" max="15360" width="9.140625" style="346"/>
    <col min="15361" max="15361" width="12.28515625" style="346" customWidth="1"/>
    <col min="15362" max="15362" width="54.42578125" style="346" customWidth="1"/>
    <col min="15363" max="15363" width="12" style="346" customWidth="1"/>
    <col min="15364" max="15364" width="12.42578125" style="346" customWidth="1"/>
    <col min="15365" max="15365" width="11" style="346" customWidth="1"/>
    <col min="15366" max="15366" width="11.85546875" style="346" customWidth="1"/>
    <col min="15367" max="15616" width="9.140625" style="346"/>
    <col min="15617" max="15617" width="12.28515625" style="346" customWidth="1"/>
    <col min="15618" max="15618" width="54.42578125" style="346" customWidth="1"/>
    <col min="15619" max="15619" width="12" style="346" customWidth="1"/>
    <col min="15620" max="15620" width="12.42578125" style="346" customWidth="1"/>
    <col min="15621" max="15621" width="11" style="346" customWidth="1"/>
    <col min="15622" max="15622" width="11.85546875" style="346" customWidth="1"/>
    <col min="15623" max="15872" width="9.140625" style="346"/>
    <col min="15873" max="15873" width="12.28515625" style="346" customWidth="1"/>
    <col min="15874" max="15874" width="54.42578125" style="346" customWidth="1"/>
    <col min="15875" max="15875" width="12" style="346" customWidth="1"/>
    <col min="15876" max="15876" width="12.42578125" style="346" customWidth="1"/>
    <col min="15877" max="15877" width="11" style="346" customWidth="1"/>
    <col min="15878" max="15878" width="11.85546875" style="346" customWidth="1"/>
    <col min="15879" max="16128" width="9.140625" style="346"/>
    <col min="16129" max="16129" width="12.28515625" style="346" customWidth="1"/>
    <col min="16130" max="16130" width="54.42578125" style="346" customWidth="1"/>
    <col min="16131" max="16131" width="12" style="346" customWidth="1"/>
    <col min="16132" max="16132" width="12.42578125" style="346" customWidth="1"/>
    <col min="16133" max="16133" width="11" style="346" customWidth="1"/>
    <col min="16134" max="16134" width="11.85546875" style="346" customWidth="1"/>
    <col min="16135" max="16384" width="9.140625" style="346"/>
  </cols>
  <sheetData>
    <row r="1" spans="1:7" ht="27" customHeight="1">
      <c r="A1" s="520" t="s">
        <v>469</v>
      </c>
      <c r="B1" s="520"/>
      <c r="C1" s="520"/>
      <c r="D1" s="520"/>
      <c r="E1" s="520"/>
      <c r="F1" s="520"/>
    </row>
    <row r="2" spans="1:7">
      <c r="F2" s="347" t="s">
        <v>310</v>
      </c>
    </row>
    <row r="3" spans="1:7" ht="36.75" customHeight="1">
      <c r="A3" s="348" t="s">
        <v>311</v>
      </c>
      <c r="B3" s="348" t="s">
        <v>312</v>
      </c>
      <c r="C3" s="348" t="s">
        <v>154</v>
      </c>
      <c r="D3" s="348" t="s">
        <v>64</v>
      </c>
      <c r="E3" s="348" t="s">
        <v>65</v>
      </c>
      <c r="F3" s="348" t="s">
        <v>22</v>
      </c>
    </row>
    <row r="4" spans="1:7" ht="31.5">
      <c r="A4" s="388" t="s">
        <v>106</v>
      </c>
      <c r="B4" s="389" t="s">
        <v>470</v>
      </c>
      <c r="C4" s="390">
        <v>100</v>
      </c>
      <c r="D4" s="391">
        <v>579.29999999999995</v>
      </c>
      <c r="E4" s="392" t="s">
        <v>394</v>
      </c>
      <c r="F4" s="393">
        <f>D4</f>
        <v>579.29999999999995</v>
      </c>
    </row>
    <row r="5" spans="1:7">
      <c r="A5" s="361"/>
      <c r="B5" s="361"/>
      <c r="C5" s="361"/>
      <c r="D5" s="362" t="s">
        <v>38</v>
      </c>
      <c r="E5" s="361"/>
      <c r="F5" s="363">
        <f>SUM(F4:F4)</f>
        <v>579.29999999999995</v>
      </c>
    </row>
    <row r="6" spans="1:7" ht="15.75">
      <c r="C6" s="364" t="s">
        <v>333</v>
      </c>
      <c r="D6" s="364"/>
      <c r="E6" s="364"/>
      <c r="F6" s="395">
        <f>F5</f>
        <v>579.29999999999995</v>
      </c>
      <c r="G6" s="365">
        <f>F6/100000</f>
        <v>5.7929999999999995E-3</v>
      </c>
    </row>
    <row r="8" spans="1:7">
      <c r="C8" s="346" t="s">
        <v>334</v>
      </c>
    </row>
  </sheetData>
  <mergeCells count="1">
    <mergeCell ref="A1:F1"/>
  </mergeCells>
  <printOptions horizontalCentered="1"/>
  <pageMargins left="0.23622047244094491" right="0.15748031496062992" top="0.98425196850393704" bottom="0.98425196850393704" header="0.51181102362204722" footer="0.51181102362204722"/>
  <pageSetup paperSize="5" scale="8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0"/>
  <sheetViews>
    <sheetView view="pageBreakPreview" zoomScaleNormal="115" zoomScaleSheetLayoutView="100" workbookViewId="0">
      <pane xSplit="1" ySplit="3" topLeftCell="B12" activePane="bottomRight" state="frozen"/>
      <selection pane="topRight" activeCell="C1" sqref="C1"/>
      <selection pane="bottomLeft" activeCell="A5" sqref="A5"/>
      <selection pane="bottomRight" activeCell="A16" sqref="A16:XFD18"/>
    </sheetView>
  </sheetViews>
  <sheetFormatPr defaultRowHeight="15"/>
  <cols>
    <col min="1" max="1" width="13.7109375" style="346" customWidth="1"/>
    <col min="2" max="2" width="57.42578125" style="346" customWidth="1"/>
    <col min="3" max="3" width="14.28515625" style="346" customWidth="1"/>
    <col min="4" max="4" width="12.85546875" style="346" customWidth="1"/>
    <col min="5" max="5" width="12.28515625" style="346" customWidth="1"/>
    <col min="6" max="6" width="15.42578125" style="346" customWidth="1"/>
    <col min="7" max="256" width="9.140625" style="346"/>
    <col min="257" max="257" width="13.7109375" style="346" customWidth="1"/>
    <col min="258" max="258" width="56.28515625" style="346" customWidth="1"/>
    <col min="259" max="259" width="13.42578125" style="346" customWidth="1"/>
    <col min="260" max="260" width="11.28515625" style="346" customWidth="1"/>
    <col min="261" max="261" width="12.28515625" style="346" customWidth="1"/>
    <col min="262" max="262" width="15.42578125" style="346" customWidth="1"/>
    <col min="263" max="512" width="9.140625" style="346"/>
    <col min="513" max="513" width="13.7109375" style="346" customWidth="1"/>
    <col min="514" max="514" width="56.28515625" style="346" customWidth="1"/>
    <col min="515" max="515" width="13.42578125" style="346" customWidth="1"/>
    <col min="516" max="516" width="11.28515625" style="346" customWidth="1"/>
    <col min="517" max="517" width="12.28515625" style="346" customWidth="1"/>
    <col min="518" max="518" width="15.42578125" style="346" customWidth="1"/>
    <col min="519" max="768" width="9.140625" style="346"/>
    <col min="769" max="769" width="13.7109375" style="346" customWidth="1"/>
    <col min="770" max="770" width="56.28515625" style="346" customWidth="1"/>
    <col min="771" max="771" width="13.42578125" style="346" customWidth="1"/>
    <col min="772" max="772" width="11.28515625" style="346" customWidth="1"/>
    <col min="773" max="773" width="12.28515625" style="346" customWidth="1"/>
    <col min="774" max="774" width="15.42578125" style="346" customWidth="1"/>
    <col min="775" max="1024" width="9.140625" style="346"/>
    <col min="1025" max="1025" width="13.7109375" style="346" customWidth="1"/>
    <col min="1026" max="1026" width="56.28515625" style="346" customWidth="1"/>
    <col min="1027" max="1027" width="13.42578125" style="346" customWidth="1"/>
    <col min="1028" max="1028" width="11.28515625" style="346" customWidth="1"/>
    <col min="1029" max="1029" width="12.28515625" style="346" customWidth="1"/>
    <col min="1030" max="1030" width="15.42578125" style="346" customWidth="1"/>
    <col min="1031" max="1280" width="9.140625" style="346"/>
    <col min="1281" max="1281" width="13.7109375" style="346" customWidth="1"/>
    <col min="1282" max="1282" width="56.28515625" style="346" customWidth="1"/>
    <col min="1283" max="1283" width="13.42578125" style="346" customWidth="1"/>
    <col min="1284" max="1284" width="11.28515625" style="346" customWidth="1"/>
    <col min="1285" max="1285" width="12.28515625" style="346" customWidth="1"/>
    <col min="1286" max="1286" width="15.42578125" style="346" customWidth="1"/>
    <col min="1287" max="1536" width="9.140625" style="346"/>
    <col min="1537" max="1537" width="13.7109375" style="346" customWidth="1"/>
    <col min="1538" max="1538" width="56.28515625" style="346" customWidth="1"/>
    <col min="1539" max="1539" width="13.42578125" style="346" customWidth="1"/>
    <col min="1540" max="1540" width="11.28515625" style="346" customWidth="1"/>
    <col min="1541" max="1541" width="12.28515625" style="346" customWidth="1"/>
    <col min="1542" max="1542" width="15.42578125" style="346" customWidth="1"/>
    <col min="1543" max="1792" width="9.140625" style="346"/>
    <col min="1793" max="1793" width="13.7109375" style="346" customWidth="1"/>
    <col min="1794" max="1794" width="56.28515625" style="346" customWidth="1"/>
    <col min="1795" max="1795" width="13.42578125" style="346" customWidth="1"/>
    <col min="1796" max="1796" width="11.28515625" style="346" customWidth="1"/>
    <col min="1797" max="1797" width="12.28515625" style="346" customWidth="1"/>
    <col min="1798" max="1798" width="15.42578125" style="346" customWidth="1"/>
    <col min="1799" max="2048" width="9.140625" style="346"/>
    <col min="2049" max="2049" width="13.7109375" style="346" customWidth="1"/>
    <col min="2050" max="2050" width="56.28515625" style="346" customWidth="1"/>
    <col min="2051" max="2051" width="13.42578125" style="346" customWidth="1"/>
    <col min="2052" max="2052" width="11.28515625" style="346" customWidth="1"/>
    <col min="2053" max="2053" width="12.28515625" style="346" customWidth="1"/>
    <col min="2054" max="2054" width="15.42578125" style="346" customWidth="1"/>
    <col min="2055" max="2304" width="9.140625" style="346"/>
    <col min="2305" max="2305" width="13.7109375" style="346" customWidth="1"/>
    <col min="2306" max="2306" width="56.28515625" style="346" customWidth="1"/>
    <col min="2307" max="2307" width="13.42578125" style="346" customWidth="1"/>
    <col min="2308" max="2308" width="11.28515625" style="346" customWidth="1"/>
    <col min="2309" max="2309" width="12.28515625" style="346" customWidth="1"/>
    <col min="2310" max="2310" width="15.42578125" style="346" customWidth="1"/>
    <col min="2311" max="2560" width="9.140625" style="346"/>
    <col min="2561" max="2561" width="13.7109375" style="346" customWidth="1"/>
    <col min="2562" max="2562" width="56.28515625" style="346" customWidth="1"/>
    <col min="2563" max="2563" width="13.42578125" style="346" customWidth="1"/>
    <col min="2564" max="2564" width="11.28515625" style="346" customWidth="1"/>
    <col min="2565" max="2565" width="12.28515625" style="346" customWidth="1"/>
    <col min="2566" max="2566" width="15.42578125" style="346" customWidth="1"/>
    <col min="2567" max="2816" width="9.140625" style="346"/>
    <col min="2817" max="2817" width="13.7109375" style="346" customWidth="1"/>
    <col min="2818" max="2818" width="56.28515625" style="346" customWidth="1"/>
    <col min="2819" max="2819" width="13.42578125" style="346" customWidth="1"/>
    <col min="2820" max="2820" width="11.28515625" style="346" customWidth="1"/>
    <col min="2821" max="2821" width="12.28515625" style="346" customWidth="1"/>
    <col min="2822" max="2822" width="15.42578125" style="346" customWidth="1"/>
    <col min="2823" max="3072" width="9.140625" style="346"/>
    <col min="3073" max="3073" width="13.7109375" style="346" customWidth="1"/>
    <col min="3074" max="3074" width="56.28515625" style="346" customWidth="1"/>
    <col min="3075" max="3075" width="13.42578125" style="346" customWidth="1"/>
    <col min="3076" max="3076" width="11.28515625" style="346" customWidth="1"/>
    <col min="3077" max="3077" width="12.28515625" style="346" customWidth="1"/>
    <col min="3078" max="3078" width="15.42578125" style="346" customWidth="1"/>
    <col min="3079" max="3328" width="9.140625" style="346"/>
    <col min="3329" max="3329" width="13.7109375" style="346" customWidth="1"/>
    <col min="3330" max="3330" width="56.28515625" style="346" customWidth="1"/>
    <col min="3331" max="3331" width="13.42578125" style="346" customWidth="1"/>
    <col min="3332" max="3332" width="11.28515625" style="346" customWidth="1"/>
    <col min="3333" max="3333" width="12.28515625" style="346" customWidth="1"/>
    <col min="3334" max="3334" width="15.42578125" style="346" customWidth="1"/>
    <col min="3335" max="3584" width="9.140625" style="346"/>
    <col min="3585" max="3585" width="13.7109375" style="346" customWidth="1"/>
    <col min="3586" max="3586" width="56.28515625" style="346" customWidth="1"/>
    <col min="3587" max="3587" width="13.42578125" style="346" customWidth="1"/>
    <col min="3588" max="3588" width="11.28515625" style="346" customWidth="1"/>
    <col min="3589" max="3589" width="12.28515625" style="346" customWidth="1"/>
    <col min="3590" max="3590" width="15.42578125" style="346" customWidth="1"/>
    <col min="3591" max="3840" width="9.140625" style="346"/>
    <col min="3841" max="3841" width="13.7109375" style="346" customWidth="1"/>
    <col min="3842" max="3842" width="56.28515625" style="346" customWidth="1"/>
    <col min="3843" max="3843" width="13.42578125" style="346" customWidth="1"/>
    <col min="3844" max="3844" width="11.28515625" style="346" customWidth="1"/>
    <col min="3845" max="3845" width="12.28515625" style="346" customWidth="1"/>
    <col min="3846" max="3846" width="15.42578125" style="346" customWidth="1"/>
    <col min="3847" max="4096" width="9.140625" style="346"/>
    <col min="4097" max="4097" width="13.7109375" style="346" customWidth="1"/>
    <col min="4098" max="4098" width="56.28515625" style="346" customWidth="1"/>
    <col min="4099" max="4099" width="13.42578125" style="346" customWidth="1"/>
    <col min="4100" max="4100" width="11.28515625" style="346" customWidth="1"/>
    <col min="4101" max="4101" width="12.28515625" style="346" customWidth="1"/>
    <col min="4102" max="4102" width="15.42578125" style="346" customWidth="1"/>
    <col min="4103" max="4352" width="9.140625" style="346"/>
    <col min="4353" max="4353" width="13.7109375" style="346" customWidth="1"/>
    <col min="4354" max="4354" width="56.28515625" style="346" customWidth="1"/>
    <col min="4355" max="4355" width="13.42578125" style="346" customWidth="1"/>
    <col min="4356" max="4356" width="11.28515625" style="346" customWidth="1"/>
    <col min="4357" max="4357" width="12.28515625" style="346" customWidth="1"/>
    <col min="4358" max="4358" width="15.42578125" style="346" customWidth="1"/>
    <col min="4359" max="4608" width="9.140625" style="346"/>
    <col min="4609" max="4609" width="13.7109375" style="346" customWidth="1"/>
    <col min="4610" max="4610" width="56.28515625" style="346" customWidth="1"/>
    <col min="4611" max="4611" width="13.42578125" style="346" customWidth="1"/>
    <col min="4612" max="4612" width="11.28515625" style="346" customWidth="1"/>
    <col min="4613" max="4613" width="12.28515625" style="346" customWidth="1"/>
    <col min="4614" max="4614" width="15.42578125" style="346" customWidth="1"/>
    <col min="4615" max="4864" width="9.140625" style="346"/>
    <col min="4865" max="4865" width="13.7109375" style="346" customWidth="1"/>
    <col min="4866" max="4866" width="56.28515625" style="346" customWidth="1"/>
    <col min="4867" max="4867" width="13.42578125" style="346" customWidth="1"/>
    <col min="4868" max="4868" width="11.28515625" style="346" customWidth="1"/>
    <col min="4869" max="4869" width="12.28515625" style="346" customWidth="1"/>
    <col min="4870" max="4870" width="15.42578125" style="346" customWidth="1"/>
    <col min="4871" max="5120" width="9.140625" style="346"/>
    <col min="5121" max="5121" width="13.7109375" style="346" customWidth="1"/>
    <col min="5122" max="5122" width="56.28515625" style="346" customWidth="1"/>
    <col min="5123" max="5123" width="13.42578125" style="346" customWidth="1"/>
    <col min="5124" max="5124" width="11.28515625" style="346" customWidth="1"/>
    <col min="5125" max="5125" width="12.28515625" style="346" customWidth="1"/>
    <col min="5126" max="5126" width="15.42578125" style="346" customWidth="1"/>
    <col min="5127" max="5376" width="9.140625" style="346"/>
    <col min="5377" max="5377" width="13.7109375" style="346" customWidth="1"/>
    <col min="5378" max="5378" width="56.28515625" style="346" customWidth="1"/>
    <col min="5379" max="5379" width="13.42578125" style="346" customWidth="1"/>
    <col min="5380" max="5380" width="11.28515625" style="346" customWidth="1"/>
    <col min="5381" max="5381" width="12.28515625" style="346" customWidth="1"/>
    <col min="5382" max="5382" width="15.42578125" style="346" customWidth="1"/>
    <col min="5383" max="5632" width="9.140625" style="346"/>
    <col min="5633" max="5633" width="13.7109375" style="346" customWidth="1"/>
    <col min="5634" max="5634" width="56.28515625" style="346" customWidth="1"/>
    <col min="5635" max="5635" width="13.42578125" style="346" customWidth="1"/>
    <col min="5636" max="5636" width="11.28515625" style="346" customWidth="1"/>
    <col min="5637" max="5637" width="12.28515625" style="346" customWidth="1"/>
    <col min="5638" max="5638" width="15.42578125" style="346" customWidth="1"/>
    <col min="5639" max="5888" width="9.140625" style="346"/>
    <col min="5889" max="5889" width="13.7109375" style="346" customWidth="1"/>
    <col min="5890" max="5890" width="56.28515625" style="346" customWidth="1"/>
    <col min="5891" max="5891" width="13.42578125" style="346" customWidth="1"/>
    <col min="5892" max="5892" width="11.28515625" style="346" customWidth="1"/>
    <col min="5893" max="5893" width="12.28515625" style="346" customWidth="1"/>
    <col min="5894" max="5894" width="15.42578125" style="346" customWidth="1"/>
    <col min="5895" max="6144" width="9.140625" style="346"/>
    <col min="6145" max="6145" width="13.7109375" style="346" customWidth="1"/>
    <col min="6146" max="6146" width="56.28515625" style="346" customWidth="1"/>
    <col min="6147" max="6147" width="13.42578125" style="346" customWidth="1"/>
    <col min="6148" max="6148" width="11.28515625" style="346" customWidth="1"/>
    <col min="6149" max="6149" width="12.28515625" style="346" customWidth="1"/>
    <col min="6150" max="6150" width="15.42578125" style="346" customWidth="1"/>
    <col min="6151" max="6400" width="9.140625" style="346"/>
    <col min="6401" max="6401" width="13.7109375" style="346" customWidth="1"/>
    <col min="6402" max="6402" width="56.28515625" style="346" customWidth="1"/>
    <col min="6403" max="6403" width="13.42578125" style="346" customWidth="1"/>
    <col min="6404" max="6404" width="11.28515625" style="346" customWidth="1"/>
    <col min="6405" max="6405" width="12.28515625" style="346" customWidth="1"/>
    <col min="6406" max="6406" width="15.42578125" style="346" customWidth="1"/>
    <col min="6407" max="6656" width="9.140625" style="346"/>
    <col min="6657" max="6657" width="13.7109375" style="346" customWidth="1"/>
    <col min="6658" max="6658" width="56.28515625" style="346" customWidth="1"/>
    <col min="6659" max="6659" width="13.42578125" style="346" customWidth="1"/>
    <col min="6660" max="6660" width="11.28515625" style="346" customWidth="1"/>
    <col min="6661" max="6661" width="12.28515625" style="346" customWidth="1"/>
    <col min="6662" max="6662" width="15.42578125" style="346" customWidth="1"/>
    <col min="6663" max="6912" width="9.140625" style="346"/>
    <col min="6913" max="6913" width="13.7109375" style="346" customWidth="1"/>
    <col min="6914" max="6914" width="56.28515625" style="346" customWidth="1"/>
    <col min="6915" max="6915" width="13.42578125" style="346" customWidth="1"/>
    <col min="6916" max="6916" width="11.28515625" style="346" customWidth="1"/>
    <col min="6917" max="6917" width="12.28515625" style="346" customWidth="1"/>
    <col min="6918" max="6918" width="15.42578125" style="346" customWidth="1"/>
    <col min="6919" max="7168" width="9.140625" style="346"/>
    <col min="7169" max="7169" width="13.7109375" style="346" customWidth="1"/>
    <col min="7170" max="7170" width="56.28515625" style="346" customWidth="1"/>
    <col min="7171" max="7171" width="13.42578125" style="346" customWidth="1"/>
    <col min="7172" max="7172" width="11.28515625" style="346" customWidth="1"/>
    <col min="7173" max="7173" width="12.28515625" style="346" customWidth="1"/>
    <col min="7174" max="7174" width="15.42578125" style="346" customWidth="1"/>
    <col min="7175" max="7424" width="9.140625" style="346"/>
    <col min="7425" max="7425" width="13.7109375" style="346" customWidth="1"/>
    <col min="7426" max="7426" width="56.28515625" style="346" customWidth="1"/>
    <col min="7427" max="7427" width="13.42578125" style="346" customWidth="1"/>
    <col min="7428" max="7428" width="11.28515625" style="346" customWidth="1"/>
    <col min="7429" max="7429" width="12.28515625" style="346" customWidth="1"/>
    <col min="7430" max="7430" width="15.42578125" style="346" customWidth="1"/>
    <col min="7431" max="7680" width="9.140625" style="346"/>
    <col min="7681" max="7681" width="13.7109375" style="346" customWidth="1"/>
    <col min="7682" max="7682" width="56.28515625" style="346" customWidth="1"/>
    <col min="7683" max="7683" width="13.42578125" style="346" customWidth="1"/>
    <col min="7684" max="7684" width="11.28515625" style="346" customWidth="1"/>
    <col min="7685" max="7685" width="12.28515625" style="346" customWidth="1"/>
    <col min="7686" max="7686" width="15.42578125" style="346" customWidth="1"/>
    <col min="7687" max="7936" width="9.140625" style="346"/>
    <col min="7937" max="7937" width="13.7109375" style="346" customWidth="1"/>
    <col min="7938" max="7938" width="56.28515625" style="346" customWidth="1"/>
    <col min="7939" max="7939" width="13.42578125" style="346" customWidth="1"/>
    <col min="7940" max="7940" width="11.28515625" style="346" customWidth="1"/>
    <col min="7941" max="7941" width="12.28515625" style="346" customWidth="1"/>
    <col min="7942" max="7942" width="15.42578125" style="346" customWidth="1"/>
    <col min="7943" max="8192" width="9.140625" style="346"/>
    <col min="8193" max="8193" width="13.7109375" style="346" customWidth="1"/>
    <col min="8194" max="8194" width="56.28515625" style="346" customWidth="1"/>
    <col min="8195" max="8195" width="13.42578125" style="346" customWidth="1"/>
    <col min="8196" max="8196" width="11.28515625" style="346" customWidth="1"/>
    <col min="8197" max="8197" width="12.28515625" style="346" customWidth="1"/>
    <col min="8198" max="8198" width="15.42578125" style="346" customWidth="1"/>
    <col min="8199" max="8448" width="9.140625" style="346"/>
    <col min="8449" max="8449" width="13.7109375" style="346" customWidth="1"/>
    <col min="8450" max="8450" width="56.28515625" style="346" customWidth="1"/>
    <col min="8451" max="8451" width="13.42578125" style="346" customWidth="1"/>
    <col min="8452" max="8452" width="11.28515625" style="346" customWidth="1"/>
    <col min="8453" max="8453" width="12.28515625" style="346" customWidth="1"/>
    <col min="8454" max="8454" width="15.42578125" style="346" customWidth="1"/>
    <col min="8455" max="8704" width="9.140625" style="346"/>
    <col min="8705" max="8705" width="13.7109375" style="346" customWidth="1"/>
    <col min="8706" max="8706" width="56.28515625" style="346" customWidth="1"/>
    <col min="8707" max="8707" width="13.42578125" style="346" customWidth="1"/>
    <col min="8708" max="8708" width="11.28515625" style="346" customWidth="1"/>
    <col min="8709" max="8709" width="12.28515625" style="346" customWidth="1"/>
    <col min="8710" max="8710" width="15.42578125" style="346" customWidth="1"/>
    <col min="8711" max="8960" width="9.140625" style="346"/>
    <col min="8961" max="8961" width="13.7109375" style="346" customWidth="1"/>
    <col min="8962" max="8962" width="56.28515625" style="346" customWidth="1"/>
    <col min="8963" max="8963" width="13.42578125" style="346" customWidth="1"/>
    <col min="8964" max="8964" width="11.28515625" style="346" customWidth="1"/>
    <col min="8965" max="8965" width="12.28515625" style="346" customWidth="1"/>
    <col min="8966" max="8966" width="15.42578125" style="346" customWidth="1"/>
    <col min="8967" max="9216" width="9.140625" style="346"/>
    <col min="9217" max="9217" width="13.7109375" style="346" customWidth="1"/>
    <col min="9218" max="9218" width="56.28515625" style="346" customWidth="1"/>
    <col min="9219" max="9219" width="13.42578125" style="346" customWidth="1"/>
    <col min="9220" max="9220" width="11.28515625" style="346" customWidth="1"/>
    <col min="9221" max="9221" width="12.28515625" style="346" customWidth="1"/>
    <col min="9222" max="9222" width="15.42578125" style="346" customWidth="1"/>
    <col min="9223" max="9472" width="9.140625" style="346"/>
    <col min="9473" max="9473" width="13.7109375" style="346" customWidth="1"/>
    <col min="9474" max="9474" width="56.28515625" style="346" customWidth="1"/>
    <col min="9475" max="9475" width="13.42578125" style="346" customWidth="1"/>
    <col min="9476" max="9476" width="11.28515625" style="346" customWidth="1"/>
    <col min="9477" max="9477" width="12.28515625" style="346" customWidth="1"/>
    <col min="9478" max="9478" width="15.42578125" style="346" customWidth="1"/>
    <col min="9479" max="9728" width="9.140625" style="346"/>
    <col min="9729" max="9729" width="13.7109375" style="346" customWidth="1"/>
    <col min="9730" max="9730" width="56.28515625" style="346" customWidth="1"/>
    <col min="9731" max="9731" width="13.42578125" style="346" customWidth="1"/>
    <col min="9732" max="9732" width="11.28515625" style="346" customWidth="1"/>
    <col min="9733" max="9733" width="12.28515625" style="346" customWidth="1"/>
    <col min="9734" max="9734" width="15.42578125" style="346" customWidth="1"/>
    <col min="9735" max="9984" width="9.140625" style="346"/>
    <col min="9985" max="9985" width="13.7109375" style="346" customWidth="1"/>
    <col min="9986" max="9986" width="56.28515625" style="346" customWidth="1"/>
    <col min="9987" max="9987" width="13.42578125" style="346" customWidth="1"/>
    <col min="9988" max="9988" width="11.28515625" style="346" customWidth="1"/>
    <col min="9989" max="9989" width="12.28515625" style="346" customWidth="1"/>
    <col min="9990" max="9990" width="15.42578125" style="346" customWidth="1"/>
    <col min="9991" max="10240" width="9.140625" style="346"/>
    <col min="10241" max="10241" width="13.7109375" style="346" customWidth="1"/>
    <col min="10242" max="10242" width="56.28515625" style="346" customWidth="1"/>
    <col min="10243" max="10243" width="13.42578125" style="346" customWidth="1"/>
    <col min="10244" max="10244" width="11.28515625" style="346" customWidth="1"/>
    <col min="10245" max="10245" width="12.28515625" style="346" customWidth="1"/>
    <col min="10246" max="10246" width="15.42578125" style="346" customWidth="1"/>
    <col min="10247" max="10496" width="9.140625" style="346"/>
    <col min="10497" max="10497" width="13.7109375" style="346" customWidth="1"/>
    <col min="10498" max="10498" width="56.28515625" style="346" customWidth="1"/>
    <col min="10499" max="10499" width="13.42578125" style="346" customWidth="1"/>
    <col min="10500" max="10500" width="11.28515625" style="346" customWidth="1"/>
    <col min="10501" max="10501" width="12.28515625" style="346" customWidth="1"/>
    <col min="10502" max="10502" width="15.42578125" style="346" customWidth="1"/>
    <col min="10503" max="10752" width="9.140625" style="346"/>
    <col min="10753" max="10753" width="13.7109375" style="346" customWidth="1"/>
    <col min="10754" max="10754" width="56.28515625" style="346" customWidth="1"/>
    <col min="10755" max="10755" width="13.42578125" style="346" customWidth="1"/>
    <col min="10756" max="10756" width="11.28515625" style="346" customWidth="1"/>
    <col min="10757" max="10757" width="12.28515625" style="346" customWidth="1"/>
    <col min="10758" max="10758" width="15.42578125" style="346" customWidth="1"/>
    <col min="10759" max="11008" width="9.140625" style="346"/>
    <col min="11009" max="11009" width="13.7109375" style="346" customWidth="1"/>
    <col min="11010" max="11010" width="56.28515625" style="346" customWidth="1"/>
    <col min="11011" max="11011" width="13.42578125" style="346" customWidth="1"/>
    <col min="11012" max="11012" width="11.28515625" style="346" customWidth="1"/>
    <col min="11013" max="11013" width="12.28515625" style="346" customWidth="1"/>
    <col min="11014" max="11014" width="15.42578125" style="346" customWidth="1"/>
    <col min="11015" max="11264" width="9.140625" style="346"/>
    <col min="11265" max="11265" width="13.7109375" style="346" customWidth="1"/>
    <col min="11266" max="11266" width="56.28515625" style="346" customWidth="1"/>
    <col min="11267" max="11267" width="13.42578125" style="346" customWidth="1"/>
    <col min="11268" max="11268" width="11.28515625" style="346" customWidth="1"/>
    <col min="11269" max="11269" width="12.28515625" style="346" customWidth="1"/>
    <col min="11270" max="11270" width="15.42578125" style="346" customWidth="1"/>
    <col min="11271" max="11520" width="9.140625" style="346"/>
    <col min="11521" max="11521" width="13.7109375" style="346" customWidth="1"/>
    <col min="11522" max="11522" width="56.28515625" style="346" customWidth="1"/>
    <col min="11523" max="11523" width="13.42578125" style="346" customWidth="1"/>
    <col min="11524" max="11524" width="11.28515625" style="346" customWidth="1"/>
    <col min="11525" max="11525" width="12.28515625" style="346" customWidth="1"/>
    <col min="11526" max="11526" width="15.42578125" style="346" customWidth="1"/>
    <col min="11527" max="11776" width="9.140625" style="346"/>
    <col min="11777" max="11777" width="13.7109375" style="346" customWidth="1"/>
    <col min="11778" max="11778" width="56.28515625" style="346" customWidth="1"/>
    <col min="11779" max="11779" width="13.42578125" style="346" customWidth="1"/>
    <col min="11780" max="11780" width="11.28515625" style="346" customWidth="1"/>
    <col min="11781" max="11781" width="12.28515625" style="346" customWidth="1"/>
    <col min="11782" max="11782" width="15.42578125" style="346" customWidth="1"/>
    <col min="11783" max="12032" width="9.140625" style="346"/>
    <col min="12033" max="12033" width="13.7109375" style="346" customWidth="1"/>
    <col min="12034" max="12034" width="56.28515625" style="346" customWidth="1"/>
    <col min="12035" max="12035" width="13.42578125" style="346" customWidth="1"/>
    <col min="12036" max="12036" width="11.28515625" style="346" customWidth="1"/>
    <col min="12037" max="12037" width="12.28515625" style="346" customWidth="1"/>
    <col min="12038" max="12038" width="15.42578125" style="346" customWidth="1"/>
    <col min="12039" max="12288" width="9.140625" style="346"/>
    <col min="12289" max="12289" width="13.7109375" style="346" customWidth="1"/>
    <col min="12290" max="12290" width="56.28515625" style="346" customWidth="1"/>
    <col min="12291" max="12291" width="13.42578125" style="346" customWidth="1"/>
    <col min="12292" max="12292" width="11.28515625" style="346" customWidth="1"/>
    <col min="12293" max="12293" width="12.28515625" style="346" customWidth="1"/>
    <col min="12294" max="12294" width="15.42578125" style="346" customWidth="1"/>
    <col min="12295" max="12544" width="9.140625" style="346"/>
    <col min="12545" max="12545" width="13.7109375" style="346" customWidth="1"/>
    <col min="12546" max="12546" width="56.28515625" style="346" customWidth="1"/>
    <col min="12547" max="12547" width="13.42578125" style="346" customWidth="1"/>
    <col min="12548" max="12548" width="11.28515625" style="346" customWidth="1"/>
    <col min="12549" max="12549" width="12.28515625" style="346" customWidth="1"/>
    <col min="12550" max="12550" width="15.42578125" style="346" customWidth="1"/>
    <col min="12551" max="12800" width="9.140625" style="346"/>
    <col min="12801" max="12801" width="13.7109375" style="346" customWidth="1"/>
    <col min="12802" max="12802" width="56.28515625" style="346" customWidth="1"/>
    <col min="12803" max="12803" width="13.42578125" style="346" customWidth="1"/>
    <col min="12804" max="12804" width="11.28515625" style="346" customWidth="1"/>
    <col min="12805" max="12805" width="12.28515625" style="346" customWidth="1"/>
    <col min="12806" max="12806" width="15.42578125" style="346" customWidth="1"/>
    <col min="12807" max="13056" width="9.140625" style="346"/>
    <col min="13057" max="13057" width="13.7109375" style="346" customWidth="1"/>
    <col min="13058" max="13058" width="56.28515625" style="346" customWidth="1"/>
    <col min="13059" max="13059" width="13.42578125" style="346" customWidth="1"/>
    <col min="13060" max="13060" width="11.28515625" style="346" customWidth="1"/>
    <col min="13061" max="13061" width="12.28515625" style="346" customWidth="1"/>
    <col min="13062" max="13062" width="15.42578125" style="346" customWidth="1"/>
    <col min="13063" max="13312" width="9.140625" style="346"/>
    <col min="13313" max="13313" width="13.7109375" style="346" customWidth="1"/>
    <col min="13314" max="13314" width="56.28515625" style="346" customWidth="1"/>
    <col min="13315" max="13315" width="13.42578125" style="346" customWidth="1"/>
    <col min="13316" max="13316" width="11.28515625" style="346" customWidth="1"/>
    <col min="13317" max="13317" width="12.28515625" style="346" customWidth="1"/>
    <col min="13318" max="13318" width="15.42578125" style="346" customWidth="1"/>
    <col min="13319" max="13568" width="9.140625" style="346"/>
    <col min="13569" max="13569" width="13.7109375" style="346" customWidth="1"/>
    <col min="13570" max="13570" width="56.28515625" style="346" customWidth="1"/>
    <col min="13571" max="13571" width="13.42578125" style="346" customWidth="1"/>
    <col min="13572" max="13572" width="11.28515625" style="346" customWidth="1"/>
    <col min="13573" max="13573" width="12.28515625" style="346" customWidth="1"/>
    <col min="13574" max="13574" width="15.42578125" style="346" customWidth="1"/>
    <col min="13575" max="13824" width="9.140625" style="346"/>
    <col min="13825" max="13825" width="13.7109375" style="346" customWidth="1"/>
    <col min="13826" max="13826" width="56.28515625" style="346" customWidth="1"/>
    <col min="13827" max="13827" width="13.42578125" style="346" customWidth="1"/>
    <col min="13828" max="13828" width="11.28515625" style="346" customWidth="1"/>
    <col min="13829" max="13829" width="12.28515625" style="346" customWidth="1"/>
    <col min="13830" max="13830" width="15.42578125" style="346" customWidth="1"/>
    <col min="13831" max="14080" width="9.140625" style="346"/>
    <col min="14081" max="14081" width="13.7109375" style="346" customWidth="1"/>
    <col min="14082" max="14082" width="56.28515625" style="346" customWidth="1"/>
    <col min="14083" max="14083" width="13.42578125" style="346" customWidth="1"/>
    <col min="14084" max="14084" width="11.28515625" style="346" customWidth="1"/>
    <col min="14085" max="14085" width="12.28515625" style="346" customWidth="1"/>
    <col min="14086" max="14086" width="15.42578125" style="346" customWidth="1"/>
    <col min="14087" max="14336" width="9.140625" style="346"/>
    <col min="14337" max="14337" width="13.7109375" style="346" customWidth="1"/>
    <col min="14338" max="14338" width="56.28515625" style="346" customWidth="1"/>
    <col min="14339" max="14339" width="13.42578125" style="346" customWidth="1"/>
    <col min="14340" max="14340" width="11.28515625" style="346" customWidth="1"/>
    <col min="14341" max="14341" width="12.28515625" style="346" customWidth="1"/>
    <col min="14342" max="14342" width="15.42578125" style="346" customWidth="1"/>
    <col min="14343" max="14592" width="9.140625" style="346"/>
    <col min="14593" max="14593" width="13.7109375" style="346" customWidth="1"/>
    <col min="14594" max="14594" width="56.28515625" style="346" customWidth="1"/>
    <col min="14595" max="14595" width="13.42578125" style="346" customWidth="1"/>
    <col min="14596" max="14596" width="11.28515625" style="346" customWidth="1"/>
    <col min="14597" max="14597" width="12.28515625" style="346" customWidth="1"/>
    <col min="14598" max="14598" width="15.42578125" style="346" customWidth="1"/>
    <col min="14599" max="14848" width="9.140625" style="346"/>
    <col min="14849" max="14849" width="13.7109375" style="346" customWidth="1"/>
    <col min="14850" max="14850" width="56.28515625" style="346" customWidth="1"/>
    <col min="14851" max="14851" width="13.42578125" style="346" customWidth="1"/>
    <col min="14852" max="14852" width="11.28515625" style="346" customWidth="1"/>
    <col min="14853" max="14853" width="12.28515625" style="346" customWidth="1"/>
    <col min="14854" max="14854" width="15.42578125" style="346" customWidth="1"/>
    <col min="14855" max="15104" width="9.140625" style="346"/>
    <col min="15105" max="15105" width="13.7109375" style="346" customWidth="1"/>
    <col min="15106" max="15106" width="56.28515625" style="346" customWidth="1"/>
    <col min="15107" max="15107" width="13.42578125" style="346" customWidth="1"/>
    <col min="15108" max="15108" width="11.28515625" style="346" customWidth="1"/>
    <col min="15109" max="15109" width="12.28515625" style="346" customWidth="1"/>
    <col min="15110" max="15110" width="15.42578125" style="346" customWidth="1"/>
    <col min="15111" max="15360" width="9.140625" style="346"/>
    <col min="15361" max="15361" width="13.7109375" style="346" customWidth="1"/>
    <col min="15362" max="15362" width="56.28515625" style="346" customWidth="1"/>
    <col min="15363" max="15363" width="13.42578125" style="346" customWidth="1"/>
    <col min="15364" max="15364" width="11.28515625" style="346" customWidth="1"/>
    <col min="15365" max="15365" width="12.28515625" style="346" customWidth="1"/>
    <col min="15366" max="15366" width="15.42578125" style="346" customWidth="1"/>
    <col min="15367" max="15616" width="9.140625" style="346"/>
    <col min="15617" max="15617" width="13.7109375" style="346" customWidth="1"/>
    <col min="15618" max="15618" width="56.28515625" style="346" customWidth="1"/>
    <col min="15619" max="15619" width="13.42578125" style="346" customWidth="1"/>
    <col min="15620" max="15620" width="11.28515625" style="346" customWidth="1"/>
    <col min="15621" max="15621" width="12.28515625" style="346" customWidth="1"/>
    <col min="15622" max="15622" width="15.42578125" style="346" customWidth="1"/>
    <col min="15623" max="15872" width="9.140625" style="346"/>
    <col min="15873" max="15873" width="13.7109375" style="346" customWidth="1"/>
    <col min="15874" max="15874" width="56.28515625" style="346" customWidth="1"/>
    <col min="15875" max="15875" width="13.42578125" style="346" customWidth="1"/>
    <col min="15876" max="15876" width="11.28515625" style="346" customWidth="1"/>
    <col min="15877" max="15877" width="12.28515625" style="346" customWidth="1"/>
    <col min="15878" max="15878" width="15.42578125" style="346" customWidth="1"/>
    <col min="15879" max="16128" width="9.140625" style="346"/>
    <col min="16129" max="16129" width="13.7109375" style="346" customWidth="1"/>
    <col min="16130" max="16130" width="56.28515625" style="346" customWidth="1"/>
    <col min="16131" max="16131" width="13.42578125" style="346" customWidth="1"/>
    <col min="16132" max="16132" width="11.28515625" style="346" customWidth="1"/>
    <col min="16133" max="16133" width="12.28515625" style="346" customWidth="1"/>
    <col min="16134" max="16134" width="15.42578125" style="346" customWidth="1"/>
    <col min="16135" max="16384" width="9.140625" style="346"/>
  </cols>
  <sheetData>
    <row r="1" spans="1:8" ht="27" customHeight="1">
      <c r="A1" s="520" t="s">
        <v>427</v>
      </c>
      <c r="B1" s="520"/>
      <c r="C1" s="520"/>
      <c r="D1" s="520"/>
      <c r="E1" s="520"/>
      <c r="F1" s="520"/>
      <c r="G1" s="367"/>
    </row>
    <row r="2" spans="1:8">
      <c r="F2" s="347" t="s">
        <v>310</v>
      </c>
    </row>
    <row r="3" spans="1:8" ht="36.75" customHeight="1">
      <c r="A3" s="348" t="s">
        <v>311</v>
      </c>
      <c r="B3" s="348" t="s">
        <v>312</v>
      </c>
      <c r="C3" s="348" t="s">
        <v>154</v>
      </c>
      <c r="D3" s="348" t="s">
        <v>64</v>
      </c>
      <c r="E3" s="348" t="s">
        <v>65</v>
      </c>
      <c r="F3" s="348" t="s">
        <v>22</v>
      </c>
    </row>
    <row r="4" spans="1:8" s="410" customFormat="1" ht="47.25">
      <c r="A4" s="406" t="s">
        <v>428</v>
      </c>
      <c r="B4" s="404" t="s">
        <v>429</v>
      </c>
      <c r="C4" s="408"/>
      <c r="D4" s="409" t="s">
        <v>455</v>
      </c>
      <c r="E4" s="415"/>
      <c r="F4" s="415"/>
    </row>
    <row r="5" spans="1:8" s="410" customFormat="1" ht="242.25" customHeight="1">
      <c r="A5" s="406"/>
      <c r="B5" s="407" t="s">
        <v>430</v>
      </c>
      <c r="C5" s="409"/>
      <c r="D5" s="409"/>
      <c r="E5" s="415"/>
      <c r="F5" s="415"/>
    </row>
    <row r="6" spans="1:8" s="412" customFormat="1" ht="177" customHeight="1">
      <c r="A6" s="406" t="s">
        <v>428</v>
      </c>
      <c r="B6" s="404" t="s">
        <v>431</v>
      </c>
      <c r="C6" s="409"/>
      <c r="D6" s="411"/>
      <c r="E6" s="416"/>
      <c r="F6" s="416"/>
    </row>
    <row r="7" spans="1:8" s="410" customFormat="1" ht="15.75">
      <c r="A7" s="406"/>
      <c r="B7" s="404" t="s">
        <v>432</v>
      </c>
      <c r="C7" s="416">
        <v>35</v>
      </c>
      <c r="D7" s="411">
        <v>76.55</v>
      </c>
      <c r="E7" s="409" t="s">
        <v>456</v>
      </c>
      <c r="F7" s="421">
        <f>C7*D7/100</f>
        <v>26.7925</v>
      </c>
      <c r="H7" s="410">
        <f>1750/50</f>
        <v>35</v>
      </c>
    </row>
    <row r="8" spans="1:8" s="410" customFormat="1" ht="31.5">
      <c r="A8" s="406"/>
      <c r="B8" s="404" t="s">
        <v>433</v>
      </c>
      <c r="C8" s="416">
        <v>35</v>
      </c>
      <c r="D8" s="411">
        <v>54.25</v>
      </c>
      <c r="E8" s="409" t="s">
        <v>457</v>
      </c>
      <c r="F8" s="421">
        <f t="shared" ref="F8:F14" si="0">C8*D8/100</f>
        <v>18.987500000000001</v>
      </c>
    </row>
    <row r="9" spans="1:8" s="410" customFormat="1" ht="34.5">
      <c r="A9" s="406"/>
      <c r="B9" s="404" t="s">
        <v>434</v>
      </c>
      <c r="C9" s="416">
        <v>35</v>
      </c>
      <c r="D9" s="414">
        <v>4.5</v>
      </c>
      <c r="E9" s="413" t="s">
        <v>457</v>
      </c>
      <c r="F9" s="421">
        <f t="shared" si="0"/>
        <v>1.575</v>
      </c>
    </row>
    <row r="10" spans="1:8" s="410" customFormat="1" ht="31.5">
      <c r="A10" s="406"/>
      <c r="B10" s="404" t="s">
        <v>435</v>
      </c>
      <c r="C10" s="416"/>
      <c r="D10" s="414"/>
      <c r="E10" s="413" t="s">
        <v>458</v>
      </c>
      <c r="F10" s="421"/>
    </row>
    <row r="11" spans="1:8" s="410" customFormat="1" ht="31.5">
      <c r="A11" s="406"/>
      <c r="B11" s="404" t="s">
        <v>465</v>
      </c>
      <c r="C11" s="416">
        <v>35</v>
      </c>
      <c r="D11" s="414">
        <v>33.65</v>
      </c>
      <c r="E11" s="413" t="s">
        <v>457</v>
      </c>
      <c r="F11" s="421">
        <f t="shared" si="0"/>
        <v>11.7775</v>
      </c>
    </row>
    <row r="12" spans="1:8" s="410" customFormat="1" ht="31.5">
      <c r="A12" s="406"/>
      <c r="B12" s="404" t="s">
        <v>466</v>
      </c>
      <c r="C12" s="416">
        <v>35</v>
      </c>
      <c r="D12" s="414">
        <v>1.3</v>
      </c>
      <c r="E12" s="413" t="s">
        <v>457</v>
      </c>
      <c r="F12" s="421">
        <f t="shared" si="0"/>
        <v>0.45500000000000002</v>
      </c>
    </row>
    <row r="13" spans="1:8" s="410" customFormat="1" ht="31.5">
      <c r="A13" s="406" t="s">
        <v>436</v>
      </c>
      <c r="B13" s="404" t="s">
        <v>467</v>
      </c>
      <c r="C13" s="416">
        <v>35</v>
      </c>
      <c r="D13" s="414">
        <v>38.25</v>
      </c>
      <c r="E13" s="413" t="s">
        <v>459</v>
      </c>
      <c r="F13" s="421">
        <f t="shared" si="0"/>
        <v>13.387499999999999</v>
      </c>
    </row>
    <row r="14" spans="1:8" s="410" customFormat="1" ht="31.5">
      <c r="A14" s="406" t="s">
        <v>437</v>
      </c>
      <c r="B14" s="404" t="s">
        <v>438</v>
      </c>
      <c r="C14" s="416">
        <v>35</v>
      </c>
      <c r="D14" s="414">
        <v>133.9</v>
      </c>
      <c r="E14" s="413" t="s">
        <v>460</v>
      </c>
      <c r="F14" s="421">
        <f t="shared" si="0"/>
        <v>46.865000000000002</v>
      </c>
    </row>
    <row r="15" spans="1:8" s="410" customFormat="1" ht="15.75">
      <c r="A15" s="406"/>
      <c r="B15" s="407" t="s">
        <v>439</v>
      </c>
      <c r="C15" s="413"/>
      <c r="D15" s="414"/>
      <c r="E15" s="415"/>
      <c r="F15" s="415"/>
    </row>
    <row r="16" spans="1:8" s="410" customFormat="1" ht="114" customHeight="1">
      <c r="A16" s="406" t="s">
        <v>440</v>
      </c>
      <c r="B16" s="404" t="s">
        <v>441</v>
      </c>
      <c r="C16" s="413"/>
      <c r="D16" s="414"/>
      <c r="E16" s="415"/>
      <c r="F16" s="415"/>
    </row>
    <row r="17" spans="1:7" s="410" customFormat="1" ht="31.5">
      <c r="A17" s="406"/>
      <c r="B17" s="404" t="s">
        <v>442</v>
      </c>
      <c r="C17" s="416">
        <v>0.75</v>
      </c>
      <c r="D17" s="411">
        <v>4493.8500000000004</v>
      </c>
      <c r="E17" s="409" t="s">
        <v>461</v>
      </c>
      <c r="F17" s="422">
        <f>D17*C17</f>
        <v>3370.3875000000003</v>
      </c>
    </row>
    <row r="18" spans="1:7" s="410" customFormat="1" ht="31.5">
      <c r="A18" s="406"/>
      <c r="B18" s="404" t="s">
        <v>443</v>
      </c>
      <c r="C18" s="416">
        <v>0.25</v>
      </c>
      <c r="D18" s="411">
        <v>6291.4</v>
      </c>
      <c r="E18" s="409" t="s">
        <v>353</v>
      </c>
      <c r="F18" s="422">
        <f>D18*C18</f>
        <v>1572.85</v>
      </c>
    </row>
    <row r="19" spans="1:7" s="410" customFormat="1" ht="15.75">
      <c r="A19" s="406" t="s">
        <v>444</v>
      </c>
      <c r="B19" s="404" t="s">
        <v>445</v>
      </c>
      <c r="C19" s="409"/>
      <c r="D19" s="411"/>
      <c r="E19" s="415"/>
      <c r="F19" s="415"/>
    </row>
    <row r="20" spans="1:7" s="410" customFormat="1" ht="220.5">
      <c r="A20" s="417"/>
      <c r="B20" s="418" t="s">
        <v>446</v>
      </c>
      <c r="D20" s="419">
        <v>1637.15</v>
      </c>
      <c r="E20" s="420" t="s">
        <v>462</v>
      </c>
    </row>
    <row r="21" spans="1:7" s="410" customFormat="1" ht="63">
      <c r="A21" s="406" t="s">
        <v>447</v>
      </c>
      <c r="B21" s="407" t="s">
        <v>448</v>
      </c>
      <c r="C21" s="409"/>
      <c r="D21" s="411"/>
      <c r="E21" s="415"/>
      <c r="F21" s="415"/>
    </row>
    <row r="22" spans="1:7" s="410" customFormat="1" ht="94.5">
      <c r="A22" s="406"/>
      <c r="B22" s="407" t="s">
        <v>449</v>
      </c>
      <c r="C22" s="415"/>
      <c r="D22" s="411">
        <v>77.150000000000006</v>
      </c>
      <c r="E22" s="409">
        <v>100</v>
      </c>
      <c r="F22" s="415"/>
    </row>
    <row r="23" spans="1:7" s="410" customFormat="1" ht="94.5">
      <c r="A23" s="406"/>
      <c r="B23" s="407" t="s">
        <v>450</v>
      </c>
      <c r="C23" s="415"/>
      <c r="D23" s="411">
        <v>55</v>
      </c>
      <c r="E23" s="409">
        <v>100</v>
      </c>
      <c r="F23" s="415"/>
    </row>
    <row r="24" spans="1:7" s="410" customFormat="1" ht="31.5">
      <c r="A24" s="406" t="s">
        <v>451</v>
      </c>
      <c r="B24" s="404" t="s">
        <v>452</v>
      </c>
      <c r="C24" s="416">
        <v>100</v>
      </c>
      <c r="D24" s="411">
        <v>579.29999999999995</v>
      </c>
      <c r="E24" s="409" t="s">
        <v>463</v>
      </c>
      <c r="F24" s="416">
        <f>D24*C24/100</f>
        <v>579.29999999999995</v>
      </c>
    </row>
    <row r="25" spans="1:7" s="410" customFormat="1" ht="176.25" customHeight="1">
      <c r="A25" s="406" t="s">
        <v>453</v>
      </c>
      <c r="B25" s="404" t="s">
        <v>454</v>
      </c>
      <c r="C25" s="415"/>
      <c r="D25" s="411">
        <v>22</v>
      </c>
      <c r="E25" s="409" t="s">
        <v>464</v>
      </c>
      <c r="F25" s="415"/>
    </row>
    <row r="26" spans="1:7" ht="21" customHeight="1">
      <c r="A26" s="361"/>
      <c r="B26" s="361"/>
      <c r="C26" s="361"/>
      <c r="D26" s="362" t="s">
        <v>38</v>
      </c>
      <c r="E26" s="361"/>
      <c r="F26" s="363">
        <f>SUM(F4:F25)</f>
        <v>5642.3775000000005</v>
      </c>
    </row>
    <row r="27" spans="1:7" ht="15.75">
      <c r="C27" s="364" t="s">
        <v>333</v>
      </c>
      <c r="D27" s="364"/>
      <c r="E27" s="364"/>
      <c r="F27" s="387">
        <f>F26</f>
        <v>5642.3775000000005</v>
      </c>
      <c r="G27" s="365">
        <f>F27/100000</f>
        <v>5.6423775000000002E-2</v>
      </c>
    </row>
    <row r="29" spans="1:7">
      <c r="D29" s="366" t="s">
        <v>334</v>
      </c>
      <c r="E29" s="366"/>
    </row>
    <row r="30" spans="1:7">
      <c r="D30" s="366"/>
      <c r="E30" s="366"/>
    </row>
  </sheetData>
  <mergeCells count="1">
    <mergeCell ref="A1:F1"/>
  </mergeCells>
  <printOptions horizontalCentered="1"/>
  <pageMargins left="0.42" right="0.23622047244094499" top="0.86614173228346503" bottom="0.47244094488188998" header="0.511811023622047" footer="0.511811023622047"/>
  <pageSetup paperSize="5" scale="7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6"/>
  <sheetViews>
    <sheetView view="pageBreakPreview" zoomScale="115" zoomScaleNormal="140" zoomScaleSheetLayoutView="115" workbookViewId="0">
      <pane xSplit="1" ySplit="3" topLeftCell="B4" activePane="bottomRight" state="frozen"/>
      <selection pane="topRight" activeCell="C1" sqref="C1"/>
      <selection pane="bottomLeft" activeCell="A5" sqref="A5"/>
      <selection pane="bottomRight" activeCell="C10" sqref="C10"/>
    </sheetView>
  </sheetViews>
  <sheetFormatPr defaultRowHeight="15"/>
  <cols>
    <col min="1" max="1" width="10.140625" style="346" bestFit="1" customWidth="1"/>
    <col min="2" max="2" width="49.42578125" style="346" customWidth="1"/>
    <col min="3" max="3" width="10" style="346" customWidth="1"/>
    <col min="4" max="4" width="10.7109375" style="346" bestFit="1" customWidth="1"/>
    <col min="5" max="5" width="10.85546875" style="346" bestFit="1" customWidth="1"/>
    <col min="6" max="6" width="14.42578125" style="346" customWidth="1"/>
    <col min="7" max="255" width="9.140625" style="346"/>
    <col min="256" max="256" width="4.85546875" style="346" customWidth="1"/>
    <col min="257" max="257" width="13.7109375" style="346" customWidth="1"/>
    <col min="258" max="258" width="58.28515625" style="346" customWidth="1"/>
    <col min="259" max="259" width="13.42578125" style="346" customWidth="1"/>
    <col min="260" max="260" width="9.140625" style="346"/>
    <col min="261" max="261" width="11" style="346" customWidth="1"/>
    <col min="262" max="262" width="15.42578125" style="346" customWidth="1"/>
    <col min="263" max="511" width="9.140625" style="346"/>
    <col min="512" max="512" width="4.85546875" style="346" customWidth="1"/>
    <col min="513" max="513" width="13.7109375" style="346" customWidth="1"/>
    <col min="514" max="514" width="58.28515625" style="346" customWidth="1"/>
    <col min="515" max="515" width="13.42578125" style="346" customWidth="1"/>
    <col min="516" max="516" width="9.140625" style="346"/>
    <col min="517" max="517" width="11" style="346" customWidth="1"/>
    <col min="518" max="518" width="15.42578125" style="346" customWidth="1"/>
    <col min="519" max="767" width="9.140625" style="346"/>
    <col min="768" max="768" width="4.85546875" style="346" customWidth="1"/>
    <col min="769" max="769" width="13.7109375" style="346" customWidth="1"/>
    <col min="770" max="770" width="58.28515625" style="346" customWidth="1"/>
    <col min="771" max="771" width="13.42578125" style="346" customWidth="1"/>
    <col min="772" max="772" width="9.140625" style="346"/>
    <col min="773" max="773" width="11" style="346" customWidth="1"/>
    <col min="774" max="774" width="15.42578125" style="346" customWidth="1"/>
    <col min="775" max="1023" width="9.140625" style="346"/>
    <col min="1024" max="1024" width="4.85546875" style="346" customWidth="1"/>
    <col min="1025" max="1025" width="13.7109375" style="346" customWidth="1"/>
    <col min="1026" max="1026" width="58.28515625" style="346" customWidth="1"/>
    <col min="1027" max="1027" width="13.42578125" style="346" customWidth="1"/>
    <col min="1028" max="1028" width="9.140625" style="346"/>
    <col min="1029" max="1029" width="11" style="346" customWidth="1"/>
    <col min="1030" max="1030" width="15.42578125" style="346" customWidth="1"/>
    <col min="1031" max="1279" width="9.140625" style="346"/>
    <col min="1280" max="1280" width="4.85546875" style="346" customWidth="1"/>
    <col min="1281" max="1281" width="13.7109375" style="346" customWidth="1"/>
    <col min="1282" max="1282" width="58.28515625" style="346" customWidth="1"/>
    <col min="1283" max="1283" width="13.42578125" style="346" customWidth="1"/>
    <col min="1284" max="1284" width="9.140625" style="346"/>
    <col min="1285" max="1285" width="11" style="346" customWidth="1"/>
    <col min="1286" max="1286" width="15.42578125" style="346" customWidth="1"/>
    <col min="1287" max="1535" width="9.140625" style="346"/>
    <col min="1536" max="1536" width="4.85546875" style="346" customWidth="1"/>
    <col min="1537" max="1537" width="13.7109375" style="346" customWidth="1"/>
    <col min="1538" max="1538" width="58.28515625" style="346" customWidth="1"/>
    <col min="1539" max="1539" width="13.42578125" style="346" customWidth="1"/>
    <col min="1540" max="1540" width="9.140625" style="346"/>
    <col min="1541" max="1541" width="11" style="346" customWidth="1"/>
    <col min="1542" max="1542" width="15.42578125" style="346" customWidth="1"/>
    <col min="1543" max="1791" width="9.140625" style="346"/>
    <col min="1792" max="1792" width="4.85546875" style="346" customWidth="1"/>
    <col min="1793" max="1793" width="13.7109375" style="346" customWidth="1"/>
    <col min="1794" max="1794" width="58.28515625" style="346" customWidth="1"/>
    <col min="1795" max="1795" width="13.42578125" style="346" customWidth="1"/>
    <col min="1796" max="1796" width="9.140625" style="346"/>
    <col min="1797" max="1797" width="11" style="346" customWidth="1"/>
    <col min="1798" max="1798" width="15.42578125" style="346" customWidth="1"/>
    <col min="1799" max="2047" width="9.140625" style="346"/>
    <col min="2048" max="2048" width="4.85546875" style="346" customWidth="1"/>
    <col min="2049" max="2049" width="13.7109375" style="346" customWidth="1"/>
    <col min="2050" max="2050" width="58.28515625" style="346" customWidth="1"/>
    <col min="2051" max="2051" width="13.42578125" style="346" customWidth="1"/>
    <col min="2052" max="2052" width="9.140625" style="346"/>
    <col min="2053" max="2053" width="11" style="346" customWidth="1"/>
    <col min="2054" max="2054" width="15.42578125" style="346" customWidth="1"/>
    <col min="2055" max="2303" width="9.140625" style="346"/>
    <col min="2304" max="2304" width="4.85546875" style="346" customWidth="1"/>
    <col min="2305" max="2305" width="13.7109375" style="346" customWidth="1"/>
    <col min="2306" max="2306" width="58.28515625" style="346" customWidth="1"/>
    <col min="2307" max="2307" width="13.42578125" style="346" customWidth="1"/>
    <col min="2308" max="2308" width="9.140625" style="346"/>
    <col min="2309" max="2309" width="11" style="346" customWidth="1"/>
    <col min="2310" max="2310" width="15.42578125" style="346" customWidth="1"/>
    <col min="2311" max="2559" width="9.140625" style="346"/>
    <col min="2560" max="2560" width="4.85546875" style="346" customWidth="1"/>
    <col min="2561" max="2561" width="13.7109375" style="346" customWidth="1"/>
    <col min="2562" max="2562" width="58.28515625" style="346" customWidth="1"/>
    <col min="2563" max="2563" width="13.42578125" style="346" customWidth="1"/>
    <col min="2564" max="2564" width="9.140625" style="346"/>
    <col min="2565" max="2565" width="11" style="346" customWidth="1"/>
    <col min="2566" max="2566" width="15.42578125" style="346" customWidth="1"/>
    <col min="2567" max="2815" width="9.140625" style="346"/>
    <col min="2816" max="2816" width="4.85546875" style="346" customWidth="1"/>
    <col min="2817" max="2817" width="13.7109375" style="346" customWidth="1"/>
    <col min="2818" max="2818" width="58.28515625" style="346" customWidth="1"/>
    <col min="2819" max="2819" width="13.42578125" style="346" customWidth="1"/>
    <col min="2820" max="2820" width="9.140625" style="346"/>
    <col min="2821" max="2821" width="11" style="346" customWidth="1"/>
    <col min="2822" max="2822" width="15.42578125" style="346" customWidth="1"/>
    <col min="2823" max="3071" width="9.140625" style="346"/>
    <col min="3072" max="3072" width="4.85546875" style="346" customWidth="1"/>
    <col min="3073" max="3073" width="13.7109375" style="346" customWidth="1"/>
    <col min="3074" max="3074" width="58.28515625" style="346" customWidth="1"/>
    <col min="3075" max="3075" width="13.42578125" style="346" customWidth="1"/>
    <col min="3076" max="3076" width="9.140625" style="346"/>
    <col min="3077" max="3077" width="11" style="346" customWidth="1"/>
    <col min="3078" max="3078" width="15.42578125" style="346" customWidth="1"/>
    <col min="3079" max="3327" width="9.140625" style="346"/>
    <col min="3328" max="3328" width="4.85546875" style="346" customWidth="1"/>
    <col min="3329" max="3329" width="13.7109375" style="346" customWidth="1"/>
    <col min="3330" max="3330" width="58.28515625" style="346" customWidth="1"/>
    <col min="3331" max="3331" width="13.42578125" style="346" customWidth="1"/>
    <col min="3332" max="3332" width="9.140625" style="346"/>
    <col min="3333" max="3333" width="11" style="346" customWidth="1"/>
    <col min="3334" max="3334" width="15.42578125" style="346" customWidth="1"/>
    <col min="3335" max="3583" width="9.140625" style="346"/>
    <col min="3584" max="3584" width="4.85546875" style="346" customWidth="1"/>
    <col min="3585" max="3585" width="13.7109375" style="346" customWidth="1"/>
    <col min="3586" max="3586" width="58.28515625" style="346" customWidth="1"/>
    <col min="3587" max="3587" width="13.42578125" style="346" customWidth="1"/>
    <col min="3588" max="3588" width="9.140625" style="346"/>
    <col min="3589" max="3589" width="11" style="346" customWidth="1"/>
    <col min="3590" max="3590" width="15.42578125" style="346" customWidth="1"/>
    <col min="3591" max="3839" width="9.140625" style="346"/>
    <col min="3840" max="3840" width="4.85546875" style="346" customWidth="1"/>
    <col min="3841" max="3841" width="13.7109375" style="346" customWidth="1"/>
    <col min="3842" max="3842" width="58.28515625" style="346" customWidth="1"/>
    <col min="3843" max="3843" width="13.42578125" style="346" customWidth="1"/>
    <col min="3844" max="3844" width="9.140625" style="346"/>
    <col min="3845" max="3845" width="11" style="346" customWidth="1"/>
    <col min="3846" max="3846" width="15.42578125" style="346" customWidth="1"/>
    <col min="3847" max="4095" width="9.140625" style="346"/>
    <col min="4096" max="4096" width="4.85546875" style="346" customWidth="1"/>
    <col min="4097" max="4097" width="13.7109375" style="346" customWidth="1"/>
    <col min="4098" max="4098" width="58.28515625" style="346" customWidth="1"/>
    <col min="4099" max="4099" width="13.42578125" style="346" customWidth="1"/>
    <col min="4100" max="4100" width="9.140625" style="346"/>
    <col min="4101" max="4101" width="11" style="346" customWidth="1"/>
    <col min="4102" max="4102" width="15.42578125" style="346" customWidth="1"/>
    <col min="4103" max="4351" width="9.140625" style="346"/>
    <col min="4352" max="4352" width="4.85546875" style="346" customWidth="1"/>
    <col min="4353" max="4353" width="13.7109375" style="346" customWidth="1"/>
    <col min="4354" max="4354" width="58.28515625" style="346" customWidth="1"/>
    <col min="4355" max="4355" width="13.42578125" style="346" customWidth="1"/>
    <col min="4356" max="4356" width="9.140625" style="346"/>
    <col min="4357" max="4357" width="11" style="346" customWidth="1"/>
    <col min="4358" max="4358" width="15.42578125" style="346" customWidth="1"/>
    <col min="4359" max="4607" width="9.140625" style="346"/>
    <col min="4608" max="4608" width="4.85546875" style="346" customWidth="1"/>
    <col min="4609" max="4609" width="13.7109375" style="346" customWidth="1"/>
    <col min="4610" max="4610" width="58.28515625" style="346" customWidth="1"/>
    <col min="4611" max="4611" width="13.42578125" style="346" customWidth="1"/>
    <col min="4612" max="4612" width="9.140625" style="346"/>
    <col min="4613" max="4613" width="11" style="346" customWidth="1"/>
    <col min="4614" max="4614" width="15.42578125" style="346" customWidth="1"/>
    <col min="4615" max="4863" width="9.140625" style="346"/>
    <col min="4864" max="4864" width="4.85546875" style="346" customWidth="1"/>
    <col min="4865" max="4865" width="13.7109375" style="346" customWidth="1"/>
    <col min="4866" max="4866" width="58.28515625" style="346" customWidth="1"/>
    <col min="4867" max="4867" width="13.42578125" style="346" customWidth="1"/>
    <col min="4868" max="4868" width="9.140625" style="346"/>
    <col min="4869" max="4869" width="11" style="346" customWidth="1"/>
    <col min="4870" max="4870" width="15.42578125" style="346" customWidth="1"/>
    <col min="4871" max="5119" width="9.140625" style="346"/>
    <col min="5120" max="5120" width="4.85546875" style="346" customWidth="1"/>
    <col min="5121" max="5121" width="13.7109375" style="346" customWidth="1"/>
    <col min="5122" max="5122" width="58.28515625" style="346" customWidth="1"/>
    <col min="5123" max="5123" width="13.42578125" style="346" customWidth="1"/>
    <col min="5124" max="5124" width="9.140625" style="346"/>
    <col min="5125" max="5125" width="11" style="346" customWidth="1"/>
    <col min="5126" max="5126" width="15.42578125" style="346" customWidth="1"/>
    <col min="5127" max="5375" width="9.140625" style="346"/>
    <col min="5376" max="5376" width="4.85546875" style="346" customWidth="1"/>
    <col min="5377" max="5377" width="13.7109375" style="346" customWidth="1"/>
    <col min="5378" max="5378" width="58.28515625" style="346" customWidth="1"/>
    <col min="5379" max="5379" width="13.42578125" style="346" customWidth="1"/>
    <col min="5380" max="5380" width="9.140625" style="346"/>
    <col min="5381" max="5381" width="11" style="346" customWidth="1"/>
    <col min="5382" max="5382" width="15.42578125" style="346" customWidth="1"/>
    <col min="5383" max="5631" width="9.140625" style="346"/>
    <col min="5632" max="5632" width="4.85546875" style="346" customWidth="1"/>
    <col min="5633" max="5633" width="13.7109375" style="346" customWidth="1"/>
    <col min="5634" max="5634" width="58.28515625" style="346" customWidth="1"/>
    <col min="5635" max="5635" width="13.42578125" style="346" customWidth="1"/>
    <col min="5636" max="5636" width="9.140625" style="346"/>
    <col min="5637" max="5637" width="11" style="346" customWidth="1"/>
    <col min="5638" max="5638" width="15.42578125" style="346" customWidth="1"/>
    <col min="5639" max="5887" width="9.140625" style="346"/>
    <col min="5888" max="5888" width="4.85546875" style="346" customWidth="1"/>
    <col min="5889" max="5889" width="13.7109375" style="346" customWidth="1"/>
    <col min="5890" max="5890" width="58.28515625" style="346" customWidth="1"/>
    <col min="5891" max="5891" width="13.42578125" style="346" customWidth="1"/>
    <col min="5892" max="5892" width="9.140625" style="346"/>
    <col min="5893" max="5893" width="11" style="346" customWidth="1"/>
    <col min="5894" max="5894" width="15.42578125" style="346" customWidth="1"/>
    <col min="5895" max="6143" width="9.140625" style="346"/>
    <col min="6144" max="6144" width="4.85546875" style="346" customWidth="1"/>
    <col min="6145" max="6145" width="13.7109375" style="346" customWidth="1"/>
    <col min="6146" max="6146" width="58.28515625" style="346" customWidth="1"/>
    <col min="6147" max="6147" width="13.42578125" style="346" customWidth="1"/>
    <col min="6148" max="6148" width="9.140625" style="346"/>
    <col min="6149" max="6149" width="11" style="346" customWidth="1"/>
    <col min="6150" max="6150" width="15.42578125" style="346" customWidth="1"/>
    <col min="6151" max="6399" width="9.140625" style="346"/>
    <col min="6400" max="6400" width="4.85546875" style="346" customWidth="1"/>
    <col min="6401" max="6401" width="13.7109375" style="346" customWidth="1"/>
    <col min="6402" max="6402" width="58.28515625" style="346" customWidth="1"/>
    <col min="6403" max="6403" width="13.42578125" style="346" customWidth="1"/>
    <col min="6404" max="6404" width="9.140625" style="346"/>
    <col min="6405" max="6405" width="11" style="346" customWidth="1"/>
    <col min="6406" max="6406" width="15.42578125" style="346" customWidth="1"/>
    <col min="6407" max="6655" width="9.140625" style="346"/>
    <col min="6656" max="6656" width="4.85546875" style="346" customWidth="1"/>
    <col min="6657" max="6657" width="13.7109375" style="346" customWidth="1"/>
    <col min="6658" max="6658" width="58.28515625" style="346" customWidth="1"/>
    <col min="6659" max="6659" width="13.42578125" style="346" customWidth="1"/>
    <col min="6660" max="6660" width="9.140625" style="346"/>
    <col min="6661" max="6661" width="11" style="346" customWidth="1"/>
    <col min="6662" max="6662" width="15.42578125" style="346" customWidth="1"/>
    <col min="6663" max="6911" width="9.140625" style="346"/>
    <col min="6912" max="6912" width="4.85546875" style="346" customWidth="1"/>
    <col min="6913" max="6913" width="13.7109375" style="346" customWidth="1"/>
    <col min="6914" max="6914" width="58.28515625" style="346" customWidth="1"/>
    <col min="6915" max="6915" width="13.42578125" style="346" customWidth="1"/>
    <col min="6916" max="6916" width="9.140625" style="346"/>
    <col min="6917" max="6917" width="11" style="346" customWidth="1"/>
    <col min="6918" max="6918" width="15.42578125" style="346" customWidth="1"/>
    <col min="6919" max="7167" width="9.140625" style="346"/>
    <col min="7168" max="7168" width="4.85546875" style="346" customWidth="1"/>
    <col min="7169" max="7169" width="13.7109375" style="346" customWidth="1"/>
    <col min="7170" max="7170" width="58.28515625" style="346" customWidth="1"/>
    <col min="7171" max="7171" width="13.42578125" style="346" customWidth="1"/>
    <col min="7172" max="7172" width="9.140625" style="346"/>
    <col min="7173" max="7173" width="11" style="346" customWidth="1"/>
    <col min="7174" max="7174" width="15.42578125" style="346" customWidth="1"/>
    <col min="7175" max="7423" width="9.140625" style="346"/>
    <col min="7424" max="7424" width="4.85546875" style="346" customWidth="1"/>
    <col min="7425" max="7425" width="13.7109375" style="346" customWidth="1"/>
    <col min="7426" max="7426" width="58.28515625" style="346" customWidth="1"/>
    <col min="7427" max="7427" width="13.42578125" style="346" customWidth="1"/>
    <col min="7428" max="7428" width="9.140625" style="346"/>
    <col min="7429" max="7429" width="11" style="346" customWidth="1"/>
    <col min="7430" max="7430" width="15.42578125" style="346" customWidth="1"/>
    <col min="7431" max="7679" width="9.140625" style="346"/>
    <col min="7680" max="7680" width="4.85546875" style="346" customWidth="1"/>
    <col min="7681" max="7681" width="13.7109375" style="346" customWidth="1"/>
    <col min="7682" max="7682" width="58.28515625" style="346" customWidth="1"/>
    <col min="7683" max="7683" width="13.42578125" style="346" customWidth="1"/>
    <col min="7684" max="7684" width="9.140625" style="346"/>
    <col min="7685" max="7685" width="11" style="346" customWidth="1"/>
    <col min="7686" max="7686" width="15.42578125" style="346" customWidth="1"/>
    <col min="7687" max="7935" width="9.140625" style="346"/>
    <col min="7936" max="7936" width="4.85546875" style="346" customWidth="1"/>
    <col min="7937" max="7937" width="13.7109375" style="346" customWidth="1"/>
    <col min="7938" max="7938" width="58.28515625" style="346" customWidth="1"/>
    <col min="7939" max="7939" width="13.42578125" style="346" customWidth="1"/>
    <col min="7940" max="7940" width="9.140625" style="346"/>
    <col min="7941" max="7941" width="11" style="346" customWidth="1"/>
    <col min="7942" max="7942" width="15.42578125" style="346" customWidth="1"/>
    <col min="7943" max="8191" width="9.140625" style="346"/>
    <col min="8192" max="8192" width="4.85546875" style="346" customWidth="1"/>
    <col min="8193" max="8193" width="13.7109375" style="346" customWidth="1"/>
    <col min="8194" max="8194" width="58.28515625" style="346" customWidth="1"/>
    <col min="8195" max="8195" width="13.42578125" style="346" customWidth="1"/>
    <col min="8196" max="8196" width="9.140625" style="346"/>
    <col min="8197" max="8197" width="11" style="346" customWidth="1"/>
    <col min="8198" max="8198" width="15.42578125" style="346" customWidth="1"/>
    <col min="8199" max="8447" width="9.140625" style="346"/>
    <col min="8448" max="8448" width="4.85546875" style="346" customWidth="1"/>
    <col min="8449" max="8449" width="13.7109375" style="346" customWidth="1"/>
    <col min="8450" max="8450" width="58.28515625" style="346" customWidth="1"/>
    <col min="8451" max="8451" width="13.42578125" style="346" customWidth="1"/>
    <col min="8452" max="8452" width="9.140625" style="346"/>
    <col min="8453" max="8453" width="11" style="346" customWidth="1"/>
    <col min="8454" max="8454" width="15.42578125" style="346" customWidth="1"/>
    <col min="8455" max="8703" width="9.140625" style="346"/>
    <col min="8704" max="8704" width="4.85546875" style="346" customWidth="1"/>
    <col min="8705" max="8705" width="13.7109375" style="346" customWidth="1"/>
    <col min="8706" max="8706" width="58.28515625" style="346" customWidth="1"/>
    <col min="8707" max="8707" width="13.42578125" style="346" customWidth="1"/>
    <col min="8708" max="8708" width="9.140625" style="346"/>
    <col min="8709" max="8709" width="11" style="346" customWidth="1"/>
    <col min="8710" max="8710" width="15.42578125" style="346" customWidth="1"/>
    <col min="8711" max="8959" width="9.140625" style="346"/>
    <col min="8960" max="8960" width="4.85546875" style="346" customWidth="1"/>
    <col min="8961" max="8961" width="13.7109375" style="346" customWidth="1"/>
    <col min="8962" max="8962" width="58.28515625" style="346" customWidth="1"/>
    <col min="8963" max="8963" width="13.42578125" style="346" customWidth="1"/>
    <col min="8964" max="8964" width="9.140625" style="346"/>
    <col min="8965" max="8965" width="11" style="346" customWidth="1"/>
    <col min="8966" max="8966" width="15.42578125" style="346" customWidth="1"/>
    <col min="8967" max="9215" width="9.140625" style="346"/>
    <col min="9216" max="9216" width="4.85546875" style="346" customWidth="1"/>
    <col min="9217" max="9217" width="13.7109375" style="346" customWidth="1"/>
    <col min="9218" max="9218" width="58.28515625" style="346" customWidth="1"/>
    <col min="9219" max="9219" width="13.42578125" style="346" customWidth="1"/>
    <col min="9220" max="9220" width="9.140625" style="346"/>
    <col min="9221" max="9221" width="11" style="346" customWidth="1"/>
    <col min="9222" max="9222" width="15.42578125" style="346" customWidth="1"/>
    <col min="9223" max="9471" width="9.140625" style="346"/>
    <col min="9472" max="9472" width="4.85546875" style="346" customWidth="1"/>
    <col min="9473" max="9473" width="13.7109375" style="346" customWidth="1"/>
    <col min="9474" max="9474" width="58.28515625" style="346" customWidth="1"/>
    <col min="9475" max="9475" width="13.42578125" style="346" customWidth="1"/>
    <col min="9476" max="9476" width="9.140625" style="346"/>
    <col min="9477" max="9477" width="11" style="346" customWidth="1"/>
    <col min="9478" max="9478" width="15.42578125" style="346" customWidth="1"/>
    <col min="9479" max="9727" width="9.140625" style="346"/>
    <col min="9728" max="9728" width="4.85546875" style="346" customWidth="1"/>
    <col min="9729" max="9729" width="13.7109375" style="346" customWidth="1"/>
    <col min="9730" max="9730" width="58.28515625" style="346" customWidth="1"/>
    <col min="9731" max="9731" width="13.42578125" style="346" customWidth="1"/>
    <col min="9732" max="9732" width="9.140625" style="346"/>
    <col min="9733" max="9733" width="11" style="346" customWidth="1"/>
    <col min="9734" max="9734" width="15.42578125" style="346" customWidth="1"/>
    <col min="9735" max="9983" width="9.140625" style="346"/>
    <col min="9984" max="9984" width="4.85546875" style="346" customWidth="1"/>
    <col min="9985" max="9985" width="13.7109375" style="346" customWidth="1"/>
    <col min="9986" max="9986" width="58.28515625" style="346" customWidth="1"/>
    <col min="9987" max="9987" width="13.42578125" style="346" customWidth="1"/>
    <col min="9988" max="9988" width="9.140625" style="346"/>
    <col min="9989" max="9989" width="11" style="346" customWidth="1"/>
    <col min="9990" max="9990" width="15.42578125" style="346" customWidth="1"/>
    <col min="9991" max="10239" width="9.140625" style="346"/>
    <col min="10240" max="10240" width="4.85546875" style="346" customWidth="1"/>
    <col min="10241" max="10241" width="13.7109375" style="346" customWidth="1"/>
    <col min="10242" max="10242" width="58.28515625" style="346" customWidth="1"/>
    <col min="10243" max="10243" width="13.42578125" style="346" customWidth="1"/>
    <col min="10244" max="10244" width="9.140625" style="346"/>
    <col min="10245" max="10245" width="11" style="346" customWidth="1"/>
    <col min="10246" max="10246" width="15.42578125" style="346" customWidth="1"/>
    <col min="10247" max="10495" width="9.140625" style="346"/>
    <col min="10496" max="10496" width="4.85546875" style="346" customWidth="1"/>
    <col min="10497" max="10497" width="13.7109375" style="346" customWidth="1"/>
    <col min="10498" max="10498" width="58.28515625" style="346" customWidth="1"/>
    <col min="10499" max="10499" width="13.42578125" style="346" customWidth="1"/>
    <col min="10500" max="10500" width="9.140625" style="346"/>
    <col min="10501" max="10501" width="11" style="346" customWidth="1"/>
    <col min="10502" max="10502" width="15.42578125" style="346" customWidth="1"/>
    <col min="10503" max="10751" width="9.140625" style="346"/>
    <col min="10752" max="10752" width="4.85546875" style="346" customWidth="1"/>
    <col min="10753" max="10753" width="13.7109375" style="346" customWidth="1"/>
    <col min="10754" max="10754" width="58.28515625" style="346" customWidth="1"/>
    <col min="10755" max="10755" width="13.42578125" style="346" customWidth="1"/>
    <col min="10756" max="10756" width="9.140625" style="346"/>
    <col min="10757" max="10757" width="11" style="346" customWidth="1"/>
    <col min="10758" max="10758" width="15.42578125" style="346" customWidth="1"/>
    <col min="10759" max="11007" width="9.140625" style="346"/>
    <col min="11008" max="11008" width="4.85546875" style="346" customWidth="1"/>
    <col min="11009" max="11009" width="13.7109375" style="346" customWidth="1"/>
    <col min="11010" max="11010" width="58.28515625" style="346" customWidth="1"/>
    <col min="11011" max="11011" width="13.42578125" style="346" customWidth="1"/>
    <col min="11012" max="11012" width="9.140625" style="346"/>
    <col min="11013" max="11013" width="11" style="346" customWidth="1"/>
    <col min="11014" max="11014" width="15.42578125" style="346" customWidth="1"/>
    <col min="11015" max="11263" width="9.140625" style="346"/>
    <col min="11264" max="11264" width="4.85546875" style="346" customWidth="1"/>
    <col min="11265" max="11265" width="13.7109375" style="346" customWidth="1"/>
    <col min="11266" max="11266" width="58.28515625" style="346" customWidth="1"/>
    <col min="11267" max="11267" width="13.42578125" style="346" customWidth="1"/>
    <col min="11268" max="11268" width="9.140625" style="346"/>
    <col min="11269" max="11269" width="11" style="346" customWidth="1"/>
    <col min="11270" max="11270" width="15.42578125" style="346" customWidth="1"/>
    <col min="11271" max="11519" width="9.140625" style="346"/>
    <col min="11520" max="11520" width="4.85546875" style="346" customWidth="1"/>
    <col min="11521" max="11521" width="13.7109375" style="346" customWidth="1"/>
    <col min="11522" max="11522" width="58.28515625" style="346" customWidth="1"/>
    <col min="11523" max="11523" width="13.42578125" style="346" customWidth="1"/>
    <col min="11524" max="11524" width="9.140625" style="346"/>
    <col min="11525" max="11525" width="11" style="346" customWidth="1"/>
    <col min="11526" max="11526" width="15.42578125" style="346" customWidth="1"/>
    <col min="11527" max="11775" width="9.140625" style="346"/>
    <col min="11776" max="11776" width="4.85546875" style="346" customWidth="1"/>
    <col min="11777" max="11777" width="13.7109375" style="346" customWidth="1"/>
    <col min="11778" max="11778" width="58.28515625" style="346" customWidth="1"/>
    <col min="11779" max="11779" width="13.42578125" style="346" customWidth="1"/>
    <col min="11780" max="11780" width="9.140625" style="346"/>
    <col min="11781" max="11781" width="11" style="346" customWidth="1"/>
    <col min="11782" max="11782" width="15.42578125" style="346" customWidth="1"/>
    <col min="11783" max="12031" width="9.140625" style="346"/>
    <col min="12032" max="12032" width="4.85546875" style="346" customWidth="1"/>
    <col min="12033" max="12033" width="13.7109375" style="346" customWidth="1"/>
    <col min="12034" max="12034" width="58.28515625" style="346" customWidth="1"/>
    <col min="12035" max="12035" width="13.42578125" style="346" customWidth="1"/>
    <col min="12036" max="12036" width="9.140625" style="346"/>
    <col min="12037" max="12037" width="11" style="346" customWidth="1"/>
    <col min="12038" max="12038" width="15.42578125" style="346" customWidth="1"/>
    <col min="12039" max="12287" width="9.140625" style="346"/>
    <col min="12288" max="12288" width="4.85546875" style="346" customWidth="1"/>
    <col min="12289" max="12289" width="13.7109375" style="346" customWidth="1"/>
    <col min="12290" max="12290" width="58.28515625" style="346" customWidth="1"/>
    <col min="12291" max="12291" width="13.42578125" style="346" customWidth="1"/>
    <col min="12292" max="12292" width="9.140625" style="346"/>
    <col min="12293" max="12293" width="11" style="346" customWidth="1"/>
    <col min="12294" max="12294" width="15.42578125" style="346" customWidth="1"/>
    <col min="12295" max="12543" width="9.140625" style="346"/>
    <col min="12544" max="12544" width="4.85546875" style="346" customWidth="1"/>
    <col min="12545" max="12545" width="13.7109375" style="346" customWidth="1"/>
    <col min="12546" max="12546" width="58.28515625" style="346" customWidth="1"/>
    <col min="12547" max="12547" width="13.42578125" style="346" customWidth="1"/>
    <col min="12548" max="12548" width="9.140625" style="346"/>
    <col min="12549" max="12549" width="11" style="346" customWidth="1"/>
    <col min="12550" max="12550" width="15.42578125" style="346" customWidth="1"/>
    <col min="12551" max="12799" width="9.140625" style="346"/>
    <col min="12800" max="12800" width="4.85546875" style="346" customWidth="1"/>
    <col min="12801" max="12801" width="13.7109375" style="346" customWidth="1"/>
    <col min="12802" max="12802" width="58.28515625" style="346" customWidth="1"/>
    <col min="12803" max="12803" width="13.42578125" style="346" customWidth="1"/>
    <col min="12804" max="12804" width="9.140625" style="346"/>
    <col min="12805" max="12805" width="11" style="346" customWidth="1"/>
    <col min="12806" max="12806" width="15.42578125" style="346" customWidth="1"/>
    <col min="12807" max="13055" width="9.140625" style="346"/>
    <col min="13056" max="13056" width="4.85546875" style="346" customWidth="1"/>
    <col min="13057" max="13057" width="13.7109375" style="346" customWidth="1"/>
    <col min="13058" max="13058" width="58.28515625" style="346" customWidth="1"/>
    <col min="13059" max="13059" width="13.42578125" style="346" customWidth="1"/>
    <col min="13060" max="13060" width="9.140625" style="346"/>
    <col min="13061" max="13061" width="11" style="346" customWidth="1"/>
    <col min="13062" max="13062" width="15.42578125" style="346" customWidth="1"/>
    <col min="13063" max="13311" width="9.140625" style="346"/>
    <col min="13312" max="13312" width="4.85546875" style="346" customWidth="1"/>
    <col min="13313" max="13313" width="13.7109375" style="346" customWidth="1"/>
    <col min="13314" max="13314" width="58.28515625" style="346" customWidth="1"/>
    <col min="13315" max="13315" width="13.42578125" style="346" customWidth="1"/>
    <col min="13316" max="13316" width="9.140625" style="346"/>
    <col min="13317" max="13317" width="11" style="346" customWidth="1"/>
    <col min="13318" max="13318" width="15.42578125" style="346" customWidth="1"/>
    <col min="13319" max="13567" width="9.140625" style="346"/>
    <col min="13568" max="13568" width="4.85546875" style="346" customWidth="1"/>
    <col min="13569" max="13569" width="13.7109375" style="346" customWidth="1"/>
    <col min="13570" max="13570" width="58.28515625" style="346" customWidth="1"/>
    <col min="13571" max="13571" width="13.42578125" style="346" customWidth="1"/>
    <col min="13572" max="13572" width="9.140625" style="346"/>
    <col min="13573" max="13573" width="11" style="346" customWidth="1"/>
    <col min="13574" max="13574" width="15.42578125" style="346" customWidth="1"/>
    <col min="13575" max="13823" width="9.140625" style="346"/>
    <col min="13824" max="13824" width="4.85546875" style="346" customWidth="1"/>
    <col min="13825" max="13825" width="13.7109375" style="346" customWidth="1"/>
    <col min="13826" max="13826" width="58.28515625" style="346" customWidth="1"/>
    <col min="13827" max="13827" width="13.42578125" style="346" customWidth="1"/>
    <col min="13828" max="13828" width="9.140625" style="346"/>
    <col min="13829" max="13829" width="11" style="346" customWidth="1"/>
    <col min="13830" max="13830" width="15.42578125" style="346" customWidth="1"/>
    <col min="13831" max="14079" width="9.140625" style="346"/>
    <col min="14080" max="14080" width="4.85546875" style="346" customWidth="1"/>
    <col min="14081" max="14081" width="13.7109375" style="346" customWidth="1"/>
    <col min="14082" max="14082" width="58.28515625" style="346" customWidth="1"/>
    <col min="14083" max="14083" width="13.42578125" style="346" customWidth="1"/>
    <col min="14084" max="14084" width="9.140625" style="346"/>
    <col min="14085" max="14085" width="11" style="346" customWidth="1"/>
    <col min="14086" max="14086" width="15.42578125" style="346" customWidth="1"/>
    <col min="14087" max="14335" width="9.140625" style="346"/>
    <col min="14336" max="14336" width="4.85546875" style="346" customWidth="1"/>
    <col min="14337" max="14337" width="13.7109375" style="346" customWidth="1"/>
    <col min="14338" max="14338" width="58.28515625" style="346" customWidth="1"/>
    <col min="14339" max="14339" width="13.42578125" style="346" customWidth="1"/>
    <col min="14340" max="14340" width="9.140625" style="346"/>
    <col min="14341" max="14341" width="11" style="346" customWidth="1"/>
    <col min="14342" max="14342" width="15.42578125" style="346" customWidth="1"/>
    <col min="14343" max="14591" width="9.140625" style="346"/>
    <col min="14592" max="14592" width="4.85546875" style="346" customWidth="1"/>
    <col min="14593" max="14593" width="13.7109375" style="346" customWidth="1"/>
    <col min="14594" max="14594" width="58.28515625" style="346" customWidth="1"/>
    <col min="14595" max="14595" width="13.42578125" style="346" customWidth="1"/>
    <col min="14596" max="14596" width="9.140625" style="346"/>
    <col min="14597" max="14597" width="11" style="346" customWidth="1"/>
    <col min="14598" max="14598" width="15.42578125" style="346" customWidth="1"/>
    <col min="14599" max="14847" width="9.140625" style="346"/>
    <col min="14848" max="14848" width="4.85546875" style="346" customWidth="1"/>
    <col min="14849" max="14849" width="13.7109375" style="346" customWidth="1"/>
    <col min="14850" max="14850" width="58.28515625" style="346" customWidth="1"/>
    <col min="14851" max="14851" width="13.42578125" style="346" customWidth="1"/>
    <col min="14852" max="14852" width="9.140625" style="346"/>
    <col min="14853" max="14853" width="11" style="346" customWidth="1"/>
    <col min="14854" max="14854" width="15.42578125" style="346" customWidth="1"/>
    <col min="14855" max="15103" width="9.140625" style="346"/>
    <col min="15104" max="15104" width="4.85546875" style="346" customWidth="1"/>
    <col min="15105" max="15105" width="13.7109375" style="346" customWidth="1"/>
    <col min="15106" max="15106" width="58.28515625" style="346" customWidth="1"/>
    <col min="15107" max="15107" width="13.42578125" style="346" customWidth="1"/>
    <col min="15108" max="15108" width="9.140625" style="346"/>
    <col min="15109" max="15109" width="11" style="346" customWidth="1"/>
    <col min="15110" max="15110" width="15.42578125" style="346" customWidth="1"/>
    <col min="15111" max="15359" width="9.140625" style="346"/>
    <col min="15360" max="15360" width="4.85546875" style="346" customWidth="1"/>
    <col min="15361" max="15361" width="13.7109375" style="346" customWidth="1"/>
    <col min="15362" max="15362" width="58.28515625" style="346" customWidth="1"/>
    <col min="15363" max="15363" width="13.42578125" style="346" customWidth="1"/>
    <col min="15364" max="15364" width="9.140625" style="346"/>
    <col min="15365" max="15365" width="11" style="346" customWidth="1"/>
    <col min="15366" max="15366" width="15.42578125" style="346" customWidth="1"/>
    <col min="15367" max="15615" width="9.140625" style="346"/>
    <col min="15616" max="15616" width="4.85546875" style="346" customWidth="1"/>
    <col min="15617" max="15617" width="13.7109375" style="346" customWidth="1"/>
    <col min="15618" max="15618" width="58.28515625" style="346" customWidth="1"/>
    <col min="15619" max="15619" width="13.42578125" style="346" customWidth="1"/>
    <col min="15620" max="15620" width="9.140625" style="346"/>
    <col min="15621" max="15621" width="11" style="346" customWidth="1"/>
    <col min="15622" max="15622" width="15.42578125" style="346" customWidth="1"/>
    <col min="15623" max="15871" width="9.140625" style="346"/>
    <col min="15872" max="15872" width="4.85546875" style="346" customWidth="1"/>
    <col min="15873" max="15873" width="13.7109375" style="346" customWidth="1"/>
    <col min="15874" max="15874" width="58.28515625" style="346" customWidth="1"/>
    <col min="15875" max="15875" width="13.42578125" style="346" customWidth="1"/>
    <col min="15876" max="15876" width="9.140625" style="346"/>
    <col min="15877" max="15877" width="11" style="346" customWidth="1"/>
    <col min="15878" max="15878" width="15.42578125" style="346" customWidth="1"/>
    <col min="15879" max="16127" width="9.140625" style="346"/>
    <col min="16128" max="16128" width="4.85546875" style="346" customWidth="1"/>
    <col min="16129" max="16129" width="13.7109375" style="346" customWidth="1"/>
    <col min="16130" max="16130" width="58.28515625" style="346" customWidth="1"/>
    <col min="16131" max="16131" width="13.42578125" style="346" customWidth="1"/>
    <col min="16132" max="16132" width="9.140625" style="346"/>
    <col min="16133" max="16133" width="11" style="346" customWidth="1"/>
    <col min="16134" max="16134" width="15.42578125" style="346" customWidth="1"/>
    <col min="16135" max="16384" width="9.140625" style="346"/>
  </cols>
  <sheetData>
    <row r="1" spans="1:7" ht="27" customHeight="1">
      <c r="A1" s="520" t="s">
        <v>426</v>
      </c>
      <c r="B1" s="520"/>
      <c r="C1" s="520"/>
      <c r="D1" s="520"/>
      <c r="E1" s="520"/>
      <c r="F1" s="520"/>
    </row>
    <row r="2" spans="1:7">
      <c r="F2" s="347" t="s">
        <v>310</v>
      </c>
    </row>
    <row r="3" spans="1:7" ht="36.75" customHeight="1">
      <c r="A3" s="348" t="s">
        <v>311</v>
      </c>
      <c r="B3" s="348" t="s">
        <v>312</v>
      </c>
      <c r="C3" s="348" t="s">
        <v>154</v>
      </c>
      <c r="D3" s="348" t="s">
        <v>64</v>
      </c>
      <c r="E3" s="348" t="s">
        <v>65</v>
      </c>
      <c r="F3" s="348" t="s">
        <v>22</v>
      </c>
    </row>
    <row r="4" spans="1:7" ht="28.5">
      <c r="A4" s="349" t="s">
        <v>411</v>
      </c>
      <c r="B4" s="350" t="s">
        <v>314</v>
      </c>
      <c r="C4" s="351"/>
      <c r="D4" s="351"/>
      <c r="E4" s="351"/>
      <c r="F4" s="351"/>
    </row>
    <row r="5" spans="1:7" ht="30">
      <c r="A5" s="349" t="s">
        <v>412</v>
      </c>
      <c r="B5" s="351" t="s">
        <v>316</v>
      </c>
      <c r="C5" s="361">
        <v>1</v>
      </c>
      <c r="D5" s="353">
        <v>356.65</v>
      </c>
      <c r="E5" s="353" t="s">
        <v>69</v>
      </c>
      <c r="F5" s="354">
        <f>ROUND(D5,0)</f>
        <v>357</v>
      </c>
    </row>
    <row r="6" spans="1:7" ht="60">
      <c r="A6" s="349" t="s">
        <v>420</v>
      </c>
      <c r="B6" s="351" t="s">
        <v>419</v>
      </c>
      <c r="C6" s="361">
        <f>2/100</f>
        <v>0.02</v>
      </c>
      <c r="D6" s="353">
        <v>1306.8</v>
      </c>
      <c r="E6" s="353" t="s">
        <v>421</v>
      </c>
      <c r="F6" s="354">
        <f>C6*D6</f>
        <v>26.135999999999999</v>
      </c>
    </row>
    <row r="7" spans="1:7" ht="47.25">
      <c r="A7" s="349" t="s">
        <v>415</v>
      </c>
      <c r="B7" s="405" t="s">
        <v>417</v>
      </c>
      <c r="C7" s="351">
        <v>100</v>
      </c>
      <c r="D7" s="351">
        <v>783.15</v>
      </c>
      <c r="E7" s="351" t="s">
        <v>394</v>
      </c>
      <c r="F7" s="354">
        <f>ROUND(C7*D7/100,0)</f>
        <v>783</v>
      </c>
    </row>
    <row r="8" spans="1:7" ht="75">
      <c r="A8" s="349" t="s">
        <v>414</v>
      </c>
      <c r="B8" s="351" t="s">
        <v>418</v>
      </c>
      <c r="C8" s="351">
        <v>100</v>
      </c>
      <c r="D8" s="351">
        <v>78.75</v>
      </c>
      <c r="E8" s="351" t="s">
        <v>394</v>
      </c>
      <c r="F8" s="354">
        <f>ROUND(C8*D8/100,0)</f>
        <v>79</v>
      </c>
    </row>
    <row r="9" spans="1:7" ht="31.5">
      <c r="A9" s="349" t="s">
        <v>413</v>
      </c>
      <c r="B9" s="404" t="s">
        <v>422</v>
      </c>
      <c r="C9" s="351">
        <f>1.75*2*50</f>
        <v>175</v>
      </c>
      <c r="D9" s="356">
        <v>133.6076817558299</v>
      </c>
      <c r="E9" s="351" t="s">
        <v>468</v>
      </c>
      <c r="F9" s="354">
        <f>C9*D9</f>
        <v>23381.344307270232</v>
      </c>
    </row>
    <row r="10" spans="1:7" ht="31.5">
      <c r="A10" s="349" t="s">
        <v>416</v>
      </c>
      <c r="B10" s="404" t="s">
        <v>423</v>
      </c>
      <c r="C10" s="351"/>
      <c r="D10" s="351"/>
      <c r="E10" s="351"/>
      <c r="F10" s="354"/>
    </row>
    <row r="11" spans="1:7" ht="15.75">
      <c r="A11" s="349" t="s">
        <v>425</v>
      </c>
      <c r="B11" s="404" t="s">
        <v>424</v>
      </c>
      <c r="C11" s="351"/>
      <c r="D11" s="351"/>
      <c r="E11" s="351"/>
      <c r="F11" s="354"/>
    </row>
    <row r="12" spans="1:7" ht="21" customHeight="1">
      <c r="A12" s="361"/>
      <c r="B12" s="361"/>
      <c r="C12" s="361"/>
      <c r="D12" s="362" t="s">
        <v>38</v>
      </c>
      <c r="E12" s="361"/>
      <c r="F12" s="363">
        <f>SUM(F5:F11)</f>
        <v>24626.480307270231</v>
      </c>
    </row>
    <row r="13" spans="1:7" ht="15.75">
      <c r="A13" s="370"/>
      <c r="B13" s="370"/>
      <c r="C13" s="364" t="s">
        <v>333</v>
      </c>
      <c r="D13" s="364"/>
      <c r="E13" s="364"/>
      <c r="F13" s="363">
        <f>F12</f>
        <v>24626.480307270231</v>
      </c>
      <c r="G13" s="365">
        <f>F13/100000</f>
        <v>0.24626480307270232</v>
      </c>
    </row>
    <row r="15" spans="1:7">
      <c r="C15" s="366" t="s">
        <v>334</v>
      </c>
      <c r="D15" s="366"/>
      <c r="E15" s="366"/>
    </row>
    <row r="16" spans="1:7">
      <c r="C16" s="366"/>
      <c r="D16" s="366"/>
      <c r="E16" s="366"/>
    </row>
  </sheetData>
  <mergeCells count="1">
    <mergeCell ref="A1:F1"/>
  </mergeCells>
  <printOptions horizontalCentered="1"/>
  <pageMargins left="0.15748031496063" right="0.23622047244094499" top="0.86614173228346503" bottom="0.47244094488188998" header="0.511811023622047" footer="0.511811023622047"/>
  <pageSetup paperSize="5" scale="9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8"/>
  <sheetViews>
    <sheetView view="pageBreakPreview" zoomScale="85" zoomScaleNormal="115" zoomScaleSheetLayoutView="85" workbookViewId="0">
      <pane xSplit="1" ySplit="3" topLeftCell="B4" activePane="bottomRight" state="frozen"/>
      <selection pane="topRight" activeCell="C1" sqref="C1"/>
      <selection pane="bottomLeft" activeCell="A5" sqref="A5"/>
      <selection pane="bottomRight" activeCell="F9" sqref="F9"/>
    </sheetView>
  </sheetViews>
  <sheetFormatPr defaultRowHeight="15"/>
  <cols>
    <col min="1" max="1" width="12.28515625" style="346" customWidth="1"/>
    <col min="2" max="2" width="54.42578125" style="346" customWidth="1"/>
    <col min="3" max="3" width="9.42578125" style="346" customWidth="1"/>
    <col min="4" max="4" width="12.42578125" style="346" customWidth="1"/>
    <col min="5" max="5" width="9.7109375" style="346" customWidth="1"/>
    <col min="6" max="6" width="11.85546875" style="346" customWidth="1"/>
    <col min="7" max="256" width="9.140625" style="346"/>
    <col min="257" max="257" width="12.28515625" style="346" customWidth="1"/>
    <col min="258" max="258" width="54.42578125" style="346" customWidth="1"/>
    <col min="259" max="259" width="12" style="346" customWidth="1"/>
    <col min="260" max="260" width="12.42578125" style="346" customWidth="1"/>
    <col min="261" max="261" width="11" style="346" customWidth="1"/>
    <col min="262" max="262" width="11.85546875" style="346" customWidth="1"/>
    <col min="263" max="512" width="9.140625" style="346"/>
    <col min="513" max="513" width="12.28515625" style="346" customWidth="1"/>
    <col min="514" max="514" width="54.42578125" style="346" customWidth="1"/>
    <col min="515" max="515" width="12" style="346" customWidth="1"/>
    <col min="516" max="516" width="12.42578125" style="346" customWidth="1"/>
    <col min="517" max="517" width="11" style="346" customWidth="1"/>
    <col min="518" max="518" width="11.85546875" style="346" customWidth="1"/>
    <col min="519" max="768" width="9.140625" style="346"/>
    <col min="769" max="769" width="12.28515625" style="346" customWidth="1"/>
    <col min="770" max="770" width="54.42578125" style="346" customWidth="1"/>
    <col min="771" max="771" width="12" style="346" customWidth="1"/>
    <col min="772" max="772" width="12.42578125" style="346" customWidth="1"/>
    <col min="773" max="773" width="11" style="346" customWidth="1"/>
    <col min="774" max="774" width="11.85546875" style="346" customWidth="1"/>
    <col min="775" max="1024" width="9.140625" style="346"/>
    <col min="1025" max="1025" width="12.28515625" style="346" customWidth="1"/>
    <col min="1026" max="1026" width="54.42578125" style="346" customWidth="1"/>
    <col min="1027" max="1027" width="12" style="346" customWidth="1"/>
    <col min="1028" max="1028" width="12.42578125" style="346" customWidth="1"/>
    <col min="1029" max="1029" width="11" style="346" customWidth="1"/>
    <col min="1030" max="1030" width="11.85546875" style="346" customWidth="1"/>
    <col min="1031" max="1280" width="9.140625" style="346"/>
    <col min="1281" max="1281" width="12.28515625" style="346" customWidth="1"/>
    <col min="1282" max="1282" width="54.42578125" style="346" customWidth="1"/>
    <col min="1283" max="1283" width="12" style="346" customWidth="1"/>
    <col min="1284" max="1284" width="12.42578125" style="346" customWidth="1"/>
    <col min="1285" max="1285" width="11" style="346" customWidth="1"/>
    <col min="1286" max="1286" width="11.85546875" style="346" customWidth="1"/>
    <col min="1287" max="1536" width="9.140625" style="346"/>
    <col min="1537" max="1537" width="12.28515625" style="346" customWidth="1"/>
    <col min="1538" max="1538" width="54.42578125" style="346" customWidth="1"/>
    <col min="1539" max="1539" width="12" style="346" customWidth="1"/>
    <col min="1540" max="1540" width="12.42578125" style="346" customWidth="1"/>
    <col min="1541" max="1541" width="11" style="346" customWidth="1"/>
    <col min="1542" max="1542" width="11.85546875" style="346" customWidth="1"/>
    <col min="1543" max="1792" width="9.140625" style="346"/>
    <col min="1793" max="1793" width="12.28515625" style="346" customWidth="1"/>
    <col min="1794" max="1794" width="54.42578125" style="346" customWidth="1"/>
    <col min="1795" max="1795" width="12" style="346" customWidth="1"/>
    <col min="1796" max="1796" width="12.42578125" style="346" customWidth="1"/>
    <col min="1797" max="1797" width="11" style="346" customWidth="1"/>
    <col min="1798" max="1798" width="11.85546875" style="346" customWidth="1"/>
    <col min="1799" max="2048" width="9.140625" style="346"/>
    <col min="2049" max="2049" width="12.28515625" style="346" customWidth="1"/>
    <col min="2050" max="2050" width="54.42578125" style="346" customWidth="1"/>
    <col min="2051" max="2051" width="12" style="346" customWidth="1"/>
    <col min="2052" max="2052" width="12.42578125" style="346" customWidth="1"/>
    <col min="2053" max="2053" width="11" style="346" customWidth="1"/>
    <col min="2054" max="2054" width="11.85546875" style="346" customWidth="1"/>
    <col min="2055" max="2304" width="9.140625" style="346"/>
    <col min="2305" max="2305" width="12.28515625" style="346" customWidth="1"/>
    <col min="2306" max="2306" width="54.42578125" style="346" customWidth="1"/>
    <col min="2307" max="2307" width="12" style="346" customWidth="1"/>
    <col min="2308" max="2308" width="12.42578125" style="346" customWidth="1"/>
    <col min="2309" max="2309" width="11" style="346" customWidth="1"/>
    <col min="2310" max="2310" width="11.85546875" style="346" customWidth="1"/>
    <col min="2311" max="2560" width="9.140625" style="346"/>
    <col min="2561" max="2561" width="12.28515625" style="346" customWidth="1"/>
    <col min="2562" max="2562" width="54.42578125" style="346" customWidth="1"/>
    <col min="2563" max="2563" width="12" style="346" customWidth="1"/>
    <col min="2564" max="2564" width="12.42578125" style="346" customWidth="1"/>
    <col min="2565" max="2565" width="11" style="346" customWidth="1"/>
    <col min="2566" max="2566" width="11.85546875" style="346" customWidth="1"/>
    <col min="2567" max="2816" width="9.140625" style="346"/>
    <col min="2817" max="2817" width="12.28515625" style="346" customWidth="1"/>
    <col min="2818" max="2818" width="54.42578125" style="346" customWidth="1"/>
    <col min="2819" max="2819" width="12" style="346" customWidth="1"/>
    <col min="2820" max="2820" width="12.42578125" style="346" customWidth="1"/>
    <col min="2821" max="2821" width="11" style="346" customWidth="1"/>
    <col min="2822" max="2822" width="11.85546875" style="346" customWidth="1"/>
    <col min="2823" max="3072" width="9.140625" style="346"/>
    <col min="3073" max="3073" width="12.28515625" style="346" customWidth="1"/>
    <col min="3074" max="3074" width="54.42578125" style="346" customWidth="1"/>
    <col min="3075" max="3075" width="12" style="346" customWidth="1"/>
    <col min="3076" max="3076" width="12.42578125" style="346" customWidth="1"/>
    <col min="3077" max="3077" width="11" style="346" customWidth="1"/>
    <col min="3078" max="3078" width="11.85546875" style="346" customWidth="1"/>
    <col min="3079" max="3328" width="9.140625" style="346"/>
    <col min="3329" max="3329" width="12.28515625" style="346" customWidth="1"/>
    <col min="3330" max="3330" width="54.42578125" style="346" customWidth="1"/>
    <col min="3331" max="3331" width="12" style="346" customWidth="1"/>
    <col min="3332" max="3332" width="12.42578125" style="346" customWidth="1"/>
    <col min="3333" max="3333" width="11" style="346" customWidth="1"/>
    <col min="3334" max="3334" width="11.85546875" style="346" customWidth="1"/>
    <col min="3335" max="3584" width="9.140625" style="346"/>
    <col min="3585" max="3585" width="12.28515625" style="346" customWidth="1"/>
    <col min="3586" max="3586" width="54.42578125" style="346" customWidth="1"/>
    <col min="3587" max="3587" width="12" style="346" customWidth="1"/>
    <col min="3588" max="3588" width="12.42578125" style="346" customWidth="1"/>
    <col min="3589" max="3589" width="11" style="346" customWidth="1"/>
    <col min="3590" max="3590" width="11.85546875" style="346" customWidth="1"/>
    <col min="3591" max="3840" width="9.140625" style="346"/>
    <col min="3841" max="3841" width="12.28515625" style="346" customWidth="1"/>
    <col min="3842" max="3842" width="54.42578125" style="346" customWidth="1"/>
    <col min="3843" max="3843" width="12" style="346" customWidth="1"/>
    <col min="3844" max="3844" width="12.42578125" style="346" customWidth="1"/>
    <col min="3845" max="3845" width="11" style="346" customWidth="1"/>
    <col min="3846" max="3846" width="11.85546875" style="346" customWidth="1"/>
    <col min="3847" max="4096" width="9.140625" style="346"/>
    <col min="4097" max="4097" width="12.28515625" style="346" customWidth="1"/>
    <col min="4098" max="4098" width="54.42578125" style="346" customWidth="1"/>
    <col min="4099" max="4099" width="12" style="346" customWidth="1"/>
    <col min="4100" max="4100" width="12.42578125" style="346" customWidth="1"/>
    <col min="4101" max="4101" width="11" style="346" customWidth="1"/>
    <col min="4102" max="4102" width="11.85546875" style="346" customWidth="1"/>
    <col min="4103" max="4352" width="9.140625" style="346"/>
    <col min="4353" max="4353" width="12.28515625" style="346" customWidth="1"/>
    <col min="4354" max="4354" width="54.42578125" style="346" customWidth="1"/>
    <col min="4355" max="4355" width="12" style="346" customWidth="1"/>
    <col min="4356" max="4356" width="12.42578125" style="346" customWidth="1"/>
    <col min="4357" max="4357" width="11" style="346" customWidth="1"/>
    <col min="4358" max="4358" width="11.85546875" style="346" customWidth="1"/>
    <col min="4359" max="4608" width="9.140625" style="346"/>
    <col min="4609" max="4609" width="12.28515625" style="346" customWidth="1"/>
    <col min="4610" max="4610" width="54.42578125" style="346" customWidth="1"/>
    <col min="4611" max="4611" width="12" style="346" customWidth="1"/>
    <col min="4612" max="4612" width="12.42578125" style="346" customWidth="1"/>
    <col min="4613" max="4613" width="11" style="346" customWidth="1"/>
    <col min="4614" max="4614" width="11.85546875" style="346" customWidth="1"/>
    <col min="4615" max="4864" width="9.140625" style="346"/>
    <col min="4865" max="4865" width="12.28515625" style="346" customWidth="1"/>
    <col min="4866" max="4866" width="54.42578125" style="346" customWidth="1"/>
    <col min="4867" max="4867" width="12" style="346" customWidth="1"/>
    <col min="4868" max="4868" width="12.42578125" style="346" customWidth="1"/>
    <col min="4869" max="4869" width="11" style="346" customWidth="1"/>
    <col min="4870" max="4870" width="11.85546875" style="346" customWidth="1"/>
    <col min="4871" max="5120" width="9.140625" style="346"/>
    <col min="5121" max="5121" width="12.28515625" style="346" customWidth="1"/>
    <col min="5122" max="5122" width="54.42578125" style="346" customWidth="1"/>
    <col min="5123" max="5123" width="12" style="346" customWidth="1"/>
    <col min="5124" max="5124" width="12.42578125" style="346" customWidth="1"/>
    <col min="5125" max="5125" width="11" style="346" customWidth="1"/>
    <col min="5126" max="5126" width="11.85546875" style="346" customWidth="1"/>
    <col min="5127" max="5376" width="9.140625" style="346"/>
    <col min="5377" max="5377" width="12.28515625" style="346" customWidth="1"/>
    <col min="5378" max="5378" width="54.42578125" style="346" customWidth="1"/>
    <col min="5379" max="5379" width="12" style="346" customWidth="1"/>
    <col min="5380" max="5380" width="12.42578125" style="346" customWidth="1"/>
    <col min="5381" max="5381" width="11" style="346" customWidth="1"/>
    <col min="5382" max="5382" width="11.85546875" style="346" customWidth="1"/>
    <col min="5383" max="5632" width="9.140625" style="346"/>
    <col min="5633" max="5633" width="12.28515625" style="346" customWidth="1"/>
    <col min="5634" max="5634" width="54.42578125" style="346" customWidth="1"/>
    <col min="5635" max="5635" width="12" style="346" customWidth="1"/>
    <col min="5636" max="5636" width="12.42578125" style="346" customWidth="1"/>
    <col min="5637" max="5637" width="11" style="346" customWidth="1"/>
    <col min="5638" max="5638" width="11.85546875" style="346" customWidth="1"/>
    <col min="5639" max="5888" width="9.140625" style="346"/>
    <col min="5889" max="5889" width="12.28515625" style="346" customWidth="1"/>
    <col min="5890" max="5890" width="54.42578125" style="346" customWidth="1"/>
    <col min="5891" max="5891" width="12" style="346" customWidth="1"/>
    <col min="5892" max="5892" width="12.42578125" style="346" customWidth="1"/>
    <col min="5893" max="5893" width="11" style="346" customWidth="1"/>
    <col min="5894" max="5894" width="11.85546875" style="346" customWidth="1"/>
    <col min="5895" max="6144" width="9.140625" style="346"/>
    <col min="6145" max="6145" width="12.28515625" style="346" customWidth="1"/>
    <col min="6146" max="6146" width="54.42578125" style="346" customWidth="1"/>
    <col min="6147" max="6147" width="12" style="346" customWidth="1"/>
    <col min="6148" max="6148" width="12.42578125" style="346" customWidth="1"/>
    <col min="6149" max="6149" width="11" style="346" customWidth="1"/>
    <col min="6150" max="6150" width="11.85546875" style="346" customWidth="1"/>
    <col min="6151" max="6400" width="9.140625" style="346"/>
    <col min="6401" max="6401" width="12.28515625" style="346" customWidth="1"/>
    <col min="6402" max="6402" width="54.42578125" style="346" customWidth="1"/>
    <col min="6403" max="6403" width="12" style="346" customWidth="1"/>
    <col min="6404" max="6404" width="12.42578125" style="346" customWidth="1"/>
    <col min="6405" max="6405" width="11" style="346" customWidth="1"/>
    <col min="6406" max="6406" width="11.85546875" style="346" customWidth="1"/>
    <col min="6407" max="6656" width="9.140625" style="346"/>
    <col min="6657" max="6657" width="12.28515625" style="346" customWidth="1"/>
    <col min="6658" max="6658" width="54.42578125" style="346" customWidth="1"/>
    <col min="6659" max="6659" width="12" style="346" customWidth="1"/>
    <col min="6660" max="6660" width="12.42578125" style="346" customWidth="1"/>
    <col min="6661" max="6661" width="11" style="346" customWidth="1"/>
    <col min="6662" max="6662" width="11.85546875" style="346" customWidth="1"/>
    <col min="6663" max="6912" width="9.140625" style="346"/>
    <col min="6913" max="6913" width="12.28515625" style="346" customWidth="1"/>
    <col min="6914" max="6914" width="54.42578125" style="346" customWidth="1"/>
    <col min="6915" max="6915" width="12" style="346" customWidth="1"/>
    <col min="6916" max="6916" width="12.42578125" style="346" customWidth="1"/>
    <col min="6917" max="6917" width="11" style="346" customWidth="1"/>
    <col min="6918" max="6918" width="11.85546875" style="346" customWidth="1"/>
    <col min="6919" max="7168" width="9.140625" style="346"/>
    <col min="7169" max="7169" width="12.28515625" style="346" customWidth="1"/>
    <col min="7170" max="7170" width="54.42578125" style="346" customWidth="1"/>
    <col min="7171" max="7171" width="12" style="346" customWidth="1"/>
    <col min="7172" max="7172" width="12.42578125" style="346" customWidth="1"/>
    <col min="7173" max="7173" width="11" style="346" customWidth="1"/>
    <col min="7174" max="7174" width="11.85546875" style="346" customWidth="1"/>
    <col min="7175" max="7424" width="9.140625" style="346"/>
    <col min="7425" max="7425" width="12.28515625" style="346" customWidth="1"/>
    <col min="7426" max="7426" width="54.42578125" style="346" customWidth="1"/>
    <col min="7427" max="7427" width="12" style="346" customWidth="1"/>
    <col min="7428" max="7428" width="12.42578125" style="346" customWidth="1"/>
    <col min="7429" max="7429" width="11" style="346" customWidth="1"/>
    <col min="7430" max="7430" width="11.85546875" style="346" customWidth="1"/>
    <col min="7431" max="7680" width="9.140625" style="346"/>
    <col min="7681" max="7681" width="12.28515625" style="346" customWidth="1"/>
    <col min="7682" max="7682" width="54.42578125" style="346" customWidth="1"/>
    <col min="7683" max="7683" width="12" style="346" customWidth="1"/>
    <col min="7684" max="7684" width="12.42578125" style="346" customWidth="1"/>
    <col min="7685" max="7685" width="11" style="346" customWidth="1"/>
    <col min="7686" max="7686" width="11.85546875" style="346" customWidth="1"/>
    <col min="7687" max="7936" width="9.140625" style="346"/>
    <col min="7937" max="7937" width="12.28515625" style="346" customWidth="1"/>
    <col min="7938" max="7938" width="54.42578125" style="346" customWidth="1"/>
    <col min="7939" max="7939" width="12" style="346" customWidth="1"/>
    <col min="7940" max="7940" width="12.42578125" style="346" customWidth="1"/>
    <col min="7941" max="7941" width="11" style="346" customWidth="1"/>
    <col min="7942" max="7942" width="11.85546875" style="346" customWidth="1"/>
    <col min="7943" max="8192" width="9.140625" style="346"/>
    <col min="8193" max="8193" width="12.28515625" style="346" customWidth="1"/>
    <col min="8194" max="8194" width="54.42578125" style="346" customWidth="1"/>
    <col min="8195" max="8195" width="12" style="346" customWidth="1"/>
    <col min="8196" max="8196" width="12.42578125" style="346" customWidth="1"/>
    <col min="8197" max="8197" width="11" style="346" customWidth="1"/>
    <col min="8198" max="8198" width="11.85546875" style="346" customWidth="1"/>
    <col min="8199" max="8448" width="9.140625" style="346"/>
    <col min="8449" max="8449" width="12.28515625" style="346" customWidth="1"/>
    <col min="8450" max="8450" width="54.42578125" style="346" customWidth="1"/>
    <col min="8451" max="8451" width="12" style="346" customWidth="1"/>
    <col min="8452" max="8452" width="12.42578125" style="346" customWidth="1"/>
    <col min="8453" max="8453" width="11" style="346" customWidth="1"/>
    <col min="8454" max="8454" width="11.85546875" style="346" customWidth="1"/>
    <col min="8455" max="8704" width="9.140625" style="346"/>
    <col min="8705" max="8705" width="12.28515625" style="346" customWidth="1"/>
    <col min="8706" max="8706" width="54.42578125" style="346" customWidth="1"/>
    <col min="8707" max="8707" width="12" style="346" customWidth="1"/>
    <col min="8708" max="8708" width="12.42578125" style="346" customWidth="1"/>
    <col min="8709" max="8709" width="11" style="346" customWidth="1"/>
    <col min="8710" max="8710" width="11.85546875" style="346" customWidth="1"/>
    <col min="8711" max="8960" width="9.140625" style="346"/>
    <col min="8961" max="8961" width="12.28515625" style="346" customWidth="1"/>
    <col min="8962" max="8962" width="54.42578125" style="346" customWidth="1"/>
    <col min="8963" max="8963" width="12" style="346" customWidth="1"/>
    <col min="8964" max="8964" width="12.42578125" style="346" customWidth="1"/>
    <col min="8965" max="8965" width="11" style="346" customWidth="1"/>
    <col min="8966" max="8966" width="11.85546875" style="346" customWidth="1"/>
    <col min="8967" max="9216" width="9.140625" style="346"/>
    <col min="9217" max="9217" width="12.28515625" style="346" customWidth="1"/>
    <col min="9218" max="9218" width="54.42578125" style="346" customWidth="1"/>
    <col min="9219" max="9219" width="12" style="346" customWidth="1"/>
    <col min="9220" max="9220" width="12.42578125" style="346" customWidth="1"/>
    <col min="9221" max="9221" width="11" style="346" customWidth="1"/>
    <col min="9222" max="9222" width="11.85546875" style="346" customWidth="1"/>
    <col min="9223" max="9472" width="9.140625" style="346"/>
    <col min="9473" max="9473" width="12.28515625" style="346" customWidth="1"/>
    <col min="9474" max="9474" width="54.42578125" style="346" customWidth="1"/>
    <col min="9475" max="9475" width="12" style="346" customWidth="1"/>
    <col min="9476" max="9476" width="12.42578125" style="346" customWidth="1"/>
    <col min="9477" max="9477" width="11" style="346" customWidth="1"/>
    <col min="9478" max="9478" width="11.85546875" style="346" customWidth="1"/>
    <col min="9479" max="9728" width="9.140625" style="346"/>
    <col min="9729" max="9729" width="12.28515625" style="346" customWidth="1"/>
    <col min="9730" max="9730" width="54.42578125" style="346" customWidth="1"/>
    <col min="9731" max="9731" width="12" style="346" customWidth="1"/>
    <col min="9732" max="9732" width="12.42578125" style="346" customWidth="1"/>
    <col min="9733" max="9733" width="11" style="346" customWidth="1"/>
    <col min="9734" max="9734" width="11.85546875" style="346" customWidth="1"/>
    <col min="9735" max="9984" width="9.140625" style="346"/>
    <col min="9985" max="9985" width="12.28515625" style="346" customWidth="1"/>
    <col min="9986" max="9986" width="54.42578125" style="346" customWidth="1"/>
    <col min="9987" max="9987" width="12" style="346" customWidth="1"/>
    <col min="9988" max="9988" width="12.42578125" style="346" customWidth="1"/>
    <col min="9989" max="9989" width="11" style="346" customWidth="1"/>
    <col min="9990" max="9990" width="11.85546875" style="346" customWidth="1"/>
    <col min="9991" max="10240" width="9.140625" style="346"/>
    <col min="10241" max="10241" width="12.28515625" style="346" customWidth="1"/>
    <col min="10242" max="10242" width="54.42578125" style="346" customWidth="1"/>
    <col min="10243" max="10243" width="12" style="346" customWidth="1"/>
    <col min="10244" max="10244" width="12.42578125" style="346" customWidth="1"/>
    <col min="10245" max="10245" width="11" style="346" customWidth="1"/>
    <col min="10246" max="10246" width="11.85546875" style="346" customWidth="1"/>
    <col min="10247" max="10496" width="9.140625" style="346"/>
    <col min="10497" max="10497" width="12.28515625" style="346" customWidth="1"/>
    <col min="10498" max="10498" width="54.42578125" style="346" customWidth="1"/>
    <col min="10499" max="10499" width="12" style="346" customWidth="1"/>
    <col min="10500" max="10500" width="12.42578125" style="346" customWidth="1"/>
    <col min="10501" max="10501" width="11" style="346" customWidth="1"/>
    <col min="10502" max="10502" width="11.85546875" style="346" customWidth="1"/>
    <col min="10503" max="10752" width="9.140625" style="346"/>
    <col min="10753" max="10753" width="12.28515625" style="346" customWidth="1"/>
    <col min="10754" max="10754" width="54.42578125" style="346" customWidth="1"/>
    <col min="10755" max="10755" width="12" style="346" customWidth="1"/>
    <col min="10756" max="10756" width="12.42578125" style="346" customWidth="1"/>
    <col min="10757" max="10757" width="11" style="346" customWidth="1"/>
    <col min="10758" max="10758" width="11.85546875" style="346" customWidth="1"/>
    <col min="10759" max="11008" width="9.140625" style="346"/>
    <col min="11009" max="11009" width="12.28515625" style="346" customWidth="1"/>
    <col min="11010" max="11010" width="54.42578125" style="346" customWidth="1"/>
    <col min="11011" max="11011" width="12" style="346" customWidth="1"/>
    <col min="11012" max="11012" width="12.42578125" style="346" customWidth="1"/>
    <col min="11013" max="11013" width="11" style="346" customWidth="1"/>
    <col min="11014" max="11014" width="11.85546875" style="346" customWidth="1"/>
    <col min="11015" max="11264" width="9.140625" style="346"/>
    <col min="11265" max="11265" width="12.28515625" style="346" customWidth="1"/>
    <col min="11266" max="11266" width="54.42578125" style="346" customWidth="1"/>
    <col min="11267" max="11267" width="12" style="346" customWidth="1"/>
    <col min="11268" max="11268" width="12.42578125" style="346" customWidth="1"/>
    <col min="11269" max="11269" width="11" style="346" customWidth="1"/>
    <col min="11270" max="11270" width="11.85546875" style="346" customWidth="1"/>
    <col min="11271" max="11520" width="9.140625" style="346"/>
    <col min="11521" max="11521" width="12.28515625" style="346" customWidth="1"/>
    <col min="11522" max="11522" width="54.42578125" style="346" customWidth="1"/>
    <col min="11523" max="11523" width="12" style="346" customWidth="1"/>
    <col min="11524" max="11524" width="12.42578125" style="346" customWidth="1"/>
    <col min="11525" max="11525" width="11" style="346" customWidth="1"/>
    <col min="11526" max="11526" width="11.85546875" style="346" customWidth="1"/>
    <col min="11527" max="11776" width="9.140625" style="346"/>
    <col min="11777" max="11777" width="12.28515625" style="346" customWidth="1"/>
    <col min="11778" max="11778" width="54.42578125" style="346" customWidth="1"/>
    <col min="11779" max="11779" width="12" style="346" customWidth="1"/>
    <col min="11780" max="11780" width="12.42578125" style="346" customWidth="1"/>
    <col min="11781" max="11781" width="11" style="346" customWidth="1"/>
    <col min="11782" max="11782" width="11.85546875" style="346" customWidth="1"/>
    <col min="11783" max="12032" width="9.140625" style="346"/>
    <col min="12033" max="12033" width="12.28515625" style="346" customWidth="1"/>
    <col min="12034" max="12034" width="54.42578125" style="346" customWidth="1"/>
    <col min="12035" max="12035" width="12" style="346" customWidth="1"/>
    <col min="12036" max="12036" width="12.42578125" style="346" customWidth="1"/>
    <col min="12037" max="12037" width="11" style="346" customWidth="1"/>
    <col min="12038" max="12038" width="11.85546875" style="346" customWidth="1"/>
    <col min="12039" max="12288" width="9.140625" style="346"/>
    <col min="12289" max="12289" width="12.28515625" style="346" customWidth="1"/>
    <col min="12290" max="12290" width="54.42578125" style="346" customWidth="1"/>
    <col min="12291" max="12291" width="12" style="346" customWidth="1"/>
    <col min="12292" max="12292" width="12.42578125" style="346" customWidth="1"/>
    <col min="12293" max="12293" width="11" style="346" customWidth="1"/>
    <col min="12294" max="12294" width="11.85546875" style="346" customWidth="1"/>
    <col min="12295" max="12544" width="9.140625" style="346"/>
    <col min="12545" max="12545" width="12.28515625" style="346" customWidth="1"/>
    <col min="12546" max="12546" width="54.42578125" style="346" customWidth="1"/>
    <col min="12547" max="12547" width="12" style="346" customWidth="1"/>
    <col min="12548" max="12548" width="12.42578125" style="346" customWidth="1"/>
    <col min="12549" max="12549" width="11" style="346" customWidth="1"/>
    <col min="12550" max="12550" width="11.85546875" style="346" customWidth="1"/>
    <col min="12551" max="12800" width="9.140625" style="346"/>
    <col min="12801" max="12801" width="12.28515625" style="346" customWidth="1"/>
    <col min="12802" max="12802" width="54.42578125" style="346" customWidth="1"/>
    <col min="12803" max="12803" width="12" style="346" customWidth="1"/>
    <col min="12804" max="12804" width="12.42578125" style="346" customWidth="1"/>
    <col min="12805" max="12805" width="11" style="346" customWidth="1"/>
    <col min="12806" max="12806" width="11.85546875" style="346" customWidth="1"/>
    <col min="12807" max="13056" width="9.140625" style="346"/>
    <col min="13057" max="13057" width="12.28515625" style="346" customWidth="1"/>
    <col min="13058" max="13058" width="54.42578125" style="346" customWidth="1"/>
    <col min="13059" max="13059" width="12" style="346" customWidth="1"/>
    <col min="13060" max="13060" width="12.42578125" style="346" customWidth="1"/>
    <col min="13061" max="13061" width="11" style="346" customWidth="1"/>
    <col min="13062" max="13062" width="11.85546875" style="346" customWidth="1"/>
    <col min="13063" max="13312" width="9.140625" style="346"/>
    <col min="13313" max="13313" width="12.28515625" style="346" customWidth="1"/>
    <col min="13314" max="13314" width="54.42578125" style="346" customWidth="1"/>
    <col min="13315" max="13315" width="12" style="346" customWidth="1"/>
    <col min="13316" max="13316" width="12.42578125" style="346" customWidth="1"/>
    <col min="13317" max="13317" width="11" style="346" customWidth="1"/>
    <col min="13318" max="13318" width="11.85546875" style="346" customWidth="1"/>
    <col min="13319" max="13568" width="9.140625" style="346"/>
    <col min="13569" max="13569" width="12.28515625" style="346" customWidth="1"/>
    <col min="13570" max="13570" width="54.42578125" style="346" customWidth="1"/>
    <col min="13571" max="13571" width="12" style="346" customWidth="1"/>
    <col min="13572" max="13572" width="12.42578125" style="346" customWidth="1"/>
    <col min="13573" max="13573" width="11" style="346" customWidth="1"/>
    <col min="13574" max="13574" width="11.85546875" style="346" customWidth="1"/>
    <col min="13575" max="13824" width="9.140625" style="346"/>
    <col min="13825" max="13825" width="12.28515625" style="346" customWidth="1"/>
    <col min="13826" max="13826" width="54.42578125" style="346" customWidth="1"/>
    <col min="13827" max="13827" width="12" style="346" customWidth="1"/>
    <col min="13828" max="13828" width="12.42578125" style="346" customWidth="1"/>
    <col min="13829" max="13829" width="11" style="346" customWidth="1"/>
    <col min="13830" max="13830" width="11.85546875" style="346" customWidth="1"/>
    <col min="13831" max="14080" width="9.140625" style="346"/>
    <col min="14081" max="14081" width="12.28515625" style="346" customWidth="1"/>
    <col min="14082" max="14082" width="54.42578125" style="346" customWidth="1"/>
    <col min="14083" max="14083" width="12" style="346" customWidth="1"/>
    <col min="14084" max="14084" width="12.42578125" style="346" customWidth="1"/>
    <col min="14085" max="14085" width="11" style="346" customWidth="1"/>
    <col min="14086" max="14086" width="11.85546875" style="346" customWidth="1"/>
    <col min="14087" max="14336" width="9.140625" style="346"/>
    <col min="14337" max="14337" width="12.28515625" style="346" customWidth="1"/>
    <col min="14338" max="14338" width="54.42578125" style="346" customWidth="1"/>
    <col min="14339" max="14339" width="12" style="346" customWidth="1"/>
    <col min="14340" max="14340" width="12.42578125" style="346" customWidth="1"/>
    <col min="14341" max="14341" width="11" style="346" customWidth="1"/>
    <col min="14342" max="14342" width="11.85546875" style="346" customWidth="1"/>
    <col min="14343" max="14592" width="9.140625" style="346"/>
    <col min="14593" max="14593" width="12.28515625" style="346" customWidth="1"/>
    <col min="14594" max="14594" width="54.42578125" style="346" customWidth="1"/>
    <col min="14595" max="14595" width="12" style="346" customWidth="1"/>
    <col min="14596" max="14596" width="12.42578125" style="346" customWidth="1"/>
    <col min="14597" max="14597" width="11" style="346" customWidth="1"/>
    <col min="14598" max="14598" width="11.85546875" style="346" customWidth="1"/>
    <col min="14599" max="14848" width="9.140625" style="346"/>
    <col min="14849" max="14849" width="12.28515625" style="346" customWidth="1"/>
    <col min="14850" max="14850" width="54.42578125" style="346" customWidth="1"/>
    <col min="14851" max="14851" width="12" style="346" customWidth="1"/>
    <col min="14852" max="14852" width="12.42578125" style="346" customWidth="1"/>
    <col min="14853" max="14853" width="11" style="346" customWidth="1"/>
    <col min="14854" max="14854" width="11.85546875" style="346" customWidth="1"/>
    <col min="14855" max="15104" width="9.140625" style="346"/>
    <col min="15105" max="15105" width="12.28515625" style="346" customWidth="1"/>
    <col min="15106" max="15106" width="54.42578125" style="346" customWidth="1"/>
    <col min="15107" max="15107" width="12" style="346" customWidth="1"/>
    <col min="15108" max="15108" width="12.42578125" style="346" customWidth="1"/>
    <col min="15109" max="15109" width="11" style="346" customWidth="1"/>
    <col min="15110" max="15110" width="11.85546875" style="346" customWidth="1"/>
    <col min="15111" max="15360" width="9.140625" style="346"/>
    <col min="15361" max="15361" width="12.28515625" style="346" customWidth="1"/>
    <col min="15362" max="15362" width="54.42578125" style="346" customWidth="1"/>
    <col min="15363" max="15363" width="12" style="346" customWidth="1"/>
    <col min="15364" max="15364" width="12.42578125" style="346" customWidth="1"/>
    <col min="15365" max="15365" width="11" style="346" customWidth="1"/>
    <col min="15366" max="15366" width="11.85546875" style="346" customWidth="1"/>
    <col min="15367" max="15616" width="9.140625" style="346"/>
    <col min="15617" max="15617" width="12.28515625" style="346" customWidth="1"/>
    <col min="15618" max="15618" width="54.42578125" style="346" customWidth="1"/>
    <col min="15619" max="15619" width="12" style="346" customWidth="1"/>
    <col min="15620" max="15620" width="12.42578125" style="346" customWidth="1"/>
    <col min="15621" max="15621" width="11" style="346" customWidth="1"/>
    <col min="15622" max="15622" width="11.85546875" style="346" customWidth="1"/>
    <col min="15623" max="15872" width="9.140625" style="346"/>
    <col min="15873" max="15873" width="12.28515625" style="346" customWidth="1"/>
    <col min="15874" max="15874" width="54.42578125" style="346" customWidth="1"/>
    <col min="15875" max="15875" width="12" style="346" customWidth="1"/>
    <col min="15876" max="15876" width="12.42578125" style="346" customWidth="1"/>
    <col min="15877" max="15877" width="11" style="346" customWidth="1"/>
    <col min="15878" max="15878" width="11.85546875" style="346" customWidth="1"/>
    <col min="15879" max="16128" width="9.140625" style="346"/>
    <col min="16129" max="16129" width="12.28515625" style="346" customWidth="1"/>
    <col min="16130" max="16130" width="54.42578125" style="346" customWidth="1"/>
    <col min="16131" max="16131" width="12" style="346" customWidth="1"/>
    <col min="16132" max="16132" width="12.42578125" style="346" customWidth="1"/>
    <col min="16133" max="16133" width="11" style="346" customWidth="1"/>
    <col min="16134" max="16134" width="11.85546875" style="346" customWidth="1"/>
    <col min="16135" max="16384" width="9.140625" style="346"/>
  </cols>
  <sheetData>
    <row r="1" spans="1:7" ht="27" customHeight="1">
      <c r="A1" s="519" t="s">
        <v>406</v>
      </c>
      <c r="B1" s="519"/>
      <c r="C1" s="519"/>
      <c r="D1" s="519"/>
      <c r="E1" s="519"/>
      <c r="F1" s="519"/>
    </row>
    <row r="2" spans="1:7">
      <c r="F2" s="347" t="s">
        <v>310</v>
      </c>
    </row>
    <row r="3" spans="1:7" ht="36.75" customHeight="1">
      <c r="A3" s="348" t="s">
        <v>311</v>
      </c>
      <c r="B3" s="348" t="s">
        <v>312</v>
      </c>
      <c r="C3" s="348" t="s">
        <v>154</v>
      </c>
      <c r="D3" s="348" t="s">
        <v>64</v>
      </c>
      <c r="E3" s="348" t="s">
        <v>65</v>
      </c>
      <c r="F3" s="348" t="s">
        <v>22</v>
      </c>
    </row>
    <row r="4" spans="1:7">
      <c r="A4" s="371" t="s">
        <v>396</v>
      </c>
      <c r="B4" s="358" t="s">
        <v>386</v>
      </c>
      <c r="C4" s="369">
        <f>Adv_LI!$C$12</f>
        <v>1111</v>
      </c>
      <c r="D4" s="373">
        <v>119.05</v>
      </c>
      <c r="E4" s="373" t="s">
        <v>340</v>
      </c>
      <c r="F4" s="396">
        <f>ROUND(C4*D4/100,0)</f>
        <v>1323</v>
      </c>
    </row>
    <row r="5" spans="1:7" ht="55.5" customHeight="1">
      <c r="A5" s="371" t="s">
        <v>398</v>
      </c>
      <c r="B5" s="358" t="s">
        <v>375</v>
      </c>
      <c r="C5" s="369"/>
      <c r="D5" s="373"/>
      <c r="E5" s="373"/>
      <c r="F5" s="397"/>
    </row>
    <row r="6" spans="1:7">
      <c r="A6" s="371"/>
      <c r="B6" s="358" t="s">
        <v>376</v>
      </c>
      <c r="C6" s="369">
        <f>Adv_LI!$C$12</f>
        <v>1111</v>
      </c>
      <c r="D6" s="373">
        <v>625</v>
      </c>
      <c r="E6" s="373" t="s">
        <v>340</v>
      </c>
      <c r="F6" s="396">
        <f>ROUND(C6*D6/100,0)</f>
        <v>6944</v>
      </c>
    </row>
    <row r="7" spans="1:7" ht="30">
      <c r="A7" s="371" t="s">
        <v>392</v>
      </c>
      <c r="B7" s="372" t="s">
        <v>393</v>
      </c>
      <c r="C7" s="369">
        <f>Adv_LI!$C$12</f>
        <v>1111</v>
      </c>
      <c r="D7" s="373">
        <v>118.35</v>
      </c>
      <c r="E7" s="373" t="s">
        <v>340</v>
      </c>
      <c r="F7" s="396">
        <f>ROUND(C7*D7/100,0)</f>
        <v>1315</v>
      </c>
    </row>
    <row r="8" spans="1:7" ht="47.25">
      <c r="A8" s="388" t="s">
        <v>106</v>
      </c>
      <c r="B8" s="389" t="s">
        <v>107</v>
      </c>
      <c r="C8" s="390">
        <v>100</v>
      </c>
      <c r="D8" s="391">
        <v>579.29999999999995</v>
      </c>
      <c r="E8" s="392" t="s">
        <v>394</v>
      </c>
      <c r="F8" s="393">
        <f>D8</f>
        <v>579.29999999999995</v>
      </c>
    </row>
    <row r="9" spans="1:7" ht="45">
      <c r="A9" s="371" t="s">
        <v>395</v>
      </c>
      <c r="B9" s="372" t="s">
        <v>381</v>
      </c>
      <c r="C9" s="361">
        <v>1</v>
      </c>
      <c r="D9" s="373">
        <v>7006</v>
      </c>
      <c r="E9" s="386" t="s">
        <v>79</v>
      </c>
      <c r="F9" s="377"/>
    </row>
    <row r="10" spans="1:7">
      <c r="A10" s="361"/>
      <c r="B10" s="361"/>
      <c r="C10" s="361"/>
      <c r="D10" s="362" t="s">
        <v>38</v>
      </c>
      <c r="E10" s="361"/>
      <c r="F10" s="363">
        <f>SUM(F4:F9)</f>
        <v>10161.299999999999</v>
      </c>
    </row>
    <row r="11" spans="1:7" ht="15.75">
      <c r="C11" s="364" t="s">
        <v>333</v>
      </c>
      <c r="D11" s="364"/>
      <c r="E11" s="364"/>
      <c r="F11" s="395">
        <f>F10</f>
        <v>10161.299999999999</v>
      </c>
      <c r="G11" s="365">
        <f>F11/100000</f>
        <v>0.10161299999999999</v>
      </c>
    </row>
    <row r="12" spans="1:7">
      <c r="D12" s="366"/>
    </row>
    <row r="18" spans="3:3">
      <c r="C18" s="346" t="s">
        <v>334</v>
      </c>
    </row>
  </sheetData>
  <mergeCells count="1">
    <mergeCell ref="A1:F1"/>
  </mergeCells>
  <printOptions horizontalCentered="1"/>
  <pageMargins left="0.23622047244094491" right="0.15748031496062992" top="0.98425196850393704" bottom="0.98425196850393704" header="0.51181102362204722" footer="0.51181102362204722"/>
  <pageSetup paperSize="5" scale="8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6"/>
  <sheetViews>
    <sheetView view="pageBreakPreview" zoomScale="115" zoomScaleSheetLayoutView="115" workbookViewId="0">
      <pane xSplit="1" ySplit="3" topLeftCell="B4" activePane="bottomRight" state="frozen"/>
      <selection pane="topRight" activeCell="C1" sqref="C1"/>
      <selection pane="bottomLeft" activeCell="A5" sqref="A5"/>
      <selection pane="bottomRight" activeCell="F12" sqref="F12"/>
    </sheetView>
  </sheetViews>
  <sheetFormatPr defaultRowHeight="15"/>
  <cols>
    <col min="1" max="1" width="12.28515625" style="346" customWidth="1"/>
    <col min="2" max="2" width="54.42578125" style="346" customWidth="1"/>
    <col min="3" max="3" width="10.7109375" style="346" customWidth="1"/>
    <col min="4" max="4" width="11.28515625" style="346" customWidth="1"/>
    <col min="5" max="5" width="11" style="346" customWidth="1"/>
    <col min="6" max="6" width="11.85546875" style="346" customWidth="1"/>
    <col min="7" max="256" width="9.140625" style="346"/>
    <col min="257" max="257" width="12.28515625" style="346" customWidth="1"/>
    <col min="258" max="258" width="54.42578125" style="346" customWidth="1"/>
    <col min="259" max="259" width="12" style="346" customWidth="1"/>
    <col min="260" max="260" width="12.42578125" style="346" customWidth="1"/>
    <col min="261" max="261" width="11" style="346" customWidth="1"/>
    <col min="262" max="262" width="11.85546875" style="346" customWidth="1"/>
    <col min="263" max="512" width="9.140625" style="346"/>
    <col min="513" max="513" width="12.28515625" style="346" customWidth="1"/>
    <col min="514" max="514" width="54.42578125" style="346" customWidth="1"/>
    <col min="515" max="515" width="12" style="346" customWidth="1"/>
    <col min="516" max="516" width="12.42578125" style="346" customWidth="1"/>
    <col min="517" max="517" width="11" style="346" customWidth="1"/>
    <col min="518" max="518" width="11.85546875" style="346" customWidth="1"/>
    <col min="519" max="768" width="9.140625" style="346"/>
    <col min="769" max="769" width="12.28515625" style="346" customWidth="1"/>
    <col min="770" max="770" width="54.42578125" style="346" customWidth="1"/>
    <col min="771" max="771" width="12" style="346" customWidth="1"/>
    <col min="772" max="772" width="12.42578125" style="346" customWidth="1"/>
    <col min="773" max="773" width="11" style="346" customWidth="1"/>
    <col min="774" max="774" width="11.85546875" style="346" customWidth="1"/>
    <col min="775" max="1024" width="9.140625" style="346"/>
    <col min="1025" max="1025" width="12.28515625" style="346" customWidth="1"/>
    <col min="1026" max="1026" width="54.42578125" style="346" customWidth="1"/>
    <col min="1027" max="1027" width="12" style="346" customWidth="1"/>
    <col min="1028" max="1028" width="12.42578125" style="346" customWidth="1"/>
    <col min="1029" max="1029" width="11" style="346" customWidth="1"/>
    <col min="1030" max="1030" width="11.85546875" style="346" customWidth="1"/>
    <col min="1031" max="1280" width="9.140625" style="346"/>
    <col min="1281" max="1281" width="12.28515625" style="346" customWidth="1"/>
    <col min="1282" max="1282" width="54.42578125" style="346" customWidth="1"/>
    <col min="1283" max="1283" width="12" style="346" customWidth="1"/>
    <col min="1284" max="1284" width="12.42578125" style="346" customWidth="1"/>
    <col min="1285" max="1285" width="11" style="346" customWidth="1"/>
    <col min="1286" max="1286" width="11.85546875" style="346" customWidth="1"/>
    <col min="1287" max="1536" width="9.140625" style="346"/>
    <col min="1537" max="1537" width="12.28515625" style="346" customWidth="1"/>
    <col min="1538" max="1538" width="54.42578125" style="346" customWidth="1"/>
    <col min="1539" max="1539" width="12" style="346" customWidth="1"/>
    <col min="1540" max="1540" width="12.42578125" style="346" customWidth="1"/>
    <col min="1541" max="1541" width="11" style="346" customWidth="1"/>
    <col min="1542" max="1542" width="11.85546875" style="346" customWidth="1"/>
    <col min="1543" max="1792" width="9.140625" style="346"/>
    <col min="1793" max="1793" width="12.28515625" style="346" customWidth="1"/>
    <col min="1794" max="1794" width="54.42578125" style="346" customWidth="1"/>
    <col min="1795" max="1795" width="12" style="346" customWidth="1"/>
    <col min="1796" max="1796" width="12.42578125" style="346" customWidth="1"/>
    <col min="1797" max="1797" width="11" style="346" customWidth="1"/>
    <col min="1798" max="1798" width="11.85546875" style="346" customWidth="1"/>
    <col min="1799" max="2048" width="9.140625" style="346"/>
    <col min="2049" max="2049" width="12.28515625" style="346" customWidth="1"/>
    <col min="2050" max="2050" width="54.42578125" style="346" customWidth="1"/>
    <col min="2051" max="2051" width="12" style="346" customWidth="1"/>
    <col min="2052" max="2052" width="12.42578125" style="346" customWidth="1"/>
    <col min="2053" max="2053" width="11" style="346" customWidth="1"/>
    <col min="2054" max="2054" width="11.85546875" style="346" customWidth="1"/>
    <col min="2055" max="2304" width="9.140625" style="346"/>
    <col min="2305" max="2305" width="12.28515625" style="346" customWidth="1"/>
    <col min="2306" max="2306" width="54.42578125" style="346" customWidth="1"/>
    <col min="2307" max="2307" width="12" style="346" customWidth="1"/>
    <col min="2308" max="2308" width="12.42578125" style="346" customWidth="1"/>
    <col min="2309" max="2309" width="11" style="346" customWidth="1"/>
    <col min="2310" max="2310" width="11.85546875" style="346" customWidth="1"/>
    <col min="2311" max="2560" width="9.140625" style="346"/>
    <col min="2561" max="2561" width="12.28515625" style="346" customWidth="1"/>
    <col min="2562" max="2562" width="54.42578125" style="346" customWidth="1"/>
    <col min="2563" max="2563" width="12" style="346" customWidth="1"/>
    <col min="2564" max="2564" width="12.42578125" style="346" customWidth="1"/>
    <col min="2565" max="2565" width="11" style="346" customWidth="1"/>
    <col min="2566" max="2566" width="11.85546875" style="346" customWidth="1"/>
    <col min="2567" max="2816" width="9.140625" style="346"/>
    <col min="2817" max="2817" width="12.28515625" style="346" customWidth="1"/>
    <col min="2818" max="2818" width="54.42578125" style="346" customWidth="1"/>
    <col min="2819" max="2819" width="12" style="346" customWidth="1"/>
    <col min="2820" max="2820" width="12.42578125" style="346" customWidth="1"/>
    <col min="2821" max="2821" width="11" style="346" customWidth="1"/>
    <col min="2822" max="2822" width="11.85546875" style="346" customWidth="1"/>
    <col min="2823" max="3072" width="9.140625" style="346"/>
    <col min="3073" max="3073" width="12.28515625" style="346" customWidth="1"/>
    <col min="3074" max="3074" width="54.42578125" style="346" customWidth="1"/>
    <col min="3075" max="3075" width="12" style="346" customWidth="1"/>
    <col min="3076" max="3076" width="12.42578125" style="346" customWidth="1"/>
    <col min="3077" max="3077" width="11" style="346" customWidth="1"/>
    <col min="3078" max="3078" width="11.85546875" style="346" customWidth="1"/>
    <col min="3079" max="3328" width="9.140625" style="346"/>
    <col min="3329" max="3329" width="12.28515625" style="346" customWidth="1"/>
    <col min="3330" max="3330" width="54.42578125" style="346" customWidth="1"/>
    <col min="3331" max="3331" width="12" style="346" customWidth="1"/>
    <col min="3332" max="3332" width="12.42578125" style="346" customWidth="1"/>
    <col min="3333" max="3333" width="11" style="346" customWidth="1"/>
    <col min="3334" max="3334" width="11.85546875" style="346" customWidth="1"/>
    <col min="3335" max="3584" width="9.140625" style="346"/>
    <col min="3585" max="3585" width="12.28515625" style="346" customWidth="1"/>
    <col min="3586" max="3586" width="54.42578125" style="346" customWidth="1"/>
    <col min="3587" max="3587" width="12" style="346" customWidth="1"/>
    <col min="3588" max="3588" width="12.42578125" style="346" customWidth="1"/>
    <col min="3589" max="3589" width="11" style="346" customWidth="1"/>
    <col min="3590" max="3590" width="11.85546875" style="346" customWidth="1"/>
    <col min="3591" max="3840" width="9.140625" style="346"/>
    <col min="3841" max="3841" width="12.28515625" style="346" customWidth="1"/>
    <col min="3842" max="3842" width="54.42578125" style="346" customWidth="1"/>
    <col min="3843" max="3843" width="12" style="346" customWidth="1"/>
    <col min="3844" max="3844" width="12.42578125" style="346" customWidth="1"/>
    <col min="3845" max="3845" width="11" style="346" customWidth="1"/>
    <col min="3846" max="3846" width="11.85546875" style="346" customWidth="1"/>
    <col min="3847" max="4096" width="9.140625" style="346"/>
    <col min="4097" max="4097" width="12.28515625" style="346" customWidth="1"/>
    <col min="4098" max="4098" width="54.42578125" style="346" customWidth="1"/>
    <col min="4099" max="4099" width="12" style="346" customWidth="1"/>
    <col min="4100" max="4100" width="12.42578125" style="346" customWidth="1"/>
    <col min="4101" max="4101" width="11" style="346" customWidth="1"/>
    <col min="4102" max="4102" width="11.85546875" style="346" customWidth="1"/>
    <col min="4103" max="4352" width="9.140625" style="346"/>
    <col min="4353" max="4353" width="12.28515625" style="346" customWidth="1"/>
    <col min="4354" max="4354" width="54.42578125" style="346" customWidth="1"/>
    <col min="4355" max="4355" width="12" style="346" customWidth="1"/>
    <col min="4356" max="4356" width="12.42578125" style="346" customWidth="1"/>
    <col min="4357" max="4357" width="11" style="346" customWidth="1"/>
    <col min="4358" max="4358" width="11.85546875" style="346" customWidth="1"/>
    <col min="4359" max="4608" width="9.140625" style="346"/>
    <col min="4609" max="4609" width="12.28515625" style="346" customWidth="1"/>
    <col min="4610" max="4610" width="54.42578125" style="346" customWidth="1"/>
    <col min="4611" max="4611" width="12" style="346" customWidth="1"/>
    <col min="4612" max="4612" width="12.42578125" style="346" customWidth="1"/>
    <col min="4613" max="4613" width="11" style="346" customWidth="1"/>
    <col min="4614" max="4614" width="11.85546875" style="346" customWidth="1"/>
    <col min="4615" max="4864" width="9.140625" style="346"/>
    <col min="4865" max="4865" width="12.28515625" style="346" customWidth="1"/>
    <col min="4866" max="4866" width="54.42578125" style="346" customWidth="1"/>
    <col min="4867" max="4867" width="12" style="346" customWidth="1"/>
    <col min="4868" max="4868" width="12.42578125" style="346" customWidth="1"/>
    <col min="4869" max="4869" width="11" style="346" customWidth="1"/>
    <col min="4870" max="4870" width="11.85546875" style="346" customWidth="1"/>
    <col min="4871" max="5120" width="9.140625" style="346"/>
    <col min="5121" max="5121" width="12.28515625" style="346" customWidth="1"/>
    <col min="5122" max="5122" width="54.42578125" style="346" customWidth="1"/>
    <col min="5123" max="5123" width="12" style="346" customWidth="1"/>
    <col min="5124" max="5124" width="12.42578125" style="346" customWidth="1"/>
    <col min="5125" max="5125" width="11" style="346" customWidth="1"/>
    <col min="5126" max="5126" width="11.85546875" style="346" customWidth="1"/>
    <col min="5127" max="5376" width="9.140625" style="346"/>
    <col min="5377" max="5377" width="12.28515625" style="346" customWidth="1"/>
    <col min="5378" max="5378" width="54.42578125" style="346" customWidth="1"/>
    <col min="5379" max="5379" width="12" style="346" customWidth="1"/>
    <col min="5380" max="5380" width="12.42578125" style="346" customWidth="1"/>
    <col min="5381" max="5381" width="11" style="346" customWidth="1"/>
    <col min="5382" max="5382" width="11.85546875" style="346" customWidth="1"/>
    <col min="5383" max="5632" width="9.140625" style="346"/>
    <col min="5633" max="5633" width="12.28515625" style="346" customWidth="1"/>
    <col min="5634" max="5634" width="54.42578125" style="346" customWidth="1"/>
    <col min="5635" max="5635" width="12" style="346" customWidth="1"/>
    <col min="5636" max="5636" width="12.42578125" style="346" customWidth="1"/>
    <col min="5637" max="5637" width="11" style="346" customWidth="1"/>
    <col min="5638" max="5638" width="11.85546875" style="346" customWidth="1"/>
    <col min="5639" max="5888" width="9.140625" style="346"/>
    <col min="5889" max="5889" width="12.28515625" style="346" customWidth="1"/>
    <col min="5890" max="5890" width="54.42578125" style="346" customWidth="1"/>
    <col min="5891" max="5891" width="12" style="346" customWidth="1"/>
    <col min="5892" max="5892" width="12.42578125" style="346" customWidth="1"/>
    <col min="5893" max="5893" width="11" style="346" customWidth="1"/>
    <col min="5894" max="5894" width="11.85546875" style="346" customWidth="1"/>
    <col min="5895" max="6144" width="9.140625" style="346"/>
    <col min="6145" max="6145" width="12.28515625" style="346" customWidth="1"/>
    <col min="6146" max="6146" width="54.42578125" style="346" customWidth="1"/>
    <col min="6147" max="6147" width="12" style="346" customWidth="1"/>
    <col min="6148" max="6148" width="12.42578125" style="346" customWidth="1"/>
    <col min="6149" max="6149" width="11" style="346" customWidth="1"/>
    <col min="6150" max="6150" width="11.85546875" style="346" customWidth="1"/>
    <col min="6151" max="6400" width="9.140625" style="346"/>
    <col min="6401" max="6401" width="12.28515625" style="346" customWidth="1"/>
    <col min="6402" max="6402" width="54.42578125" style="346" customWidth="1"/>
    <col min="6403" max="6403" width="12" style="346" customWidth="1"/>
    <col min="6404" max="6404" width="12.42578125" style="346" customWidth="1"/>
    <col min="6405" max="6405" width="11" style="346" customWidth="1"/>
    <col min="6406" max="6406" width="11.85546875" style="346" customWidth="1"/>
    <col min="6407" max="6656" width="9.140625" style="346"/>
    <col min="6657" max="6657" width="12.28515625" style="346" customWidth="1"/>
    <col min="6658" max="6658" width="54.42578125" style="346" customWidth="1"/>
    <col min="6659" max="6659" width="12" style="346" customWidth="1"/>
    <col min="6660" max="6660" width="12.42578125" style="346" customWidth="1"/>
    <col min="6661" max="6661" width="11" style="346" customWidth="1"/>
    <col min="6662" max="6662" width="11.85546875" style="346" customWidth="1"/>
    <col min="6663" max="6912" width="9.140625" style="346"/>
    <col min="6913" max="6913" width="12.28515625" style="346" customWidth="1"/>
    <col min="6914" max="6914" width="54.42578125" style="346" customWidth="1"/>
    <col min="6915" max="6915" width="12" style="346" customWidth="1"/>
    <col min="6916" max="6916" width="12.42578125" style="346" customWidth="1"/>
    <col min="6917" max="6917" width="11" style="346" customWidth="1"/>
    <col min="6918" max="6918" width="11.85546875" style="346" customWidth="1"/>
    <col min="6919" max="7168" width="9.140625" style="346"/>
    <col min="7169" max="7169" width="12.28515625" style="346" customWidth="1"/>
    <col min="7170" max="7170" width="54.42578125" style="346" customWidth="1"/>
    <col min="7171" max="7171" width="12" style="346" customWidth="1"/>
    <col min="7172" max="7172" width="12.42578125" style="346" customWidth="1"/>
    <col min="7173" max="7173" width="11" style="346" customWidth="1"/>
    <col min="7174" max="7174" width="11.85546875" style="346" customWidth="1"/>
    <col min="7175" max="7424" width="9.140625" style="346"/>
    <col min="7425" max="7425" width="12.28515625" style="346" customWidth="1"/>
    <col min="7426" max="7426" width="54.42578125" style="346" customWidth="1"/>
    <col min="7427" max="7427" width="12" style="346" customWidth="1"/>
    <col min="7428" max="7428" width="12.42578125" style="346" customWidth="1"/>
    <col min="7429" max="7429" width="11" style="346" customWidth="1"/>
    <col min="7430" max="7430" width="11.85546875" style="346" customWidth="1"/>
    <col min="7431" max="7680" width="9.140625" style="346"/>
    <col min="7681" max="7681" width="12.28515625" style="346" customWidth="1"/>
    <col min="7682" max="7682" width="54.42578125" style="346" customWidth="1"/>
    <col min="7683" max="7683" width="12" style="346" customWidth="1"/>
    <col min="7684" max="7684" width="12.42578125" style="346" customWidth="1"/>
    <col min="7685" max="7685" width="11" style="346" customWidth="1"/>
    <col min="7686" max="7686" width="11.85546875" style="346" customWidth="1"/>
    <col min="7687" max="7936" width="9.140625" style="346"/>
    <col min="7937" max="7937" width="12.28515625" style="346" customWidth="1"/>
    <col min="7938" max="7938" width="54.42578125" style="346" customWidth="1"/>
    <col min="7939" max="7939" width="12" style="346" customWidth="1"/>
    <col min="7940" max="7940" width="12.42578125" style="346" customWidth="1"/>
    <col min="7941" max="7941" width="11" style="346" customWidth="1"/>
    <col min="7942" max="7942" width="11.85546875" style="346" customWidth="1"/>
    <col min="7943" max="8192" width="9.140625" style="346"/>
    <col min="8193" max="8193" width="12.28515625" style="346" customWidth="1"/>
    <col min="8194" max="8194" width="54.42578125" style="346" customWidth="1"/>
    <col min="8195" max="8195" width="12" style="346" customWidth="1"/>
    <col min="8196" max="8196" width="12.42578125" style="346" customWidth="1"/>
    <col min="8197" max="8197" width="11" style="346" customWidth="1"/>
    <col min="8198" max="8198" width="11.85546875" style="346" customWidth="1"/>
    <col min="8199" max="8448" width="9.140625" style="346"/>
    <col min="8449" max="8449" width="12.28515625" style="346" customWidth="1"/>
    <col min="8450" max="8450" width="54.42578125" style="346" customWidth="1"/>
    <col min="8451" max="8451" width="12" style="346" customWidth="1"/>
    <col min="8452" max="8452" width="12.42578125" style="346" customWidth="1"/>
    <col min="8453" max="8453" width="11" style="346" customWidth="1"/>
    <col min="8454" max="8454" width="11.85546875" style="346" customWidth="1"/>
    <col min="8455" max="8704" width="9.140625" style="346"/>
    <col min="8705" max="8705" width="12.28515625" style="346" customWidth="1"/>
    <col min="8706" max="8706" width="54.42578125" style="346" customWidth="1"/>
    <col min="8707" max="8707" width="12" style="346" customWidth="1"/>
    <col min="8708" max="8708" width="12.42578125" style="346" customWidth="1"/>
    <col min="8709" max="8709" width="11" style="346" customWidth="1"/>
    <col min="8710" max="8710" width="11.85546875" style="346" customWidth="1"/>
    <col min="8711" max="8960" width="9.140625" style="346"/>
    <col min="8961" max="8961" width="12.28515625" style="346" customWidth="1"/>
    <col min="8962" max="8962" width="54.42578125" style="346" customWidth="1"/>
    <col min="8963" max="8963" width="12" style="346" customWidth="1"/>
    <col min="8964" max="8964" width="12.42578125" style="346" customWidth="1"/>
    <col min="8965" max="8965" width="11" style="346" customWidth="1"/>
    <col min="8966" max="8966" width="11.85546875" style="346" customWidth="1"/>
    <col min="8967" max="9216" width="9.140625" style="346"/>
    <col min="9217" max="9217" width="12.28515625" style="346" customWidth="1"/>
    <col min="9218" max="9218" width="54.42578125" style="346" customWidth="1"/>
    <col min="9219" max="9219" width="12" style="346" customWidth="1"/>
    <col min="9220" max="9220" width="12.42578125" style="346" customWidth="1"/>
    <col min="9221" max="9221" width="11" style="346" customWidth="1"/>
    <col min="9222" max="9222" width="11.85546875" style="346" customWidth="1"/>
    <col min="9223" max="9472" width="9.140625" style="346"/>
    <col min="9473" max="9473" width="12.28515625" style="346" customWidth="1"/>
    <col min="9474" max="9474" width="54.42578125" style="346" customWidth="1"/>
    <col min="9475" max="9475" width="12" style="346" customWidth="1"/>
    <col min="9476" max="9476" width="12.42578125" style="346" customWidth="1"/>
    <col min="9477" max="9477" width="11" style="346" customWidth="1"/>
    <col min="9478" max="9478" width="11.85546875" style="346" customWidth="1"/>
    <col min="9479" max="9728" width="9.140625" style="346"/>
    <col min="9729" max="9729" width="12.28515625" style="346" customWidth="1"/>
    <col min="9730" max="9730" width="54.42578125" style="346" customWidth="1"/>
    <col min="9731" max="9731" width="12" style="346" customWidth="1"/>
    <col min="9732" max="9732" width="12.42578125" style="346" customWidth="1"/>
    <col min="9733" max="9733" width="11" style="346" customWidth="1"/>
    <col min="9734" max="9734" width="11.85546875" style="346" customWidth="1"/>
    <col min="9735" max="9984" width="9.140625" style="346"/>
    <col min="9985" max="9985" width="12.28515625" style="346" customWidth="1"/>
    <col min="9986" max="9986" width="54.42578125" style="346" customWidth="1"/>
    <col min="9987" max="9987" width="12" style="346" customWidth="1"/>
    <col min="9988" max="9988" width="12.42578125" style="346" customWidth="1"/>
    <col min="9989" max="9989" width="11" style="346" customWidth="1"/>
    <col min="9990" max="9990" width="11.85546875" style="346" customWidth="1"/>
    <col min="9991" max="10240" width="9.140625" style="346"/>
    <col min="10241" max="10241" width="12.28515625" style="346" customWidth="1"/>
    <col min="10242" max="10242" width="54.42578125" style="346" customWidth="1"/>
    <col min="10243" max="10243" width="12" style="346" customWidth="1"/>
    <col min="10244" max="10244" width="12.42578125" style="346" customWidth="1"/>
    <col min="10245" max="10245" width="11" style="346" customWidth="1"/>
    <col min="10246" max="10246" width="11.85546875" style="346" customWidth="1"/>
    <col min="10247" max="10496" width="9.140625" style="346"/>
    <col min="10497" max="10497" width="12.28515625" style="346" customWidth="1"/>
    <col min="10498" max="10498" width="54.42578125" style="346" customWidth="1"/>
    <col min="10499" max="10499" width="12" style="346" customWidth="1"/>
    <col min="10500" max="10500" width="12.42578125" style="346" customWidth="1"/>
    <col min="10501" max="10501" width="11" style="346" customWidth="1"/>
    <col min="10502" max="10502" width="11.85546875" style="346" customWidth="1"/>
    <col min="10503" max="10752" width="9.140625" style="346"/>
    <col min="10753" max="10753" width="12.28515625" style="346" customWidth="1"/>
    <col min="10754" max="10754" width="54.42578125" style="346" customWidth="1"/>
    <col min="10755" max="10755" width="12" style="346" customWidth="1"/>
    <col min="10756" max="10756" width="12.42578125" style="346" customWidth="1"/>
    <col min="10757" max="10757" width="11" style="346" customWidth="1"/>
    <col min="10758" max="10758" width="11.85546875" style="346" customWidth="1"/>
    <col min="10759" max="11008" width="9.140625" style="346"/>
    <col min="11009" max="11009" width="12.28515625" style="346" customWidth="1"/>
    <col min="11010" max="11010" width="54.42578125" style="346" customWidth="1"/>
    <col min="11011" max="11011" width="12" style="346" customWidth="1"/>
    <col min="11012" max="11012" width="12.42578125" style="346" customWidth="1"/>
    <col min="11013" max="11013" width="11" style="346" customWidth="1"/>
    <col min="11014" max="11014" width="11.85546875" style="346" customWidth="1"/>
    <col min="11015" max="11264" width="9.140625" style="346"/>
    <col min="11265" max="11265" width="12.28515625" style="346" customWidth="1"/>
    <col min="11266" max="11266" width="54.42578125" style="346" customWidth="1"/>
    <col min="11267" max="11267" width="12" style="346" customWidth="1"/>
    <col min="11268" max="11268" width="12.42578125" style="346" customWidth="1"/>
    <col min="11269" max="11269" width="11" style="346" customWidth="1"/>
    <col min="11270" max="11270" width="11.85546875" style="346" customWidth="1"/>
    <col min="11271" max="11520" width="9.140625" style="346"/>
    <col min="11521" max="11521" width="12.28515625" style="346" customWidth="1"/>
    <col min="11522" max="11522" width="54.42578125" style="346" customWidth="1"/>
    <col min="11523" max="11523" width="12" style="346" customWidth="1"/>
    <col min="11524" max="11524" width="12.42578125" style="346" customWidth="1"/>
    <col min="11525" max="11525" width="11" style="346" customWidth="1"/>
    <col min="11526" max="11526" width="11.85546875" style="346" customWidth="1"/>
    <col min="11527" max="11776" width="9.140625" style="346"/>
    <col min="11777" max="11777" width="12.28515625" style="346" customWidth="1"/>
    <col min="11778" max="11778" width="54.42578125" style="346" customWidth="1"/>
    <col min="11779" max="11779" width="12" style="346" customWidth="1"/>
    <col min="11780" max="11780" width="12.42578125" style="346" customWidth="1"/>
    <col min="11781" max="11781" width="11" style="346" customWidth="1"/>
    <col min="11782" max="11782" width="11.85546875" style="346" customWidth="1"/>
    <col min="11783" max="12032" width="9.140625" style="346"/>
    <col min="12033" max="12033" width="12.28515625" style="346" customWidth="1"/>
    <col min="12034" max="12034" width="54.42578125" style="346" customWidth="1"/>
    <col min="12035" max="12035" width="12" style="346" customWidth="1"/>
    <col min="12036" max="12036" width="12.42578125" style="346" customWidth="1"/>
    <col min="12037" max="12037" width="11" style="346" customWidth="1"/>
    <col min="12038" max="12038" width="11.85546875" style="346" customWidth="1"/>
    <col min="12039" max="12288" width="9.140625" style="346"/>
    <col min="12289" max="12289" width="12.28515625" style="346" customWidth="1"/>
    <col min="12290" max="12290" width="54.42578125" style="346" customWidth="1"/>
    <col min="12291" max="12291" width="12" style="346" customWidth="1"/>
    <col min="12292" max="12292" width="12.42578125" style="346" customWidth="1"/>
    <col min="12293" max="12293" width="11" style="346" customWidth="1"/>
    <col min="12294" max="12294" width="11.85546875" style="346" customWidth="1"/>
    <col min="12295" max="12544" width="9.140625" style="346"/>
    <col min="12545" max="12545" width="12.28515625" style="346" customWidth="1"/>
    <col min="12546" max="12546" width="54.42578125" style="346" customWidth="1"/>
    <col min="12547" max="12547" width="12" style="346" customWidth="1"/>
    <col min="12548" max="12548" width="12.42578125" style="346" customWidth="1"/>
    <col min="12549" max="12549" width="11" style="346" customWidth="1"/>
    <col min="12550" max="12550" width="11.85546875" style="346" customWidth="1"/>
    <col min="12551" max="12800" width="9.140625" style="346"/>
    <col min="12801" max="12801" width="12.28515625" style="346" customWidth="1"/>
    <col min="12802" max="12802" width="54.42578125" style="346" customWidth="1"/>
    <col min="12803" max="12803" width="12" style="346" customWidth="1"/>
    <col min="12804" max="12804" width="12.42578125" style="346" customWidth="1"/>
    <col min="12805" max="12805" width="11" style="346" customWidth="1"/>
    <col min="12806" max="12806" width="11.85546875" style="346" customWidth="1"/>
    <col min="12807" max="13056" width="9.140625" style="346"/>
    <col min="13057" max="13057" width="12.28515625" style="346" customWidth="1"/>
    <col min="13058" max="13058" width="54.42578125" style="346" customWidth="1"/>
    <col min="13059" max="13059" width="12" style="346" customWidth="1"/>
    <col min="13060" max="13060" width="12.42578125" style="346" customWidth="1"/>
    <col min="13061" max="13061" width="11" style="346" customWidth="1"/>
    <col min="13062" max="13062" width="11.85546875" style="346" customWidth="1"/>
    <col min="13063" max="13312" width="9.140625" style="346"/>
    <col min="13313" max="13313" width="12.28515625" style="346" customWidth="1"/>
    <col min="13314" max="13314" width="54.42578125" style="346" customWidth="1"/>
    <col min="13315" max="13315" width="12" style="346" customWidth="1"/>
    <col min="13316" max="13316" width="12.42578125" style="346" customWidth="1"/>
    <col min="13317" max="13317" width="11" style="346" customWidth="1"/>
    <col min="13318" max="13318" width="11.85546875" style="346" customWidth="1"/>
    <col min="13319" max="13568" width="9.140625" style="346"/>
    <col min="13569" max="13569" width="12.28515625" style="346" customWidth="1"/>
    <col min="13570" max="13570" width="54.42578125" style="346" customWidth="1"/>
    <col min="13571" max="13571" width="12" style="346" customWidth="1"/>
    <col min="13572" max="13572" width="12.42578125" style="346" customWidth="1"/>
    <col min="13573" max="13573" width="11" style="346" customWidth="1"/>
    <col min="13574" max="13574" width="11.85546875" style="346" customWidth="1"/>
    <col min="13575" max="13824" width="9.140625" style="346"/>
    <col min="13825" max="13825" width="12.28515625" style="346" customWidth="1"/>
    <col min="13826" max="13826" width="54.42578125" style="346" customWidth="1"/>
    <col min="13827" max="13827" width="12" style="346" customWidth="1"/>
    <col min="13828" max="13828" width="12.42578125" style="346" customWidth="1"/>
    <col min="13829" max="13829" width="11" style="346" customWidth="1"/>
    <col min="13830" max="13830" width="11.85546875" style="346" customWidth="1"/>
    <col min="13831" max="14080" width="9.140625" style="346"/>
    <col min="14081" max="14081" width="12.28515625" style="346" customWidth="1"/>
    <col min="14082" max="14082" width="54.42578125" style="346" customWidth="1"/>
    <col min="14083" max="14083" width="12" style="346" customWidth="1"/>
    <col min="14084" max="14084" width="12.42578125" style="346" customWidth="1"/>
    <col min="14085" max="14085" width="11" style="346" customWidth="1"/>
    <col min="14086" max="14086" width="11.85546875" style="346" customWidth="1"/>
    <col min="14087" max="14336" width="9.140625" style="346"/>
    <col min="14337" max="14337" width="12.28515625" style="346" customWidth="1"/>
    <col min="14338" max="14338" width="54.42578125" style="346" customWidth="1"/>
    <col min="14339" max="14339" width="12" style="346" customWidth="1"/>
    <col min="14340" max="14340" width="12.42578125" style="346" customWidth="1"/>
    <col min="14341" max="14341" width="11" style="346" customWidth="1"/>
    <col min="14342" max="14342" width="11.85546875" style="346" customWidth="1"/>
    <col min="14343" max="14592" width="9.140625" style="346"/>
    <col min="14593" max="14593" width="12.28515625" style="346" customWidth="1"/>
    <col min="14594" max="14594" width="54.42578125" style="346" customWidth="1"/>
    <col min="14595" max="14595" width="12" style="346" customWidth="1"/>
    <col min="14596" max="14596" width="12.42578125" style="346" customWidth="1"/>
    <col min="14597" max="14597" width="11" style="346" customWidth="1"/>
    <col min="14598" max="14598" width="11.85546875" style="346" customWidth="1"/>
    <col min="14599" max="14848" width="9.140625" style="346"/>
    <col min="14849" max="14849" width="12.28515625" style="346" customWidth="1"/>
    <col min="14850" max="14850" width="54.42578125" style="346" customWidth="1"/>
    <col min="14851" max="14851" width="12" style="346" customWidth="1"/>
    <col min="14852" max="14852" width="12.42578125" style="346" customWidth="1"/>
    <col min="14853" max="14853" width="11" style="346" customWidth="1"/>
    <col min="14854" max="14854" width="11.85546875" style="346" customWidth="1"/>
    <col min="14855" max="15104" width="9.140625" style="346"/>
    <col min="15105" max="15105" width="12.28515625" style="346" customWidth="1"/>
    <col min="15106" max="15106" width="54.42578125" style="346" customWidth="1"/>
    <col min="15107" max="15107" width="12" style="346" customWidth="1"/>
    <col min="15108" max="15108" width="12.42578125" style="346" customWidth="1"/>
    <col min="15109" max="15109" width="11" style="346" customWidth="1"/>
    <col min="15110" max="15110" width="11.85546875" style="346" customWidth="1"/>
    <col min="15111" max="15360" width="9.140625" style="346"/>
    <col min="15361" max="15361" width="12.28515625" style="346" customWidth="1"/>
    <col min="15362" max="15362" width="54.42578125" style="346" customWidth="1"/>
    <col min="15363" max="15363" width="12" style="346" customWidth="1"/>
    <col min="15364" max="15364" width="12.42578125" style="346" customWidth="1"/>
    <col min="15365" max="15365" width="11" style="346" customWidth="1"/>
    <col min="15366" max="15366" width="11.85546875" style="346" customWidth="1"/>
    <col min="15367" max="15616" width="9.140625" style="346"/>
    <col min="15617" max="15617" width="12.28515625" style="346" customWidth="1"/>
    <col min="15618" max="15618" width="54.42578125" style="346" customWidth="1"/>
    <col min="15619" max="15619" width="12" style="346" customWidth="1"/>
    <col min="15620" max="15620" width="12.42578125" style="346" customWidth="1"/>
    <col min="15621" max="15621" width="11" style="346" customWidth="1"/>
    <col min="15622" max="15622" width="11.85546875" style="346" customWidth="1"/>
    <col min="15623" max="15872" width="9.140625" style="346"/>
    <col min="15873" max="15873" width="12.28515625" style="346" customWidth="1"/>
    <col min="15874" max="15874" width="54.42578125" style="346" customWidth="1"/>
    <col min="15875" max="15875" width="12" style="346" customWidth="1"/>
    <col min="15876" max="15876" width="12.42578125" style="346" customWidth="1"/>
    <col min="15877" max="15877" width="11" style="346" customWidth="1"/>
    <col min="15878" max="15878" width="11.85546875" style="346" customWidth="1"/>
    <col min="15879" max="16128" width="9.140625" style="346"/>
    <col min="16129" max="16129" width="12.28515625" style="346" customWidth="1"/>
    <col min="16130" max="16130" width="54.42578125" style="346" customWidth="1"/>
    <col min="16131" max="16131" width="12" style="346" customWidth="1"/>
    <col min="16132" max="16132" width="12.42578125" style="346" customWidth="1"/>
    <col min="16133" max="16133" width="11" style="346" customWidth="1"/>
    <col min="16134" max="16134" width="11.85546875" style="346" customWidth="1"/>
    <col min="16135" max="16384" width="9.140625" style="346"/>
  </cols>
  <sheetData>
    <row r="1" spans="1:7" ht="27" customHeight="1">
      <c r="A1" s="520" t="s">
        <v>405</v>
      </c>
      <c r="B1" s="520"/>
      <c r="C1" s="520"/>
      <c r="D1" s="520"/>
      <c r="E1" s="520"/>
      <c r="F1" s="520"/>
    </row>
    <row r="2" spans="1:7">
      <c r="F2" s="347" t="s">
        <v>310</v>
      </c>
    </row>
    <row r="3" spans="1:7" ht="36.75" customHeight="1">
      <c r="A3" s="348" t="s">
        <v>311</v>
      </c>
      <c r="B3" s="348" t="s">
        <v>312</v>
      </c>
      <c r="C3" s="348" t="s">
        <v>154</v>
      </c>
      <c r="D3" s="348" t="s">
        <v>64</v>
      </c>
      <c r="E3" s="348" t="s">
        <v>65</v>
      </c>
      <c r="F3" s="348" t="s">
        <v>22</v>
      </c>
    </row>
    <row r="4" spans="1:7">
      <c r="A4" s="371" t="s">
        <v>396</v>
      </c>
      <c r="B4" s="358" t="s">
        <v>386</v>
      </c>
      <c r="C4" s="369">
        <f>Adv_LI!$C$12</f>
        <v>1111</v>
      </c>
      <c r="D4" s="373">
        <v>119.05</v>
      </c>
      <c r="E4" s="374" t="s">
        <v>340</v>
      </c>
      <c r="F4" s="354">
        <f>ROUND(C4*D4/100,0)</f>
        <v>1323</v>
      </c>
    </row>
    <row r="5" spans="1:7">
      <c r="A5" s="371" t="s">
        <v>397</v>
      </c>
      <c r="B5" s="358" t="s">
        <v>388</v>
      </c>
      <c r="C5" s="369">
        <f>Adv_LI!$C$12</f>
        <v>1111</v>
      </c>
      <c r="D5" s="373">
        <v>119.05</v>
      </c>
      <c r="E5" s="374" t="s">
        <v>340</v>
      </c>
      <c r="F5" s="354">
        <f>ROUND(C5*D5/100,0)</f>
        <v>1323</v>
      </c>
    </row>
    <row r="6" spans="1:7" ht="54" customHeight="1">
      <c r="A6" s="371" t="s">
        <v>398</v>
      </c>
      <c r="B6" s="358" t="s">
        <v>375</v>
      </c>
      <c r="C6" s="369"/>
      <c r="D6" s="373"/>
      <c r="E6" s="374"/>
      <c r="F6" s="376"/>
    </row>
    <row r="7" spans="1:7">
      <c r="A7" s="371"/>
      <c r="B7" s="358" t="s">
        <v>376</v>
      </c>
      <c r="C7" s="369">
        <f>Adv_LI!$C$12</f>
        <v>1111</v>
      </c>
      <c r="D7" s="373">
        <v>625</v>
      </c>
      <c r="E7" s="374" t="s">
        <v>340</v>
      </c>
      <c r="F7" s="354">
        <f>ROUND(C7*D7/100,0)</f>
        <v>6944</v>
      </c>
    </row>
    <row r="8" spans="1:7">
      <c r="A8" s="371" t="s">
        <v>399</v>
      </c>
      <c r="B8" s="372" t="s">
        <v>391</v>
      </c>
      <c r="C8" s="369"/>
      <c r="D8" s="373"/>
      <c r="E8" s="374"/>
      <c r="F8" s="377"/>
    </row>
    <row r="9" spans="1:7" ht="30">
      <c r="A9" s="371"/>
      <c r="B9" s="385" t="s">
        <v>400</v>
      </c>
      <c r="C9" s="369">
        <v>1</v>
      </c>
      <c r="D9" s="373">
        <v>1393.6</v>
      </c>
      <c r="E9" s="374" t="s">
        <v>353</v>
      </c>
      <c r="F9" s="354">
        <f>ROUND(C9*D9,0)</f>
        <v>1394</v>
      </c>
    </row>
    <row r="10" spans="1:7" ht="30">
      <c r="A10" s="371" t="s">
        <v>392</v>
      </c>
      <c r="B10" s="372" t="s">
        <v>393</v>
      </c>
      <c r="C10" s="369">
        <f>Adv_LI!$C$12</f>
        <v>1111</v>
      </c>
      <c r="D10" s="373">
        <v>118.35</v>
      </c>
      <c r="E10" s="374" t="s">
        <v>340</v>
      </c>
      <c r="F10" s="354">
        <f>ROUND(C10*D10/100,0)</f>
        <v>1315</v>
      </c>
    </row>
    <row r="11" spans="1:7" ht="73.5" customHeight="1">
      <c r="A11" s="388" t="s">
        <v>106</v>
      </c>
      <c r="B11" s="389" t="s">
        <v>107</v>
      </c>
      <c r="C11" s="390">
        <v>100</v>
      </c>
      <c r="D11" s="391">
        <v>579.29999999999995</v>
      </c>
      <c r="E11" s="392" t="s">
        <v>394</v>
      </c>
      <c r="F11" s="393">
        <f>D11</f>
        <v>579.29999999999995</v>
      </c>
    </row>
    <row r="12" spans="1:7" ht="53.25" customHeight="1">
      <c r="A12" s="371" t="s">
        <v>395</v>
      </c>
      <c r="B12" s="372" t="s">
        <v>381</v>
      </c>
      <c r="C12" s="361">
        <v>1</v>
      </c>
      <c r="D12" s="373">
        <v>7006</v>
      </c>
      <c r="E12" s="386" t="s">
        <v>79</v>
      </c>
      <c r="F12" s="377"/>
    </row>
    <row r="13" spans="1:7">
      <c r="A13" s="361"/>
      <c r="B13" s="361"/>
      <c r="C13" s="361"/>
      <c r="D13" s="362" t="s">
        <v>38</v>
      </c>
      <c r="E13" s="361"/>
      <c r="F13" s="363">
        <f>SUM(F4:F12)</f>
        <v>12878.3</v>
      </c>
    </row>
    <row r="14" spans="1:7" ht="15.75">
      <c r="C14" s="364" t="s">
        <v>333</v>
      </c>
      <c r="D14" s="364"/>
      <c r="E14" s="364"/>
      <c r="F14" s="395">
        <f>F13</f>
        <v>12878.3</v>
      </c>
      <c r="G14" s="365">
        <f>F14/100000</f>
        <v>0.12878299999999998</v>
      </c>
    </row>
    <row r="16" spans="1:7">
      <c r="C16" s="346" t="s">
        <v>334</v>
      </c>
    </row>
  </sheetData>
  <mergeCells count="1">
    <mergeCell ref="A1:F1"/>
  </mergeCells>
  <printOptions horizontalCentered="1"/>
  <pageMargins left="0.23622047244094491" right="0.15748031496062992" top="0.98425196850393704" bottom="0.98425196850393704" header="0.51181102362204722" footer="0.51181102362204722"/>
  <pageSetup paperSize="5" scale="83"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8"/>
  <sheetViews>
    <sheetView view="pageBreakPreview" zoomScaleSheetLayoutView="100" workbookViewId="0">
      <pane xSplit="1" ySplit="3" topLeftCell="B16" activePane="bottomRight" state="frozen"/>
      <selection pane="topRight" activeCell="C1" sqref="C1"/>
      <selection pane="bottomLeft" activeCell="A5" sqref="A5"/>
      <selection pane="bottomRight" activeCell="E10" sqref="E10"/>
    </sheetView>
  </sheetViews>
  <sheetFormatPr defaultRowHeight="15"/>
  <cols>
    <col min="1" max="1" width="12.28515625" style="346" customWidth="1"/>
    <col min="2" max="2" width="56.85546875" style="346" customWidth="1"/>
    <col min="3" max="3" width="8.85546875" style="346" customWidth="1"/>
    <col min="4" max="4" width="12.140625" style="346" customWidth="1"/>
    <col min="5" max="5" width="13.7109375" style="346" customWidth="1"/>
    <col min="6" max="6" width="11.85546875" style="346" customWidth="1"/>
    <col min="7" max="255" width="9.140625" style="346"/>
    <col min="256" max="256" width="4.85546875" style="346" customWidth="1"/>
    <col min="257" max="257" width="12.28515625" style="346" customWidth="1"/>
    <col min="258" max="258" width="54.42578125" style="346" customWidth="1"/>
    <col min="259" max="259" width="13.42578125" style="346" customWidth="1"/>
    <col min="260" max="260" width="12.42578125" style="346" customWidth="1"/>
    <col min="261" max="261" width="11" style="346" customWidth="1"/>
    <col min="262" max="262" width="11.85546875" style="346" customWidth="1"/>
    <col min="263" max="511" width="9.140625" style="346"/>
    <col min="512" max="512" width="4.85546875" style="346" customWidth="1"/>
    <col min="513" max="513" width="12.28515625" style="346" customWidth="1"/>
    <col min="514" max="514" width="54.42578125" style="346" customWidth="1"/>
    <col min="515" max="515" width="13.42578125" style="346" customWidth="1"/>
    <col min="516" max="516" width="12.42578125" style="346" customWidth="1"/>
    <col min="517" max="517" width="11" style="346" customWidth="1"/>
    <col min="518" max="518" width="11.85546875" style="346" customWidth="1"/>
    <col min="519" max="767" width="9.140625" style="346"/>
    <col min="768" max="768" width="4.85546875" style="346" customWidth="1"/>
    <col min="769" max="769" width="12.28515625" style="346" customWidth="1"/>
    <col min="770" max="770" width="54.42578125" style="346" customWidth="1"/>
    <col min="771" max="771" width="13.42578125" style="346" customWidth="1"/>
    <col min="772" max="772" width="12.42578125" style="346" customWidth="1"/>
    <col min="773" max="773" width="11" style="346" customWidth="1"/>
    <col min="774" max="774" width="11.85546875" style="346" customWidth="1"/>
    <col min="775" max="1023" width="9.140625" style="346"/>
    <col min="1024" max="1024" width="4.85546875" style="346" customWidth="1"/>
    <col min="1025" max="1025" width="12.28515625" style="346" customWidth="1"/>
    <col min="1026" max="1026" width="54.42578125" style="346" customWidth="1"/>
    <col min="1027" max="1027" width="13.42578125" style="346" customWidth="1"/>
    <col min="1028" max="1028" width="12.42578125" style="346" customWidth="1"/>
    <col min="1029" max="1029" width="11" style="346" customWidth="1"/>
    <col min="1030" max="1030" width="11.85546875" style="346" customWidth="1"/>
    <col min="1031" max="1279" width="9.140625" style="346"/>
    <col min="1280" max="1280" width="4.85546875" style="346" customWidth="1"/>
    <col min="1281" max="1281" width="12.28515625" style="346" customWidth="1"/>
    <col min="1282" max="1282" width="54.42578125" style="346" customWidth="1"/>
    <col min="1283" max="1283" width="13.42578125" style="346" customWidth="1"/>
    <col min="1284" max="1284" width="12.42578125" style="346" customWidth="1"/>
    <col min="1285" max="1285" width="11" style="346" customWidth="1"/>
    <col min="1286" max="1286" width="11.85546875" style="346" customWidth="1"/>
    <col min="1287" max="1535" width="9.140625" style="346"/>
    <col min="1536" max="1536" width="4.85546875" style="346" customWidth="1"/>
    <col min="1537" max="1537" width="12.28515625" style="346" customWidth="1"/>
    <col min="1538" max="1538" width="54.42578125" style="346" customWidth="1"/>
    <col min="1539" max="1539" width="13.42578125" style="346" customWidth="1"/>
    <col min="1540" max="1540" width="12.42578125" style="346" customWidth="1"/>
    <col min="1541" max="1541" width="11" style="346" customWidth="1"/>
    <col min="1542" max="1542" width="11.85546875" style="346" customWidth="1"/>
    <col min="1543" max="1791" width="9.140625" style="346"/>
    <col min="1792" max="1792" width="4.85546875" style="346" customWidth="1"/>
    <col min="1793" max="1793" width="12.28515625" style="346" customWidth="1"/>
    <col min="1794" max="1794" width="54.42578125" style="346" customWidth="1"/>
    <col min="1795" max="1795" width="13.42578125" style="346" customWidth="1"/>
    <col min="1796" max="1796" width="12.42578125" style="346" customWidth="1"/>
    <col min="1797" max="1797" width="11" style="346" customWidth="1"/>
    <col min="1798" max="1798" width="11.85546875" style="346" customWidth="1"/>
    <col min="1799" max="2047" width="9.140625" style="346"/>
    <col min="2048" max="2048" width="4.85546875" style="346" customWidth="1"/>
    <col min="2049" max="2049" width="12.28515625" style="346" customWidth="1"/>
    <col min="2050" max="2050" width="54.42578125" style="346" customWidth="1"/>
    <col min="2051" max="2051" width="13.42578125" style="346" customWidth="1"/>
    <col min="2052" max="2052" width="12.42578125" style="346" customWidth="1"/>
    <col min="2053" max="2053" width="11" style="346" customWidth="1"/>
    <col min="2054" max="2054" width="11.85546875" style="346" customWidth="1"/>
    <col min="2055" max="2303" width="9.140625" style="346"/>
    <col min="2304" max="2304" width="4.85546875" style="346" customWidth="1"/>
    <col min="2305" max="2305" width="12.28515625" style="346" customWidth="1"/>
    <col min="2306" max="2306" width="54.42578125" style="346" customWidth="1"/>
    <col min="2307" max="2307" width="13.42578125" style="346" customWidth="1"/>
    <col min="2308" max="2308" width="12.42578125" style="346" customWidth="1"/>
    <col min="2309" max="2309" width="11" style="346" customWidth="1"/>
    <col min="2310" max="2310" width="11.85546875" style="346" customWidth="1"/>
    <col min="2311" max="2559" width="9.140625" style="346"/>
    <col min="2560" max="2560" width="4.85546875" style="346" customWidth="1"/>
    <col min="2561" max="2561" width="12.28515625" style="346" customWidth="1"/>
    <col min="2562" max="2562" width="54.42578125" style="346" customWidth="1"/>
    <col min="2563" max="2563" width="13.42578125" style="346" customWidth="1"/>
    <col min="2564" max="2564" width="12.42578125" style="346" customWidth="1"/>
    <col min="2565" max="2565" width="11" style="346" customWidth="1"/>
    <col min="2566" max="2566" width="11.85546875" style="346" customWidth="1"/>
    <col min="2567" max="2815" width="9.140625" style="346"/>
    <col min="2816" max="2816" width="4.85546875" style="346" customWidth="1"/>
    <col min="2817" max="2817" width="12.28515625" style="346" customWidth="1"/>
    <col min="2818" max="2818" width="54.42578125" style="346" customWidth="1"/>
    <col min="2819" max="2819" width="13.42578125" style="346" customWidth="1"/>
    <col min="2820" max="2820" width="12.42578125" style="346" customWidth="1"/>
    <col min="2821" max="2821" width="11" style="346" customWidth="1"/>
    <col min="2822" max="2822" width="11.85546875" style="346" customWidth="1"/>
    <col min="2823" max="3071" width="9.140625" style="346"/>
    <col min="3072" max="3072" width="4.85546875" style="346" customWidth="1"/>
    <col min="3073" max="3073" width="12.28515625" style="346" customWidth="1"/>
    <col min="3074" max="3074" width="54.42578125" style="346" customWidth="1"/>
    <col min="3075" max="3075" width="13.42578125" style="346" customWidth="1"/>
    <col min="3076" max="3076" width="12.42578125" style="346" customWidth="1"/>
    <col min="3077" max="3077" width="11" style="346" customWidth="1"/>
    <col min="3078" max="3078" width="11.85546875" style="346" customWidth="1"/>
    <col min="3079" max="3327" width="9.140625" style="346"/>
    <col min="3328" max="3328" width="4.85546875" style="346" customWidth="1"/>
    <col min="3329" max="3329" width="12.28515625" style="346" customWidth="1"/>
    <col min="3330" max="3330" width="54.42578125" style="346" customWidth="1"/>
    <col min="3331" max="3331" width="13.42578125" style="346" customWidth="1"/>
    <col min="3332" max="3332" width="12.42578125" style="346" customWidth="1"/>
    <col min="3333" max="3333" width="11" style="346" customWidth="1"/>
    <col min="3334" max="3334" width="11.85546875" style="346" customWidth="1"/>
    <col min="3335" max="3583" width="9.140625" style="346"/>
    <col min="3584" max="3584" width="4.85546875" style="346" customWidth="1"/>
    <col min="3585" max="3585" width="12.28515625" style="346" customWidth="1"/>
    <col min="3586" max="3586" width="54.42578125" style="346" customWidth="1"/>
    <col min="3587" max="3587" width="13.42578125" style="346" customWidth="1"/>
    <col min="3588" max="3588" width="12.42578125" style="346" customWidth="1"/>
    <col min="3589" max="3589" width="11" style="346" customWidth="1"/>
    <col min="3590" max="3590" width="11.85546875" style="346" customWidth="1"/>
    <col min="3591" max="3839" width="9.140625" style="346"/>
    <col min="3840" max="3840" width="4.85546875" style="346" customWidth="1"/>
    <col min="3841" max="3841" width="12.28515625" style="346" customWidth="1"/>
    <col min="3842" max="3842" width="54.42578125" style="346" customWidth="1"/>
    <col min="3843" max="3843" width="13.42578125" style="346" customWidth="1"/>
    <col min="3844" max="3844" width="12.42578125" style="346" customWidth="1"/>
    <col min="3845" max="3845" width="11" style="346" customWidth="1"/>
    <col min="3846" max="3846" width="11.85546875" style="346" customWidth="1"/>
    <col min="3847" max="4095" width="9.140625" style="346"/>
    <col min="4096" max="4096" width="4.85546875" style="346" customWidth="1"/>
    <col min="4097" max="4097" width="12.28515625" style="346" customWidth="1"/>
    <col min="4098" max="4098" width="54.42578125" style="346" customWidth="1"/>
    <col min="4099" max="4099" width="13.42578125" style="346" customWidth="1"/>
    <col min="4100" max="4100" width="12.42578125" style="346" customWidth="1"/>
    <col min="4101" max="4101" width="11" style="346" customWidth="1"/>
    <col min="4102" max="4102" width="11.85546875" style="346" customWidth="1"/>
    <col min="4103" max="4351" width="9.140625" style="346"/>
    <col min="4352" max="4352" width="4.85546875" style="346" customWidth="1"/>
    <col min="4353" max="4353" width="12.28515625" style="346" customWidth="1"/>
    <col min="4354" max="4354" width="54.42578125" style="346" customWidth="1"/>
    <col min="4355" max="4355" width="13.42578125" style="346" customWidth="1"/>
    <col min="4356" max="4356" width="12.42578125" style="346" customWidth="1"/>
    <col min="4357" max="4357" width="11" style="346" customWidth="1"/>
    <col min="4358" max="4358" width="11.85546875" style="346" customWidth="1"/>
    <col min="4359" max="4607" width="9.140625" style="346"/>
    <col min="4608" max="4608" width="4.85546875" style="346" customWidth="1"/>
    <col min="4609" max="4609" width="12.28515625" style="346" customWidth="1"/>
    <col min="4610" max="4610" width="54.42578125" style="346" customWidth="1"/>
    <col min="4611" max="4611" width="13.42578125" style="346" customWidth="1"/>
    <col min="4612" max="4612" width="12.42578125" style="346" customWidth="1"/>
    <col min="4613" max="4613" width="11" style="346" customWidth="1"/>
    <col min="4614" max="4614" width="11.85546875" style="346" customWidth="1"/>
    <col min="4615" max="4863" width="9.140625" style="346"/>
    <col min="4864" max="4864" width="4.85546875" style="346" customWidth="1"/>
    <col min="4865" max="4865" width="12.28515625" style="346" customWidth="1"/>
    <col min="4866" max="4866" width="54.42578125" style="346" customWidth="1"/>
    <col min="4867" max="4867" width="13.42578125" style="346" customWidth="1"/>
    <col min="4868" max="4868" width="12.42578125" style="346" customWidth="1"/>
    <col min="4869" max="4869" width="11" style="346" customWidth="1"/>
    <col min="4870" max="4870" width="11.85546875" style="346" customWidth="1"/>
    <col min="4871" max="5119" width="9.140625" style="346"/>
    <col min="5120" max="5120" width="4.85546875" style="346" customWidth="1"/>
    <col min="5121" max="5121" width="12.28515625" style="346" customWidth="1"/>
    <col min="5122" max="5122" width="54.42578125" style="346" customWidth="1"/>
    <col min="5123" max="5123" width="13.42578125" style="346" customWidth="1"/>
    <col min="5124" max="5124" width="12.42578125" style="346" customWidth="1"/>
    <col min="5125" max="5125" width="11" style="346" customWidth="1"/>
    <col min="5126" max="5126" width="11.85546875" style="346" customWidth="1"/>
    <col min="5127" max="5375" width="9.140625" style="346"/>
    <col min="5376" max="5376" width="4.85546875" style="346" customWidth="1"/>
    <col min="5377" max="5377" width="12.28515625" style="346" customWidth="1"/>
    <col min="5378" max="5378" width="54.42578125" style="346" customWidth="1"/>
    <col min="5379" max="5379" width="13.42578125" style="346" customWidth="1"/>
    <col min="5380" max="5380" width="12.42578125" style="346" customWidth="1"/>
    <col min="5381" max="5381" width="11" style="346" customWidth="1"/>
    <col min="5382" max="5382" width="11.85546875" style="346" customWidth="1"/>
    <col min="5383" max="5631" width="9.140625" style="346"/>
    <col min="5632" max="5632" width="4.85546875" style="346" customWidth="1"/>
    <col min="5633" max="5633" width="12.28515625" style="346" customWidth="1"/>
    <col min="5634" max="5634" width="54.42578125" style="346" customWidth="1"/>
    <col min="5635" max="5635" width="13.42578125" style="346" customWidth="1"/>
    <col min="5636" max="5636" width="12.42578125" style="346" customWidth="1"/>
    <col min="5637" max="5637" width="11" style="346" customWidth="1"/>
    <col min="5638" max="5638" width="11.85546875" style="346" customWidth="1"/>
    <col min="5639" max="5887" width="9.140625" style="346"/>
    <col min="5888" max="5888" width="4.85546875" style="346" customWidth="1"/>
    <col min="5889" max="5889" width="12.28515625" style="346" customWidth="1"/>
    <col min="5890" max="5890" width="54.42578125" style="346" customWidth="1"/>
    <col min="5891" max="5891" width="13.42578125" style="346" customWidth="1"/>
    <col min="5892" max="5892" width="12.42578125" style="346" customWidth="1"/>
    <col min="5893" max="5893" width="11" style="346" customWidth="1"/>
    <col min="5894" max="5894" width="11.85546875" style="346" customWidth="1"/>
    <col min="5895" max="6143" width="9.140625" style="346"/>
    <col min="6144" max="6144" width="4.85546875" style="346" customWidth="1"/>
    <col min="6145" max="6145" width="12.28515625" style="346" customWidth="1"/>
    <col min="6146" max="6146" width="54.42578125" style="346" customWidth="1"/>
    <col min="6147" max="6147" width="13.42578125" style="346" customWidth="1"/>
    <col min="6148" max="6148" width="12.42578125" style="346" customWidth="1"/>
    <col min="6149" max="6149" width="11" style="346" customWidth="1"/>
    <col min="6150" max="6150" width="11.85546875" style="346" customWidth="1"/>
    <col min="6151" max="6399" width="9.140625" style="346"/>
    <col min="6400" max="6400" width="4.85546875" style="346" customWidth="1"/>
    <col min="6401" max="6401" width="12.28515625" style="346" customWidth="1"/>
    <col min="6402" max="6402" width="54.42578125" style="346" customWidth="1"/>
    <col min="6403" max="6403" width="13.42578125" style="346" customWidth="1"/>
    <col min="6404" max="6404" width="12.42578125" style="346" customWidth="1"/>
    <col min="6405" max="6405" width="11" style="346" customWidth="1"/>
    <col min="6406" max="6406" width="11.85546875" style="346" customWidth="1"/>
    <col min="6407" max="6655" width="9.140625" style="346"/>
    <col min="6656" max="6656" width="4.85546875" style="346" customWidth="1"/>
    <col min="6657" max="6657" width="12.28515625" style="346" customWidth="1"/>
    <col min="6658" max="6658" width="54.42578125" style="346" customWidth="1"/>
    <col min="6659" max="6659" width="13.42578125" style="346" customWidth="1"/>
    <col min="6660" max="6660" width="12.42578125" style="346" customWidth="1"/>
    <col min="6661" max="6661" width="11" style="346" customWidth="1"/>
    <col min="6662" max="6662" width="11.85546875" style="346" customWidth="1"/>
    <col min="6663" max="6911" width="9.140625" style="346"/>
    <col min="6912" max="6912" width="4.85546875" style="346" customWidth="1"/>
    <col min="6913" max="6913" width="12.28515625" style="346" customWidth="1"/>
    <col min="6914" max="6914" width="54.42578125" style="346" customWidth="1"/>
    <col min="6915" max="6915" width="13.42578125" style="346" customWidth="1"/>
    <col min="6916" max="6916" width="12.42578125" style="346" customWidth="1"/>
    <col min="6917" max="6917" width="11" style="346" customWidth="1"/>
    <col min="6918" max="6918" width="11.85546875" style="346" customWidth="1"/>
    <col min="6919" max="7167" width="9.140625" style="346"/>
    <col min="7168" max="7168" width="4.85546875" style="346" customWidth="1"/>
    <col min="7169" max="7169" width="12.28515625" style="346" customWidth="1"/>
    <col min="7170" max="7170" width="54.42578125" style="346" customWidth="1"/>
    <col min="7171" max="7171" width="13.42578125" style="346" customWidth="1"/>
    <col min="7172" max="7172" width="12.42578125" style="346" customWidth="1"/>
    <col min="7173" max="7173" width="11" style="346" customWidth="1"/>
    <col min="7174" max="7174" width="11.85546875" style="346" customWidth="1"/>
    <col min="7175" max="7423" width="9.140625" style="346"/>
    <col min="7424" max="7424" width="4.85546875" style="346" customWidth="1"/>
    <col min="7425" max="7425" width="12.28515625" style="346" customWidth="1"/>
    <col min="7426" max="7426" width="54.42578125" style="346" customWidth="1"/>
    <col min="7427" max="7427" width="13.42578125" style="346" customWidth="1"/>
    <col min="7428" max="7428" width="12.42578125" style="346" customWidth="1"/>
    <col min="7429" max="7429" width="11" style="346" customWidth="1"/>
    <col min="7430" max="7430" width="11.85546875" style="346" customWidth="1"/>
    <col min="7431" max="7679" width="9.140625" style="346"/>
    <col min="7680" max="7680" width="4.85546875" style="346" customWidth="1"/>
    <col min="7681" max="7681" width="12.28515625" style="346" customWidth="1"/>
    <col min="7682" max="7682" width="54.42578125" style="346" customWidth="1"/>
    <col min="7683" max="7683" width="13.42578125" style="346" customWidth="1"/>
    <col min="7684" max="7684" width="12.42578125" style="346" customWidth="1"/>
    <col min="7685" max="7685" width="11" style="346" customWidth="1"/>
    <col min="7686" max="7686" width="11.85546875" style="346" customWidth="1"/>
    <col min="7687" max="7935" width="9.140625" style="346"/>
    <col min="7936" max="7936" width="4.85546875" style="346" customWidth="1"/>
    <col min="7937" max="7937" width="12.28515625" style="346" customWidth="1"/>
    <col min="7938" max="7938" width="54.42578125" style="346" customWidth="1"/>
    <col min="7939" max="7939" width="13.42578125" style="346" customWidth="1"/>
    <col min="7940" max="7940" width="12.42578125" style="346" customWidth="1"/>
    <col min="7941" max="7941" width="11" style="346" customWidth="1"/>
    <col min="7942" max="7942" width="11.85546875" style="346" customWidth="1"/>
    <col min="7943" max="8191" width="9.140625" style="346"/>
    <col min="8192" max="8192" width="4.85546875" style="346" customWidth="1"/>
    <col min="8193" max="8193" width="12.28515625" style="346" customWidth="1"/>
    <col min="8194" max="8194" width="54.42578125" style="346" customWidth="1"/>
    <col min="8195" max="8195" width="13.42578125" style="346" customWidth="1"/>
    <col min="8196" max="8196" width="12.42578125" style="346" customWidth="1"/>
    <col min="8197" max="8197" width="11" style="346" customWidth="1"/>
    <col min="8198" max="8198" width="11.85546875" style="346" customWidth="1"/>
    <col min="8199" max="8447" width="9.140625" style="346"/>
    <col min="8448" max="8448" width="4.85546875" style="346" customWidth="1"/>
    <col min="8449" max="8449" width="12.28515625" style="346" customWidth="1"/>
    <col min="8450" max="8450" width="54.42578125" style="346" customWidth="1"/>
    <col min="8451" max="8451" width="13.42578125" style="346" customWidth="1"/>
    <col min="8452" max="8452" width="12.42578125" style="346" customWidth="1"/>
    <col min="8453" max="8453" width="11" style="346" customWidth="1"/>
    <col min="8454" max="8454" width="11.85546875" style="346" customWidth="1"/>
    <col min="8455" max="8703" width="9.140625" style="346"/>
    <col min="8704" max="8704" width="4.85546875" style="346" customWidth="1"/>
    <col min="8705" max="8705" width="12.28515625" style="346" customWidth="1"/>
    <col min="8706" max="8706" width="54.42578125" style="346" customWidth="1"/>
    <col min="8707" max="8707" width="13.42578125" style="346" customWidth="1"/>
    <col min="8708" max="8708" width="12.42578125" style="346" customWidth="1"/>
    <col min="8709" max="8709" width="11" style="346" customWidth="1"/>
    <col min="8710" max="8710" width="11.85546875" style="346" customWidth="1"/>
    <col min="8711" max="8959" width="9.140625" style="346"/>
    <col min="8960" max="8960" width="4.85546875" style="346" customWidth="1"/>
    <col min="8961" max="8961" width="12.28515625" style="346" customWidth="1"/>
    <col min="8962" max="8962" width="54.42578125" style="346" customWidth="1"/>
    <col min="8963" max="8963" width="13.42578125" style="346" customWidth="1"/>
    <col min="8964" max="8964" width="12.42578125" style="346" customWidth="1"/>
    <col min="8965" max="8965" width="11" style="346" customWidth="1"/>
    <col min="8966" max="8966" width="11.85546875" style="346" customWidth="1"/>
    <col min="8967" max="9215" width="9.140625" style="346"/>
    <col min="9216" max="9216" width="4.85546875" style="346" customWidth="1"/>
    <col min="9217" max="9217" width="12.28515625" style="346" customWidth="1"/>
    <col min="9218" max="9218" width="54.42578125" style="346" customWidth="1"/>
    <col min="9219" max="9219" width="13.42578125" style="346" customWidth="1"/>
    <col min="9220" max="9220" width="12.42578125" style="346" customWidth="1"/>
    <col min="9221" max="9221" width="11" style="346" customWidth="1"/>
    <col min="9222" max="9222" width="11.85546875" style="346" customWidth="1"/>
    <col min="9223" max="9471" width="9.140625" style="346"/>
    <col min="9472" max="9472" width="4.85546875" style="346" customWidth="1"/>
    <col min="9473" max="9473" width="12.28515625" style="346" customWidth="1"/>
    <col min="9474" max="9474" width="54.42578125" style="346" customWidth="1"/>
    <col min="9475" max="9475" width="13.42578125" style="346" customWidth="1"/>
    <col min="9476" max="9476" width="12.42578125" style="346" customWidth="1"/>
    <col min="9477" max="9477" width="11" style="346" customWidth="1"/>
    <col min="9478" max="9478" width="11.85546875" style="346" customWidth="1"/>
    <col min="9479" max="9727" width="9.140625" style="346"/>
    <col min="9728" max="9728" width="4.85546875" style="346" customWidth="1"/>
    <col min="9729" max="9729" width="12.28515625" style="346" customWidth="1"/>
    <col min="9730" max="9730" width="54.42578125" style="346" customWidth="1"/>
    <col min="9731" max="9731" width="13.42578125" style="346" customWidth="1"/>
    <col min="9732" max="9732" width="12.42578125" style="346" customWidth="1"/>
    <col min="9733" max="9733" width="11" style="346" customWidth="1"/>
    <col min="9734" max="9734" width="11.85546875" style="346" customWidth="1"/>
    <col min="9735" max="9983" width="9.140625" style="346"/>
    <col min="9984" max="9984" width="4.85546875" style="346" customWidth="1"/>
    <col min="9985" max="9985" width="12.28515625" style="346" customWidth="1"/>
    <col min="9986" max="9986" width="54.42578125" style="346" customWidth="1"/>
    <col min="9987" max="9987" width="13.42578125" style="346" customWidth="1"/>
    <col min="9988" max="9988" width="12.42578125" style="346" customWidth="1"/>
    <col min="9989" max="9989" width="11" style="346" customWidth="1"/>
    <col min="9990" max="9990" width="11.85546875" style="346" customWidth="1"/>
    <col min="9991" max="10239" width="9.140625" style="346"/>
    <col min="10240" max="10240" width="4.85546875" style="346" customWidth="1"/>
    <col min="10241" max="10241" width="12.28515625" style="346" customWidth="1"/>
    <col min="10242" max="10242" width="54.42578125" style="346" customWidth="1"/>
    <col min="10243" max="10243" width="13.42578125" style="346" customWidth="1"/>
    <col min="10244" max="10244" width="12.42578125" style="346" customWidth="1"/>
    <col min="10245" max="10245" width="11" style="346" customWidth="1"/>
    <col min="10246" max="10246" width="11.85546875" style="346" customWidth="1"/>
    <col min="10247" max="10495" width="9.140625" style="346"/>
    <col min="10496" max="10496" width="4.85546875" style="346" customWidth="1"/>
    <col min="10497" max="10497" width="12.28515625" style="346" customWidth="1"/>
    <col min="10498" max="10498" width="54.42578125" style="346" customWidth="1"/>
    <col min="10499" max="10499" width="13.42578125" style="346" customWidth="1"/>
    <col min="10500" max="10500" width="12.42578125" style="346" customWidth="1"/>
    <col min="10501" max="10501" width="11" style="346" customWidth="1"/>
    <col min="10502" max="10502" width="11.85546875" style="346" customWidth="1"/>
    <col min="10503" max="10751" width="9.140625" style="346"/>
    <col min="10752" max="10752" width="4.85546875" style="346" customWidth="1"/>
    <col min="10753" max="10753" width="12.28515625" style="346" customWidth="1"/>
    <col min="10754" max="10754" width="54.42578125" style="346" customWidth="1"/>
    <col min="10755" max="10755" width="13.42578125" style="346" customWidth="1"/>
    <col min="10756" max="10756" width="12.42578125" style="346" customWidth="1"/>
    <col min="10757" max="10757" width="11" style="346" customWidth="1"/>
    <col min="10758" max="10758" width="11.85546875" style="346" customWidth="1"/>
    <col min="10759" max="11007" width="9.140625" style="346"/>
    <col min="11008" max="11008" width="4.85546875" style="346" customWidth="1"/>
    <col min="11009" max="11009" width="12.28515625" style="346" customWidth="1"/>
    <col min="11010" max="11010" width="54.42578125" style="346" customWidth="1"/>
    <col min="11011" max="11011" width="13.42578125" style="346" customWidth="1"/>
    <col min="11012" max="11012" width="12.42578125" style="346" customWidth="1"/>
    <col min="11013" max="11013" width="11" style="346" customWidth="1"/>
    <col min="11014" max="11014" width="11.85546875" style="346" customWidth="1"/>
    <col min="11015" max="11263" width="9.140625" style="346"/>
    <col min="11264" max="11264" width="4.85546875" style="346" customWidth="1"/>
    <col min="11265" max="11265" width="12.28515625" style="346" customWidth="1"/>
    <col min="11266" max="11266" width="54.42578125" style="346" customWidth="1"/>
    <col min="11267" max="11267" width="13.42578125" style="346" customWidth="1"/>
    <col min="11268" max="11268" width="12.42578125" style="346" customWidth="1"/>
    <col min="11269" max="11269" width="11" style="346" customWidth="1"/>
    <col min="11270" max="11270" width="11.85546875" style="346" customWidth="1"/>
    <col min="11271" max="11519" width="9.140625" style="346"/>
    <col min="11520" max="11520" width="4.85546875" style="346" customWidth="1"/>
    <col min="11521" max="11521" width="12.28515625" style="346" customWidth="1"/>
    <col min="11522" max="11522" width="54.42578125" style="346" customWidth="1"/>
    <col min="11523" max="11523" width="13.42578125" style="346" customWidth="1"/>
    <col min="11524" max="11524" width="12.42578125" style="346" customWidth="1"/>
    <col min="11525" max="11525" width="11" style="346" customWidth="1"/>
    <col min="11526" max="11526" width="11.85546875" style="346" customWidth="1"/>
    <col min="11527" max="11775" width="9.140625" style="346"/>
    <col min="11776" max="11776" width="4.85546875" style="346" customWidth="1"/>
    <col min="11777" max="11777" width="12.28515625" style="346" customWidth="1"/>
    <col min="11778" max="11778" width="54.42578125" style="346" customWidth="1"/>
    <col min="11779" max="11779" width="13.42578125" style="346" customWidth="1"/>
    <col min="11780" max="11780" width="12.42578125" style="346" customWidth="1"/>
    <col min="11781" max="11781" width="11" style="346" customWidth="1"/>
    <col min="11782" max="11782" width="11.85546875" style="346" customWidth="1"/>
    <col min="11783" max="12031" width="9.140625" style="346"/>
    <col min="12032" max="12032" width="4.85546875" style="346" customWidth="1"/>
    <col min="12033" max="12033" width="12.28515625" style="346" customWidth="1"/>
    <col min="12034" max="12034" width="54.42578125" style="346" customWidth="1"/>
    <col min="12035" max="12035" width="13.42578125" style="346" customWidth="1"/>
    <col min="12036" max="12036" width="12.42578125" style="346" customWidth="1"/>
    <col min="12037" max="12037" width="11" style="346" customWidth="1"/>
    <col min="12038" max="12038" width="11.85546875" style="346" customWidth="1"/>
    <col min="12039" max="12287" width="9.140625" style="346"/>
    <col min="12288" max="12288" width="4.85546875" style="346" customWidth="1"/>
    <col min="12289" max="12289" width="12.28515625" style="346" customWidth="1"/>
    <col min="12290" max="12290" width="54.42578125" style="346" customWidth="1"/>
    <col min="12291" max="12291" width="13.42578125" style="346" customWidth="1"/>
    <col min="12292" max="12292" width="12.42578125" style="346" customWidth="1"/>
    <col min="12293" max="12293" width="11" style="346" customWidth="1"/>
    <col min="12294" max="12294" width="11.85546875" style="346" customWidth="1"/>
    <col min="12295" max="12543" width="9.140625" style="346"/>
    <col min="12544" max="12544" width="4.85546875" style="346" customWidth="1"/>
    <col min="12545" max="12545" width="12.28515625" style="346" customWidth="1"/>
    <col min="12546" max="12546" width="54.42578125" style="346" customWidth="1"/>
    <col min="12547" max="12547" width="13.42578125" style="346" customWidth="1"/>
    <col min="12548" max="12548" width="12.42578125" style="346" customWidth="1"/>
    <col min="12549" max="12549" width="11" style="346" customWidth="1"/>
    <col min="12550" max="12550" width="11.85546875" style="346" customWidth="1"/>
    <col min="12551" max="12799" width="9.140625" style="346"/>
    <col min="12800" max="12800" width="4.85546875" style="346" customWidth="1"/>
    <col min="12801" max="12801" width="12.28515625" style="346" customWidth="1"/>
    <col min="12802" max="12802" width="54.42578125" style="346" customWidth="1"/>
    <col min="12803" max="12803" width="13.42578125" style="346" customWidth="1"/>
    <col min="12804" max="12804" width="12.42578125" style="346" customWidth="1"/>
    <col min="12805" max="12805" width="11" style="346" customWidth="1"/>
    <col min="12806" max="12806" width="11.85546875" style="346" customWidth="1"/>
    <col min="12807" max="13055" width="9.140625" style="346"/>
    <col min="13056" max="13056" width="4.85546875" style="346" customWidth="1"/>
    <col min="13057" max="13057" width="12.28515625" style="346" customWidth="1"/>
    <col min="13058" max="13058" width="54.42578125" style="346" customWidth="1"/>
    <col min="13059" max="13059" width="13.42578125" style="346" customWidth="1"/>
    <col min="13060" max="13060" width="12.42578125" style="346" customWidth="1"/>
    <col min="13061" max="13061" width="11" style="346" customWidth="1"/>
    <col min="13062" max="13062" width="11.85546875" style="346" customWidth="1"/>
    <col min="13063" max="13311" width="9.140625" style="346"/>
    <col min="13312" max="13312" width="4.85546875" style="346" customWidth="1"/>
    <col min="13313" max="13313" width="12.28515625" style="346" customWidth="1"/>
    <col min="13314" max="13314" width="54.42578125" style="346" customWidth="1"/>
    <col min="13315" max="13315" width="13.42578125" style="346" customWidth="1"/>
    <col min="13316" max="13316" width="12.42578125" style="346" customWidth="1"/>
    <col min="13317" max="13317" width="11" style="346" customWidth="1"/>
    <col min="13318" max="13318" width="11.85546875" style="346" customWidth="1"/>
    <col min="13319" max="13567" width="9.140625" style="346"/>
    <col min="13568" max="13568" width="4.85546875" style="346" customWidth="1"/>
    <col min="13569" max="13569" width="12.28515625" style="346" customWidth="1"/>
    <col min="13570" max="13570" width="54.42578125" style="346" customWidth="1"/>
    <col min="13571" max="13571" width="13.42578125" style="346" customWidth="1"/>
    <col min="13572" max="13572" width="12.42578125" style="346" customWidth="1"/>
    <col min="13573" max="13573" width="11" style="346" customWidth="1"/>
    <col min="13574" max="13574" width="11.85546875" style="346" customWidth="1"/>
    <col min="13575" max="13823" width="9.140625" style="346"/>
    <col min="13824" max="13824" width="4.85546875" style="346" customWidth="1"/>
    <col min="13825" max="13825" width="12.28515625" style="346" customWidth="1"/>
    <col min="13826" max="13826" width="54.42578125" style="346" customWidth="1"/>
    <col min="13827" max="13827" width="13.42578125" style="346" customWidth="1"/>
    <col min="13828" max="13828" width="12.42578125" style="346" customWidth="1"/>
    <col min="13829" max="13829" width="11" style="346" customWidth="1"/>
    <col min="13830" max="13830" width="11.85546875" style="346" customWidth="1"/>
    <col min="13831" max="14079" width="9.140625" style="346"/>
    <col min="14080" max="14080" width="4.85546875" style="346" customWidth="1"/>
    <col min="14081" max="14081" width="12.28515625" style="346" customWidth="1"/>
    <col min="14082" max="14082" width="54.42578125" style="346" customWidth="1"/>
    <col min="14083" max="14083" width="13.42578125" style="346" customWidth="1"/>
    <col min="14084" max="14084" width="12.42578125" style="346" customWidth="1"/>
    <col min="14085" max="14085" width="11" style="346" customWidth="1"/>
    <col min="14086" max="14086" width="11.85546875" style="346" customWidth="1"/>
    <col min="14087" max="14335" width="9.140625" style="346"/>
    <col min="14336" max="14336" width="4.85546875" style="346" customWidth="1"/>
    <col min="14337" max="14337" width="12.28515625" style="346" customWidth="1"/>
    <col min="14338" max="14338" width="54.42578125" style="346" customWidth="1"/>
    <col min="14339" max="14339" width="13.42578125" style="346" customWidth="1"/>
    <col min="14340" max="14340" width="12.42578125" style="346" customWidth="1"/>
    <col min="14341" max="14341" width="11" style="346" customWidth="1"/>
    <col min="14342" max="14342" width="11.85546875" style="346" customWidth="1"/>
    <col min="14343" max="14591" width="9.140625" style="346"/>
    <col min="14592" max="14592" width="4.85546875" style="346" customWidth="1"/>
    <col min="14593" max="14593" width="12.28515625" style="346" customWidth="1"/>
    <col min="14594" max="14594" width="54.42578125" style="346" customWidth="1"/>
    <col min="14595" max="14595" width="13.42578125" style="346" customWidth="1"/>
    <col min="14596" max="14596" width="12.42578125" style="346" customWidth="1"/>
    <col min="14597" max="14597" width="11" style="346" customWidth="1"/>
    <col min="14598" max="14598" width="11.85546875" style="346" customWidth="1"/>
    <col min="14599" max="14847" width="9.140625" style="346"/>
    <col min="14848" max="14848" width="4.85546875" style="346" customWidth="1"/>
    <col min="14849" max="14849" width="12.28515625" style="346" customWidth="1"/>
    <col min="14850" max="14850" width="54.42578125" style="346" customWidth="1"/>
    <col min="14851" max="14851" width="13.42578125" style="346" customWidth="1"/>
    <col min="14852" max="14852" width="12.42578125" style="346" customWidth="1"/>
    <col min="14853" max="14853" width="11" style="346" customWidth="1"/>
    <col min="14854" max="14854" width="11.85546875" style="346" customWidth="1"/>
    <col min="14855" max="15103" width="9.140625" style="346"/>
    <col min="15104" max="15104" width="4.85546875" style="346" customWidth="1"/>
    <col min="15105" max="15105" width="12.28515625" style="346" customWidth="1"/>
    <col min="15106" max="15106" width="54.42578125" style="346" customWidth="1"/>
    <col min="15107" max="15107" width="13.42578125" style="346" customWidth="1"/>
    <col min="15108" max="15108" width="12.42578125" style="346" customWidth="1"/>
    <col min="15109" max="15109" width="11" style="346" customWidth="1"/>
    <col min="15110" max="15110" width="11.85546875" style="346" customWidth="1"/>
    <col min="15111" max="15359" width="9.140625" style="346"/>
    <col min="15360" max="15360" width="4.85546875" style="346" customWidth="1"/>
    <col min="15361" max="15361" width="12.28515625" style="346" customWidth="1"/>
    <col min="15362" max="15362" width="54.42578125" style="346" customWidth="1"/>
    <col min="15363" max="15363" width="13.42578125" style="346" customWidth="1"/>
    <col min="15364" max="15364" width="12.42578125" style="346" customWidth="1"/>
    <col min="15365" max="15365" width="11" style="346" customWidth="1"/>
    <col min="15366" max="15366" width="11.85546875" style="346" customWidth="1"/>
    <col min="15367" max="15615" width="9.140625" style="346"/>
    <col min="15616" max="15616" width="4.85546875" style="346" customWidth="1"/>
    <col min="15617" max="15617" width="12.28515625" style="346" customWidth="1"/>
    <col min="15618" max="15618" width="54.42578125" style="346" customWidth="1"/>
    <col min="15619" max="15619" width="13.42578125" style="346" customWidth="1"/>
    <col min="15620" max="15620" width="12.42578125" style="346" customWidth="1"/>
    <col min="15621" max="15621" width="11" style="346" customWidth="1"/>
    <col min="15622" max="15622" width="11.85546875" style="346" customWidth="1"/>
    <col min="15623" max="15871" width="9.140625" style="346"/>
    <col min="15872" max="15872" width="4.85546875" style="346" customWidth="1"/>
    <col min="15873" max="15873" width="12.28515625" style="346" customWidth="1"/>
    <col min="15874" max="15874" width="54.42578125" style="346" customWidth="1"/>
    <col min="15875" max="15875" width="13.42578125" style="346" customWidth="1"/>
    <col min="15876" max="15876" width="12.42578125" style="346" customWidth="1"/>
    <col min="15877" max="15877" width="11" style="346" customWidth="1"/>
    <col min="15878" max="15878" width="11.85546875" style="346" customWidth="1"/>
    <col min="15879" max="16127" width="9.140625" style="346"/>
    <col min="16128" max="16128" width="4.85546875" style="346" customWidth="1"/>
    <col min="16129" max="16129" width="12.28515625" style="346" customWidth="1"/>
    <col min="16130" max="16130" width="54.42578125" style="346" customWidth="1"/>
    <col min="16131" max="16131" width="13.42578125" style="346" customWidth="1"/>
    <col min="16132" max="16132" width="12.42578125" style="346" customWidth="1"/>
    <col min="16133" max="16133" width="11" style="346" customWidth="1"/>
    <col min="16134" max="16134" width="11.85546875" style="346" customWidth="1"/>
    <col min="16135" max="16384" width="9.140625" style="346"/>
  </cols>
  <sheetData>
    <row r="1" spans="1:6" ht="27" customHeight="1">
      <c r="A1" s="520" t="s">
        <v>404</v>
      </c>
      <c r="B1" s="520"/>
      <c r="C1" s="520"/>
      <c r="D1" s="520"/>
      <c r="E1" s="520"/>
      <c r="F1" s="520"/>
    </row>
    <row r="2" spans="1:6">
      <c r="F2" s="347" t="s">
        <v>310</v>
      </c>
    </row>
    <row r="3" spans="1:6" ht="36.75" customHeight="1">
      <c r="A3" s="348" t="s">
        <v>311</v>
      </c>
      <c r="B3" s="348" t="s">
        <v>312</v>
      </c>
      <c r="C3" s="348" t="s">
        <v>154</v>
      </c>
      <c r="D3" s="348" t="s">
        <v>64</v>
      </c>
      <c r="E3" s="348" t="s">
        <v>65</v>
      </c>
      <c r="F3" s="348" t="s">
        <v>22</v>
      </c>
    </row>
    <row r="4" spans="1:6" ht="84.75" customHeight="1">
      <c r="A4" s="371" t="s">
        <v>382</v>
      </c>
      <c r="B4" s="372" t="s">
        <v>359</v>
      </c>
      <c r="C4" s="521" t="s">
        <v>383</v>
      </c>
      <c r="D4" s="521"/>
      <c r="E4" s="375"/>
      <c r="F4" s="376"/>
    </row>
    <row r="5" spans="1:6" ht="30">
      <c r="A5" s="349" t="s">
        <v>327</v>
      </c>
      <c r="B5" s="351" t="s">
        <v>361</v>
      </c>
      <c r="C5" s="396">
        <f>Adv_LI!$C$12*0.25</f>
        <v>277.75</v>
      </c>
      <c r="D5" s="357">
        <v>24.35</v>
      </c>
      <c r="E5" s="375" t="s">
        <v>330</v>
      </c>
      <c r="F5" s="354">
        <f>ROUND(C5*D5,0)</f>
        <v>6763</v>
      </c>
    </row>
    <row r="6" spans="1:6" ht="30">
      <c r="A6" s="371" t="s">
        <v>337</v>
      </c>
      <c r="B6" s="358" t="s">
        <v>362</v>
      </c>
      <c r="C6" s="396">
        <f>Adv_LI!$C$12*0.25</f>
        <v>277.75</v>
      </c>
      <c r="D6" s="357">
        <v>109.7</v>
      </c>
      <c r="E6" s="375" t="s">
        <v>340</v>
      </c>
      <c r="F6" s="354">
        <f>ROUND(C6*D6/100,0)</f>
        <v>305</v>
      </c>
    </row>
    <row r="7" spans="1:6" ht="30">
      <c r="A7" s="371" t="s">
        <v>341</v>
      </c>
      <c r="B7" s="358" t="s">
        <v>363</v>
      </c>
      <c r="C7" s="396">
        <f>Adv_LI!$C$12*0.25</f>
        <v>277.75</v>
      </c>
      <c r="D7" s="357">
        <v>77</v>
      </c>
      <c r="E7" s="375" t="s">
        <v>340</v>
      </c>
      <c r="F7" s="354">
        <f>ROUND(C7*D7/100,0)</f>
        <v>214</v>
      </c>
    </row>
    <row r="8" spans="1:6" ht="30">
      <c r="A8" s="371" t="s">
        <v>343</v>
      </c>
      <c r="B8" s="358" t="s">
        <v>364</v>
      </c>
      <c r="C8" s="396">
        <f>Adv_LI!$C$12*0.25</f>
        <v>277.75</v>
      </c>
      <c r="D8" s="357">
        <v>39</v>
      </c>
      <c r="E8" s="375" t="s">
        <v>340</v>
      </c>
      <c r="F8" s="354">
        <f>ROUND(C8*D8/100,0)</f>
        <v>108</v>
      </c>
    </row>
    <row r="9" spans="1:6">
      <c r="A9" s="371" t="s">
        <v>345</v>
      </c>
      <c r="B9" s="358" t="s">
        <v>365</v>
      </c>
      <c r="C9" s="396">
        <f>Adv_LI!$C$12*0.25</f>
        <v>277.75</v>
      </c>
      <c r="D9" s="357">
        <v>87.45</v>
      </c>
      <c r="E9" s="375" t="s">
        <v>340</v>
      </c>
      <c r="F9" s="354">
        <f>ROUND(C9*D9/100,0)</f>
        <v>243</v>
      </c>
    </row>
    <row r="10" spans="1:6" ht="18">
      <c r="A10" s="371" t="s">
        <v>354</v>
      </c>
      <c r="B10" s="358" t="s">
        <v>355</v>
      </c>
      <c r="C10" s="396">
        <f>Adv_LI!$C$12*0.25</f>
        <v>277.75</v>
      </c>
      <c r="D10" s="357">
        <v>416.65</v>
      </c>
      <c r="E10" s="375" t="s">
        <v>340</v>
      </c>
      <c r="F10" s="354">
        <f>ROUND(C10*D10/100,0)</f>
        <v>1157</v>
      </c>
    </row>
    <row r="11" spans="1:6">
      <c r="A11" s="371" t="s">
        <v>366</v>
      </c>
      <c r="B11" s="385" t="s">
        <v>367</v>
      </c>
      <c r="C11" s="369">
        <f>Adv_LI!$C$12</f>
        <v>1111</v>
      </c>
      <c r="D11" s="357">
        <v>1.1200000000000001</v>
      </c>
      <c r="E11" s="375" t="s">
        <v>330</v>
      </c>
      <c r="F11" s="354">
        <f>ROUND(C11*D11,0)</f>
        <v>1244</v>
      </c>
    </row>
    <row r="12" spans="1:6">
      <c r="A12" s="371" t="s">
        <v>356</v>
      </c>
      <c r="B12" s="358" t="s">
        <v>384</v>
      </c>
      <c r="C12" s="369">
        <f>Adv_LI!$C$12</f>
        <v>1111</v>
      </c>
      <c r="D12" s="373">
        <f>252.25*4</f>
        <v>1009</v>
      </c>
      <c r="E12" s="374" t="s">
        <v>340</v>
      </c>
      <c r="F12" s="354">
        <f t="shared" ref="F12" si="0">ROUND(C12*D12/100,0)</f>
        <v>11210</v>
      </c>
    </row>
    <row r="13" spans="1:6">
      <c r="A13" s="371" t="s">
        <v>385</v>
      </c>
      <c r="B13" s="358" t="s">
        <v>386</v>
      </c>
      <c r="C13" s="369">
        <f>Adv_LI!$C$12</f>
        <v>1111</v>
      </c>
      <c r="D13" s="373">
        <v>119.05</v>
      </c>
      <c r="E13" s="374" t="s">
        <v>340</v>
      </c>
      <c r="F13" s="354">
        <f>ROUND(C13*D13/100,0)</f>
        <v>1323</v>
      </c>
    </row>
    <row r="14" spans="1:6">
      <c r="A14" s="371" t="s">
        <v>387</v>
      </c>
      <c r="B14" s="358" t="s">
        <v>388</v>
      </c>
      <c r="C14" s="369">
        <f>Adv_LI!$C$12</f>
        <v>1111</v>
      </c>
      <c r="D14" s="373">
        <v>119.05</v>
      </c>
      <c r="E14" s="374" t="s">
        <v>340</v>
      </c>
      <c r="F14" s="354">
        <f>ROUND(C14*D14/100,0)</f>
        <v>1323</v>
      </c>
    </row>
    <row r="15" spans="1:6" ht="50.25" customHeight="1">
      <c r="A15" s="371" t="s">
        <v>389</v>
      </c>
      <c r="B15" s="358" t="s">
        <v>375</v>
      </c>
      <c r="C15" s="369"/>
      <c r="D15" s="374"/>
      <c r="E15" s="374"/>
      <c r="F15" s="377"/>
    </row>
    <row r="16" spans="1:6">
      <c r="A16" s="371"/>
      <c r="B16" s="358" t="s">
        <v>376</v>
      </c>
      <c r="C16" s="369">
        <f>Adv_LI!$C$12</f>
        <v>1111</v>
      </c>
      <c r="D16" s="373">
        <v>625</v>
      </c>
      <c r="E16" s="374" t="s">
        <v>340</v>
      </c>
      <c r="F16" s="354">
        <f>ROUND(C16*D16/100,0)</f>
        <v>6944</v>
      </c>
    </row>
    <row r="17" spans="1:8">
      <c r="A17" s="371" t="s">
        <v>390</v>
      </c>
      <c r="B17" s="372" t="s">
        <v>391</v>
      </c>
      <c r="C17" s="369"/>
      <c r="D17" s="373"/>
      <c r="E17" s="374"/>
      <c r="F17" s="377"/>
    </row>
    <row r="18" spans="1:8" ht="30">
      <c r="A18" s="371"/>
      <c r="B18" s="385" t="s">
        <v>379</v>
      </c>
      <c r="C18" s="369">
        <v>1</v>
      </c>
      <c r="D18" s="373">
        <v>1393.6</v>
      </c>
      <c r="E18" s="374" t="s">
        <v>353</v>
      </c>
      <c r="F18" s="354">
        <f>ROUND(C18*D18,0)</f>
        <v>1394</v>
      </c>
    </row>
    <row r="19" spans="1:8" ht="30">
      <c r="A19" s="371" t="s">
        <v>392</v>
      </c>
      <c r="B19" s="372" t="s">
        <v>393</v>
      </c>
      <c r="C19" s="369">
        <f>Adv_LI!$C$12</f>
        <v>1111</v>
      </c>
      <c r="D19" s="373">
        <v>118.35</v>
      </c>
      <c r="E19" s="374" t="s">
        <v>340</v>
      </c>
      <c r="F19" s="354">
        <f>ROUND(C19*D19/100,0)</f>
        <v>1315</v>
      </c>
    </row>
    <row r="20" spans="1:8" ht="47.25">
      <c r="A20" s="388" t="s">
        <v>106</v>
      </c>
      <c r="B20" s="389" t="s">
        <v>107</v>
      </c>
      <c r="C20" s="390">
        <v>100</v>
      </c>
      <c r="D20" s="391">
        <v>579.29999999999995</v>
      </c>
      <c r="E20" s="392" t="s">
        <v>394</v>
      </c>
      <c r="F20" s="393">
        <f>D20</f>
        <v>579.29999999999995</v>
      </c>
    </row>
    <row r="21" spans="1:8" ht="45">
      <c r="A21" s="371" t="s">
        <v>395</v>
      </c>
      <c r="B21" s="372" t="s">
        <v>381</v>
      </c>
      <c r="C21" s="361">
        <v>1</v>
      </c>
      <c r="D21" s="373">
        <v>7006</v>
      </c>
      <c r="E21" s="386" t="s">
        <v>79</v>
      </c>
      <c r="F21" s="377"/>
      <c r="H21" s="346">
        <f>8757*12/15</f>
        <v>7005.6</v>
      </c>
    </row>
    <row r="22" spans="1:8">
      <c r="A22" s="361"/>
      <c r="B22" s="361"/>
      <c r="C22" s="361"/>
      <c r="D22" s="362" t="s">
        <v>38</v>
      </c>
      <c r="E22" s="361"/>
      <c r="F22" s="363">
        <f>SUM(F4:F21)</f>
        <v>34122.300000000003</v>
      </c>
    </row>
    <row r="23" spans="1:8" ht="15.75">
      <c r="C23" s="364" t="s">
        <v>333</v>
      </c>
      <c r="D23" s="364"/>
      <c r="E23" s="364"/>
      <c r="F23" s="394">
        <f>F22</f>
        <v>34122.300000000003</v>
      </c>
      <c r="G23" s="365">
        <f>F23/100000</f>
        <v>0.34122300000000005</v>
      </c>
    </row>
    <row r="24" spans="1:8" ht="15.75">
      <c r="C24" s="13"/>
      <c r="D24" s="13"/>
      <c r="E24" s="13"/>
    </row>
    <row r="25" spans="1:8" ht="15.75">
      <c r="C25" s="13"/>
      <c r="D25" s="13"/>
      <c r="E25" s="13"/>
    </row>
    <row r="26" spans="1:8" ht="15.75">
      <c r="C26" s="13"/>
      <c r="D26" s="13"/>
      <c r="E26" s="13"/>
    </row>
    <row r="27" spans="1:8">
      <c r="C27" s="366" t="s">
        <v>334</v>
      </c>
    </row>
    <row r="28" spans="1:8">
      <c r="C28" s="366"/>
    </row>
  </sheetData>
  <mergeCells count="2">
    <mergeCell ref="A1:F1"/>
    <mergeCell ref="C4:D4"/>
  </mergeCells>
  <printOptions horizontalCentered="1"/>
  <pageMargins left="0.23622047244094491" right="0.15748031496062992" top="0.98425196850393704" bottom="0.98425196850393704" header="0.51181102362204722" footer="0.51181102362204722"/>
  <pageSetup paperSize="5"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27</vt:i4>
      </vt:variant>
      <vt:variant>
        <vt:lpstr>Named Ranges</vt:lpstr>
      </vt:variant>
      <vt:variant>
        <vt:i4>29</vt:i4>
      </vt:variant>
    </vt:vector>
  </HeadingPairs>
  <TitlesOfParts>
    <vt:vector size="56" baseType="lpstr">
      <vt:lpstr>Abstract-Category</vt:lpstr>
      <vt:lpstr>Abstract-Year</vt:lpstr>
      <vt:lpstr>III_ANR</vt:lpstr>
      <vt:lpstr>II_ANR</vt:lpstr>
      <vt:lpstr>I_ANR</vt:lpstr>
      <vt:lpstr>Zero_ANR</vt:lpstr>
      <vt:lpstr>III_LI</vt:lpstr>
      <vt:lpstr>II_LI</vt:lpstr>
      <vt:lpstr>I_LI</vt:lpstr>
      <vt:lpstr>R_LI</vt:lpstr>
      <vt:lpstr>Adv_LI</vt:lpstr>
      <vt:lpstr>RoFR-3Years_ANR</vt:lpstr>
      <vt:lpstr>abstract</vt:lpstr>
      <vt:lpstr>ANR-3Years</vt:lpstr>
      <vt:lpstr>AR-LI</vt:lpstr>
      <vt:lpstr>AR-SMM</vt:lpstr>
      <vt:lpstr>M_6x12 (2)</vt:lpstr>
      <vt:lpstr>M_6x12</vt:lpstr>
      <vt:lpstr>Conversion</vt:lpstr>
      <vt:lpstr>M_4x7</vt:lpstr>
      <vt:lpstr>R_4x7</vt:lpstr>
      <vt:lpstr>Primary</vt:lpstr>
      <vt:lpstr>Adv_SMM</vt:lpstr>
      <vt:lpstr>R_SMM</vt:lpstr>
      <vt:lpstr>I_SMM</vt:lpstr>
      <vt:lpstr>II_SMM</vt:lpstr>
      <vt:lpstr>III_SMM</vt:lpstr>
      <vt:lpstr>'Abstract-Category'!Print_Area</vt:lpstr>
      <vt:lpstr>'Abstract-Year'!Print_Area</vt:lpstr>
      <vt:lpstr>Adv_LI!Print_Area</vt:lpstr>
      <vt:lpstr>Adv_SMM!Print_Area</vt:lpstr>
      <vt:lpstr>'ANR-3Years'!Print_Area</vt:lpstr>
      <vt:lpstr>'AR-LI'!Print_Area</vt:lpstr>
      <vt:lpstr>'AR-SMM'!Print_Area</vt:lpstr>
      <vt:lpstr>I_ANR!Print_Area</vt:lpstr>
      <vt:lpstr>I_LI!Print_Area</vt:lpstr>
      <vt:lpstr>I_SMM!Print_Area</vt:lpstr>
      <vt:lpstr>II_ANR!Print_Area</vt:lpstr>
      <vt:lpstr>II_LI!Print_Area</vt:lpstr>
      <vt:lpstr>II_SMM!Print_Area</vt:lpstr>
      <vt:lpstr>III_ANR!Print_Area</vt:lpstr>
      <vt:lpstr>III_LI!Print_Area</vt:lpstr>
      <vt:lpstr>III_SMM!Print_Area</vt:lpstr>
      <vt:lpstr>R_LI!Print_Area</vt:lpstr>
      <vt:lpstr>R_SMM!Print_Area</vt:lpstr>
      <vt:lpstr>'RoFR-3Years_ANR'!Print_Area</vt:lpstr>
      <vt:lpstr>Zero_ANR!Print_Area</vt:lpstr>
      <vt:lpstr>Adv_LI!Print_Titles</vt:lpstr>
      <vt:lpstr>'ANR-3Years'!Print_Titles</vt:lpstr>
      <vt:lpstr>'AR-LI'!Print_Titles</vt:lpstr>
      <vt:lpstr>'AR-SMM'!Print_Titles</vt:lpstr>
      <vt:lpstr>I_ANR!Print_Titles</vt:lpstr>
      <vt:lpstr>R_LI!Print_Titles</vt:lpstr>
      <vt:lpstr>R_SMM!Print_Titles</vt:lpstr>
      <vt:lpstr>'RoFR-3Years_ANR'!Print_Titles</vt:lpstr>
      <vt:lpstr>Zero_ANR!Print_Titles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APCCF_FCA</cp:lastModifiedBy>
  <cp:lastPrinted>2020-02-29T14:33:38Z</cp:lastPrinted>
  <dcterms:created xsi:type="dcterms:W3CDTF">2017-10-18T13:58:02Z</dcterms:created>
  <dcterms:modified xsi:type="dcterms:W3CDTF">2020-02-29T14:34:05Z</dcterms:modified>
</cp:coreProperties>
</file>