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tijslangeveld/Prodocs/RVO/Projectonderdelen/MIEK/CES3 Analyse/CES_Sankey_2024_annotations_v2/data/"/>
    </mc:Choice>
  </mc:AlternateContent>
  <xr:revisionPtr revIDLastSave="0" documentId="13_ncr:1_{E726F86B-1EFB-A946-9CDE-F8392DA2F15F}" xr6:coauthVersionLast="47" xr6:coauthVersionMax="47" xr10:uidLastSave="{00000000-0000-0000-0000-000000000000}"/>
  <bookViews>
    <workbookView xWindow="300" yWindow="1180" windowWidth="40820" windowHeight="25400" activeTab="3" xr2:uid="{00875DA8-E6E4-D043-A8C0-752E62886C90}"/>
  </bookViews>
  <sheets>
    <sheet name="nodes" sheetId="12" r:id="rId1"/>
    <sheet name="links" sheetId="13" r:id="rId2"/>
    <sheet name="remarks" sheetId="14" r:id="rId3"/>
    <sheet name="settings" sheetId="15" r:id="rId4"/>
    <sheet name="legend" sheetId="16" r:id="rId5"/>
    <sheet name="data_rotterdam_moerdijk" sheetId="18" r:id="rId6"/>
    <sheet name="data_zeeland" sheetId="21" r:id="rId7"/>
    <sheet name="data_noordzeekanaalgebied" sheetId="11" r:id="rId8"/>
    <sheet name="data_noord_nederland" sheetId="22" r:id="rId9"/>
  </sheets>
  <definedNames>
    <definedName name="_xlnm._FilterDatabase" localSheetId="1" hidden="1">links!$A$1:$HT$1268</definedName>
    <definedName name="_xlnm._FilterDatabase" localSheetId="0" hidden="1">nodes!$B$1:$H$61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21" l="1"/>
  <c r="D29" i="21"/>
  <c r="D33" i="21" s="1"/>
  <c r="C64" i="21"/>
  <c r="C65" i="21"/>
  <c r="C66" i="21"/>
  <c r="C67" i="21"/>
  <c r="C70" i="21"/>
  <c r="H227" i="21" s="1"/>
  <c r="C89" i="21"/>
  <c r="C103" i="21"/>
  <c r="C109" i="21"/>
  <c r="C108" i="21" s="1"/>
  <c r="C112" i="21"/>
  <c r="C113" i="21"/>
  <c r="C124" i="21"/>
  <c r="C145" i="21"/>
  <c r="C148" i="21"/>
  <c r="K3" i="13"/>
  <c r="L3" i="13"/>
  <c r="Q3" i="13"/>
  <c r="R3" i="13"/>
  <c r="K4" i="13"/>
  <c r="L4" i="13"/>
  <c r="O4" i="13"/>
  <c r="P4" i="13"/>
  <c r="Q4" i="13"/>
  <c r="R4" i="13"/>
  <c r="K6" i="13"/>
  <c r="L6" i="13"/>
  <c r="Q6" i="13"/>
  <c r="R6" i="13"/>
  <c r="K7" i="13"/>
  <c r="L7" i="13"/>
  <c r="M7" i="13"/>
  <c r="O7" i="13"/>
  <c r="Q7" i="13"/>
  <c r="R7" i="13"/>
  <c r="K8" i="13"/>
  <c r="I8" i="13" s="1"/>
  <c r="L8" i="13"/>
  <c r="M8" i="13"/>
  <c r="O8" i="13"/>
  <c r="Q8" i="13"/>
  <c r="R8" i="13"/>
  <c r="K10" i="13"/>
  <c r="L10" i="13"/>
  <c r="Q10" i="13"/>
  <c r="R10" i="13"/>
  <c r="K11" i="13"/>
  <c r="L11" i="13"/>
  <c r="Q11" i="13"/>
  <c r="R11" i="13"/>
  <c r="K12" i="13"/>
  <c r="L12" i="13"/>
  <c r="Q12" i="13"/>
  <c r="R12" i="13"/>
  <c r="K14" i="13"/>
  <c r="L14" i="13"/>
  <c r="O14" i="13"/>
  <c r="Q14" i="13"/>
  <c r="R14" i="13"/>
  <c r="K15" i="13"/>
  <c r="L15" i="13"/>
  <c r="M15" i="13"/>
  <c r="N15" i="13"/>
  <c r="O15" i="13"/>
  <c r="P15" i="13"/>
  <c r="Q15" i="13"/>
  <c r="R15" i="13"/>
  <c r="K16" i="13"/>
  <c r="I16" i="13" s="1"/>
  <c r="L16" i="13"/>
  <c r="M16" i="13"/>
  <c r="N16" i="13"/>
  <c r="O16" i="13"/>
  <c r="P16" i="13"/>
  <c r="Q16" i="13"/>
  <c r="R16" i="13"/>
  <c r="K17" i="13"/>
  <c r="L17" i="13"/>
  <c r="M17" i="13"/>
  <c r="O17" i="13"/>
  <c r="Q17" i="13"/>
  <c r="R17" i="13"/>
  <c r="K19" i="13"/>
  <c r="L19" i="13"/>
  <c r="O19" i="13"/>
  <c r="Q19" i="13"/>
  <c r="R19" i="13"/>
  <c r="K20" i="13"/>
  <c r="L20" i="13"/>
  <c r="Q20" i="13"/>
  <c r="R20" i="13"/>
  <c r="K21" i="13"/>
  <c r="L21" i="13"/>
  <c r="Q21" i="13"/>
  <c r="R21" i="13"/>
  <c r="K22" i="13"/>
  <c r="L22" i="13"/>
  <c r="Q22" i="13"/>
  <c r="R22" i="13"/>
  <c r="K24" i="13"/>
  <c r="L24" i="13"/>
  <c r="Q24" i="13"/>
  <c r="R24" i="13"/>
  <c r="K26" i="13"/>
  <c r="L26" i="13"/>
  <c r="O26" i="13"/>
  <c r="Q26" i="13"/>
  <c r="R26" i="13"/>
  <c r="K28" i="13"/>
  <c r="L28" i="13"/>
  <c r="O28" i="13"/>
  <c r="P28" i="13"/>
  <c r="Q28" i="13"/>
  <c r="R28" i="13"/>
  <c r="K29" i="13"/>
  <c r="L29" i="13"/>
  <c r="O29" i="13"/>
  <c r="P29" i="13"/>
  <c r="Q29" i="13"/>
  <c r="R29" i="13"/>
  <c r="K30" i="13"/>
  <c r="L30" i="13"/>
  <c r="M30" i="13"/>
  <c r="O30" i="13"/>
  <c r="Q30" i="13"/>
  <c r="R30" i="13"/>
  <c r="K32" i="13"/>
  <c r="L32" i="13"/>
  <c r="Q32" i="13"/>
  <c r="R32" i="13"/>
  <c r="K34" i="13"/>
  <c r="L34" i="13"/>
  <c r="O34" i="13"/>
  <c r="P34" i="13"/>
  <c r="Q34" i="13"/>
  <c r="R34" i="13"/>
  <c r="K35" i="13"/>
  <c r="L35" i="13"/>
  <c r="O35" i="13"/>
  <c r="P35" i="13"/>
  <c r="Q35" i="13"/>
  <c r="R35" i="13"/>
  <c r="K36" i="13"/>
  <c r="L36" i="13"/>
  <c r="M36" i="13"/>
  <c r="O36" i="13"/>
  <c r="Q36" i="13"/>
  <c r="R36" i="13"/>
  <c r="K38" i="13"/>
  <c r="I38" i="13" s="1"/>
  <c r="L38" i="13"/>
  <c r="M38" i="13"/>
  <c r="O38" i="13"/>
  <c r="Q38" i="13"/>
  <c r="R38" i="13"/>
  <c r="K39" i="13"/>
  <c r="L39" i="13"/>
  <c r="O39" i="13"/>
  <c r="P39" i="13"/>
  <c r="Q39" i="13"/>
  <c r="R39" i="13"/>
  <c r="K40" i="13"/>
  <c r="L40" i="13"/>
  <c r="O40" i="13"/>
  <c r="P40" i="13"/>
  <c r="Q40" i="13"/>
  <c r="R40" i="13"/>
  <c r="K42" i="13"/>
  <c r="L42" i="13"/>
  <c r="Q42" i="13"/>
  <c r="R42" i="13"/>
  <c r="K43" i="13"/>
  <c r="L43" i="13"/>
  <c r="Q43" i="13"/>
  <c r="R43" i="13"/>
  <c r="K45" i="13"/>
  <c r="L45" i="13"/>
  <c r="M45" i="13"/>
  <c r="N45" i="13"/>
  <c r="Q45" i="13"/>
  <c r="R45" i="13"/>
  <c r="K46" i="13"/>
  <c r="I46" i="13" s="1"/>
  <c r="L46" i="13"/>
  <c r="M46" i="13"/>
  <c r="N46" i="13"/>
  <c r="O46" i="13"/>
  <c r="P46" i="13"/>
  <c r="Q46" i="13"/>
  <c r="R46" i="13"/>
  <c r="K47" i="13"/>
  <c r="L47" i="13"/>
  <c r="M47" i="13"/>
  <c r="N47" i="13"/>
  <c r="O47" i="13"/>
  <c r="P47" i="13"/>
  <c r="Q47" i="13"/>
  <c r="R47" i="13"/>
  <c r="K48" i="13"/>
  <c r="L48" i="13"/>
  <c r="J48" i="13" s="1"/>
  <c r="M48" i="13"/>
  <c r="N48" i="13"/>
  <c r="O48" i="13"/>
  <c r="P48" i="13"/>
  <c r="Q48" i="13"/>
  <c r="R48" i="13"/>
  <c r="K49" i="13"/>
  <c r="L49" i="13"/>
  <c r="M49" i="13"/>
  <c r="N49" i="13"/>
  <c r="O49" i="13"/>
  <c r="P49" i="13"/>
  <c r="Q49" i="13"/>
  <c r="R49" i="13"/>
  <c r="K50" i="13"/>
  <c r="L50" i="13"/>
  <c r="M50" i="13"/>
  <c r="N50" i="13"/>
  <c r="O50" i="13"/>
  <c r="P50" i="13"/>
  <c r="Q50" i="13"/>
  <c r="R50" i="13"/>
  <c r="K51" i="13"/>
  <c r="I51" i="13" s="1"/>
  <c r="L51" i="13"/>
  <c r="M51" i="13"/>
  <c r="N51" i="13"/>
  <c r="O51" i="13"/>
  <c r="P51" i="13"/>
  <c r="Q51" i="13"/>
  <c r="R51" i="13"/>
  <c r="K52" i="13"/>
  <c r="L52" i="13"/>
  <c r="M52" i="13"/>
  <c r="N52" i="13"/>
  <c r="O52" i="13"/>
  <c r="P52" i="13"/>
  <c r="Q52" i="13"/>
  <c r="R52" i="13"/>
  <c r="K53" i="13"/>
  <c r="L53" i="13"/>
  <c r="J53" i="13" s="1"/>
  <c r="M53" i="13"/>
  <c r="N53" i="13"/>
  <c r="O53" i="13"/>
  <c r="P53" i="13"/>
  <c r="Q53" i="13"/>
  <c r="R53" i="13"/>
  <c r="K54" i="13"/>
  <c r="L54" i="13"/>
  <c r="M54" i="13"/>
  <c r="N54" i="13"/>
  <c r="O54" i="13"/>
  <c r="P54" i="13"/>
  <c r="Q54" i="13"/>
  <c r="R54" i="13"/>
  <c r="K55" i="13"/>
  <c r="L55" i="13"/>
  <c r="M55" i="13"/>
  <c r="N55" i="13"/>
  <c r="O55" i="13"/>
  <c r="P55" i="13"/>
  <c r="Q55" i="13"/>
  <c r="R55" i="13"/>
  <c r="K56" i="13"/>
  <c r="I56" i="13" s="1"/>
  <c r="L56" i="13"/>
  <c r="M56" i="13"/>
  <c r="N56" i="13"/>
  <c r="O56" i="13"/>
  <c r="P56" i="13"/>
  <c r="Q56" i="13"/>
  <c r="R56" i="13"/>
  <c r="K57" i="13"/>
  <c r="L57" i="13"/>
  <c r="M57" i="13"/>
  <c r="N57" i="13"/>
  <c r="O57" i="13"/>
  <c r="P57" i="13"/>
  <c r="Q57" i="13"/>
  <c r="R57" i="13"/>
  <c r="K58" i="13"/>
  <c r="L58" i="13"/>
  <c r="J58" i="13" s="1"/>
  <c r="M58" i="13"/>
  <c r="N58" i="13"/>
  <c r="O58" i="13"/>
  <c r="P58" i="13"/>
  <c r="Q58" i="13"/>
  <c r="R58" i="13"/>
  <c r="K59" i="13"/>
  <c r="L59" i="13"/>
  <c r="M59" i="13"/>
  <c r="N59" i="13"/>
  <c r="O59" i="13"/>
  <c r="P59" i="13"/>
  <c r="Q59" i="13"/>
  <c r="R59" i="13"/>
  <c r="K61" i="13"/>
  <c r="L61" i="13"/>
  <c r="Q61" i="13"/>
  <c r="R61" i="13"/>
  <c r="K62" i="13"/>
  <c r="L62" i="13"/>
  <c r="O62" i="13"/>
  <c r="P62" i="13"/>
  <c r="Q62" i="13"/>
  <c r="R62" i="13"/>
  <c r="K63" i="13"/>
  <c r="L63" i="13"/>
  <c r="O63" i="13"/>
  <c r="P63" i="13"/>
  <c r="Q63" i="13"/>
  <c r="R63" i="13"/>
  <c r="K64" i="13"/>
  <c r="L64" i="13"/>
  <c r="O64" i="13"/>
  <c r="P64" i="13"/>
  <c r="Q64" i="13"/>
  <c r="R64" i="13"/>
  <c r="K65" i="13"/>
  <c r="L65" i="13"/>
  <c r="J65" i="13" s="1"/>
  <c r="M65" i="13"/>
  <c r="N65" i="13"/>
  <c r="O65" i="13"/>
  <c r="P65" i="13"/>
  <c r="Q65" i="13"/>
  <c r="R65" i="13"/>
  <c r="K66" i="13"/>
  <c r="L66" i="13"/>
  <c r="M66" i="13"/>
  <c r="N66" i="13"/>
  <c r="Q66" i="13"/>
  <c r="R66" i="13"/>
  <c r="K67" i="13"/>
  <c r="L67" i="13"/>
  <c r="M67" i="13"/>
  <c r="N67" i="13"/>
  <c r="Q67" i="13"/>
  <c r="R67" i="13"/>
  <c r="K68" i="13"/>
  <c r="I68" i="13" s="1"/>
  <c r="L68" i="13"/>
  <c r="M68" i="13"/>
  <c r="N68" i="13"/>
  <c r="O68" i="13"/>
  <c r="P68" i="13"/>
  <c r="Q68" i="13"/>
  <c r="R68" i="13"/>
  <c r="K69" i="13"/>
  <c r="L69" i="13"/>
  <c r="M69" i="13"/>
  <c r="N69" i="13"/>
  <c r="O69" i="13"/>
  <c r="P69" i="13"/>
  <c r="Q69" i="13"/>
  <c r="R69" i="13"/>
  <c r="K70" i="13"/>
  <c r="L70" i="13"/>
  <c r="M70" i="13"/>
  <c r="N70" i="13"/>
  <c r="O70" i="13"/>
  <c r="P70" i="13"/>
  <c r="Q70" i="13"/>
  <c r="R70" i="13"/>
  <c r="K72" i="13"/>
  <c r="L72" i="13"/>
  <c r="M72" i="13"/>
  <c r="O72" i="13"/>
  <c r="P72" i="13"/>
  <c r="Q72" i="13"/>
  <c r="R72" i="13"/>
  <c r="K73" i="13"/>
  <c r="L73" i="13"/>
  <c r="M73" i="13"/>
  <c r="O73" i="13"/>
  <c r="P73" i="13"/>
  <c r="Q73" i="13"/>
  <c r="R73" i="13"/>
  <c r="K74" i="13"/>
  <c r="L74" i="13"/>
  <c r="N74" i="13"/>
  <c r="O74" i="13"/>
  <c r="P74" i="13"/>
  <c r="Q74" i="13"/>
  <c r="R74" i="13"/>
  <c r="K75" i="13"/>
  <c r="L75" i="13"/>
  <c r="M75" i="13"/>
  <c r="N75" i="13"/>
  <c r="O75" i="13"/>
  <c r="Q75" i="13"/>
  <c r="R75" i="13"/>
  <c r="K76" i="13"/>
  <c r="L76" i="13"/>
  <c r="M76" i="13"/>
  <c r="N76" i="13"/>
  <c r="O76" i="13"/>
  <c r="Q76" i="13"/>
  <c r="R76" i="13"/>
  <c r="K77" i="13"/>
  <c r="L77" i="13"/>
  <c r="M77" i="13"/>
  <c r="N77" i="13"/>
  <c r="O77" i="13"/>
  <c r="P77" i="13"/>
  <c r="Q77" i="13"/>
  <c r="R77" i="13"/>
  <c r="K78" i="13"/>
  <c r="L78" i="13"/>
  <c r="M78" i="13"/>
  <c r="N78" i="13"/>
  <c r="O78" i="13"/>
  <c r="P78" i="13"/>
  <c r="Q78" i="13"/>
  <c r="R78" i="13"/>
  <c r="K79" i="13"/>
  <c r="L79" i="13"/>
  <c r="J79" i="13" s="1"/>
  <c r="M79" i="13"/>
  <c r="N79" i="13"/>
  <c r="O79" i="13"/>
  <c r="P79" i="13"/>
  <c r="Q79" i="13"/>
  <c r="R79" i="13"/>
  <c r="K81" i="13"/>
  <c r="L81" i="13"/>
  <c r="M81" i="13"/>
  <c r="O81" i="13"/>
  <c r="P81" i="13"/>
  <c r="Q81" i="13"/>
  <c r="R81" i="13"/>
  <c r="K82" i="13"/>
  <c r="L82" i="13"/>
  <c r="M82" i="13"/>
  <c r="O82" i="13"/>
  <c r="P82" i="13"/>
  <c r="Q82" i="13"/>
  <c r="R82" i="13"/>
  <c r="K83" i="13"/>
  <c r="L83" i="13"/>
  <c r="N83" i="13"/>
  <c r="O83" i="13"/>
  <c r="P83" i="13"/>
  <c r="Q83" i="13"/>
  <c r="R83" i="13"/>
  <c r="K84" i="13"/>
  <c r="L84" i="13"/>
  <c r="M84" i="13"/>
  <c r="N84" i="13"/>
  <c r="O84" i="13"/>
  <c r="Q84" i="13"/>
  <c r="R84" i="13"/>
  <c r="K85" i="13"/>
  <c r="L85" i="13"/>
  <c r="M85" i="13"/>
  <c r="N85" i="13"/>
  <c r="O85" i="13"/>
  <c r="Q85" i="13"/>
  <c r="R85" i="13"/>
  <c r="K86" i="13"/>
  <c r="L86" i="13"/>
  <c r="M86" i="13"/>
  <c r="N86" i="13"/>
  <c r="O86" i="13"/>
  <c r="P86" i="13"/>
  <c r="Q86" i="13"/>
  <c r="R86" i="13"/>
  <c r="K87" i="13"/>
  <c r="I87" i="13" s="1"/>
  <c r="L87" i="13"/>
  <c r="M87" i="13"/>
  <c r="N87" i="13"/>
  <c r="O87" i="13"/>
  <c r="P87" i="13"/>
  <c r="Q87" i="13"/>
  <c r="R87" i="13"/>
  <c r="K88" i="13"/>
  <c r="L88" i="13"/>
  <c r="M88" i="13"/>
  <c r="N88" i="13"/>
  <c r="O88" i="13"/>
  <c r="P88" i="13"/>
  <c r="Q88" i="13"/>
  <c r="R88" i="13"/>
  <c r="K90" i="13"/>
  <c r="L90" i="13"/>
  <c r="O90" i="13"/>
  <c r="P90" i="13"/>
  <c r="Q90" i="13"/>
  <c r="R90" i="13"/>
  <c r="K91" i="13"/>
  <c r="L91" i="13"/>
  <c r="O91" i="13"/>
  <c r="Q91" i="13"/>
  <c r="R91" i="13"/>
  <c r="K92" i="13"/>
  <c r="L92" i="13"/>
  <c r="Q92" i="13"/>
  <c r="R92" i="13"/>
  <c r="J34" i="22"/>
  <c r="J35" i="22"/>
  <c r="J39" i="22"/>
  <c r="J41" i="22"/>
  <c r="E35" i="18"/>
  <c r="I176" i="22"/>
  <c r="E171" i="21"/>
  <c r="M6" i="13" s="1"/>
  <c r="D371" i="18"/>
  <c r="M3" i="12"/>
  <c r="M4" i="12"/>
  <c r="M5" i="12"/>
  <c r="M6" i="12"/>
  <c r="M7" i="12"/>
  <c r="M8" i="12"/>
  <c r="M9" i="12"/>
  <c r="M10" i="12"/>
  <c r="M11" i="12"/>
  <c r="M12" i="12"/>
  <c r="M14" i="12"/>
  <c r="M15" i="12"/>
  <c r="M17" i="12"/>
  <c r="M18" i="12"/>
  <c r="M19" i="12"/>
  <c r="M20" i="12"/>
  <c r="M22" i="12"/>
  <c r="M24" i="12"/>
  <c r="M25" i="12"/>
  <c r="M26" i="12"/>
  <c r="M27" i="12"/>
  <c r="M29" i="12"/>
  <c r="M30" i="12"/>
  <c r="M31" i="12"/>
  <c r="M33" i="12"/>
  <c r="M35" i="12"/>
  <c r="M36" i="12"/>
  <c r="M38" i="12"/>
  <c r="M40" i="12"/>
  <c r="M41" i="12"/>
  <c r="M42" i="12"/>
  <c r="M43" i="12"/>
  <c r="M44" i="12"/>
  <c r="M45" i="12"/>
  <c r="M46" i="12"/>
  <c r="M47" i="12"/>
  <c r="M48" i="12"/>
  <c r="M49" i="12"/>
  <c r="M51" i="12"/>
  <c r="M52" i="12"/>
  <c r="M53" i="12"/>
  <c r="M54" i="12"/>
  <c r="M55" i="12"/>
  <c r="M56" i="12"/>
  <c r="M57" i="12"/>
  <c r="M58" i="12"/>
  <c r="M59" i="12"/>
  <c r="M60" i="12"/>
  <c r="M62" i="12"/>
  <c r="M63" i="12"/>
  <c r="M64" i="12"/>
  <c r="M65" i="12"/>
  <c r="M66" i="12"/>
  <c r="M67" i="12"/>
  <c r="M68" i="12"/>
  <c r="M69" i="12"/>
  <c r="M71" i="12"/>
  <c r="M72" i="12"/>
  <c r="M73" i="12"/>
  <c r="M74" i="12"/>
  <c r="M2" i="12"/>
  <c r="H224" i="18"/>
  <c r="D316" i="18" s="1"/>
  <c r="E53" i="14" s="1"/>
  <c r="D294" i="18"/>
  <c r="E31" i="14" s="1"/>
  <c r="D363" i="22"/>
  <c r="L73" i="14" s="1"/>
  <c r="D285" i="22"/>
  <c r="K73" i="14" s="1"/>
  <c r="D346" i="22"/>
  <c r="L56" i="14" s="1"/>
  <c r="D13" i="22"/>
  <c r="D12" i="22"/>
  <c r="C106" i="22" s="1"/>
  <c r="D49" i="22"/>
  <c r="E48" i="11"/>
  <c r="I169" i="11"/>
  <c r="D339" i="11" s="1"/>
  <c r="J58" i="14" s="1"/>
  <c r="H169" i="11"/>
  <c r="D208" i="11"/>
  <c r="I63" i="21"/>
  <c r="I64" i="21" s="1"/>
  <c r="J81" i="21" s="1"/>
  <c r="Q45" i="21"/>
  <c r="Q44" i="21"/>
  <c r="J75" i="21"/>
  <c r="J80" i="21"/>
  <c r="I98" i="21"/>
  <c r="D276" i="11"/>
  <c r="I73" i="14" s="1"/>
  <c r="D354" i="11"/>
  <c r="J73" i="14" s="1"/>
  <c r="D414" i="18"/>
  <c r="F73" i="14" s="1"/>
  <c r="D336" i="18"/>
  <c r="E73" i="14" s="1"/>
  <c r="D417" i="21"/>
  <c r="H73" i="14" s="1"/>
  <c r="D339" i="21"/>
  <c r="G73" i="14" s="1"/>
  <c r="D344" i="11"/>
  <c r="J63" i="14" s="1"/>
  <c r="D345" i="11"/>
  <c r="J64" i="14" s="1"/>
  <c r="D346" i="11"/>
  <c r="J65" i="14" s="1"/>
  <c r="D347" i="11"/>
  <c r="J66" i="14" s="1"/>
  <c r="D348" i="11"/>
  <c r="J67" i="14" s="1"/>
  <c r="D349" i="11"/>
  <c r="J68" i="14" s="1"/>
  <c r="D350" i="11"/>
  <c r="J69" i="14" s="1"/>
  <c r="D351" i="11"/>
  <c r="J70" i="14" s="1"/>
  <c r="D334" i="11"/>
  <c r="J53" i="14" s="1"/>
  <c r="D335" i="11"/>
  <c r="J54" i="14" s="1"/>
  <c r="D336" i="11"/>
  <c r="J55" i="14" s="1"/>
  <c r="D337" i="11"/>
  <c r="J56" i="14" s="1"/>
  <c r="D340" i="11"/>
  <c r="J59" i="14" s="1"/>
  <c r="D341" i="11"/>
  <c r="J60" i="14" s="1"/>
  <c r="D342" i="11"/>
  <c r="D397" i="21"/>
  <c r="D400" i="21"/>
  <c r="H56" i="14" s="1"/>
  <c r="D401" i="21"/>
  <c r="H57" i="14" s="1"/>
  <c r="D402" i="21"/>
  <c r="H58" i="14" s="1"/>
  <c r="D403" i="21"/>
  <c r="H59" i="14" s="1"/>
  <c r="D404" i="21"/>
  <c r="H60" i="14" s="1"/>
  <c r="D405" i="21"/>
  <c r="H61" i="14" s="1"/>
  <c r="D397" i="18"/>
  <c r="D398" i="18"/>
  <c r="D399" i="18"/>
  <c r="F58" i="14" s="1"/>
  <c r="D400" i="18"/>
  <c r="F59" i="14" s="1"/>
  <c r="D401" i="18"/>
  <c r="F60" i="14" s="1"/>
  <c r="D402" i="18"/>
  <c r="F61" i="14" s="1"/>
  <c r="D415" i="18"/>
  <c r="F74" i="14" s="1"/>
  <c r="B224" i="18"/>
  <c r="B225" i="18"/>
  <c r="B226" i="18"/>
  <c r="B227" i="18"/>
  <c r="B228" i="18"/>
  <c r="B229" i="18"/>
  <c r="B230" i="18"/>
  <c r="B231" i="18"/>
  <c r="B232" i="18"/>
  <c r="B234" i="18"/>
  <c r="B235" i="18"/>
  <c r="B236" i="18"/>
  <c r="B237" i="18"/>
  <c r="B238" i="18"/>
  <c r="B239" i="18"/>
  <c r="B240" i="18"/>
  <c r="B241" i="18"/>
  <c r="B243" i="18"/>
  <c r="B244" i="18"/>
  <c r="B245" i="18"/>
  <c r="B246" i="18"/>
  <c r="B247" i="18"/>
  <c r="B248" i="18"/>
  <c r="B249" i="18"/>
  <c r="B250" i="18"/>
  <c r="B252" i="18"/>
  <c r="B253" i="18"/>
  <c r="B254" i="18"/>
  <c r="F56" i="14"/>
  <c r="F57" i="14"/>
  <c r="F70" i="14"/>
  <c r="F72" i="14"/>
  <c r="F66" i="14"/>
  <c r="F67" i="14"/>
  <c r="F68" i="14"/>
  <c r="F69" i="14"/>
  <c r="L57" i="14"/>
  <c r="L58" i="14"/>
  <c r="L60" i="14"/>
  <c r="L61" i="14"/>
  <c r="D354" i="22"/>
  <c r="L64" i="14" s="1"/>
  <c r="D355" i="22"/>
  <c r="L65" i="14" s="1"/>
  <c r="L66" i="14"/>
  <c r="L68" i="14"/>
  <c r="L70" i="14"/>
  <c r="L72" i="14"/>
  <c r="D364" i="22"/>
  <c r="L74" i="14" s="1"/>
  <c r="D261" i="11"/>
  <c r="I58" i="14" s="1"/>
  <c r="D328" i="18"/>
  <c r="E65" i="14" s="1"/>
  <c r="D375" i="21"/>
  <c r="H31" i="14" s="1"/>
  <c r="D303" i="22"/>
  <c r="L13" i="14" s="1"/>
  <c r="D298" i="22"/>
  <c r="L8" i="14" s="1"/>
  <c r="D359" i="21"/>
  <c r="D356" i="18"/>
  <c r="D345" i="18"/>
  <c r="D348" i="21"/>
  <c r="E28" i="11"/>
  <c r="E49" i="11" s="1"/>
  <c r="D28" i="11"/>
  <c r="H88" i="11" s="1"/>
  <c r="D293" i="22"/>
  <c r="D294" i="22"/>
  <c r="D305" i="22"/>
  <c r="D359" i="18"/>
  <c r="E45" i="21"/>
  <c r="I62" i="21"/>
  <c r="J76" i="21" s="1"/>
  <c r="H55" i="21" s="1"/>
  <c r="O40" i="21"/>
  <c r="P40" i="21" s="1"/>
  <c r="M37" i="21"/>
  <c r="L37" i="21"/>
  <c r="E36" i="22"/>
  <c r="C101" i="22" s="1"/>
  <c r="E37" i="22"/>
  <c r="I175" i="22" s="1"/>
  <c r="D347" i="21"/>
  <c r="D220" i="22"/>
  <c r="K8" i="14" s="1"/>
  <c r="D225" i="22"/>
  <c r="K13" i="14" s="1"/>
  <c r="D213" i="11"/>
  <c r="D276" i="21"/>
  <c r="D297" i="21"/>
  <c r="G31" i="14" s="1"/>
  <c r="D281" i="21"/>
  <c r="D270" i="21"/>
  <c r="D269" i="21"/>
  <c r="D288" i="18"/>
  <c r="E25" i="14" s="1"/>
  <c r="D278" i="18"/>
  <c r="D266" i="18"/>
  <c r="D344" i="18"/>
  <c r="D267" i="18"/>
  <c r="J53" i="12"/>
  <c r="J56" i="12"/>
  <c r="J57" i="12" s="1"/>
  <c r="J58" i="12" s="1"/>
  <c r="J52" i="12"/>
  <c r="D284" i="11"/>
  <c r="B31" i="14"/>
  <c r="F31" i="14"/>
  <c r="I31" i="14"/>
  <c r="J31" i="14"/>
  <c r="K31" i="14"/>
  <c r="L31" i="14"/>
  <c r="G5" i="14"/>
  <c r="H5" i="14"/>
  <c r="G6" i="14"/>
  <c r="H6" i="14"/>
  <c r="I6" i="14"/>
  <c r="J6" i="14"/>
  <c r="K6" i="14"/>
  <c r="L6" i="14"/>
  <c r="G7" i="14"/>
  <c r="H7" i="14"/>
  <c r="I7" i="14"/>
  <c r="J7" i="14"/>
  <c r="K7" i="14"/>
  <c r="L7" i="14"/>
  <c r="G8" i="14"/>
  <c r="H8" i="14"/>
  <c r="I8" i="14"/>
  <c r="J8" i="14"/>
  <c r="G9" i="14"/>
  <c r="H9" i="14"/>
  <c r="I9" i="14"/>
  <c r="J9" i="14"/>
  <c r="K9" i="14"/>
  <c r="L9" i="14"/>
  <c r="H10" i="14"/>
  <c r="J10" i="14"/>
  <c r="L10" i="14"/>
  <c r="G11" i="14"/>
  <c r="I11" i="14"/>
  <c r="K11" i="14"/>
  <c r="G12" i="14"/>
  <c r="H12" i="14"/>
  <c r="I12" i="14"/>
  <c r="J12" i="14"/>
  <c r="K12" i="14"/>
  <c r="L12" i="14"/>
  <c r="G13" i="14"/>
  <c r="H13" i="14"/>
  <c r="I13" i="14"/>
  <c r="J13" i="14"/>
  <c r="G16" i="14"/>
  <c r="H16" i="14"/>
  <c r="I16" i="14"/>
  <c r="J16" i="14"/>
  <c r="K16" i="14"/>
  <c r="L16" i="14"/>
  <c r="G23" i="14"/>
  <c r="H23" i="14"/>
  <c r="I23" i="14"/>
  <c r="J23" i="14"/>
  <c r="K23" i="14"/>
  <c r="L23" i="14"/>
  <c r="G26" i="14"/>
  <c r="H26" i="14"/>
  <c r="I26" i="14"/>
  <c r="J26" i="14"/>
  <c r="K26" i="14"/>
  <c r="L26" i="14"/>
  <c r="G28" i="14"/>
  <c r="H28" i="14"/>
  <c r="I28" i="14"/>
  <c r="J28" i="14"/>
  <c r="K28" i="14"/>
  <c r="L28" i="14"/>
  <c r="G34" i="14"/>
  <c r="H34" i="14"/>
  <c r="I34" i="14"/>
  <c r="J34" i="14"/>
  <c r="K34" i="14"/>
  <c r="L34" i="14"/>
  <c r="G36" i="14"/>
  <c r="H36" i="14"/>
  <c r="I36" i="14"/>
  <c r="J36" i="14"/>
  <c r="K36" i="14"/>
  <c r="L36" i="14"/>
  <c r="G37" i="14"/>
  <c r="I37" i="14"/>
  <c r="K37" i="14"/>
  <c r="G39" i="14"/>
  <c r="H39" i="14"/>
  <c r="I39" i="14"/>
  <c r="J39" i="14"/>
  <c r="K39" i="14"/>
  <c r="L39" i="14"/>
  <c r="G41" i="14"/>
  <c r="H41" i="14"/>
  <c r="I41" i="14"/>
  <c r="J41" i="14"/>
  <c r="K41" i="14"/>
  <c r="L41" i="14"/>
  <c r="G42" i="14"/>
  <c r="H42" i="14"/>
  <c r="I42" i="14"/>
  <c r="J42" i="14"/>
  <c r="K42" i="14"/>
  <c r="L42" i="14"/>
  <c r="G43" i="14"/>
  <c r="H43" i="14"/>
  <c r="I43" i="14"/>
  <c r="J43" i="14"/>
  <c r="K43" i="14"/>
  <c r="L43" i="14"/>
  <c r="G44" i="14"/>
  <c r="H44" i="14"/>
  <c r="I44" i="14"/>
  <c r="J44" i="14"/>
  <c r="K44" i="14"/>
  <c r="L44" i="14"/>
  <c r="G45" i="14"/>
  <c r="H45" i="14"/>
  <c r="I45" i="14"/>
  <c r="J45" i="14"/>
  <c r="K45" i="14"/>
  <c r="L45" i="14"/>
  <c r="G46" i="14"/>
  <c r="H46" i="14"/>
  <c r="I46" i="14"/>
  <c r="J46" i="14"/>
  <c r="K46" i="14"/>
  <c r="L46" i="14"/>
  <c r="G47" i="14"/>
  <c r="H47" i="14"/>
  <c r="I47" i="14"/>
  <c r="J47" i="14"/>
  <c r="K47" i="14"/>
  <c r="L47" i="14"/>
  <c r="G48" i="14"/>
  <c r="H48" i="14"/>
  <c r="I48" i="14"/>
  <c r="J48" i="14"/>
  <c r="K48" i="14"/>
  <c r="L48" i="14"/>
  <c r="G49" i="14"/>
  <c r="H49" i="14"/>
  <c r="I49" i="14"/>
  <c r="J49" i="14"/>
  <c r="K49" i="14"/>
  <c r="L49" i="14"/>
  <c r="G50" i="14"/>
  <c r="H50" i="14"/>
  <c r="I50" i="14"/>
  <c r="J50" i="14"/>
  <c r="K50" i="14"/>
  <c r="L50" i="14"/>
  <c r="H53" i="14"/>
  <c r="I53" i="14"/>
  <c r="K53" i="14"/>
  <c r="L53" i="14"/>
  <c r="I54" i="14"/>
  <c r="K54" i="14"/>
  <c r="L54" i="14"/>
  <c r="I55" i="14"/>
  <c r="K55" i="14"/>
  <c r="G56" i="14"/>
  <c r="I56" i="14"/>
  <c r="K56" i="14"/>
  <c r="G57" i="14"/>
  <c r="K57" i="14"/>
  <c r="G58" i="14"/>
  <c r="K58" i="14"/>
  <c r="G59" i="14"/>
  <c r="I59" i="14"/>
  <c r="G60" i="14"/>
  <c r="I60" i="14"/>
  <c r="K60" i="14"/>
  <c r="G61" i="14"/>
  <c r="I61" i="14"/>
  <c r="J61" i="14"/>
  <c r="K61" i="14"/>
  <c r="G63" i="14"/>
  <c r="H63" i="14"/>
  <c r="I63" i="14"/>
  <c r="K63" i="14"/>
  <c r="L63" i="14"/>
  <c r="G64" i="14"/>
  <c r="H64" i="14"/>
  <c r="I64" i="14"/>
  <c r="K64" i="14"/>
  <c r="G65" i="14"/>
  <c r="H65" i="14"/>
  <c r="I65" i="14"/>
  <c r="K65" i="14"/>
  <c r="G66" i="14"/>
  <c r="H66" i="14"/>
  <c r="I66" i="14"/>
  <c r="K66" i="14"/>
  <c r="G67" i="14"/>
  <c r="H67" i="14"/>
  <c r="I67" i="14"/>
  <c r="K67" i="14"/>
  <c r="L67" i="14"/>
  <c r="G68" i="14"/>
  <c r="H68" i="14"/>
  <c r="I68" i="14"/>
  <c r="K68" i="14"/>
  <c r="G69" i="14"/>
  <c r="H69" i="14"/>
  <c r="I69" i="14"/>
  <c r="K69" i="14"/>
  <c r="L69" i="14"/>
  <c r="G70" i="14"/>
  <c r="H70" i="14"/>
  <c r="I70" i="14"/>
  <c r="K70" i="14"/>
  <c r="G72" i="14"/>
  <c r="H72" i="14"/>
  <c r="I72" i="14"/>
  <c r="J72" i="14"/>
  <c r="K72" i="14"/>
  <c r="G74" i="14"/>
  <c r="I74" i="14"/>
  <c r="J74" i="14"/>
  <c r="K74" i="14"/>
  <c r="G75" i="14"/>
  <c r="H75" i="14"/>
  <c r="I75" i="14"/>
  <c r="J75" i="14"/>
  <c r="K75" i="14"/>
  <c r="L75" i="14"/>
  <c r="F5" i="14"/>
  <c r="F6" i="14"/>
  <c r="F7" i="14"/>
  <c r="F8" i="14"/>
  <c r="F9" i="14"/>
  <c r="F10" i="14"/>
  <c r="F12" i="14"/>
  <c r="F13" i="14"/>
  <c r="F16" i="14"/>
  <c r="F23" i="14"/>
  <c r="F26" i="14"/>
  <c r="F28" i="14"/>
  <c r="F34" i="14"/>
  <c r="F36" i="14"/>
  <c r="F39" i="14"/>
  <c r="F41" i="14"/>
  <c r="F42" i="14"/>
  <c r="F43" i="14"/>
  <c r="F44" i="14"/>
  <c r="F45" i="14"/>
  <c r="F46" i="14"/>
  <c r="F47" i="14"/>
  <c r="F48" i="14"/>
  <c r="F49" i="14"/>
  <c r="F50" i="14"/>
  <c r="F63" i="14"/>
  <c r="F64" i="14"/>
  <c r="F65" i="14"/>
  <c r="F75" i="14"/>
  <c r="B36" i="14"/>
  <c r="E36" i="14"/>
  <c r="E5" i="14"/>
  <c r="E6" i="14"/>
  <c r="E7" i="14"/>
  <c r="E8" i="14"/>
  <c r="E9" i="14"/>
  <c r="E11" i="14"/>
  <c r="E12" i="14"/>
  <c r="E13" i="14"/>
  <c r="E16" i="14"/>
  <c r="E23" i="14"/>
  <c r="E26" i="14"/>
  <c r="E28" i="14"/>
  <c r="E34" i="14"/>
  <c r="E37" i="14"/>
  <c r="E39" i="14"/>
  <c r="E41" i="14"/>
  <c r="E42" i="14"/>
  <c r="E43" i="14"/>
  <c r="E44" i="14"/>
  <c r="E45" i="14"/>
  <c r="E46" i="14"/>
  <c r="E47" i="14"/>
  <c r="E48" i="14"/>
  <c r="E49" i="14"/>
  <c r="E50" i="14"/>
  <c r="E56" i="14"/>
  <c r="E57" i="14"/>
  <c r="E58" i="14"/>
  <c r="E59" i="14"/>
  <c r="E60" i="14"/>
  <c r="E61" i="14"/>
  <c r="E63" i="14"/>
  <c r="E64" i="14"/>
  <c r="E66" i="14"/>
  <c r="E67" i="14"/>
  <c r="E68" i="14"/>
  <c r="E69" i="14"/>
  <c r="E70" i="14"/>
  <c r="E72" i="14"/>
  <c r="E74" i="14"/>
  <c r="E75" i="14"/>
  <c r="J74" i="13" l="1"/>
  <c r="J69" i="13"/>
  <c r="J83" i="13"/>
  <c r="J78" i="13"/>
  <c r="I69" i="13"/>
  <c r="I15" i="13"/>
  <c r="I78" i="13"/>
  <c r="J70" i="13"/>
  <c r="J16" i="13"/>
  <c r="D50" i="21"/>
  <c r="G55" i="21" s="1"/>
  <c r="J88" i="13"/>
  <c r="I79" i="13"/>
  <c r="J57" i="13"/>
  <c r="J52" i="13"/>
  <c r="J47" i="13"/>
  <c r="I7" i="13"/>
  <c r="I88" i="13"/>
  <c r="I57" i="13"/>
  <c r="I52" i="13"/>
  <c r="I47" i="13"/>
  <c r="I17" i="13"/>
  <c r="I81" i="13"/>
  <c r="I86" i="13"/>
  <c r="I82" i="13"/>
  <c r="J77" i="13"/>
  <c r="I55" i="13"/>
  <c r="I50" i="13"/>
  <c r="I36" i="13"/>
  <c r="D49" i="11"/>
  <c r="J87" i="13"/>
  <c r="I77" i="13"/>
  <c r="I73" i="13"/>
  <c r="J68" i="13"/>
  <c r="J56" i="13"/>
  <c r="J51" i="13"/>
  <c r="J46" i="13"/>
  <c r="J15" i="13"/>
  <c r="I30" i="13"/>
  <c r="I75" i="13"/>
  <c r="I84" i="13"/>
  <c r="I70" i="13"/>
  <c r="I65" i="13"/>
  <c r="I58" i="13"/>
  <c r="I53" i="13"/>
  <c r="I48" i="13"/>
  <c r="J54" i="13"/>
  <c r="J49" i="13"/>
  <c r="I85" i="13"/>
  <c r="I72" i="13"/>
  <c r="I59" i="13"/>
  <c r="I54" i="13"/>
  <c r="I49" i="13"/>
  <c r="J59" i="13"/>
  <c r="J86" i="13"/>
  <c r="I76" i="13"/>
  <c r="J55" i="13"/>
  <c r="J50" i="13"/>
  <c r="C60" i="21"/>
  <c r="D41" i="21"/>
  <c r="C58" i="21"/>
  <c r="D34" i="21"/>
  <c r="C91" i="22"/>
  <c r="D345" i="22"/>
  <c r="L55" i="14" s="1"/>
  <c r="E38" i="22"/>
  <c r="C105" i="22" s="1"/>
  <c r="J82" i="21"/>
  <c r="L82" i="21" s="1"/>
  <c r="L76" i="21"/>
  <c r="J90" i="21" s="1"/>
  <c r="O31" i="21"/>
  <c r="D28" i="14"/>
  <c r="D6" i="14"/>
  <c r="D44" i="14"/>
  <c r="D45" i="14"/>
  <c r="D66" i="14"/>
  <c r="C70" i="14"/>
  <c r="D69" i="14"/>
  <c r="D31" i="14"/>
  <c r="D56" i="14"/>
  <c r="D34" i="14"/>
  <c r="C58" i="14"/>
  <c r="C31" i="14"/>
  <c r="C36" i="14"/>
  <c r="D64" i="14"/>
  <c r="D39" i="14"/>
  <c r="D60" i="14"/>
  <c r="D75" i="14"/>
  <c r="D73" i="14"/>
  <c r="D72" i="14"/>
  <c r="D36" i="14"/>
  <c r="D43" i="14"/>
  <c r="D13" i="14"/>
  <c r="D9" i="14"/>
  <c r="C68" i="14"/>
  <c r="D8" i="14"/>
  <c r="C47" i="14"/>
  <c r="C37" i="14"/>
  <c r="C66" i="14"/>
  <c r="C45" i="14"/>
  <c r="D50" i="14"/>
  <c r="C64" i="14"/>
  <c r="C41" i="14"/>
  <c r="C69" i="14"/>
  <c r="C50" i="14"/>
  <c r="C46" i="14"/>
  <c r="C11" i="14"/>
  <c r="C49" i="14"/>
  <c r="D49" i="14"/>
  <c r="D48" i="14"/>
  <c r="C72" i="14"/>
  <c r="D58" i="14"/>
  <c r="C65" i="14"/>
  <c r="C34" i="14"/>
  <c r="D61" i="14"/>
  <c r="C9" i="14"/>
  <c r="C74" i="14"/>
  <c r="C75" i="14"/>
  <c r="C63" i="14"/>
  <c r="C60" i="14"/>
  <c r="C44" i="14"/>
  <c r="C42" i="14"/>
  <c r="C39" i="14"/>
  <c r="C13" i="14"/>
  <c r="C8" i="14"/>
  <c r="C23" i="14"/>
  <c r="C16" i="14"/>
  <c r="C6" i="14"/>
  <c r="D47" i="14"/>
  <c r="D7" i="14"/>
  <c r="D67" i="14"/>
  <c r="D12" i="14"/>
  <c r="C48" i="14"/>
  <c r="C43" i="14"/>
  <c r="C26" i="14"/>
  <c r="C12" i="14"/>
  <c r="C7" i="14"/>
  <c r="D42" i="14"/>
  <c r="C73" i="14"/>
  <c r="C67" i="14"/>
  <c r="C61" i="14"/>
  <c r="C56" i="14"/>
  <c r="C28" i="14"/>
  <c r="D70" i="14"/>
  <c r="D65" i="14"/>
  <c r="D26" i="14"/>
  <c r="D68" i="14"/>
  <c r="D63" i="14"/>
  <c r="D46" i="14"/>
  <c r="D41" i="14"/>
  <c r="D23" i="14"/>
  <c r="D16" i="14"/>
  <c r="D10" i="14"/>
  <c r="C59" i="21" l="1"/>
  <c r="C61" i="21"/>
  <c r="D45" i="21"/>
  <c r="C147" i="21" s="1"/>
  <c r="C85" i="21"/>
  <c r="H229" i="21"/>
  <c r="C79" i="21"/>
  <c r="C146" i="21"/>
  <c r="D40" i="21"/>
  <c r="C81" i="21"/>
  <c r="C80" i="21" s="1"/>
  <c r="C87" i="21"/>
  <c r="C86" i="21" s="1"/>
  <c r="E50" i="21"/>
  <c r="C144" i="21" l="1"/>
  <c r="C149" i="21" s="1"/>
  <c r="G59" i="21" s="1"/>
  <c r="C73" i="21"/>
  <c r="H226" i="21" s="1"/>
  <c r="C101" i="21"/>
  <c r="C100" i="21" s="1"/>
  <c r="C95" i="21"/>
  <c r="C94" i="21" s="1"/>
  <c r="H228" i="21"/>
  <c r="C99" i="21"/>
  <c r="C93" i="21"/>
  <c r="C97" i="22"/>
  <c r="F176" i="22" s="1"/>
  <c r="E55" i="22"/>
  <c r="F157" i="22" s="1"/>
  <c r="E52" i="22"/>
  <c r="F158" i="22" s="1"/>
  <c r="E33" i="22"/>
  <c r="F137" i="22" s="1"/>
  <c r="E31" i="22"/>
  <c r="F146" i="22" s="1"/>
  <c r="E30" i="22"/>
  <c r="F147" i="22" s="1"/>
  <c r="E29" i="22"/>
  <c r="E24" i="22"/>
  <c r="E23" i="22"/>
  <c r="D36" i="22"/>
  <c r="D38" i="22" s="1"/>
  <c r="C90" i="22" s="1"/>
  <c r="D55" i="22"/>
  <c r="D52" i="22"/>
  <c r="E158" i="22" s="1"/>
  <c r="D24" i="22"/>
  <c r="E117" i="22" s="1"/>
  <c r="B365" i="22"/>
  <c r="B364" i="22"/>
  <c r="B363" i="22"/>
  <c r="B362" i="22"/>
  <c r="B360" i="22"/>
  <c r="B359" i="22"/>
  <c r="B358" i="22"/>
  <c r="B357" i="22"/>
  <c r="B356" i="22"/>
  <c r="B355" i="22"/>
  <c r="B354" i="22"/>
  <c r="B353" i="22"/>
  <c r="B351" i="22"/>
  <c r="B350" i="22"/>
  <c r="B349" i="22"/>
  <c r="B348" i="22"/>
  <c r="B347" i="22"/>
  <c r="B346" i="22"/>
  <c r="B345" i="22"/>
  <c r="B344" i="22"/>
  <c r="B343" i="22"/>
  <c r="B342" i="22"/>
  <c r="B340" i="22"/>
  <c r="B339" i="22"/>
  <c r="B338" i="22"/>
  <c r="B337" i="22"/>
  <c r="B336" i="22"/>
  <c r="B335" i="22"/>
  <c r="B334" i="22"/>
  <c r="B333" i="22"/>
  <c r="B332" i="22"/>
  <c r="B331" i="22"/>
  <c r="B329" i="22"/>
  <c r="D327" i="22"/>
  <c r="L37" i="14" s="1"/>
  <c r="B327" i="22"/>
  <c r="B326" i="22"/>
  <c r="B324" i="22"/>
  <c r="D322" i="22"/>
  <c r="L32" i="14" s="1"/>
  <c r="B322" i="22"/>
  <c r="B321" i="22"/>
  <c r="D320" i="22"/>
  <c r="L30" i="14" s="1"/>
  <c r="B320" i="22"/>
  <c r="B318" i="22"/>
  <c r="D317" i="22"/>
  <c r="L27" i="14" s="1"/>
  <c r="B317" i="22"/>
  <c r="B316" i="22"/>
  <c r="D315" i="22"/>
  <c r="L25" i="14" s="1"/>
  <c r="B315" i="22"/>
  <c r="B313" i="22"/>
  <c r="D311" i="22"/>
  <c r="L21" i="14" s="1"/>
  <c r="B311" i="22"/>
  <c r="D310" i="22"/>
  <c r="L20" i="14" s="1"/>
  <c r="B310" i="22"/>
  <c r="D309" i="22"/>
  <c r="L19" i="14" s="1"/>
  <c r="B309" i="22"/>
  <c r="D308" i="22"/>
  <c r="L18" i="14" s="1"/>
  <c r="B308" i="22"/>
  <c r="B306" i="22"/>
  <c r="L15" i="14"/>
  <c r="B305" i="22"/>
  <c r="B303" i="22"/>
  <c r="B302" i="22"/>
  <c r="D301" i="22"/>
  <c r="L11" i="14" s="1"/>
  <c r="B301" i="22"/>
  <c r="B300" i="22"/>
  <c r="B299" i="22"/>
  <c r="B298" i="22"/>
  <c r="B297" i="22"/>
  <c r="B296" i="22"/>
  <c r="D295" i="22"/>
  <c r="L5" i="14" s="1"/>
  <c r="B295" i="22"/>
  <c r="B294" i="22"/>
  <c r="L3" i="14"/>
  <c r="B293" i="22"/>
  <c r="B287" i="22"/>
  <c r="B286" i="22"/>
  <c r="B285" i="22"/>
  <c r="B284" i="22"/>
  <c r="B282" i="22"/>
  <c r="B281" i="22"/>
  <c r="B280" i="22"/>
  <c r="B279" i="22"/>
  <c r="B278" i="22"/>
  <c r="B277" i="22"/>
  <c r="B276" i="22"/>
  <c r="B275" i="22"/>
  <c r="B273" i="22"/>
  <c r="B272" i="22"/>
  <c r="B271" i="22"/>
  <c r="B270" i="22"/>
  <c r="B269" i="22"/>
  <c r="B268" i="22"/>
  <c r="B267" i="22"/>
  <c r="B266" i="22"/>
  <c r="B265" i="22"/>
  <c r="B264" i="22"/>
  <c r="B262" i="22"/>
  <c r="B261" i="22"/>
  <c r="B260" i="22"/>
  <c r="B259" i="22"/>
  <c r="B258" i="22"/>
  <c r="B257" i="22"/>
  <c r="B256" i="22"/>
  <c r="B255" i="22"/>
  <c r="B254" i="22"/>
  <c r="B253" i="22"/>
  <c r="B251" i="22"/>
  <c r="B249" i="22"/>
  <c r="B248" i="22"/>
  <c r="B246" i="22"/>
  <c r="D244" i="22"/>
  <c r="K32" i="14" s="1"/>
  <c r="B244" i="22"/>
  <c r="B243" i="22"/>
  <c r="D242" i="22"/>
  <c r="K30" i="14" s="1"/>
  <c r="B242" i="22"/>
  <c r="B240" i="22"/>
  <c r="D239" i="22"/>
  <c r="K27" i="14" s="1"/>
  <c r="B239" i="22"/>
  <c r="B238" i="22"/>
  <c r="D237" i="22"/>
  <c r="K25" i="14" s="1"/>
  <c r="B237" i="22"/>
  <c r="B235" i="22"/>
  <c r="D233" i="22"/>
  <c r="K21" i="14" s="1"/>
  <c r="B233" i="22"/>
  <c r="D232" i="22"/>
  <c r="K20" i="14" s="1"/>
  <c r="B232" i="22"/>
  <c r="D231" i="22"/>
  <c r="K19" i="14" s="1"/>
  <c r="B231" i="22"/>
  <c r="K18" i="14"/>
  <c r="B230" i="22"/>
  <c r="B228" i="22"/>
  <c r="D227" i="22"/>
  <c r="K15" i="14" s="1"/>
  <c r="B227" i="22"/>
  <c r="B225" i="22"/>
  <c r="B224" i="22"/>
  <c r="B223" i="22"/>
  <c r="D222" i="22"/>
  <c r="K10" i="14" s="1"/>
  <c r="B222" i="22"/>
  <c r="B221" i="22"/>
  <c r="B220" i="22"/>
  <c r="B219" i="22"/>
  <c r="B218" i="22"/>
  <c r="D217" i="22"/>
  <c r="K5" i="14" s="1"/>
  <c r="B217" i="22"/>
  <c r="D216" i="22"/>
  <c r="K4" i="14" s="1"/>
  <c r="B216" i="22"/>
  <c r="D215" i="22"/>
  <c r="K3" i="14" s="1"/>
  <c r="B215" i="22"/>
  <c r="D203" i="22"/>
  <c r="C203" i="22"/>
  <c r="B203" i="22"/>
  <c r="D202" i="22"/>
  <c r="C202" i="22"/>
  <c r="B202" i="22"/>
  <c r="D201" i="22"/>
  <c r="C201" i="22"/>
  <c r="B201" i="22"/>
  <c r="D199" i="22"/>
  <c r="C199" i="22"/>
  <c r="B199" i="22"/>
  <c r="D198" i="22"/>
  <c r="C198" i="22"/>
  <c r="B198" i="22"/>
  <c r="D197" i="22"/>
  <c r="C197" i="22"/>
  <c r="B197" i="22"/>
  <c r="D196" i="22"/>
  <c r="C196" i="22"/>
  <c r="B196" i="22"/>
  <c r="D195" i="22"/>
  <c r="C195" i="22"/>
  <c r="B195" i="22"/>
  <c r="D194" i="22"/>
  <c r="C194" i="22"/>
  <c r="B194" i="22"/>
  <c r="D193" i="22"/>
  <c r="C193" i="22"/>
  <c r="B193" i="22"/>
  <c r="D192" i="22"/>
  <c r="C192" i="22"/>
  <c r="B192" i="22"/>
  <c r="D190" i="22"/>
  <c r="C190" i="22"/>
  <c r="B190" i="22"/>
  <c r="D189" i="22"/>
  <c r="C189" i="22"/>
  <c r="B189" i="22"/>
  <c r="D188" i="22"/>
  <c r="C188" i="22"/>
  <c r="B188" i="22"/>
  <c r="D187" i="22"/>
  <c r="C187" i="22"/>
  <c r="B187" i="22"/>
  <c r="D186" i="22"/>
  <c r="C186" i="22"/>
  <c r="B186" i="22"/>
  <c r="D185" i="22"/>
  <c r="C185" i="22"/>
  <c r="B185" i="22"/>
  <c r="D184" i="22"/>
  <c r="C184" i="22"/>
  <c r="B184" i="22"/>
  <c r="D183" i="22"/>
  <c r="C183" i="22"/>
  <c r="B183" i="22"/>
  <c r="D181" i="22"/>
  <c r="C181" i="22"/>
  <c r="B181" i="22"/>
  <c r="D180" i="22"/>
  <c r="C180" i="22"/>
  <c r="B180" i="22"/>
  <c r="D179" i="22"/>
  <c r="C179" i="22"/>
  <c r="B179" i="22"/>
  <c r="D178" i="22"/>
  <c r="C178" i="22"/>
  <c r="B178" i="22"/>
  <c r="D177" i="22"/>
  <c r="C177" i="22"/>
  <c r="B177" i="22"/>
  <c r="D176" i="22"/>
  <c r="C176" i="22"/>
  <c r="B176" i="22"/>
  <c r="D175" i="22"/>
  <c r="C175" i="22"/>
  <c r="B175" i="22"/>
  <c r="D174" i="22"/>
  <c r="C174" i="22"/>
  <c r="B174" i="22"/>
  <c r="D173" i="22"/>
  <c r="C173" i="22"/>
  <c r="B173" i="22"/>
  <c r="D172" i="22"/>
  <c r="C172" i="22"/>
  <c r="B172" i="22"/>
  <c r="D170" i="22"/>
  <c r="C170" i="22"/>
  <c r="B170" i="22"/>
  <c r="D169" i="22"/>
  <c r="C169" i="22"/>
  <c r="B169" i="22"/>
  <c r="D168" i="22"/>
  <c r="C168" i="22"/>
  <c r="B168" i="22"/>
  <c r="D167" i="22"/>
  <c r="C167" i="22"/>
  <c r="B167" i="22"/>
  <c r="D166" i="22"/>
  <c r="C166" i="22"/>
  <c r="B166" i="22"/>
  <c r="D165" i="22"/>
  <c r="C165" i="22"/>
  <c r="B165" i="22"/>
  <c r="D164" i="22"/>
  <c r="C164" i="22"/>
  <c r="B164" i="22"/>
  <c r="D163" i="22"/>
  <c r="C163" i="22"/>
  <c r="B163" i="22"/>
  <c r="D162" i="22"/>
  <c r="C162" i="22"/>
  <c r="B162" i="22"/>
  <c r="D161" i="22"/>
  <c r="C161" i="22"/>
  <c r="B161" i="22"/>
  <c r="D160" i="22"/>
  <c r="C160" i="22"/>
  <c r="B160" i="22"/>
  <c r="D159" i="22"/>
  <c r="C159" i="22"/>
  <c r="B159" i="22"/>
  <c r="D158" i="22"/>
  <c r="C158" i="22"/>
  <c r="B158" i="22"/>
  <c r="D157" i="22"/>
  <c r="C157" i="22"/>
  <c r="B157" i="22"/>
  <c r="D156" i="22"/>
  <c r="C156" i="22"/>
  <c r="B156" i="22"/>
  <c r="E154" i="22"/>
  <c r="D154" i="22"/>
  <c r="C154" i="22"/>
  <c r="B154" i="22"/>
  <c r="E153" i="22"/>
  <c r="D153" i="22"/>
  <c r="C153" i="22"/>
  <c r="B153" i="22"/>
  <c r="D151" i="22"/>
  <c r="C151" i="22"/>
  <c r="B151" i="22"/>
  <c r="D150" i="22"/>
  <c r="C150" i="22"/>
  <c r="B150" i="22"/>
  <c r="D149" i="22"/>
  <c r="C149" i="22"/>
  <c r="B149" i="22"/>
  <c r="D147" i="22"/>
  <c r="C147" i="22"/>
  <c r="B147" i="22"/>
  <c r="D146" i="22"/>
  <c r="C146" i="22"/>
  <c r="B146" i="22"/>
  <c r="D145" i="22"/>
  <c r="C145" i="22"/>
  <c r="B145" i="22"/>
  <c r="E143" i="22"/>
  <c r="D143" i="22"/>
  <c r="C143" i="22"/>
  <c r="B143" i="22"/>
  <c r="D141" i="22"/>
  <c r="C141" i="22"/>
  <c r="B141" i="22"/>
  <c r="D140" i="22"/>
  <c r="C140" i="22"/>
  <c r="B140" i="22"/>
  <c r="D139" i="22"/>
  <c r="C139" i="22"/>
  <c r="B139" i="22"/>
  <c r="D137" i="22"/>
  <c r="C137" i="22"/>
  <c r="B137" i="22"/>
  <c r="F135" i="22"/>
  <c r="E135" i="22"/>
  <c r="D135" i="22"/>
  <c r="C135" i="22"/>
  <c r="B135" i="22"/>
  <c r="E133" i="22"/>
  <c r="D133" i="22"/>
  <c r="C133" i="22"/>
  <c r="B133" i="22"/>
  <c r="F132" i="22"/>
  <c r="E132" i="22"/>
  <c r="D132" i="22"/>
  <c r="C132" i="22"/>
  <c r="B132" i="22"/>
  <c r="F131" i="22"/>
  <c r="E131" i="22"/>
  <c r="D131" i="22"/>
  <c r="C131" i="22"/>
  <c r="B131" i="22"/>
  <c r="D130" i="22"/>
  <c r="C130" i="22"/>
  <c r="B130" i="22"/>
  <c r="D128" i="22"/>
  <c r="C128" i="22"/>
  <c r="B128" i="22"/>
  <c r="D127" i="22"/>
  <c r="C127" i="22"/>
  <c r="B127" i="22"/>
  <c r="D126" i="22"/>
  <c r="C126" i="22"/>
  <c r="B126" i="22"/>
  <c r="F125" i="22"/>
  <c r="D125" i="22"/>
  <c r="C125" i="22"/>
  <c r="B125" i="22"/>
  <c r="E123" i="22"/>
  <c r="D123" i="22"/>
  <c r="C123" i="22"/>
  <c r="B123" i="22"/>
  <c r="E122" i="22"/>
  <c r="D122" i="22"/>
  <c r="C122" i="22"/>
  <c r="B122" i="22"/>
  <c r="D121" i="22"/>
  <c r="C121" i="22"/>
  <c r="B121" i="22"/>
  <c r="D119" i="22"/>
  <c r="C119" i="22"/>
  <c r="B119" i="22"/>
  <c r="D118" i="22"/>
  <c r="C118" i="22"/>
  <c r="B118" i="22"/>
  <c r="D117" i="22"/>
  <c r="C117" i="22"/>
  <c r="B117" i="22"/>
  <c r="L4" i="14"/>
  <c r="D115" i="22"/>
  <c r="C115" i="22"/>
  <c r="B115" i="22"/>
  <c r="D114" i="22"/>
  <c r="C114" i="22"/>
  <c r="B114" i="22"/>
  <c r="F156" i="22"/>
  <c r="E156" i="22"/>
  <c r="C67" i="22"/>
  <c r="H172" i="22" s="1"/>
  <c r="F143" i="22"/>
  <c r="L46" i="21"/>
  <c r="E28" i="21" s="1"/>
  <c r="L47" i="21"/>
  <c r="L45" i="21"/>
  <c r="H22" i="21"/>
  <c r="E37" i="21"/>
  <c r="E32" i="21"/>
  <c r="H21" i="21"/>
  <c r="E29" i="21"/>
  <c r="P22" i="21" s="1"/>
  <c r="P23" i="21" s="1"/>
  <c r="H179" i="22" l="1"/>
  <c r="D271" i="22" s="1"/>
  <c r="K59" i="14" s="1"/>
  <c r="C59" i="14" s="1"/>
  <c r="I179" i="22"/>
  <c r="D349" i="22" s="1"/>
  <c r="L59" i="14" s="1"/>
  <c r="D59" i="14" s="1"/>
  <c r="C89" i="22"/>
  <c r="E114" i="22"/>
  <c r="D264" i="22"/>
  <c r="K52" i="14" s="1"/>
  <c r="F194" i="22"/>
  <c r="C102" i="22"/>
  <c r="F130" i="22"/>
  <c r="L41" i="21"/>
  <c r="C160" i="21"/>
  <c r="P24" i="21"/>
  <c r="L48" i="21"/>
  <c r="F150" i="22"/>
  <c r="C103" i="22"/>
  <c r="F185" i="22"/>
  <c r="F140" i="22"/>
  <c r="F141" i="22"/>
  <c r="F172" i="22"/>
  <c r="E157" i="22"/>
  <c r="C76" i="22"/>
  <c r="I172" i="22" s="1"/>
  <c r="F117" i="22"/>
  <c r="E121" i="22"/>
  <c r="C209" i="22"/>
  <c r="C208" i="22"/>
  <c r="C88" i="22"/>
  <c r="C92" i="22" s="1"/>
  <c r="F128" i="22"/>
  <c r="F179" i="22" l="1"/>
  <c r="C107" i="22"/>
  <c r="F114" i="22"/>
  <c r="D342" i="22"/>
  <c r="L52" i="14" s="1"/>
  <c r="E179" i="22"/>
  <c r="C93" i="22"/>
  <c r="F154" i="22"/>
  <c r="C96" i="22"/>
  <c r="C104" i="22"/>
  <c r="C108" i="22" s="1"/>
  <c r="F133" i="22"/>
  <c r="F149" i="22"/>
  <c r="F118" i="22"/>
  <c r="E172" i="22"/>
  <c r="F121" i="22"/>
  <c r="F203" i="22" l="1"/>
  <c r="E203" i="22"/>
  <c r="F175" i="22"/>
  <c r="F201" i="22"/>
  <c r="C98" i="22"/>
  <c r="F122" i="22"/>
  <c r="F119" i="22"/>
  <c r="F153" i="22"/>
  <c r="D208" i="22" l="1"/>
  <c r="F184" i="22"/>
  <c r="D209" i="22"/>
  <c r="F123" i="22"/>
  <c r="F193" i="22" l="1"/>
  <c r="F202" i="22" l="1"/>
  <c r="J29" i="21" l="1"/>
  <c r="P21" i="21" s="1"/>
  <c r="P26" i="21" s="1"/>
  <c r="J28" i="21"/>
  <c r="E23" i="21"/>
  <c r="F203" i="21" s="1"/>
  <c r="N38" i="13" s="1"/>
  <c r="E24" i="21"/>
  <c r="B419" i="21"/>
  <c r="B418" i="21"/>
  <c r="B417" i="21"/>
  <c r="B416" i="21"/>
  <c r="B414" i="21"/>
  <c r="B413" i="21"/>
  <c r="B412" i="21"/>
  <c r="B411" i="21"/>
  <c r="B410" i="21"/>
  <c r="B409" i="21"/>
  <c r="B408" i="21"/>
  <c r="B407" i="21"/>
  <c r="B405" i="21"/>
  <c r="B404" i="21"/>
  <c r="B403" i="21"/>
  <c r="B402" i="21"/>
  <c r="B401" i="21"/>
  <c r="B400" i="21"/>
  <c r="B399" i="21"/>
  <c r="B398" i="21"/>
  <c r="B397" i="21"/>
  <c r="B396" i="21"/>
  <c r="B394" i="21"/>
  <c r="B393" i="21"/>
  <c r="B392" i="21"/>
  <c r="B391" i="21"/>
  <c r="B390" i="21"/>
  <c r="B389" i="21"/>
  <c r="B388" i="21"/>
  <c r="B387" i="21"/>
  <c r="B386" i="21"/>
  <c r="B385" i="21"/>
  <c r="B383" i="21"/>
  <c r="D381" i="21"/>
  <c r="H37" i="14" s="1"/>
  <c r="B381" i="21"/>
  <c r="B380" i="21"/>
  <c r="B378" i="21"/>
  <c r="D376" i="21"/>
  <c r="H32" i="14" s="1"/>
  <c r="B376" i="21"/>
  <c r="B375" i="21"/>
  <c r="D374" i="21"/>
  <c r="H30" i="14" s="1"/>
  <c r="B374" i="21"/>
  <c r="B372" i="21"/>
  <c r="D371" i="21"/>
  <c r="H27" i="14" s="1"/>
  <c r="B371" i="21"/>
  <c r="B370" i="21"/>
  <c r="D369" i="21"/>
  <c r="H25" i="14" s="1"/>
  <c r="B369" i="21"/>
  <c r="B367" i="21"/>
  <c r="D365" i="21"/>
  <c r="H21" i="14" s="1"/>
  <c r="B365" i="21"/>
  <c r="D364" i="21"/>
  <c r="H20" i="14" s="1"/>
  <c r="B364" i="21"/>
  <c r="H19" i="14"/>
  <c r="B363" i="21"/>
  <c r="D362" i="21"/>
  <c r="H18" i="14" s="1"/>
  <c r="B362" i="21"/>
  <c r="B360" i="21"/>
  <c r="H15" i="14"/>
  <c r="B359" i="21"/>
  <c r="B357" i="21"/>
  <c r="B356" i="21"/>
  <c r="D355" i="21"/>
  <c r="H11" i="14" s="1"/>
  <c r="B355" i="21"/>
  <c r="B354" i="21"/>
  <c r="B353" i="21"/>
  <c r="B352" i="21"/>
  <c r="B351" i="21"/>
  <c r="B350" i="21"/>
  <c r="B349" i="21"/>
  <c r="B348" i="21"/>
  <c r="H3" i="14"/>
  <c r="B347" i="21"/>
  <c r="B341" i="21"/>
  <c r="B340" i="21"/>
  <c r="B339" i="21"/>
  <c r="B338" i="21"/>
  <c r="B336" i="21"/>
  <c r="B335" i="21"/>
  <c r="B334" i="21"/>
  <c r="B333" i="21"/>
  <c r="B332" i="21"/>
  <c r="B331" i="21"/>
  <c r="B330" i="21"/>
  <c r="B329" i="21"/>
  <c r="B327" i="21"/>
  <c r="B326" i="21"/>
  <c r="B325" i="21"/>
  <c r="B324" i="21"/>
  <c r="B323" i="21"/>
  <c r="B322" i="21"/>
  <c r="B321" i="21"/>
  <c r="B320" i="21"/>
  <c r="B319" i="21"/>
  <c r="B318" i="21"/>
  <c r="B316" i="21"/>
  <c r="B315" i="21"/>
  <c r="B314" i="21"/>
  <c r="B313" i="21"/>
  <c r="B312" i="21"/>
  <c r="B311" i="21"/>
  <c r="B310" i="21"/>
  <c r="B309" i="21"/>
  <c r="B308" i="21"/>
  <c r="B307" i="21"/>
  <c r="B305" i="21"/>
  <c r="B303" i="21"/>
  <c r="B302" i="21"/>
  <c r="B300" i="21"/>
  <c r="D298" i="21"/>
  <c r="G32" i="14" s="1"/>
  <c r="B298" i="21"/>
  <c r="B297" i="21"/>
  <c r="D296" i="21"/>
  <c r="G30" i="14" s="1"/>
  <c r="B296" i="21"/>
  <c r="B294" i="21"/>
  <c r="D293" i="21"/>
  <c r="G27" i="14" s="1"/>
  <c r="B293" i="21"/>
  <c r="B292" i="21"/>
  <c r="D291" i="21"/>
  <c r="G25" i="14" s="1"/>
  <c r="B291" i="21"/>
  <c r="B289" i="21"/>
  <c r="D287" i="21"/>
  <c r="G21" i="14" s="1"/>
  <c r="B287" i="21"/>
  <c r="D286" i="21"/>
  <c r="G20" i="14" s="1"/>
  <c r="B286" i="21"/>
  <c r="D285" i="21"/>
  <c r="G19" i="14" s="1"/>
  <c r="B285" i="21"/>
  <c r="G18" i="14"/>
  <c r="B284" i="21"/>
  <c r="B282" i="21"/>
  <c r="G15" i="14"/>
  <c r="B281" i="21"/>
  <c r="B279" i="21"/>
  <c r="B278" i="21"/>
  <c r="B277" i="21"/>
  <c r="G10" i="14"/>
  <c r="B276" i="21"/>
  <c r="B275" i="21"/>
  <c r="B274" i="21"/>
  <c r="B273" i="21"/>
  <c r="B272" i="21"/>
  <c r="B271" i="21"/>
  <c r="G4" i="14"/>
  <c r="B270" i="21"/>
  <c r="G3" i="14"/>
  <c r="B269" i="21"/>
  <c r="D257" i="21"/>
  <c r="C257" i="21"/>
  <c r="B257" i="21"/>
  <c r="D256" i="21"/>
  <c r="C256" i="21"/>
  <c r="B256" i="21"/>
  <c r="D255" i="21"/>
  <c r="C255" i="21"/>
  <c r="B255" i="21"/>
  <c r="D253" i="21"/>
  <c r="C253" i="21"/>
  <c r="B253" i="21"/>
  <c r="D252" i="21"/>
  <c r="C252" i="21"/>
  <c r="B252" i="21"/>
  <c r="D251" i="21"/>
  <c r="C251" i="21"/>
  <c r="B251" i="21"/>
  <c r="D250" i="21"/>
  <c r="C250" i="21"/>
  <c r="B250" i="21"/>
  <c r="D249" i="21"/>
  <c r="C249" i="21"/>
  <c r="B249" i="21"/>
  <c r="E248" i="21"/>
  <c r="M83" i="13" s="1"/>
  <c r="I83" i="13" s="1"/>
  <c r="D248" i="21"/>
  <c r="C248" i="21"/>
  <c r="B248" i="21"/>
  <c r="D247" i="21"/>
  <c r="C247" i="21"/>
  <c r="B247" i="21"/>
  <c r="D246" i="21"/>
  <c r="C246" i="21"/>
  <c r="B246" i="21"/>
  <c r="D244" i="21"/>
  <c r="C244" i="21"/>
  <c r="B244" i="21"/>
  <c r="D243" i="21"/>
  <c r="C243" i="21"/>
  <c r="B243" i="21"/>
  <c r="D242" i="21"/>
  <c r="C242" i="21"/>
  <c r="B242" i="21"/>
  <c r="D241" i="21"/>
  <c r="C241" i="21"/>
  <c r="B241" i="21"/>
  <c r="D240" i="21"/>
  <c r="C240" i="21"/>
  <c r="B240" i="21"/>
  <c r="E239" i="21"/>
  <c r="M74" i="13" s="1"/>
  <c r="I74" i="13" s="1"/>
  <c r="D239" i="21"/>
  <c r="C239" i="21"/>
  <c r="B239" i="21"/>
  <c r="D238" i="21"/>
  <c r="C238" i="21"/>
  <c r="B238" i="21"/>
  <c r="D237" i="21"/>
  <c r="C237" i="21"/>
  <c r="B237" i="21"/>
  <c r="D235" i="21"/>
  <c r="C235" i="21"/>
  <c r="B235" i="21"/>
  <c r="D234" i="21"/>
  <c r="C234" i="21"/>
  <c r="B234" i="21"/>
  <c r="D233" i="21"/>
  <c r="C233" i="21"/>
  <c r="B233" i="21"/>
  <c r="D232" i="21"/>
  <c r="C232" i="21"/>
  <c r="B232" i="21"/>
  <c r="D231" i="21"/>
  <c r="C231" i="21"/>
  <c r="B231" i="21"/>
  <c r="D230" i="21"/>
  <c r="C230" i="21"/>
  <c r="B230" i="21"/>
  <c r="D229" i="21"/>
  <c r="C229" i="21"/>
  <c r="B229" i="21"/>
  <c r="D228" i="21"/>
  <c r="C228" i="21"/>
  <c r="B228" i="21"/>
  <c r="D227" i="21"/>
  <c r="C227" i="21"/>
  <c r="B227" i="21"/>
  <c r="D226" i="21"/>
  <c r="C226" i="21"/>
  <c r="B226" i="21"/>
  <c r="D224" i="21"/>
  <c r="C224" i="21"/>
  <c r="B224" i="21"/>
  <c r="D223" i="21"/>
  <c r="C223" i="21"/>
  <c r="B223" i="21"/>
  <c r="D222" i="21"/>
  <c r="C222" i="21"/>
  <c r="B222" i="21"/>
  <c r="D221" i="21"/>
  <c r="C221" i="21"/>
  <c r="B221" i="21"/>
  <c r="D220" i="21"/>
  <c r="C220" i="21"/>
  <c r="B220" i="21"/>
  <c r="D219" i="21"/>
  <c r="C219" i="21"/>
  <c r="B219" i="21"/>
  <c r="D218" i="21"/>
  <c r="C218" i="21"/>
  <c r="B218" i="21"/>
  <c r="D217" i="21"/>
  <c r="C217" i="21"/>
  <c r="B217" i="21"/>
  <c r="D216" i="21"/>
  <c r="C216" i="21"/>
  <c r="B216" i="21"/>
  <c r="D215" i="21"/>
  <c r="C215" i="21"/>
  <c r="B215" i="21"/>
  <c r="D214" i="21"/>
  <c r="C214" i="21"/>
  <c r="B214" i="21"/>
  <c r="D213" i="21"/>
  <c r="C213" i="21"/>
  <c r="B213" i="21"/>
  <c r="D212" i="21"/>
  <c r="C212" i="21"/>
  <c r="B212" i="21"/>
  <c r="D211" i="21"/>
  <c r="C211" i="21"/>
  <c r="B211" i="21"/>
  <c r="D210" i="21"/>
  <c r="C210" i="21"/>
  <c r="B210" i="21"/>
  <c r="D208" i="21"/>
  <c r="C208" i="21"/>
  <c r="B208" i="21"/>
  <c r="E207" i="21"/>
  <c r="M42" i="13" s="1"/>
  <c r="D207" i="21"/>
  <c r="C207" i="21"/>
  <c r="B207" i="21"/>
  <c r="D205" i="21"/>
  <c r="C205" i="21"/>
  <c r="B205" i="21"/>
  <c r="D204" i="21"/>
  <c r="C204" i="21"/>
  <c r="B204" i="21"/>
  <c r="D203" i="21"/>
  <c r="C203" i="21"/>
  <c r="B203" i="21"/>
  <c r="D201" i="21"/>
  <c r="C201" i="21"/>
  <c r="B201" i="21"/>
  <c r="D200" i="21"/>
  <c r="C200" i="21"/>
  <c r="B200" i="21"/>
  <c r="D199" i="21"/>
  <c r="C199" i="21"/>
  <c r="B199" i="21"/>
  <c r="E197" i="21"/>
  <c r="M32" i="13" s="1"/>
  <c r="D197" i="21"/>
  <c r="C197" i="21"/>
  <c r="B197" i="21"/>
  <c r="D195" i="21"/>
  <c r="C195" i="21"/>
  <c r="B195" i="21"/>
  <c r="D194" i="21"/>
  <c r="C194" i="21"/>
  <c r="B194" i="21"/>
  <c r="D193" i="21"/>
  <c r="C193" i="21"/>
  <c r="B193" i="21"/>
  <c r="D191" i="21"/>
  <c r="C191" i="21"/>
  <c r="B191" i="21"/>
  <c r="E189" i="21"/>
  <c r="M24" i="13" s="1"/>
  <c r="D189" i="21"/>
  <c r="C189" i="21"/>
  <c r="B189" i="21"/>
  <c r="E187" i="21"/>
  <c r="M22" i="13" s="1"/>
  <c r="D187" i="21"/>
  <c r="C187" i="21"/>
  <c r="B187" i="21"/>
  <c r="F186" i="21"/>
  <c r="N21" i="13" s="1"/>
  <c r="E186" i="21"/>
  <c r="M21" i="13" s="1"/>
  <c r="D186" i="21"/>
  <c r="C186" i="21"/>
  <c r="B186" i="21"/>
  <c r="F185" i="21"/>
  <c r="N20" i="13" s="1"/>
  <c r="E185" i="21"/>
  <c r="M20" i="13" s="1"/>
  <c r="D185" i="21"/>
  <c r="C185" i="21"/>
  <c r="B185" i="21"/>
  <c r="D184" i="21"/>
  <c r="C184" i="21"/>
  <c r="B184" i="21"/>
  <c r="D182" i="21"/>
  <c r="C182" i="21"/>
  <c r="B182" i="21"/>
  <c r="D181" i="21"/>
  <c r="C181" i="21"/>
  <c r="B181" i="21"/>
  <c r="D180" i="21"/>
  <c r="C180" i="21"/>
  <c r="B180" i="21"/>
  <c r="D179" i="21"/>
  <c r="C179" i="21"/>
  <c r="B179" i="21"/>
  <c r="E177" i="21"/>
  <c r="M12" i="13" s="1"/>
  <c r="D177" i="21"/>
  <c r="C177" i="21"/>
  <c r="B177" i="21"/>
  <c r="E176" i="21"/>
  <c r="M11" i="13" s="1"/>
  <c r="D176" i="21"/>
  <c r="C176" i="21"/>
  <c r="B176" i="21"/>
  <c r="D175" i="21"/>
  <c r="C175" i="21"/>
  <c r="B175" i="21"/>
  <c r="D173" i="21"/>
  <c r="C173" i="21"/>
  <c r="B173" i="21"/>
  <c r="D172" i="21"/>
  <c r="C172" i="21"/>
  <c r="B172" i="21"/>
  <c r="D171" i="21"/>
  <c r="C171" i="21"/>
  <c r="B171" i="21"/>
  <c r="H4" i="14"/>
  <c r="D169" i="21"/>
  <c r="C169" i="21"/>
  <c r="B169" i="21"/>
  <c r="D168" i="21"/>
  <c r="C168" i="21"/>
  <c r="B168" i="21"/>
  <c r="E227" i="21"/>
  <c r="M62" i="13" s="1"/>
  <c r="I62" i="13" s="1"/>
  <c r="F169" i="21"/>
  <c r="N4" i="13" s="1"/>
  <c r="J4" i="13" s="1"/>
  <c r="F197" i="21"/>
  <c r="N32" i="13" s="1"/>
  <c r="F201" i="21"/>
  <c r="N36" i="13" s="1"/>
  <c r="F189" i="21"/>
  <c r="N24" i="13" s="1"/>
  <c r="E31" i="21"/>
  <c r="F172" i="21"/>
  <c r="N7" i="13" s="1"/>
  <c r="F178" i="11"/>
  <c r="P76" i="13" s="1"/>
  <c r="J76" i="13" s="1"/>
  <c r="E169" i="11"/>
  <c r="O67" i="13" s="1"/>
  <c r="I67" i="13" s="1"/>
  <c r="C97" i="11"/>
  <c r="F169" i="11" s="1"/>
  <c r="P67" i="13" s="1"/>
  <c r="J67" i="13" s="1"/>
  <c r="I10" i="14"/>
  <c r="D286" i="11"/>
  <c r="D206" i="11"/>
  <c r="I3" i="14" s="1"/>
  <c r="B56" i="14"/>
  <c r="B57" i="14"/>
  <c r="B58" i="14"/>
  <c r="B59" i="14"/>
  <c r="B60" i="14"/>
  <c r="B61" i="14"/>
  <c r="B63" i="14"/>
  <c r="B64" i="14"/>
  <c r="B65" i="14"/>
  <c r="B66" i="14"/>
  <c r="B67" i="14"/>
  <c r="B68" i="14"/>
  <c r="B69" i="14"/>
  <c r="B70" i="14"/>
  <c r="B72" i="14"/>
  <c r="B73" i="14"/>
  <c r="B74" i="14"/>
  <c r="B75" i="14"/>
  <c r="E35" i="11"/>
  <c r="E36" i="11"/>
  <c r="E194" i="21" l="1"/>
  <c r="M29" i="13" s="1"/>
  <c r="I29" i="13" s="1"/>
  <c r="E169" i="21"/>
  <c r="M4" i="13" s="1"/>
  <c r="I4" i="13" s="1"/>
  <c r="D319" i="21"/>
  <c r="G53" i="14" s="1"/>
  <c r="C53" i="14" s="1"/>
  <c r="F187" i="11"/>
  <c r="P85" i="13" s="1"/>
  <c r="J85" i="13" s="1"/>
  <c r="J5" i="14"/>
  <c r="D5" i="14" s="1"/>
  <c r="E175" i="21"/>
  <c r="M10" i="13" s="1"/>
  <c r="E179" i="21"/>
  <c r="M14" i="13" s="1"/>
  <c r="I14" i="13" s="1"/>
  <c r="E200" i="21"/>
  <c r="M35" i="13" s="1"/>
  <c r="I35" i="13" s="1"/>
  <c r="E256" i="21"/>
  <c r="M91" i="13" s="1"/>
  <c r="I91" i="13" s="1"/>
  <c r="F176" i="21"/>
  <c r="N11" i="13" s="1"/>
  <c r="I39" i="21"/>
  <c r="K24" i="21"/>
  <c r="I5" i="14"/>
  <c r="C5" i="14" s="1"/>
  <c r="C157" i="21"/>
  <c r="F227" i="21" s="1"/>
  <c r="N62" i="13" s="1"/>
  <c r="J62" i="13" s="1"/>
  <c r="F195" i="21"/>
  <c r="N30" i="13" s="1"/>
  <c r="F171" i="21"/>
  <c r="N6" i="13" s="1"/>
  <c r="E184" i="21"/>
  <c r="M19" i="13" s="1"/>
  <c r="I19" i="13" s="1"/>
  <c r="E255" i="21"/>
  <c r="M90" i="13" s="1"/>
  <c r="I90" i="13" s="1"/>
  <c r="E37" i="11"/>
  <c r="F128" i="11" s="1"/>
  <c r="P26" i="13" s="1"/>
  <c r="F177" i="11"/>
  <c r="P75" i="13" s="1"/>
  <c r="J75" i="13" s="1"/>
  <c r="E40" i="11"/>
  <c r="D40" i="11"/>
  <c r="D41" i="11" s="1"/>
  <c r="C83" i="11" s="1"/>
  <c r="E44" i="11"/>
  <c r="D44" i="11"/>
  <c r="K168" i="11" s="1"/>
  <c r="E34" i="11"/>
  <c r="E24" i="11"/>
  <c r="E25" i="11"/>
  <c r="D25" i="11"/>
  <c r="B416" i="18"/>
  <c r="B415" i="18"/>
  <c r="B414" i="18"/>
  <c r="B413" i="18"/>
  <c r="B411" i="18"/>
  <c r="B410" i="18"/>
  <c r="B409" i="18"/>
  <c r="B408" i="18"/>
  <c r="B407" i="18"/>
  <c r="B406" i="18"/>
  <c r="B405" i="18"/>
  <c r="B404" i="18"/>
  <c r="B402" i="18"/>
  <c r="B401" i="18"/>
  <c r="B400" i="18"/>
  <c r="B399" i="18"/>
  <c r="B398" i="18"/>
  <c r="B397" i="18"/>
  <c r="B396" i="18"/>
  <c r="B395" i="18"/>
  <c r="B394" i="18"/>
  <c r="B393" i="18"/>
  <c r="B391" i="18"/>
  <c r="B390" i="18"/>
  <c r="B389" i="18"/>
  <c r="B388" i="18"/>
  <c r="B387" i="18"/>
  <c r="B386" i="18"/>
  <c r="B385" i="18"/>
  <c r="B384" i="18"/>
  <c r="B383" i="18"/>
  <c r="B382" i="18"/>
  <c r="B380" i="18"/>
  <c r="D378" i="18"/>
  <c r="F37" i="14" s="1"/>
  <c r="B378" i="18"/>
  <c r="B377" i="18"/>
  <c r="B375" i="18"/>
  <c r="D373" i="18"/>
  <c r="F32" i="14" s="1"/>
  <c r="B373" i="18"/>
  <c r="B372" i="18"/>
  <c r="F30" i="14"/>
  <c r="B371" i="18"/>
  <c r="B369" i="18"/>
  <c r="D368" i="18"/>
  <c r="F27" i="14" s="1"/>
  <c r="B368" i="18"/>
  <c r="B367" i="18"/>
  <c r="D366" i="18"/>
  <c r="F25" i="14" s="1"/>
  <c r="B366" i="18"/>
  <c r="B364" i="18"/>
  <c r="D362" i="18"/>
  <c r="F21" i="14" s="1"/>
  <c r="B362" i="18"/>
  <c r="D361" i="18"/>
  <c r="F20" i="14" s="1"/>
  <c r="B361" i="18"/>
  <c r="D360" i="18"/>
  <c r="F19" i="14" s="1"/>
  <c r="B360" i="18"/>
  <c r="F18" i="14"/>
  <c r="B359" i="18"/>
  <c r="B357" i="18"/>
  <c r="F15" i="14"/>
  <c r="B356" i="18"/>
  <c r="B354" i="18"/>
  <c r="B353" i="18"/>
  <c r="D352" i="18"/>
  <c r="F11" i="14" s="1"/>
  <c r="B352" i="18"/>
  <c r="B351" i="18"/>
  <c r="B350" i="18"/>
  <c r="B349" i="18"/>
  <c r="B348" i="18"/>
  <c r="B347" i="18"/>
  <c r="B346" i="18"/>
  <c r="F3" i="14"/>
  <c r="B344" i="18"/>
  <c r="B338" i="18"/>
  <c r="B337" i="18"/>
  <c r="B336" i="18"/>
  <c r="B335" i="18"/>
  <c r="B333" i="18"/>
  <c r="B332" i="18"/>
  <c r="B331" i="18"/>
  <c r="B330" i="18"/>
  <c r="B329" i="18"/>
  <c r="B328" i="18"/>
  <c r="B327" i="18"/>
  <c r="B326" i="18"/>
  <c r="B324" i="18"/>
  <c r="B323" i="18"/>
  <c r="B322" i="18"/>
  <c r="B321" i="18"/>
  <c r="B320" i="18"/>
  <c r="B319" i="18"/>
  <c r="B318" i="18"/>
  <c r="B317" i="18"/>
  <c r="B316" i="18"/>
  <c r="B315" i="18"/>
  <c r="B313" i="18"/>
  <c r="B312" i="18"/>
  <c r="B311" i="18"/>
  <c r="B310" i="18"/>
  <c r="B309" i="18"/>
  <c r="B308" i="18"/>
  <c r="B307" i="18"/>
  <c r="B306" i="18"/>
  <c r="B305" i="18"/>
  <c r="B304" i="18"/>
  <c r="B302" i="18"/>
  <c r="B300" i="18"/>
  <c r="B299" i="18"/>
  <c r="B297" i="18"/>
  <c r="D295" i="18"/>
  <c r="E32" i="14" s="1"/>
  <c r="B295" i="18"/>
  <c r="B294" i="18"/>
  <c r="D293" i="18"/>
  <c r="E30" i="14" s="1"/>
  <c r="B293" i="18"/>
  <c r="B291" i="18"/>
  <c r="D290" i="18"/>
  <c r="E27" i="14" s="1"/>
  <c r="B290" i="18"/>
  <c r="B289" i="18"/>
  <c r="B288" i="18"/>
  <c r="B286" i="18"/>
  <c r="D284" i="18"/>
  <c r="E21" i="14" s="1"/>
  <c r="B284" i="18"/>
  <c r="D283" i="18"/>
  <c r="E20" i="14" s="1"/>
  <c r="B283" i="18"/>
  <c r="D282" i="18"/>
  <c r="E19" i="14" s="1"/>
  <c r="B282" i="18"/>
  <c r="D281" i="18"/>
  <c r="E18" i="14" s="1"/>
  <c r="B281" i="18"/>
  <c r="B279" i="18"/>
  <c r="E15" i="14"/>
  <c r="B278" i="18"/>
  <c r="B276" i="18"/>
  <c r="B275" i="18"/>
  <c r="B274" i="18"/>
  <c r="D273" i="18"/>
  <c r="E10" i="14" s="1"/>
  <c r="C10" i="14" s="1"/>
  <c r="B273" i="18"/>
  <c r="B272" i="18"/>
  <c r="B271" i="18"/>
  <c r="B270" i="18"/>
  <c r="B269" i="18"/>
  <c r="B268" i="18"/>
  <c r="E4" i="14"/>
  <c r="B267" i="18"/>
  <c r="E3" i="14"/>
  <c r="C3" i="14" s="1"/>
  <c r="B266" i="18"/>
  <c r="D254" i="18"/>
  <c r="C254" i="18"/>
  <c r="D253" i="18"/>
  <c r="C253" i="18"/>
  <c r="D252" i="18"/>
  <c r="C252" i="18"/>
  <c r="D250" i="18"/>
  <c r="C250" i="18"/>
  <c r="D249" i="18"/>
  <c r="C249" i="18"/>
  <c r="D248" i="18"/>
  <c r="C248" i="18"/>
  <c r="D247" i="18"/>
  <c r="C247" i="18"/>
  <c r="D246" i="18"/>
  <c r="C246" i="18"/>
  <c r="E245" i="18"/>
  <c r="D245" i="18"/>
  <c r="C245" i="18"/>
  <c r="D244" i="18"/>
  <c r="C244" i="18"/>
  <c r="D243" i="18"/>
  <c r="C243" i="18"/>
  <c r="D241" i="18"/>
  <c r="C241" i="18"/>
  <c r="D240" i="18"/>
  <c r="C240" i="18"/>
  <c r="D239" i="18"/>
  <c r="C239" i="18"/>
  <c r="D238" i="18"/>
  <c r="C238" i="18"/>
  <c r="D237" i="18"/>
  <c r="C237" i="18"/>
  <c r="E236" i="18"/>
  <c r="D236" i="18"/>
  <c r="C236" i="18"/>
  <c r="D235" i="18"/>
  <c r="C235" i="18"/>
  <c r="D234" i="18"/>
  <c r="C234" i="18"/>
  <c r="D232" i="18"/>
  <c r="C232" i="18"/>
  <c r="D231" i="18"/>
  <c r="C231" i="18"/>
  <c r="D230" i="18"/>
  <c r="C230" i="18"/>
  <c r="D229" i="18"/>
  <c r="C229" i="18"/>
  <c r="D228" i="18"/>
  <c r="C228" i="18"/>
  <c r="D227" i="18"/>
  <c r="C227" i="18"/>
  <c r="D226" i="18"/>
  <c r="C226" i="18"/>
  <c r="D225" i="18"/>
  <c r="C225" i="18"/>
  <c r="D224" i="18"/>
  <c r="C224" i="18"/>
  <c r="D223" i="18"/>
  <c r="C223" i="18"/>
  <c r="B223" i="18"/>
  <c r="D221" i="18"/>
  <c r="C221" i="18"/>
  <c r="B221" i="18"/>
  <c r="D220" i="18"/>
  <c r="C220" i="18"/>
  <c r="B220" i="18"/>
  <c r="D219" i="18"/>
  <c r="C219" i="18"/>
  <c r="B219" i="18"/>
  <c r="D218" i="18"/>
  <c r="C218" i="18"/>
  <c r="B218" i="18"/>
  <c r="D217" i="18"/>
  <c r="C217" i="18"/>
  <c r="B217" i="18"/>
  <c r="D216" i="18"/>
  <c r="C216" i="18"/>
  <c r="B216" i="18"/>
  <c r="D215" i="18"/>
  <c r="C215" i="18"/>
  <c r="B215" i="18"/>
  <c r="D214" i="18"/>
  <c r="C214" i="18"/>
  <c r="B214" i="18"/>
  <c r="D213" i="18"/>
  <c r="C213" i="18"/>
  <c r="B213" i="18"/>
  <c r="D212" i="18"/>
  <c r="C212" i="18"/>
  <c r="B212" i="18"/>
  <c r="D211" i="18"/>
  <c r="C211" i="18"/>
  <c r="B211" i="18"/>
  <c r="D210" i="18"/>
  <c r="C210" i="18"/>
  <c r="B210" i="18"/>
  <c r="D209" i="18"/>
  <c r="C209" i="18"/>
  <c r="B209" i="18"/>
  <c r="D208" i="18"/>
  <c r="C208" i="18"/>
  <c r="B208" i="18"/>
  <c r="D207" i="18"/>
  <c r="C207" i="18"/>
  <c r="B207" i="18"/>
  <c r="D205" i="18"/>
  <c r="C205" i="18"/>
  <c r="B205" i="18"/>
  <c r="E204" i="18"/>
  <c r="D204" i="18"/>
  <c r="C204" i="18"/>
  <c r="B204" i="18"/>
  <c r="D202" i="18"/>
  <c r="C202" i="18"/>
  <c r="B202" i="18"/>
  <c r="D201" i="18"/>
  <c r="C201" i="18"/>
  <c r="B201" i="18"/>
  <c r="D200" i="18"/>
  <c r="C200" i="18"/>
  <c r="B200" i="18"/>
  <c r="F198" i="18"/>
  <c r="D198" i="18"/>
  <c r="C198" i="18"/>
  <c r="B198" i="18"/>
  <c r="D197" i="18"/>
  <c r="C197" i="18"/>
  <c r="B197" i="18"/>
  <c r="D196" i="18"/>
  <c r="C196" i="18"/>
  <c r="B196" i="18"/>
  <c r="E194" i="18"/>
  <c r="D194" i="18"/>
  <c r="C194" i="18"/>
  <c r="B194" i="18"/>
  <c r="D192" i="18"/>
  <c r="C192" i="18"/>
  <c r="B192" i="18"/>
  <c r="D191" i="18"/>
  <c r="C191" i="18"/>
  <c r="B191" i="18"/>
  <c r="D190" i="18"/>
  <c r="C190" i="18"/>
  <c r="B190" i="18"/>
  <c r="D188" i="18"/>
  <c r="C188" i="18"/>
  <c r="B188" i="18"/>
  <c r="E186" i="18"/>
  <c r="D186" i="18"/>
  <c r="C186" i="18"/>
  <c r="B186" i="18"/>
  <c r="E184" i="18"/>
  <c r="D184" i="18"/>
  <c r="C184" i="18"/>
  <c r="B184" i="18"/>
  <c r="F183" i="18"/>
  <c r="E183" i="18"/>
  <c r="D183" i="18"/>
  <c r="C183" i="18"/>
  <c r="B183" i="18"/>
  <c r="F182" i="18"/>
  <c r="E182" i="18"/>
  <c r="D182" i="18"/>
  <c r="C182" i="18"/>
  <c r="B182" i="18"/>
  <c r="D181" i="18"/>
  <c r="C181" i="18"/>
  <c r="B181" i="18"/>
  <c r="D179" i="18"/>
  <c r="C179" i="18"/>
  <c r="B179" i="18"/>
  <c r="D178" i="18"/>
  <c r="C178" i="18"/>
  <c r="B178" i="18"/>
  <c r="D177" i="18"/>
  <c r="C177" i="18"/>
  <c r="B177" i="18"/>
  <c r="D176" i="18"/>
  <c r="C176" i="18"/>
  <c r="B176" i="18"/>
  <c r="E174" i="18"/>
  <c r="D174" i="18"/>
  <c r="C174" i="18"/>
  <c r="B174" i="18"/>
  <c r="E173" i="18"/>
  <c r="D173" i="18"/>
  <c r="C173" i="18"/>
  <c r="B173" i="18"/>
  <c r="D172" i="18"/>
  <c r="C172" i="18"/>
  <c r="B172" i="18"/>
  <c r="D170" i="18"/>
  <c r="C170" i="18"/>
  <c r="B170" i="18"/>
  <c r="D169" i="18"/>
  <c r="C169" i="18"/>
  <c r="B169" i="18"/>
  <c r="E168" i="18"/>
  <c r="D168" i="18"/>
  <c r="C168" i="18"/>
  <c r="B168" i="18"/>
  <c r="F4" i="14"/>
  <c r="D166" i="18"/>
  <c r="C166" i="18"/>
  <c r="B166" i="18"/>
  <c r="D165" i="18"/>
  <c r="C165" i="18"/>
  <c r="B165" i="18"/>
  <c r="C144" i="18"/>
  <c r="E224" i="18" s="1"/>
  <c r="C143" i="18"/>
  <c r="E223" i="18" s="1"/>
  <c r="C102" i="18"/>
  <c r="C88" i="18"/>
  <c r="C69" i="18"/>
  <c r="E166" i="18" s="1"/>
  <c r="C66" i="18"/>
  <c r="C65" i="18"/>
  <c r="C64" i="18"/>
  <c r="C63" i="18"/>
  <c r="F194" i="18"/>
  <c r="E41" i="18"/>
  <c r="E30" i="18"/>
  <c r="F186" i="18" s="1"/>
  <c r="D33" i="18"/>
  <c r="D24" i="18"/>
  <c r="B333" i="11"/>
  <c r="B334" i="11"/>
  <c r="B335" i="11"/>
  <c r="B336" i="11"/>
  <c r="B337" i="11"/>
  <c r="B338" i="11"/>
  <c r="B339" i="11"/>
  <c r="B340" i="11"/>
  <c r="B341" i="11"/>
  <c r="B342" i="11"/>
  <c r="B344" i="11"/>
  <c r="B345" i="11"/>
  <c r="B346" i="11"/>
  <c r="B347" i="11"/>
  <c r="B348" i="11"/>
  <c r="B349" i="11"/>
  <c r="B350" i="11"/>
  <c r="B351" i="11"/>
  <c r="B353" i="11"/>
  <c r="B354" i="11"/>
  <c r="B275" i="11"/>
  <c r="B251" i="11"/>
  <c r="B252" i="11"/>
  <c r="B253" i="11"/>
  <c r="B255" i="11"/>
  <c r="B256" i="11"/>
  <c r="B257" i="11"/>
  <c r="B258" i="11"/>
  <c r="B259" i="11"/>
  <c r="B260" i="11"/>
  <c r="B261" i="11"/>
  <c r="B262" i="11"/>
  <c r="B263" i="11"/>
  <c r="B264" i="11"/>
  <c r="B266" i="11"/>
  <c r="B267" i="11"/>
  <c r="B268" i="11"/>
  <c r="B269" i="11"/>
  <c r="B270" i="11"/>
  <c r="B271" i="11"/>
  <c r="B272" i="11"/>
  <c r="B273" i="11"/>
  <c r="B276" i="11"/>
  <c r="B277" i="11"/>
  <c r="B278" i="11"/>
  <c r="B356" i="11"/>
  <c r="B15" i="14"/>
  <c r="B16" i="14"/>
  <c r="B18" i="14"/>
  <c r="B19" i="14"/>
  <c r="B20" i="14"/>
  <c r="B21" i="14"/>
  <c r="B23" i="14"/>
  <c r="B25" i="14"/>
  <c r="B26" i="14"/>
  <c r="B4" i="14"/>
  <c r="B5" i="14"/>
  <c r="B6" i="14"/>
  <c r="B7" i="14"/>
  <c r="B8" i="14"/>
  <c r="B9" i="14"/>
  <c r="B10" i="14"/>
  <c r="B11" i="14"/>
  <c r="B12" i="14"/>
  <c r="B13" i="14"/>
  <c r="B3" i="14"/>
  <c r="B27" i="14"/>
  <c r="B28" i="14"/>
  <c r="B167" i="11"/>
  <c r="C167" i="11"/>
  <c r="D167" i="11"/>
  <c r="B168" i="11"/>
  <c r="C168" i="11"/>
  <c r="D168" i="11"/>
  <c r="B169" i="11"/>
  <c r="C169" i="11"/>
  <c r="D169" i="11"/>
  <c r="B170" i="11"/>
  <c r="C170" i="11"/>
  <c r="D170" i="11"/>
  <c r="B171" i="11"/>
  <c r="C171" i="11"/>
  <c r="D171" i="11"/>
  <c r="B172" i="11"/>
  <c r="C172" i="11"/>
  <c r="D172" i="11"/>
  <c r="B174" i="11"/>
  <c r="C174" i="11"/>
  <c r="D174" i="11"/>
  <c r="B175" i="11"/>
  <c r="C175" i="11"/>
  <c r="D175" i="11"/>
  <c r="B176" i="11"/>
  <c r="C176" i="11"/>
  <c r="D176" i="11"/>
  <c r="B177" i="11"/>
  <c r="C177" i="11"/>
  <c r="D177" i="11"/>
  <c r="B178" i="11"/>
  <c r="C178" i="11"/>
  <c r="D178" i="11"/>
  <c r="B179" i="11"/>
  <c r="C179" i="11"/>
  <c r="D179" i="11"/>
  <c r="B180" i="11"/>
  <c r="C180" i="11"/>
  <c r="D180" i="11"/>
  <c r="B181" i="11"/>
  <c r="C181" i="11"/>
  <c r="D181" i="11"/>
  <c r="B183" i="11"/>
  <c r="C183" i="11"/>
  <c r="D183" i="11"/>
  <c r="B184" i="11"/>
  <c r="C184" i="11"/>
  <c r="D184" i="11"/>
  <c r="B185" i="11"/>
  <c r="C185" i="11"/>
  <c r="D185" i="11"/>
  <c r="B186" i="11"/>
  <c r="C186" i="11"/>
  <c r="D186" i="11"/>
  <c r="B187" i="11"/>
  <c r="C187" i="11"/>
  <c r="D187" i="11"/>
  <c r="B188" i="11"/>
  <c r="C188" i="11"/>
  <c r="D188" i="11"/>
  <c r="B189" i="11"/>
  <c r="C189" i="11"/>
  <c r="D189" i="11"/>
  <c r="B190" i="11"/>
  <c r="C190" i="11"/>
  <c r="D190" i="11"/>
  <c r="B192" i="11"/>
  <c r="C192" i="11"/>
  <c r="D192" i="11"/>
  <c r="B193" i="11"/>
  <c r="C193" i="11"/>
  <c r="D193" i="11"/>
  <c r="B194" i="11"/>
  <c r="C194" i="11"/>
  <c r="D194" i="11"/>
  <c r="B163" i="11"/>
  <c r="C163" i="11"/>
  <c r="D163" i="11"/>
  <c r="B164" i="11"/>
  <c r="C164" i="11"/>
  <c r="D164" i="11"/>
  <c r="B165" i="11"/>
  <c r="C165" i="11"/>
  <c r="D165" i="11"/>
  <c r="B166" i="11"/>
  <c r="C166" i="11"/>
  <c r="D166" i="11"/>
  <c r="B355" i="11"/>
  <c r="B30" i="14"/>
  <c r="B32" i="14"/>
  <c r="B34" i="14"/>
  <c r="B37" i="14"/>
  <c r="B39" i="14"/>
  <c r="B41" i="14"/>
  <c r="B42" i="14"/>
  <c r="B43" i="14"/>
  <c r="B44" i="14"/>
  <c r="B45" i="14"/>
  <c r="B46" i="14"/>
  <c r="B47" i="14"/>
  <c r="B48" i="14"/>
  <c r="B49" i="14"/>
  <c r="B50" i="14"/>
  <c r="B52" i="14"/>
  <c r="B53" i="14"/>
  <c r="B54" i="14"/>
  <c r="B55" i="14"/>
  <c r="D318" i="11"/>
  <c r="J37" i="14" s="1"/>
  <c r="D207" i="11"/>
  <c r="I4" i="14" s="1"/>
  <c r="B304" i="11"/>
  <c r="B285" i="11"/>
  <c r="B286" i="11"/>
  <c r="B287" i="11"/>
  <c r="B288" i="11"/>
  <c r="B289" i="11"/>
  <c r="B290" i="11"/>
  <c r="B291" i="11"/>
  <c r="B292" i="11"/>
  <c r="B293" i="11"/>
  <c r="B294" i="11"/>
  <c r="B296" i="11"/>
  <c r="B297" i="11"/>
  <c r="B299" i="11"/>
  <c r="B300" i="11"/>
  <c r="B301" i="11"/>
  <c r="B302" i="11"/>
  <c r="B306" i="11"/>
  <c r="B307" i="11"/>
  <c r="B308" i="11"/>
  <c r="B309" i="11"/>
  <c r="B311" i="11"/>
  <c r="B312" i="11"/>
  <c r="B313" i="11"/>
  <c r="B315" i="11"/>
  <c r="B317" i="11"/>
  <c r="B318" i="11"/>
  <c r="B320" i="11"/>
  <c r="B322" i="11"/>
  <c r="B323" i="11"/>
  <c r="B324" i="11"/>
  <c r="B325" i="11"/>
  <c r="B326" i="11"/>
  <c r="B327" i="11"/>
  <c r="B328" i="11"/>
  <c r="B329" i="11"/>
  <c r="B330" i="11"/>
  <c r="B331" i="11"/>
  <c r="B284" i="11"/>
  <c r="B207" i="11"/>
  <c r="B208" i="11"/>
  <c r="B209" i="11"/>
  <c r="B210" i="11"/>
  <c r="B211" i="11"/>
  <c r="B212" i="11"/>
  <c r="B213" i="11"/>
  <c r="B214" i="11"/>
  <c r="B215" i="11"/>
  <c r="B216" i="11"/>
  <c r="B218" i="11"/>
  <c r="B219" i="11"/>
  <c r="B221" i="11"/>
  <c r="B222" i="11"/>
  <c r="B223" i="11"/>
  <c r="B224" i="11"/>
  <c r="B226" i="11"/>
  <c r="B228" i="11"/>
  <c r="B229" i="11"/>
  <c r="B230" i="11"/>
  <c r="B231" i="11"/>
  <c r="B233" i="11"/>
  <c r="B234" i="11"/>
  <c r="B235" i="11"/>
  <c r="B237" i="11"/>
  <c r="B239" i="11"/>
  <c r="B240" i="11"/>
  <c r="B242" i="11"/>
  <c r="B244" i="11"/>
  <c r="B245" i="11"/>
  <c r="B246" i="11"/>
  <c r="B247" i="11"/>
  <c r="B248" i="11"/>
  <c r="B249" i="11"/>
  <c r="B250" i="11"/>
  <c r="B206" i="11"/>
  <c r="B126" i="11"/>
  <c r="C126" i="11"/>
  <c r="D126" i="11"/>
  <c r="E126" i="11"/>
  <c r="O24" i="13" s="1"/>
  <c r="I24" i="13" s="1"/>
  <c r="F126" i="11"/>
  <c r="P24" i="13" s="1"/>
  <c r="J24" i="13" s="1"/>
  <c r="B106" i="11"/>
  <c r="C106" i="11"/>
  <c r="D106" i="11"/>
  <c r="B108" i="11"/>
  <c r="C108" i="11"/>
  <c r="D108" i="11"/>
  <c r="B109" i="11"/>
  <c r="C109" i="11"/>
  <c r="D109" i="11"/>
  <c r="B110" i="11"/>
  <c r="C110" i="11"/>
  <c r="D110" i="11"/>
  <c r="B112" i="11"/>
  <c r="C112" i="11"/>
  <c r="D112" i="11"/>
  <c r="B113" i="11"/>
  <c r="C113" i="11"/>
  <c r="D113" i="11"/>
  <c r="B114" i="11"/>
  <c r="C114" i="11"/>
  <c r="D114" i="11"/>
  <c r="B116" i="11"/>
  <c r="C116" i="11"/>
  <c r="D116" i="11"/>
  <c r="B117" i="11"/>
  <c r="C117" i="11"/>
  <c r="D117" i="11"/>
  <c r="B118" i="11"/>
  <c r="C118" i="11"/>
  <c r="D118" i="11"/>
  <c r="B119" i="11"/>
  <c r="C119" i="11"/>
  <c r="D119" i="11"/>
  <c r="B121" i="11"/>
  <c r="C121" i="11"/>
  <c r="D121" i="11"/>
  <c r="B122" i="11"/>
  <c r="C122" i="11"/>
  <c r="D122" i="11"/>
  <c r="B123" i="11"/>
  <c r="C123" i="11"/>
  <c r="D123" i="11"/>
  <c r="B124" i="11"/>
  <c r="C124" i="11"/>
  <c r="D124" i="11"/>
  <c r="B128" i="11"/>
  <c r="C128" i="11"/>
  <c r="D128" i="11"/>
  <c r="B130" i="11"/>
  <c r="C130" i="11"/>
  <c r="D130" i="11"/>
  <c r="B131" i="11"/>
  <c r="C131" i="11"/>
  <c r="D131" i="11"/>
  <c r="B132" i="11"/>
  <c r="C132" i="11"/>
  <c r="D132" i="11"/>
  <c r="B134" i="11"/>
  <c r="C134" i="11"/>
  <c r="D134" i="11"/>
  <c r="B136" i="11"/>
  <c r="C136" i="11"/>
  <c r="D136" i="11"/>
  <c r="B137" i="11"/>
  <c r="C137" i="11"/>
  <c r="D137" i="11"/>
  <c r="B138" i="11"/>
  <c r="C138" i="11"/>
  <c r="D138" i="11"/>
  <c r="B140" i="11"/>
  <c r="C140" i="11"/>
  <c r="D140" i="11"/>
  <c r="B141" i="11"/>
  <c r="C141" i="11"/>
  <c r="D141" i="11"/>
  <c r="B142" i="11"/>
  <c r="C142" i="11"/>
  <c r="D142" i="11"/>
  <c r="B144" i="11"/>
  <c r="C144" i="11"/>
  <c r="D144" i="11"/>
  <c r="B145" i="11"/>
  <c r="C145" i="11"/>
  <c r="D145" i="11"/>
  <c r="B147" i="11"/>
  <c r="C147" i="11"/>
  <c r="D147" i="11"/>
  <c r="B148" i="11"/>
  <c r="C148" i="11"/>
  <c r="D148" i="11"/>
  <c r="B149" i="11"/>
  <c r="C149" i="11"/>
  <c r="D149" i="11"/>
  <c r="B150" i="11"/>
  <c r="C150" i="11"/>
  <c r="D150" i="11"/>
  <c r="B151" i="11"/>
  <c r="C151" i="11"/>
  <c r="D151" i="11"/>
  <c r="B152" i="11"/>
  <c r="C152" i="11"/>
  <c r="D152" i="11"/>
  <c r="B153" i="11"/>
  <c r="C153" i="11"/>
  <c r="D153" i="11"/>
  <c r="B154" i="11"/>
  <c r="C154" i="11"/>
  <c r="D154" i="11"/>
  <c r="B155" i="11"/>
  <c r="C155" i="11"/>
  <c r="D155" i="11"/>
  <c r="B156" i="11"/>
  <c r="C156" i="11"/>
  <c r="D156" i="11"/>
  <c r="B157" i="11"/>
  <c r="C157" i="11"/>
  <c r="D157" i="11"/>
  <c r="B158" i="11"/>
  <c r="C158" i="11"/>
  <c r="D158" i="11"/>
  <c r="B159" i="11"/>
  <c r="C159" i="11"/>
  <c r="D159" i="11"/>
  <c r="B160" i="11"/>
  <c r="C160" i="11"/>
  <c r="D160" i="11"/>
  <c r="B161" i="11"/>
  <c r="C161" i="11"/>
  <c r="D161" i="11"/>
  <c r="C105" i="11"/>
  <c r="D105" i="11"/>
  <c r="B105" i="11"/>
  <c r="C96" i="11" l="1"/>
  <c r="M168" i="11"/>
  <c r="I168" i="11" s="1"/>
  <c r="D338" i="11" s="1"/>
  <c r="J57" i="14" s="1"/>
  <c r="D57" i="14" s="1"/>
  <c r="H168" i="11"/>
  <c r="D260" i="11" s="1"/>
  <c r="I57" i="14" s="1"/>
  <c r="C57" i="14" s="1"/>
  <c r="C84" i="11"/>
  <c r="E168" i="11" s="1"/>
  <c r="O66" i="13" s="1"/>
  <c r="I66" i="13" s="1"/>
  <c r="C62" i="11"/>
  <c r="H163" i="11" s="1"/>
  <c r="D255" i="11" s="1"/>
  <c r="I52" i="14" s="1"/>
  <c r="E41" i="11"/>
  <c r="F186" i="11"/>
  <c r="P84" i="13" s="1"/>
  <c r="J84" i="13" s="1"/>
  <c r="C4" i="14"/>
  <c r="E147" i="11"/>
  <c r="O45" i="13" s="1"/>
  <c r="I45" i="13" s="1"/>
  <c r="F147" i="11"/>
  <c r="P45" i="13" s="1"/>
  <c r="J45" i="13" s="1"/>
  <c r="F168" i="11"/>
  <c r="P66" i="13" s="1"/>
  <c r="J66" i="13" s="1"/>
  <c r="E163" i="11"/>
  <c r="O61" i="13" s="1"/>
  <c r="E36" i="21"/>
  <c r="C121" i="21" s="1"/>
  <c r="C120" i="21" s="1"/>
  <c r="I228" i="21" s="1"/>
  <c r="F169" i="18"/>
  <c r="F173" i="18" s="1"/>
  <c r="E31" i="18"/>
  <c r="E191" i="18"/>
  <c r="E197" i="18" s="1"/>
  <c r="E253" i="18"/>
  <c r="E36" i="18"/>
  <c r="E45" i="18" s="1"/>
  <c r="E172" i="18"/>
  <c r="F168" i="18"/>
  <c r="F170" i="18" s="1"/>
  <c r="F200" i="18"/>
  <c r="F192" i="18"/>
  <c r="C131" i="18"/>
  <c r="F207" i="21"/>
  <c r="N42" i="13" s="1"/>
  <c r="D321" i="21"/>
  <c r="G55" i="14" s="1"/>
  <c r="F179" i="21"/>
  <c r="N14" i="13" s="1"/>
  <c r="F175" i="21"/>
  <c r="N10" i="13" s="1"/>
  <c r="D37" i="14"/>
  <c r="D320" i="21"/>
  <c r="G54" i="14" s="1"/>
  <c r="F173" i="21"/>
  <c r="N8" i="13" s="1"/>
  <c r="C57" i="18"/>
  <c r="H226" i="18" s="1"/>
  <c r="D318" i="18" s="1"/>
  <c r="E55" i="14" s="1"/>
  <c r="C59" i="18"/>
  <c r="D41" i="18"/>
  <c r="E181" i="18"/>
  <c r="D34" i="18"/>
  <c r="E176" i="18"/>
  <c r="D235" i="11"/>
  <c r="I32" i="14" s="1"/>
  <c r="C32" i="14" s="1"/>
  <c r="D233" i="11"/>
  <c r="I30" i="14" s="1"/>
  <c r="C30" i="14" s="1"/>
  <c r="D230" i="11"/>
  <c r="I27" i="14" s="1"/>
  <c r="C27" i="14" s="1"/>
  <c r="D228" i="11"/>
  <c r="I25" i="14" s="1"/>
  <c r="C25" i="14" s="1"/>
  <c r="D224" i="11"/>
  <c r="I21" i="14" s="1"/>
  <c r="C21" i="14" s="1"/>
  <c r="D223" i="11"/>
  <c r="I20" i="14" s="1"/>
  <c r="C20" i="14" s="1"/>
  <c r="D222" i="11"/>
  <c r="I19" i="14" s="1"/>
  <c r="C19" i="14" s="1"/>
  <c r="I18" i="14"/>
  <c r="C18" i="14" s="1"/>
  <c r="D218" i="11"/>
  <c r="I15" i="14" s="1"/>
  <c r="C15" i="14" s="1"/>
  <c r="D306" i="11"/>
  <c r="D302" i="11"/>
  <c r="D313" i="11"/>
  <c r="D292" i="11"/>
  <c r="D311" i="11"/>
  <c r="D308" i="11"/>
  <c r="D301" i="11"/>
  <c r="D299" i="11"/>
  <c r="D296" i="11"/>
  <c r="D300" i="11"/>
  <c r="C55" i="14" l="1"/>
  <c r="F165" i="18"/>
  <c r="I223" i="18"/>
  <c r="D393" i="18" s="1"/>
  <c r="F52" i="14" s="1"/>
  <c r="E35" i="21"/>
  <c r="C95" i="11"/>
  <c r="F163" i="11" s="1"/>
  <c r="P61" i="13" s="1"/>
  <c r="C71" i="11"/>
  <c r="I163" i="11" s="1"/>
  <c r="D333" i="11" s="1"/>
  <c r="J52" i="14" s="1"/>
  <c r="F193" i="11"/>
  <c r="P91" i="13" s="1"/>
  <c r="E194" i="11"/>
  <c r="O92" i="13" s="1"/>
  <c r="C87" i="11"/>
  <c r="J32" i="14"/>
  <c r="D32" i="14" s="1"/>
  <c r="J18" i="14"/>
  <c r="D18" i="14" s="1"/>
  <c r="J11" i="14"/>
  <c r="D11" i="14" s="1"/>
  <c r="F174" i="18"/>
  <c r="F176" i="18"/>
  <c r="F179" i="18" s="1"/>
  <c r="C156" i="18"/>
  <c r="F223" i="18" s="1"/>
  <c r="F204" i="18"/>
  <c r="F172" i="18"/>
  <c r="F184" i="21"/>
  <c r="N19" i="13" s="1"/>
  <c r="F182" i="21"/>
  <c r="N17" i="13" s="1"/>
  <c r="F177" i="21"/>
  <c r="N12" i="13" s="1"/>
  <c r="J3" i="14"/>
  <c r="D3" i="14" s="1"/>
  <c r="J4" i="14"/>
  <c r="D4" i="14" s="1"/>
  <c r="J20" i="14"/>
  <c r="D20" i="14" s="1"/>
  <c r="J19" i="14"/>
  <c r="D19" i="14" s="1"/>
  <c r="J25" i="14"/>
  <c r="D25" i="14" s="1"/>
  <c r="J27" i="14"/>
  <c r="D27" i="14" s="1"/>
  <c r="J30" i="14"/>
  <c r="D30" i="14" s="1"/>
  <c r="J15" i="14"/>
  <c r="D15" i="14" s="1"/>
  <c r="J21" i="14"/>
  <c r="D21" i="14" s="1"/>
  <c r="E193" i="21"/>
  <c r="M28" i="13" s="1"/>
  <c r="I28" i="13" s="1"/>
  <c r="E204" i="21"/>
  <c r="M39" i="13" s="1"/>
  <c r="I39" i="13" s="1"/>
  <c r="E205" i="21"/>
  <c r="M40" i="13" s="1"/>
  <c r="I40" i="13" s="1"/>
  <c r="C60" i="18"/>
  <c r="E190" i="18" s="1"/>
  <c r="C58" i="18"/>
  <c r="H225" i="18" s="1"/>
  <c r="D317" i="18" s="1"/>
  <c r="E54" i="14" s="1"/>
  <c r="C54" i="14" s="1"/>
  <c r="D45" i="18"/>
  <c r="E44" i="18" s="1"/>
  <c r="I224" i="18" s="1"/>
  <c r="D394" i="18" s="1"/>
  <c r="F53" i="14" s="1"/>
  <c r="D53" i="14" s="1"/>
  <c r="C72" i="18"/>
  <c r="C145" i="18"/>
  <c r="C86" i="18"/>
  <c r="C85" i="18" s="1"/>
  <c r="C80" i="18"/>
  <c r="C78" i="18"/>
  <c r="E201" i="18"/>
  <c r="C84" i="18"/>
  <c r="F87" i="11" l="1"/>
  <c r="H91" i="11"/>
  <c r="I43" i="21"/>
  <c r="C117" i="21"/>
  <c r="C116" i="21" s="1"/>
  <c r="I229" i="21" s="1"/>
  <c r="E165" i="18"/>
  <c r="H223" i="18"/>
  <c r="D315" i="18" s="1"/>
  <c r="E52" i="14" s="1"/>
  <c r="E41" i="21"/>
  <c r="E168" i="21"/>
  <c r="M3" i="13" s="1"/>
  <c r="D318" i="21"/>
  <c r="G52" i="14" s="1"/>
  <c r="E228" i="21"/>
  <c r="M63" i="13" s="1"/>
  <c r="I63" i="13" s="1"/>
  <c r="F89" i="11"/>
  <c r="E226" i="21"/>
  <c r="M61" i="13" s="1"/>
  <c r="I61" i="13" s="1"/>
  <c r="C108" i="18"/>
  <c r="F190" i="18" s="1"/>
  <c r="F181" i="18"/>
  <c r="C146" i="18"/>
  <c r="E225" i="18" s="1"/>
  <c r="C123" i="18"/>
  <c r="F166" i="18" s="1"/>
  <c r="C155" i="18" s="1"/>
  <c r="F184" i="18"/>
  <c r="F187" i="21"/>
  <c r="N22" i="13" s="1"/>
  <c r="E229" i="21"/>
  <c r="M64" i="13" s="1"/>
  <c r="I64" i="13" s="1"/>
  <c r="E191" i="21"/>
  <c r="M26" i="13" s="1"/>
  <c r="I26" i="13" s="1"/>
  <c r="E199" i="21"/>
  <c r="M34" i="13" s="1"/>
  <c r="I34" i="13" s="1"/>
  <c r="E105" i="11"/>
  <c r="O3" i="13" s="1"/>
  <c r="C79" i="18"/>
  <c r="E226" i="18"/>
  <c r="E188" i="18"/>
  <c r="E196" i="18"/>
  <c r="C98" i="18"/>
  <c r="C92" i="18"/>
  <c r="E202" i="18"/>
  <c r="C94" i="18"/>
  <c r="C100" i="18"/>
  <c r="C99" i="18" s="1"/>
  <c r="I3" i="13" l="1"/>
  <c r="C107" i="18"/>
  <c r="C52" i="14"/>
  <c r="C116" i="18"/>
  <c r="C115" i="18" s="1"/>
  <c r="E40" i="21"/>
  <c r="C262" i="21"/>
  <c r="C153" i="21"/>
  <c r="F237" i="21" s="1"/>
  <c r="N72" i="13" s="1"/>
  <c r="J72" i="13" s="1"/>
  <c r="C152" i="21"/>
  <c r="F229" i="21" s="1"/>
  <c r="N64" i="13" s="1"/>
  <c r="J64" i="13" s="1"/>
  <c r="D399" i="21"/>
  <c r="H55" i="14" s="1"/>
  <c r="C259" i="18"/>
  <c r="F224" i="18"/>
  <c r="E205" i="18"/>
  <c r="C147" i="18"/>
  <c r="E254" i="18"/>
  <c r="C159" i="21"/>
  <c r="F193" i="21"/>
  <c r="N28" i="13" s="1"/>
  <c r="J28" i="13" s="1"/>
  <c r="E257" i="21"/>
  <c r="M92" i="13" s="1"/>
  <c r="I92" i="13" s="1"/>
  <c r="E208" i="21"/>
  <c r="M43" i="13" s="1"/>
  <c r="F204" i="21"/>
  <c r="N39" i="13" s="1"/>
  <c r="J39" i="13" s="1"/>
  <c r="F194" i="21"/>
  <c r="N29" i="13" s="1"/>
  <c r="J29" i="13" s="1"/>
  <c r="C93" i="18"/>
  <c r="C120" i="18"/>
  <c r="C119" i="18" s="1"/>
  <c r="C112" i="18"/>
  <c r="C111" i="18" s="1"/>
  <c r="C157" i="18" s="1"/>
  <c r="F196" i="18"/>
  <c r="F105" i="11"/>
  <c r="P3" i="13" s="1"/>
  <c r="C132" i="21" l="1"/>
  <c r="I226" i="21" s="1"/>
  <c r="D396" i="21" s="1"/>
  <c r="H52" i="14" s="1"/>
  <c r="D52" i="14" s="1"/>
  <c r="C150" i="18"/>
  <c r="F226" i="18" s="1"/>
  <c r="I225" i="18"/>
  <c r="D395" i="18" s="1"/>
  <c r="F54" i="14" s="1"/>
  <c r="F201" i="18"/>
  <c r="I226" i="18"/>
  <c r="D396" i="18" s="1"/>
  <c r="F55" i="14" s="1"/>
  <c r="D55" i="14" s="1"/>
  <c r="C151" i="18"/>
  <c r="F234" i="18" s="1"/>
  <c r="D398" i="21"/>
  <c r="H54" i="14" s="1"/>
  <c r="F238" i="21"/>
  <c r="N73" i="13" s="1"/>
  <c r="J73" i="13" s="1"/>
  <c r="F205" i="21"/>
  <c r="N40" i="13" s="1"/>
  <c r="J40" i="13" s="1"/>
  <c r="F191" i="18"/>
  <c r="F188" i="18" s="1"/>
  <c r="C260" i="18"/>
  <c r="C263" i="21"/>
  <c r="F246" i="21"/>
  <c r="N81" i="13" s="1"/>
  <c r="J81" i="13" s="1"/>
  <c r="F200" i="21"/>
  <c r="N35" i="13" s="1"/>
  <c r="J35" i="13" s="1"/>
  <c r="F191" i="21"/>
  <c r="N26" i="13" s="1"/>
  <c r="J26" i="13" s="1"/>
  <c r="F199" i="21"/>
  <c r="N34" i="13" s="1"/>
  <c r="J34" i="13" s="1"/>
  <c r="F228" i="21"/>
  <c r="N63" i="13" s="1"/>
  <c r="J63" i="13" s="1"/>
  <c r="C154" i="21"/>
  <c r="I255" i="21" s="1"/>
  <c r="F235" i="18"/>
  <c r="F202" i="18"/>
  <c r="F109" i="11"/>
  <c r="P7" i="13" s="1"/>
  <c r="J7" i="13" s="1"/>
  <c r="F168" i="21" l="1"/>
  <c r="N3" i="13" s="1"/>
  <c r="J3" i="13" s="1"/>
  <c r="C158" i="21"/>
  <c r="F226" i="21" s="1"/>
  <c r="N61" i="13" s="1"/>
  <c r="J61" i="13" s="1"/>
  <c r="C152" i="18"/>
  <c r="C158" i="18" s="1"/>
  <c r="D54" i="14"/>
  <c r="F197" i="18"/>
  <c r="F247" i="21"/>
  <c r="N82" i="13" s="1"/>
  <c r="J82" i="13" s="1"/>
  <c r="C161" i="21"/>
  <c r="D418" i="21"/>
  <c r="H74" i="14" s="1"/>
  <c r="D74" i="14" s="1"/>
  <c r="C159" i="18"/>
  <c r="F243" i="18"/>
  <c r="F244" i="18"/>
  <c r="F208" i="21"/>
  <c r="N43" i="13" s="1"/>
  <c r="D259" i="18"/>
  <c r="F225" i="18"/>
  <c r="F113" i="11"/>
  <c r="P11" i="13" s="1"/>
  <c r="J11" i="13" s="1"/>
  <c r="D262" i="21" l="1"/>
  <c r="C162" i="21"/>
  <c r="F205" i="18"/>
  <c r="F255" i="21"/>
  <c r="N90" i="13" s="1"/>
  <c r="J90" i="13" s="1"/>
  <c r="F252" i="18"/>
  <c r="F253" i="18" s="1"/>
  <c r="D260" i="18"/>
  <c r="D263" i="21"/>
  <c r="F256" i="21" l="1"/>
  <c r="N91" i="13" s="1"/>
  <c r="J91" i="13" s="1"/>
  <c r="F116" i="11"/>
  <c r="P14" i="13" s="1"/>
  <c r="J14" i="13" s="1"/>
  <c r="E122" i="11"/>
  <c r="O20" i="13" s="1"/>
  <c r="I20" i="13" s="1"/>
  <c r="E123" i="11"/>
  <c r="O21" i="13" s="1"/>
  <c r="I21" i="13" s="1"/>
  <c r="E124" i="11"/>
  <c r="O22" i="13" s="1"/>
  <c r="I22" i="13" s="1"/>
  <c r="F257" i="21" l="1"/>
  <c r="N92" i="13" s="1"/>
  <c r="F254" i="18"/>
  <c r="F119" i="11"/>
  <c r="P17" i="13" s="1"/>
  <c r="J17" i="13" s="1"/>
  <c r="F121" i="11"/>
  <c r="P19" i="13" s="1"/>
  <c r="J19" i="13" s="1"/>
  <c r="C92" i="11" l="1"/>
  <c r="C99" i="11" s="1"/>
  <c r="F145" i="11" l="1"/>
  <c r="P43" i="13" s="1"/>
  <c r="J43" i="13" s="1"/>
  <c r="F123" i="11"/>
  <c r="P21" i="13" s="1"/>
  <c r="J21" i="13" s="1"/>
  <c r="E97" i="11" l="1"/>
  <c r="E96" i="11" s="1"/>
  <c r="G94" i="11"/>
  <c r="E144" i="11" l="1"/>
  <c r="O42" i="13" s="1"/>
  <c r="I42" i="13" s="1"/>
  <c r="F134" i="11" l="1"/>
  <c r="P32" i="13" s="1"/>
  <c r="J32" i="13" s="1"/>
  <c r="E134" i="11"/>
  <c r="O32" i="13" s="1"/>
  <c r="I32" i="13" s="1"/>
  <c r="E113" i="11"/>
  <c r="O11" i="13" s="1"/>
  <c r="I11" i="13" s="1"/>
  <c r="E114" i="11"/>
  <c r="O12" i="13" s="1"/>
  <c r="I12" i="13" s="1"/>
  <c r="E108" i="11"/>
  <c r="O6" i="13" s="1"/>
  <c r="I6" i="13" s="1"/>
  <c r="F140" i="11"/>
  <c r="P38" i="13" s="1"/>
  <c r="J38" i="13" s="1"/>
  <c r="C199" i="11" l="1"/>
  <c r="E112" i="11"/>
  <c r="O10" i="13" s="1"/>
  <c r="I10" i="13" s="1"/>
  <c r="F108" i="11"/>
  <c r="P6" i="13" s="1"/>
  <c r="J6" i="13" s="1"/>
  <c r="F138" i="11"/>
  <c r="P36" i="13" s="1"/>
  <c r="J36" i="13" s="1"/>
  <c r="F132" i="11" l="1"/>
  <c r="P30" i="13" s="1"/>
  <c r="J30" i="13" s="1"/>
  <c r="F112" i="11"/>
  <c r="P10" i="13" s="1"/>
  <c r="J10" i="13" s="1"/>
  <c r="F144" i="11" l="1"/>
  <c r="P42" i="13" s="1"/>
  <c r="J42" i="13" s="1"/>
  <c r="F110" i="11"/>
  <c r="P8" i="13" s="1"/>
  <c r="J8" i="13" s="1"/>
  <c r="D199" i="11" l="1"/>
  <c r="F114" i="11"/>
  <c r="P12" i="13" s="1"/>
  <c r="J12" i="13" s="1"/>
  <c r="F122" i="11" l="1"/>
  <c r="P20" i="13" s="1"/>
  <c r="J20" i="13" s="1"/>
  <c r="E145" i="11" l="1"/>
  <c r="O43" i="13" s="1"/>
  <c r="I43" i="13" s="1"/>
  <c r="F194" i="11" l="1"/>
  <c r="P92" i="13" s="1"/>
  <c r="J92" i="13" s="1"/>
  <c r="C200" i="11"/>
  <c r="F124" i="11"/>
  <c r="P22" i="13" s="1"/>
  <c r="J22" i="13" s="1"/>
  <c r="D200"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Langeveld, Tijs</author>
  </authors>
  <commentList>
    <comment ref="H1" authorId="0" shapeId="0" xr:uid="{AF66F08A-444D-3048-82DB-93E75764702E}">
      <text>
        <r>
          <rPr>
            <b/>
            <sz val="10"/>
            <color rgb="FF000000"/>
            <rFont val="Tahoma"/>
            <family val="2"/>
          </rPr>
          <t>Langeveld, Tijs:</t>
        </r>
        <r>
          <rPr>
            <sz val="10"/>
            <color rgb="FF000000"/>
            <rFont val="Tahoma"/>
            <family val="2"/>
          </rPr>
          <t xml:space="preserve">
</t>
        </r>
        <r>
          <rPr>
            <sz val="10"/>
            <color rgb="FF000000"/>
            <rFont val="Tahoma"/>
            <family val="2"/>
          </rPr>
          <t xml:space="preserve">'r' of 'l'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Langeveld, Tijs</author>
  </authors>
  <commentList>
    <comment ref="O40" authorId="0" shapeId="0" xr:uid="{1A41BD3F-CA4D-184E-AC5E-18BBA6E85B40}">
      <text>
        <r>
          <rPr>
            <sz val="10"/>
            <color rgb="FF000000"/>
            <rFont val="Tahoma"/>
            <family val="2"/>
          </rPr>
          <t>Concept reflectie CES3.0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Langeveld, Tijs</author>
  </authors>
  <commentList>
    <comment ref="B168" authorId="0" shapeId="0" xr:uid="{8950E59F-93B5-1947-9C66-4531A677F647}">
      <text>
        <r>
          <rPr>
            <b/>
            <sz val="10"/>
            <color rgb="FF000000"/>
            <rFont val="Tahoma"/>
            <family val="2"/>
          </rPr>
          <t>Kolen TSN</t>
        </r>
      </text>
    </comment>
    <comment ref="B169" authorId="0" shapeId="0" xr:uid="{50EAE674-A291-2A4A-923F-8E78A4E421B6}">
      <text>
        <r>
          <rPr>
            <b/>
            <sz val="10"/>
            <color rgb="FF000000"/>
            <rFont val="Tahoma"/>
            <family val="2"/>
          </rPr>
          <t>AVI</t>
        </r>
      </text>
    </comment>
    <comment ref="C177" authorId="0" shapeId="0" xr:uid="{E05DB044-DD86-424A-8912-3D1763F55182}">
      <text>
        <r>
          <rPr>
            <sz val="10"/>
            <color rgb="FF000000"/>
            <rFont val="Tahoma"/>
            <family val="2"/>
          </rPr>
          <t>TSN</t>
        </r>
      </text>
    </comment>
    <comment ref="C178" authorId="0" shapeId="0" xr:uid="{38CFA7A0-CF64-1848-9572-9B007559F7CA}">
      <text>
        <r>
          <rPr>
            <b/>
            <sz val="10"/>
            <color rgb="FF000000"/>
            <rFont val="Tahoma"/>
            <family val="2"/>
          </rPr>
          <t>AVI</t>
        </r>
      </text>
    </comment>
    <comment ref="B186" authorId="0" shapeId="0" xr:uid="{FCB5B602-1A30-B645-B95F-5C387F9E49B1}">
      <text>
        <r>
          <rPr>
            <b/>
            <sz val="10"/>
            <color rgb="FF000000"/>
            <rFont val="Tahoma"/>
            <family val="2"/>
          </rPr>
          <t xml:space="preserve">TSN
</t>
        </r>
      </text>
    </comment>
    <comment ref="B187" authorId="0" shapeId="0" xr:uid="{E7557605-A6BE-804D-AA90-BD67B6144860}">
      <text>
        <r>
          <rPr>
            <b/>
            <sz val="10"/>
            <color rgb="FF000000"/>
            <rFont val="Tahoma"/>
            <family val="2"/>
          </rPr>
          <t xml:space="preserve">AVI
</t>
        </r>
      </text>
    </comment>
    <comment ref="B260" authorId="0" shapeId="0" xr:uid="{B159FD23-62DD-484A-8361-9BEFEE8F3A16}">
      <text>
        <r>
          <rPr>
            <b/>
            <sz val="10"/>
            <color rgb="FF000000"/>
            <rFont val="Tahoma"/>
            <family val="2"/>
          </rPr>
          <t>TSN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Langeveld, Tijs</author>
  </authors>
  <commentList>
    <comment ref="F36" authorId="0" shapeId="0" xr:uid="{98DA6AFD-EB93-8E47-91CC-C8F61FD75A3C}">
      <text>
        <r>
          <rPr>
            <b/>
            <sz val="10"/>
            <color rgb="FF000000"/>
            <rFont val="Tahoma"/>
            <family val="2"/>
          </rPr>
          <t>is inclusief WKK's industrie</t>
        </r>
      </text>
    </comment>
    <comment ref="B177" authorId="0" shapeId="0" xr:uid="{AF79330D-B05D-B445-90A4-A0F0B6C0274D}">
      <text>
        <r>
          <rPr>
            <b/>
            <sz val="10"/>
            <color rgb="FF000000"/>
            <rFont val="Tahoma"/>
            <family val="2"/>
          </rPr>
          <t>Kolen TSN</t>
        </r>
      </text>
    </comment>
    <comment ref="B178" authorId="0" shapeId="0" xr:uid="{8780DC56-D58B-0D49-8A82-C88603FEB815}">
      <text>
        <r>
          <rPr>
            <b/>
            <sz val="10"/>
            <color rgb="FF000000"/>
            <rFont val="Tahoma"/>
            <family val="2"/>
          </rPr>
          <t>AVI</t>
        </r>
      </text>
    </comment>
    <comment ref="B179" authorId="0" shapeId="0" xr:uid="{216F4413-BA63-4047-B7A3-50B670A38FC7}">
      <text>
        <r>
          <rPr>
            <b/>
            <sz val="10"/>
            <color rgb="FF000000"/>
            <rFont val="Tahoma"/>
            <family val="2"/>
          </rPr>
          <t>Afvalverbranding</t>
        </r>
      </text>
    </comment>
    <comment ref="C186" authorId="0" shapeId="0" xr:uid="{0B8F8DD2-37C4-A148-82E7-FD57A29E5C48}">
      <text>
        <r>
          <rPr>
            <sz val="10"/>
            <color rgb="FF000000"/>
            <rFont val="Tahoma"/>
            <family val="2"/>
          </rPr>
          <t>TSN</t>
        </r>
      </text>
    </comment>
    <comment ref="C187" authorId="0" shapeId="0" xr:uid="{5CE7A6CC-8294-3646-A206-D30BBCF77B16}">
      <text>
        <r>
          <rPr>
            <b/>
            <sz val="10"/>
            <color rgb="FF000000"/>
            <rFont val="Tahoma"/>
            <family val="2"/>
          </rPr>
          <t>AVI</t>
        </r>
      </text>
    </comment>
    <comment ref="B195" authorId="0" shapeId="0" xr:uid="{C4F68A61-48C7-C040-9FA2-5D3E2CA87046}">
      <text>
        <r>
          <rPr>
            <b/>
            <sz val="10"/>
            <color rgb="FF000000"/>
            <rFont val="Tahoma"/>
            <family val="2"/>
          </rPr>
          <t xml:space="preserve">TSN
</t>
        </r>
      </text>
    </comment>
    <comment ref="B196" authorId="0" shapeId="0" xr:uid="{DD6FD0FE-64A3-B145-A68F-5C8D6D260EC5}">
      <text>
        <r>
          <rPr>
            <b/>
            <sz val="10"/>
            <color rgb="FF000000"/>
            <rFont val="Tahoma"/>
            <family val="2"/>
          </rPr>
          <t xml:space="preserve">AVI
</t>
        </r>
      </text>
    </comment>
    <comment ref="B197" authorId="0" shapeId="0" xr:uid="{3C2C705F-2C87-604B-8B14-A40C6A24640A}">
      <text>
        <r>
          <rPr>
            <b/>
            <sz val="10"/>
            <color rgb="FF000000"/>
            <rFont val="Tahoma"/>
            <family val="2"/>
          </rPr>
          <t>Afvalverbranding (WKK)</t>
        </r>
      </text>
    </comment>
    <comment ref="B269" authorId="0" shapeId="0" xr:uid="{C0916A08-A65E-E649-BD51-1B7BE3E838D1}">
      <text>
        <r>
          <rPr>
            <b/>
            <sz val="10"/>
            <color rgb="FF000000"/>
            <rFont val="Tahoma"/>
            <family val="2"/>
          </rPr>
          <t>TSN</t>
        </r>
      </text>
    </comment>
  </commentList>
</comments>
</file>

<file path=xl/sharedStrings.xml><?xml version="1.0" encoding="utf-8"?>
<sst xmlns="http://schemas.openxmlformats.org/spreadsheetml/2006/main" count="1543" uniqueCount="568">
  <si>
    <t>PJ aardgas</t>
  </si>
  <si>
    <t>PJ waterstof</t>
  </si>
  <si>
    <t xml:space="preserve"> </t>
  </si>
  <si>
    <t>Industrie</t>
  </si>
  <si>
    <t>PJ</t>
  </si>
  <si>
    <t>TWh</t>
  </si>
  <si>
    <t>restgas</t>
  </si>
  <si>
    <t>CO2 uitstoot</t>
  </si>
  <si>
    <t>-</t>
  </si>
  <si>
    <t>ktonCO2</t>
  </si>
  <si>
    <t>Blauwe waterstof</t>
  </si>
  <si>
    <t>Groene waterstof</t>
  </si>
  <si>
    <t>export</t>
  </si>
  <si>
    <t>Export waterstof</t>
  </si>
  <si>
    <t>Import waterstof</t>
  </si>
  <si>
    <t>waterstof</t>
  </si>
  <si>
    <t>kolen</t>
  </si>
  <si>
    <t>elektriciteit</t>
  </si>
  <si>
    <t>aardgas</t>
  </si>
  <si>
    <t>warmte</t>
  </si>
  <si>
    <t>Overige</t>
  </si>
  <si>
    <t>Elektriciteitsverbruik elektrolysers</t>
  </si>
  <si>
    <t>Onderdeel</t>
  </si>
  <si>
    <t>Bron</t>
  </si>
  <si>
    <t>Waarde</t>
  </si>
  <si>
    <t>Eenheid</t>
  </si>
  <si>
    <t>Groene waterstofproductie met elektrolyse</t>
  </si>
  <si>
    <t>Elektriciteitsverbruik industrie</t>
  </si>
  <si>
    <t>ktonCO2/jaar</t>
  </si>
  <si>
    <t>Waarde 2021</t>
  </si>
  <si>
    <t>Waarde 2035</t>
  </si>
  <si>
    <t>Aardgasverbruik industrie</t>
  </si>
  <si>
    <t>PJ groene waterstof/jaar</t>
  </si>
  <si>
    <t>PJ elektriciteit/jaar</t>
  </si>
  <si>
    <t>PJ aardgas/jaar</t>
  </si>
  <si>
    <t>PJ waterstof/jaar</t>
  </si>
  <si>
    <t>PJ grijze waterstof/jaar</t>
  </si>
  <si>
    <t>Aanname</t>
  </si>
  <si>
    <t>RVO, Emissiefactoren,  https://www.rvo.nl/sites/default/files/2024-02/Nederlandse-energiedragerlijst-versie-januari-2024.pdf</t>
  </si>
  <si>
    <t>ktonCO2/PJ</t>
  </si>
  <si>
    <t>Emissiefactor verbranding aardgas</t>
  </si>
  <si>
    <t>Emissiefactor verbranding chemisch restgas</t>
  </si>
  <si>
    <t>Emissiefactor verbranding raffinaderijgas</t>
  </si>
  <si>
    <t>PJ blauwe waterstof/jaar</t>
  </si>
  <si>
    <t>PJ restgas/jaar</t>
  </si>
  <si>
    <t>CO2-uitstoot industrie (ex elektriciteitscentrales)</t>
  </si>
  <si>
    <t>naar</t>
  </si>
  <si>
    <t>van</t>
  </si>
  <si>
    <t>industrie</t>
  </si>
  <si>
    <t>bron_aardgas</t>
  </si>
  <si>
    <t>bron_elektriciteit</t>
  </si>
  <si>
    <t>waterstof_mixer</t>
  </si>
  <si>
    <t>elektrolysers</t>
  </si>
  <si>
    <t>smr_atr</t>
  </si>
  <si>
    <t>bron_restgas</t>
  </si>
  <si>
    <t>drager</t>
  </si>
  <si>
    <t>grijze_waterstof</t>
  </si>
  <si>
    <t>blauwe_waterstof</t>
  </si>
  <si>
    <t>verlies</t>
  </si>
  <si>
    <t>IN</t>
  </si>
  <si>
    <t>UIT</t>
  </si>
  <si>
    <t>elektriciteit_vraag_2021</t>
  </si>
  <si>
    <t>elektriciteit_additioneel_overige</t>
  </si>
  <si>
    <t>waterstof_vraag_2021</t>
  </si>
  <si>
    <t>elektriciteit_aardgassubstitutie_directe_elektrificatie</t>
  </si>
  <si>
    <t>waterstof_additioneel_overige</t>
  </si>
  <si>
    <t>elektrolyse_verlies</t>
  </si>
  <si>
    <t>smr_atr_verlies</t>
  </si>
  <si>
    <t>groene_waterstof</t>
  </si>
  <si>
    <t>PJ blauwe waterstof</t>
  </si>
  <si>
    <t>PJ grijze waterstof</t>
  </si>
  <si>
    <t>Verbranding restgassen voor proceswarmte</t>
  </si>
  <si>
    <t>Verbruik van aardgas voor SMR in 2021</t>
  </si>
  <si>
    <t>waterstof_aardgassubstitutie</t>
  </si>
  <si>
    <t>waterstof_restgassubstitutie</t>
  </si>
  <si>
    <t>toelichting basis voor cijfer 2035</t>
  </si>
  <si>
    <t>title</t>
  </si>
  <si>
    <t>id</t>
  </si>
  <si>
    <t>type</t>
  </si>
  <si>
    <t>column</t>
  </si>
  <si>
    <t>cluster</t>
  </si>
  <si>
    <t>row</t>
  </si>
  <si>
    <t>direction</t>
  </si>
  <si>
    <t>x</t>
  </si>
  <si>
    <t>y</t>
  </si>
  <si>
    <t>Aardgas</t>
  </si>
  <si>
    <t>Restgassen</t>
  </si>
  <si>
    <t>SMR-ATR</t>
  </si>
  <si>
    <t>Verlies</t>
  </si>
  <si>
    <t>Elektriciteit</t>
  </si>
  <si>
    <t>Elektrolyse</t>
  </si>
  <si>
    <t>Waterstof</t>
  </si>
  <si>
    <t>Aardgassubstitutie</t>
  </si>
  <si>
    <t>Restgas substitutie</t>
  </si>
  <si>
    <t>source.id</t>
  </si>
  <si>
    <t>target.id</t>
  </si>
  <si>
    <t>legend</t>
  </si>
  <si>
    <t>opacity</t>
  </si>
  <si>
    <t>COPYPASTE</t>
  </si>
  <si>
    <t>waterstof_grijs</t>
  </si>
  <si>
    <t>waterstof_blauw</t>
  </si>
  <si>
    <t>waterstof_groen</t>
  </si>
  <si>
    <t>horizontalMargin</t>
  </si>
  <si>
    <t>verticalMargin</t>
  </si>
  <si>
    <t>legendPositionLeft</t>
  </si>
  <si>
    <t>legendPositionTop</t>
  </si>
  <si>
    <t>offsetX</t>
  </si>
  <si>
    <t>offsetY</t>
  </si>
  <si>
    <t>titlePositionX</t>
  </si>
  <si>
    <t>titlePositionY</t>
  </si>
  <si>
    <t>font</t>
  </si>
  <si>
    <t>fontSize</t>
  </si>
  <si>
    <t>scenarioButtonsPositionX</t>
  </si>
  <si>
    <t>scenarioButtonsPositionY</t>
  </si>
  <si>
    <t>scenarioButtons</t>
  </si>
  <si>
    <t>normalize</t>
  </si>
  <si>
    <t>scaleInit</t>
  </si>
  <si>
    <t>scrollExtentWidth</t>
  </si>
  <si>
    <t>scrollExtentHeight</t>
  </si>
  <si>
    <t>initTransformX</t>
  </si>
  <si>
    <t>initTransformY</t>
  </si>
  <si>
    <t>initTransformK</t>
  </si>
  <si>
    <t>scaleDataValue</t>
  </si>
  <si>
    <t>defaultScenario</t>
  </si>
  <si>
    <t>RijksoverheidSans</t>
  </si>
  <si>
    <t>ja</t>
  </si>
  <si>
    <t>nee</t>
  </si>
  <si>
    <t>color</t>
  </si>
  <si>
    <t>aardolie</t>
  </si>
  <si>
    <t>grey</t>
  </si>
  <si>
    <t>aardolieproducten</t>
  </si>
  <si>
    <t>url(#aardolieproducten)</t>
  </si>
  <si>
    <t>url(#kolen)</t>
  </si>
  <si>
    <t>#64B5F6</t>
  </si>
  <si>
    <t>#8cd8ed</t>
  </si>
  <si>
    <t>gasnet</t>
  </si>
  <si>
    <t>#3F88AE</t>
  </si>
  <si>
    <t>#7555F6</t>
  </si>
  <si>
    <t>#3c39cc</t>
  </si>
  <si>
    <t>#F8D377</t>
  </si>
  <si>
    <t>#FFB300</t>
  </si>
  <si>
    <t>hernieuwbaar</t>
  </si>
  <si>
    <t>#62D3A4</t>
  </si>
  <si>
    <t>#1DE9B6</t>
  </si>
  <si>
    <t>uranium</t>
  </si>
  <si>
    <t>#E99172</t>
  </si>
  <si>
    <t>#E040FB</t>
  </si>
  <si>
    <t>#DD5471</t>
  </si>
  <si>
    <t>#F44336</t>
  </si>
  <si>
    <t>overige</t>
  </si>
  <si>
    <t>black</t>
  </si>
  <si>
    <t>lightgrey</t>
  </si>
  <si>
    <t>ammonia</t>
  </si>
  <si>
    <t>purple</t>
  </si>
  <si>
    <t>services</t>
  </si>
  <si>
    <t>white</t>
  </si>
  <si>
    <t>olie</t>
  </si>
  <si>
    <t>oil</t>
  </si>
  <si>
    <t>#AAAAAA</t>
  </si>
  <si>
    <t>aannames</t>
  </si>
  <si>
    <t>informatie</t>
  </si>
  <si>
    <t>def CES RM pagina 17, energiestromendiagram 2035</t>
  </si>
  <si>
    <t>export waterstof</t>
  </si>
  <si>
    <t>Elektriciteitsverbruik voor directe elektrificatie</t>
  </si>
  <si>
    <t>CO2</t>
  </si>
  <si>
    <t>Check</t>
  </si>
  <si>
    <t xml:space="preserve">    Algemene uitgangspunten</t>
  </si>
  <si>
    <t xml:space="preserve">    Input voor sankey diagram (definitie van flows en specificatie van bronnen en aannames)</t>
  </si>
  <si>
    <t xml:space="preserve">   Uitgangspunten</t>
  </si>
  <si>
    <t xml:space="preserve">   Analyse</t>
  </si>
  <si>
    <t>ONDERDEEL</t>
  </si>
  <si>
    <t>WAARDE</t>
  </si>
  <si>
    <t>EENHEID</t>
  </si>
  <si>
    <t>OPMERKING</t>
  </si>
  <si>
    <t>definitieve CES3.0 Rotterdam-Moerdijk, pagina 17, energiestromendiagram 2035</t>
  </si>
  <si>
    <t>definitieve CES3.0 Rotterdam-Moerdijk, "Circa een kwart van de toegenomen vraag is voor directe elektrificatie van bestaande fabrieken en dan met name de inzet van e-boilers."</t>
  </si>
  <si>
    <t>Opmerkingen</t>
  </si>
  <si>
    <t>Vraag waterstof volgens CES</t>
  </si>
  <si>
    <t>2021: PRODUCTIE GRIJZE WATERSTOF UIT AARDGAS EN RESTGAS</t>
  </si>
  <si>
    <t>2035: SUBSTITUTIE VAN GRIJZE WATERSTOF UIT AARDGAS MET BLAUWE WATERSTOF UIT AARDGAS</t>
  </si>
  <si>
    <t>2035: SUBSTITUTIE VAN GRIJZE WATERSTOF UIT RESTGAS  MET BLAUWE WATERSTOF UIT RESTGAS</t>
  </si>
  <si>
    <t>2035: SUBSTITUTIE VAN GRIJZE WATERSTOF UIT AARDGAS  MET BLAUWE WATERSTOF UIT RESTGAS</t>
  </si>
  <si>
    <t>2021: PRODUCTIE BLAUWE WATERSTOF UIT AARDGAS EN RESTGAS</t>
  </si>
  <si>
    <t>2021: Volume aardgas voor de productie van grijze waterstof</t>
  </si>
  <si>
    <t>2021: Volume restgas voor de productie van grijze waterstof</t>
  </si>
  <si>
    <t>2021: Volume grijze waterstof geproduceerd uit aardgas</t>
  </si>
  <si>
    <t>2021: Volume grijze waterstof geproduceerd uit restgas</t>
  </si>
  <si>
    <t>2021: Volume aardgas voor de productie van blauwe waterstof</t>
  </si>
  <si>
    <t>2021: Volume restgas voor de productie van blauwe waterstof</t>
  </si>
  <si>
    <t>2021: Volume blauwe waterstof geproduceerd uit aardgas</t>
  </si>
  <si>
    <t>2021: Volume blauwe waterstof geproduceerd uit restgas</t>
  </si>
  <si>
    <t>2035: Percentage van grijze waterstof uit aardgas wat wordt gesubstitueerd met blauwe waterstof uit aardgas</t>
  </si>
  <si>
    <t>2035: Volume aardgas</t>
  </si>
  <si>
    <t>2035: Volume blauwe waterstof</t>
  </si>
  <si>
    <t>2035: Volume restgas</t>
  </si>
  <si>
    <t>2035: Percentage van grijze waterstof uit aardgas  wat wordt gesubstitueerd met blauwe waterstof uit restgas</t>
  </si>
  <si>
    <t>2035: RESTERENDE GRIJZE WATERSTOFPRODUCTIE UIT AARDGAS</t>
  </si>
  <si>
    <t>2035: RESTERENDE GRIJZE WATERSTOFPRODUCTIE UIT RESTGAS</t>
  </si>
  <si>
    <t>2035: Volume grijze waterstof</t>
  </si>
  <si>
    <t>2035: ADDITIONELE BLAUWE WATERSTOFPRODUCTIE UIT AARDGAS</t>
  </si>
  <si>
    <t>2035: ADDITIONELE BLAUWE WATERSTOFPRODUCTIE UIT RESTGAS</t>
  </si>
  <si>
    <t>2035: RESTERENDE INZET RESTGAS VOOR DIRECTE VERBRANDING</t>
  </si>
  <si>
    <t>2035: SUBSTITUTIE VAN AARDGASVERBRANDING MET RESTGASVERBRANDING</t>
  </si>
  <si>
    <t>2035: RESTERENDE INZET AARDGAS VOOR DIRECTE VERBRANDING</t>
  </si>
  <si>
    <t>2021: INZET RESTGAS VOOR DIRECTE VERBRANDING</t>
  </si>
  <si>
    <t>2035: ADDITIONELE INZET AARDGAS VOOR DIRECTE VERBRANDING</t>
  </si>
  <si>
    <t>2021: Volume restgas</t>
  </si>
  <si>
    <t>2021: Volume aardgas</t>
  </si>
  <si>
    <t>Grijze waterstofproductie uit aardgas</t>
  </si>
  <si>
    <t>Grijze waterstofproductie uit restgas</t>
  </si>
  <si>
    <t>Blauwe waterstofproductie uit aardgas</t>
  </si>
  <si>
    <t>Blauwe waterstofproductie uit restgas</t>
  </si>
  <si>
    <t>PJ restgas</t>
  </si>
  <si>
    <t>2035: Percentage van grijze waterstof uit restgas wat wordt gesubstitueerd met blauwe waterstof uit restgas</t>
  </si>
  <si>
    <t>2035: SUBSTITUTIE VAN GRIJZE WATERSTOF UIT RESTGAS  MET BLAUWE WATERSTOF UIT AARDGAS</t>
  </si>
  <si>
    <t>2035: Percentage van grijze waterstof uit restgas  wat wordt gesubstitueerd met blauwe waterstof uit aardgas</t>
  </si>
  <si>
    <t>2035: Volume blauwe waterstof geproduceerd</t>
  </si>
  <si>
    <t>2035: Volume aardgas geschrapt</t>
  </si>
  <si>
    <t>2035: Volume aardgas toegevoegd</t>
  </si>
  <si>
    <t>2035: Volume restgas toegevoegd</t>
  </si>
  <si>
    <t>2035: Volume restgas geschrapt</t>
  </si>
  <si>
    <t>2021: CO2-AFVANG</t>
  </si>
  <si>
    <t>2035: CO2-AFVANG</t>
  </si>
  <si>
    <t>2035: CO2-afvang blauwe waterstofproductie uit aardgas</t>
  </si>
  <si>
    <t>2035: CO2-afvang blauwe waterstofproductie uit restgas</t>
  </si>
  <si>
    <t>Groene arcering: uitgangspunt Is overgenomen uit CES</t>
  </si>
  <si>
    <t>Volume blauwe waterstofproductie</t>
  </si>
  <si>
    <t>Schatting op basis van aangenomen volumes waterstofproductie uit restgassen en aangenomen conversie-efficientie SMR</t>
  </si>
  <si>
    <t>SUBSTITUTIE VAN GRIJZE WATERSTOF</t>
  </si>
  <si>
    <t>RESTERENDE GRIJZE EN ADDITIONELE BLAUWE WATERSTOFPRODUCTIE</t>
  </si>
  <si>
    <t>DIRECTE VERBRANDING VAN AARDGAS EN RESTGAS</t>
  </si>
  <si>
    <t>CO2-BALANS</t>
  </si>
  <si>
    <t>Totale CO2-afvang in 2035</t>
  </si>
  <si>
    <t>2035: RESTERENDE CO2-EMISSIES</t>
  </si>
  <si>
    <t>2035: Restgasverbranding</t>
  </si>
  <si>
    <t>2035: Aardgasverbranding</t>
  </si>
  <si>
    <t>2035: Restemissie CO2 bij CC</t>
  </si>
  <si>
    <t>2035: Resterende grijze waterstofproductie uit restgas</t>
  </si>
  <si>
    <t>via</t>
  </si>
  <si>
    <t>aggregatie</t>
  </si>
  <si>
    <t>toelichting basis voor cijfer 2021</t>
  </si>
  <si>
    <t xml:space="preserve">   2035 -  Input voor sankey diagram (aggregatie tekstuele toelichingen per flow naar nodes)</t>
  </si>
  <si>
    <t xml:space="preserve">   2021 -  Input voor sankey diagram (aggregatie tekstuele toelichingen per flow naar nodes)</t>
  </si>
  <si>
    <t>bron_kolen</t>
  </si>
  <si>
    <t>bron_cokes</t>
  </si>
  <si>
    <t>bron_aardolie</t>
  </si>
  <si>
    <t>bron_biomassa</t>
  </si>
  <si>
    <t>bron_waterstof</t>
  </si>
  <si>
    <t>bron_biogas</t>
  </si>
  <si>
    <t>bron_warmte</t>
  </si>
  <si>
    <t>reserveslot</t>
  </si>
  <si>
    <t>Reserveslot</t>
  </si>
  <si>
    <t>reserveslot_1</t>
  </si>
  <si>
    <t>reserveslot_2</t>
  </si>
  <si>
    <t>reserveslot_3</t>
  </si>
  <si>
    <t>reserveslot_4</t>
  </si>
  <si>
    <t>reserveslot_5</t>
  </si>
  <si>
    <t>reserveslot_6</t>
  </si>
  <si>
    <t>reserveslot_7</t>
  </si>
  <si>
    <t>reserveslot_8</t>
  </si>
  <si>
    <t>reserveslot_9</t>
  </si>
  <si>
    <t>reserveslot_10</t>
  </si>
  <si>
    <t>Kolen</t>
  </si>
  <si>
    <t>Cokes</t>
  </si>
  <si>
    <t>Aardolie</t>
  </si>
  <si>
    <t>Biogas</t>
  </si>
  <si>
    <t>Warmte</t>
  </si>
  <si>
    <t>#EEEEEE</t>
  </si>
  <si>
    <t>def CES RM pagina 17, energiestromendiagram 2021 &amp; 2035</t>
  </si>
  <si>
    <t>definitieve CES3.0 Rotterdam-Moerdijk, energiestromendiagram 2021 &amp; 2035</t>
  </si>
  <si>
    <t>aanname: 50% van grijze waterstofproductie in 2021 word geprpoduceerd uit aardgas en 50% uit restgas</t>
  </si>
  <si>
    <t>Volgens CES wordt er in 2021 geen blauwe waterstof geproduceerd (tabel 4.3.2, pagina 19) en 2035 is ingeschat op basis van volume methaan wat wordt aangewend voor waterstofproductie (grafiek onder 4.4 pagina 19) en aanname conversie-efficientie SMR van 0.65</t>
  </si>
  <si>
    <t>Afgeleid uit indirecte gegevens in CES over blauwe waterstofproductie uit methaan (grafiek onder 4.4, pagina 19)  en het totale productievolume van blauwe waterstof (energiestromendiagram 2035, pagina 17). Aangenomen is dat het volume waterstofproductie wat niet uit aardgas wordt geproduceerd, uit restgas wordt geproduceerd. Voor 2021 geldt dat in de CES is aangegeven dat er in 2021 geen blauwe waterstof wordt geproduceerd (tabel onder 4.3.2, pagina 19).</t>
  </si>
  <si>
    <t>definitieve CES3.0 Rotterdam-Moerdijk, pagina 16, tabel 'Vraag van Aardgas, Elektriciteit, Waterstof in het cluster Rotterdam-Moerdijk op basis geplande projecten'. 2035-vraag is inclusief de vraag naar waterstof voor elektriciteitscentrales (1.7 TWh / 6.12 PJ)</t>
  </si>
  <si>
    <t>Vraag waterstof elektriciteitscentrales</t>
  </si>
  <si>
    <t>Vraag waterstof industrie</t>
  </si>
  <si>
    <t>Afgeleid uit totaalvraag naar waterstof in cluster (pagina 16, tabel 'Vraag van Aardgas, Elektriciteit, Waterstof in het cluster Rotterdam-Moerdijk op basis geplande projecten') en waterstofverbruik voor elektriciteitscentrales (pagina 17, energiestromendiagram 2035)</t>
  </si>
  <si>
    <t>waterstof_naar_elektriciteitscentrales</t>
  </si>
  <si>
    <t>H2 naar e-centrales</t>
  </si>
  <si>
    <t xml:space="preserve"> 2035 is ingeschat op basis van volume methaan wat wordt aangewend voor waterstofproductie (CES, grafiek onder 4.4 pagina 19) </t>
  </si>
  <si>
    <t>2021: AARDGAS INZET VOOR DIRECTE VERBRANDING</t>
  </si>
  <si>
    <t>CO2-afvang</t>
  </si>
  <si>
    <t>2021: CES, tabel onder 4,1, aanname dat 0.6 Mton van toeppassing op industrie (niet elektriciteitsopwek), 2035: CES, pagina 17, energiestromendiagram 2035</t>
  </si>
  <si>
    <t>CO2-afvang ongespecificeerd</t>
  </si>
  <si>
    <t>2021: RESTERENDE CO2-EMISSIES</t>
  </si>
  <si>
    <t>Aardgasverbranding</t>
  </si>
  <si>
    <t>Restgasverbranding</t>
  </si>
  <si>
    <t>Totale CO2-emissie 2035 (industrie)</t>
  </si>
  <si>
    <t>Totale CO2-emissie 2021 (industrie)</t>
  </si>
  <si>
    <t>Toepassing van restgassen voor (grijze) waterstofproductie</t>
  </si>
  <si>
    <t>co2_bron_restgasverbranding</t>
  </si>
  <si>
    <t>co2_bron_aardgasverbranding</t>
  </si>
  <si>
    <t>co2_bron_smr_restgas</t>
  </si>
  <si>
    <t>co2_bron_smr_aardgas</t>
  </si>
  <si>
    <t>co2_afvang_smr_restgas</t>
  </si>
  <si>
    <t>co2_afvang_smr_aardgas</t>
  </si>
  <si>
    <t>co2_afvang_overige</t>
  </si>
  <si>
    <t>co2_bron_reserve_slot1</t>
  </si>
  <si>
    <t>co2_bron_reserve_slot2</t>
  </si>
  <si>
    <t>co2_bron_reserve_slot3</t>
  </si>
  <si>
    <t>co2_bron_reserve_slot4</t>
  </si>
  <si>
    <t>co2_bron_reserve_slot5</t>
  </si>
  <si>
    <t>co2_afvang_reserve_slot1</t>
  </si>
  <si>
    <t>co2_afvang_reserve_slot2</t>
  </si>
  <si>
    <t>co2_afvang_reserve_slot3</t>
  </si>
  <si>
    <t>co2_afvang_reserve_slot4</t>
  </si>
  <si>
    <t>co2_afvang_reserve_slot5</t>
  </si>
  <si>
    <t>Afvang SMR restgas</t>
  </si>
  <si>
    <t>Afvang SMR aardgas</t>
  </si>
  <si>
    <t>Afvang overige</t>
  </si>
  <si>
    <t>CO2 productie</t>
  </si>
  <si>
    <t>co2_productie_totaal</t>
  </si>
  <si>
    <t>CO2 afvang</t>
  </si>
  <si>
    <t>co2_emissies_totaal</t>
  </si>
  <si>
    <t>co2_bron_overige</t>
  </si>
  <si>
    <t>co2_afvang_totaal</t>
  </si>
  <si>
    <t>SMR restgas</t>
  </si>
  <si>
    <t>SMR aardgas</t>
  </si>
  <si>
    <t>co2_afgevangen_totaal</t>
  </si>
  <si>
    <t>scaleDataValueCO2flow</t>
  </si>
  <si>
    <t>co2flow</t>
  </si>
  <si>
    <t>CO2 afvangst</t>
  </si>
  <si>
    <t>TODO</t>
  </si>
  <si>
    <t>Toelichting toevoegen bij co2flow nodes</t>
  </si>
  <si>
    <t>Toelichting toevoegen bij node waterstoflevering aan elektriciteitscentrales</t>
  </si>
  <si>
    <t>CES, pagina 39, figuur 13</t>
  </si>
  <si>
    <t>Energie-inhoud waterstof</t>
  </si>
  <si>
    <t>PJ/kton</t>
  </si>
  <si>
    <t>CES, pafgina 51 figuur 15</t>
  </si>
  <si>
    <t>Vraag naar kolen</t>
  </si>
  <si>
    <t>Gebaseerd op volume groene watersrtofproductie uit CES (CES, pagina 39, figuur 13) en aangenomen conversie-efficientie van 0.7</t>
  </si>
  <si>
    <t>2035: kolen</t>
  </si>
  <si>
    <t>CO2-afvang Tata</t>
  </si>
  <si>
    <t>CES, pafgina 51, tekst</t>
  </si>
  <si>
    <t>CO2-afvang industrie (TSN)</t>
  </si>
  <si>
    <t>CO2-emissies uit kolen (op terrein tata of bij verbranding van restgassen elders)</t>
  </si>
  <si>
    <t>Emissiefactor cokeskolen TSN</t>
  </si>
  <si>
    <t xml:space="preserve">CES, pagina 42, figuur 9. Op basis van een vergelijk met figuur 10 op pagina 44 is te zien dat dit verbruik van kolen uitsluitend betrekking heeft op TSN. </t>
  </si>
  <si>
    <t>#888</t>
  </si>
  <si>
    <t>ok</t>
  </si>
  <si>
    <t>nvt</t>
  </si>
  <si>
    <t>AVI</t>
  </si>
  <si>
    <t>AVI AEB Amsterdam</t>
  </si>
  <si>
    <t>percentage van CO2-content kolen/cokes input TSN wat uiteindelijk wordt uitgestoten naar de atmosfeer (de rest gaat in product en slakken)</t>
  </si>
  <si>
    <t>CO2-afvang AEB</t>
  </si>
  <si>
    <t>2035: AEB Amsterdam</t>
  </si>
  <si>
    <t>Afvang TSN</t>
  </si>
  <si>
    <t>Afvang AVI</t>
  </si>
  <si>
    <t>CES pagina 24, figuurr 2.6</t>
  </si>
  <si>
    <t>waterstofproductie industrie in 2021</t>
  </si>
  <si>
    <t>waterstofproductie industrie in 2035</t>
  </si>
  <si>
    <t>verschil in waterstofproductie uit aard/restgas tussen 2021 en 2035</t>
  </si>
  <si>
    <t>Blauwe waterstofproductie totaal</t>
  </si>
  <si>
    <t>CES pagina 32 figuur 2.10</t>
  </si>
  <si>
    <t>kton aardgas in 2021</t>
  </si>
  <si>
    <t>kton aardgas in 2023</t>
  </si>
  <si>
    <t>Berekend</t>
  </si>
  <si>
    <t>CES pagina 32 figuur 2.10, vraag industrie + vraag 'lokale_export'</t>
  </si>
  <si>
    <t>vraag</t>
  </si>
  <si>
    <t>aanbod</t>
  </si>
  <si>
    <t>vraag+export</t>
  </si>
  <si>
    <t>vraag+export+doorvoer</t>
  </si>
  <si>
    <t>doorvoer waterstof (NH3)</t>
  </si>
  <si>
    <t>productie 2035</t>
  </si>
  <si>
    <t>grijze waterstof</t>
  </si>
  <si>
    <t>blauwe waterstof</t>
  </si>
  <si>
    <t>groene waterstof</t>
  </si>
  <si>
    <t>bron: CES pagina 49 figuur 2.9</t>
  </si>
  <si>
    <t>Biomassa</t>
  </si>
  <si>
    <t>Afval</t>
  </si>
  <si>
    <t>Biomassa verbruik industrie (voor WKK)</t>
  </si>
  <si>
    <t>Afvalverbruik industrie (voor elektriciteitsproductie)</t>
  </si>
  <si>
    <t>PJ grijs afval/jaar</t>
  </si>
  <si>
    <t>PJ biomassa/jaar</t>
  </si>
  <si>
    <t>2035: fig4.3,pagina2&amp;fig4.4,pagina22</t>
  </si>
  <si>
    <t>2021: fig 4.1 pagina 11, 2035: fig</t>
  </si>
  <si>
    <t>waterstofproductie uit</t>
  </si>
  <si>
    <t>waterstofaanbod</t>
  </si>
  <si>
    <t>gemiddelde conversie-eff H2-prod</t>
  </si>
  <si>
    <t>Aanname, conversie-efficientie elektrolyse &amp; SMR gelijk gesteld op 0.65 naar fit op balasn tussen primair verbruik aardgas en elektriciteit vs productie waterstof</t>
  </si>
  <si>
    <t>2021: fig 4.1 pagaina 11,2035: fig 4.8 pagina 29</t>
  </si>
  <si>
    <t>Emissiefactor houshoudelijk afval</t>
  </si>
  <si>
    <t>Afvalverbranding</t>
  </si>
  <si>
    <t>CO2-afvang blauwe waterstofproductie</t>
  </si>
  <si>
    <t>CO2-afvang overig industrie</t>
  </si>
  <si>
    <t>Blauwe waterstofproductie met SMR</t>
  </si>
  <si>
    <t>Aardgasverbruik SMR voor blauwe waterstofproductie</t>
  </si>
  <si>
    <t>2035: resterende CO2-emissies bij CC (deel industriele activiteiten)</t>
  </si>
  <si>
    <t>2035: resterende CO2-emissies bij CC (deel blauwe waterstofproductie)</t>
  </si>
  <si>
    <t>2035: fig 4.3,pagina21. Waterstofverbruik e-centrales (2 TWh) volledig buiten beschouwing gelaten.</t>
  </si>
  <si>
    <t>bron_afval</t>
  </si>
  <si>
    <t>Non-biogeen afval</t>
  </si>
  <si>
    <t>afval</t>
  </si>
  <si>
    <t>biomassa</t>
  </si>
  <si>
    <t>2035: Afvalverbranding</t>
  </si>
  <si>
    <t>setting</t>
  </si>
  <si>
    <t>waarde</t>
  </si>
  <si>
    <t>projectID</t>
  </si>
  <si>
    <t>productID</t>
  </si>
  <si>
    <t>A</t>
  </si>
  <si>
    <t>versionID</t>
  </si>
  <si>
    <t>v1</t>
  </si>
  <si>
    <t>CES3</t>
  </si>
  <si>
    <t>dataVersion</t>
  </si>
  <si>
    <t>scenario4_zeeland_2021</t>
  </si>
  <si>
    <t>scenario0_alle_2021</t>
  </si>
  <si>
    <t>scenario1_alle_2035</t>
  </si>
  <si>
    <t>scenario2_rotterdammoerdijk_2021</t>
  </si>
  <si>
    <t>scenario3_rotterdammoerdijk_2035</t>
  </si>
  <si>
    <t>scenario5_zeeland_2035</t>
  </si>
  <si>
    <t>scenario6_noordzeekanaalgebied_2021</t>
  </si>
  <si>
    <t>scenario7_noordzeekanaalgebied_2035</t>
  </si>
  <si>
    <t>scenario8_noordnederland_2021</t>
  </si>
  <si>
    <t>scenario9_noordnederland_2035</t>
  </si>
  <si>
    <t>Grijze waterstof</t>
  </si>
  <si>
    <t>scenario10_chemelot_2021</t>
  </si>
  <si>
    <t>scenario11_chemelot_2035</t>
  </si>
  <si>
    <t>CES pagina 92 figuur vraag methaan (26 TWh aardgas)</t>
  </si>
  <si>
    <t>2035: aangenomen dat 23 PJ van grijze waterstofproductie uit restgas op CCS wordt gezet.</t>
  </si>
  <si>
    <t>sloe</t>
  </si>
  <si>
    <t>elsta</t>
  </si>
  <si>
    <t>https://studenttheses.uu.nl/bitstream/handle/20.500.12932/15552/Master%20thesis%20Gabe%20van%20Wijk%203813215%20.pdf?sequence=2&amp;isAllowed=y</t>
  </si>
  <si>
    <t>aandeel sloe</t>
  </si>
  <si>
    <t>aandeel elsta</t>
  </si>
  <si>
    <t>gasverbruik e-centrales</t>
  </si>
  <si>
    <t>aardgasvraag volgens reflectie CES</t>
  </si>
  <si>
    <t>2035: Resterende grijze waterstofproductie uit aardgas</t>
  </si>
  <si>
    <t>elektriciteitsproductie uit 'elektriciteitsopwek overig'</t>
  </si>
  <si>
    <t>gasverbruik e-centrales 2035</t>
  </si>
  <si>
    <t>Additioneel ongespecificeerd elektriciteitsverbruik</t>
  </si>
  <si>
    <t>2021: fit op netto CO2-emissie. 2035: overgenomen uit 2021, aangenomen dat zelfde volume restgassen in systeem</t>
  </si>
  <si>
    <r>
      <t>2021: Fit op CO2-emissie van 16 Mton, restgasverbranding is de sluitpost.</t>
    </r>
    <r>
      <rPr>
        <sz val="12"/>
        <color rgb="FFFF0000"/>
        <rFont val="Aptos Narrow (Body)"/>
      </rPr>
      <t xml:space="preserve"> 2035: totaal restgasverbruik gelijk gehouden tussen 2021 en 2035, onder aanname dat behoud zelfde volume restgas in systeem</t>
    </r>
  </si>
  <si>
    <t>2035: CES noteert 20 PJ restant grijze waterstofproductie in 2035. Aangenomen dat 10PJ uit aardgas en 10 PJ uit restgas. CES noteert 71 PJ blauwe waterstofproductie. 10 PJ blauwe waterstofproductie is dan afkomstig uit restgas, de overige 71 - 10 = 61 PJ uit aardgas.</t>
  </si>
  <si>
    <t>rendement</t>
  </si>
  <si>
    <t>2021: CO2-EMISSIES</t>
  </si>
  <si>
    <t>Elektriciteitscentrales</t>
  </si>
  <si>
    <t>Referentieniveau waterstofverbruik 2021</t>
  </si>
  <si>
    <t>Referentieniveau elektriciteitsverbruik 2021</t>
  </si>
  <si>
    <t>Additioneel elektriciteitsverbruik voor directe elektrificatie</t>
  </si>
  <si>
    <t>Additioneel ongespecificeerd waterstofverbruik</t>
  </si>
  <si>
    <t>&lt;aanname&gt;&lt;strong&gt;[Rotterdam-Moerdijk]&lt;/strong&gt; De CES stelt dat circa een kwart van de toegenomen vraag is toe te schrijven aan directe elektrificatie van bestaande fabrieken. &lt;strong&gt;Aangenomen&lt;/strong&gt; is dat dit een kwart betreft ten opzichte van de totale toename in elektriciteitsvebruik inclusief elektrolyse.&lt;/aanname&gt;</t>
  </si>
  <si>
    <t>&lt;bron&gt;&lt;strong&gt;[Rotterdam-Moerdijk]&lt;/strong&gt; Het totaalvolume elektriciteitsverbruik is overgenomen uit de CES.&lt;/bron&gt;</t>
  </si>
  <si>
    <t>&lt;info&gt;&lt;strong&gt;[Noordzeekanaalgebied]&lt;/strong&gt; toelichting proces TSN&lt;/info&gt;</t>
  </si>
  <si>
    <t>&lt;bron&gt;&lt;strong&gt;[Noord-Nederland]&lt;/strong&gt; Het totaalvolume elektriciteitsverbruik is overgenomen uit de CES.&lt;/bron&gt;</t>
  </si>
  <si>
    <t>Productie van elektriciteit uit aardgas (Hemweg/Diemen)</t>
  </si>
  <si>
    <t>Aardgasverbruik cluster</t>
  </si>
  <si>
    <t>Conversie-rendement Hemweg/Diemen</t>
  </si>
  <si>
    <t>%</t>
  </si>
  <si>
    <t>Zijn 4 eenheden met verschillende rendementen. Schatting gemiddeld rendement 50%.</t>
  </si>
  <si>
    <t>CES, pagina 42, figuur 9</t>
  </si>
  <si>
    <t>Berekend door aftrek van aangenomen aardgasverbruik voor elektriciteitsproductie</t>
  </si>
  <si>
    <t>Het overige restgasverbruik wordt aangewend voor de productie van proceswarmte. Dit volume (41 PJ) is een schatting, gebaseerd op de aanname dat het totaalvolume restgasverbruik wat wordt aangewend voor directe verbrading en voor waterstofproductie in 2035 gelijk blijft aan het totaalvolume restgasverbruik in 2021.&lt;/aanname&gt;</t>
  </si>
  <si>
    <t>&lt;aanname&gt;&lt;strong&gt;[Rotterdam-Moerdijk]&lt;/strong&gt; De CES bevat geen informatie over restgassen.  Het restgasverbruik is bijgeschat om de productie van proceswarmte en waterstof uit restgas en de daaraan gerelateerde CO&lt;sub&gt;2&lt;/sub&gt;-emissies in de analyse te ondervangen.</t>
  </si>
  <si>
    <t>&lt;aanname&gt;&lt;strong&gt;[Rotterdam-Moerdijk]&lt;/strong&gt; Het grootste deel van de in het cluster voorziene waterstofproductie wordt in 2035 net als in 2021 geproduceerd uit aardgas en restgassen met Steam Methane Reforming (SMR). De aandelen aardgas en restgassen die hiervoor worden aangewend zijn niet specifiek vermeld in de CES. Wel noteert de CES een methaanverbruik voor de productie van blauwe waterstof van circa 100 PJ, aangenomen is dat volledig uit aardgas bestaat. Op basis van een aangenomen SMR conversie-efficiëntie van 65% is ingeschat dat hieruit 65 PJ blauwe waterstof wordt geproduceerd. Volgens de CES wordt er in 2035 in totaal 128 PJ blauwe waterstof in het cluster geproduceerd. Het resterende deel (128 - 65 = 63 PJ) van het totale blauwe waterstofproductievolume is verondersteld te worden geproduceerd uit restgas, eveneens met een aangenomen conversie-efficiëntie van 65%.&lt;/aanname&gt;</t>
  </si>
  <si>
    <t>CO2-uitstoot industrie (incl. elektriciteitscentrales)</t>
  </si>
  <si>
    <t>https://www.binnenlandsbestuur.nl/ruimte-en-milieu/klimaatambitie-amsterdam-alleen-haalbaar-met-grote-ingrepen#:~:text=Maar%20AEB%20heeft%20een%20totale,koolstofdioxide%20worden%20afgevangen%20en%20opgeslagen</t>
  </si>
  <si>
    <t>CO2-uitstoot industrie (excl. elektriciteitscentrales)</t>
  </si>
  <si>
    <t>CO2-uitstoot industrie (incl elektriciteitscentrales)</t>
  </si>
  <si>
    <t>CES pagina 25 figuur 2.12.</t>
  </si>
  <si>
    <r>
      <t>CES pagina 7 figuur 'Schelde-Deltaregio Scope 1 Emissiereductie'.</t>
    </r>
    <r>
      <rPr>
        <sz val="12"/>
        <color rgb="FFFF0000"/>
        <rFont val="Aptos Narrow (Body)"/>
      </rPr>
      <t xml:space="preserve"> </t>
    </r>
  </si>
  <si>
    <t>elektriciteitsproductie uit 'Elektriciteitsopwek overig' in 2021 - aannemen dat dit elsta en sloe</t>
  </si>
  <si>
    <t>PJ elektriciteitsproductie uit elsta en sloe in 2021</t>
  </si>
  <si>
    <t>elektriciteitsproductie uit 'Elektriciteitsopwek overig' in 2035 - aannemen dat dit elsta en sloe</t>
  </si>
  <si>
    <t>PJ elektriciteitsproductie uit elsta en sloe in 2035</t>
  </si>
  <si>
    <t>elektriciteitscentrales gas</t>
  </si>
  <si>
    <t>2021: aangenomen dat waterstofproductie 2/3 uit aardgas en 1/3 restgas.</t>
  </si>
  <si>
    <t>2021: aangenomen dat waterstofprodutie 2/3 aardgas en 1/3 restgas, willekeurige aanname</t>
  </si>
  <si>
    <t>https://www.emissieautoriteit.nl/binaries/nederlandse-emissieautoriteit/documenten/publicatie/2022/04/14/factsheet-ets-uitstoot-2021/Factsheet+CO2-uitstoot_2021.pdf</t>
  </si>
  <si>
    <t>https://www.bedrijvenbeleidinbeeld.nl/strategische-doelen/verduurzaming-van-het-nederlandse-bedrijfsleven/hoe-staat-nederland-ervoor#:~:text=Emissies%20industrieclusters,procent%20ten%20opzichte%20van%201990.</t>
  </si>
  <si>
    <t>Percentage uitstoot cluster Zeeland</t>
  </si>
  <si>
    <t>ETS-emissies 2021 (Mton)</t>
  </si>
  <si>
    <t>Uitstoot cluster Zeeland 2021</t>
  </si>
  <si>
    <t>&lt;aanname&gt;&lt;strong&gt;[Zeeland]&lt;/strong&gt; De aandelen van waterstofproductie uit aardgas en uit restgas zijn gebaseerd op aannames. Aangenomen is dat 70% van de waterstofvraag in 2021 met waterstofproductie uit aardgas wordt voorzien met een aangenomen conversie-efficientie van 0.70 en dat de overige 30% van de waterstofvraag met waterstofproductie uit restgas wordt voorzien met een aangenomen conversie-efficientie van 0.65. Deze percentages en rendementen leiden in combinatie met een aantal andere aannames tot een goede fit op ordegrootte op de gerapporteerde CO2-emissies (zie (59) voor nadere toelichting).&lt;/aanname&gt;</t>
  </si>
  <si>
    <t>&lt;aanname&gt;&lt;strong&gt;[Zeeland]&lt;/strong&gt; De CES bevat geen informatie over restgassen. Het restgasverbruik is bijgeschat om de productie van proceswarmte en waterstof uit restgas en de daaraan gerelateerde CO&lt;sub&gt;2&lt;/sub&gt;-emissies in de analyse te ondervangen.&lt;br&gt;&lt;br&gt;Aangenomen is dat een deel van de restgassen wordt aangewend voor waterstofproductie. Zie (12) voor toelichting bij het restgasverbruik voor waterstofproductie.&lt;br&gt;&lt;br&gt; Aangenomen is dat er geen directe verbranding van restgassen voor de productie van proceswarmte wordt toegepast, omdat dit tot een te hoge berekende CO&lt;sub&gt;2&lt;/sub&gt;-emissie zou leiden in toevoeging op de emissies die voortkomen uit het aangenomen volume van aardgas wat wordt ingezet voor de productie van elektriciteit, proceswarmte en de aangenomen volumes aardgas en restgas voor inzet van waterstofproductie. &lt;/aanname&gt;</t>
  </si>
  <si>
    <t>&lt;aanname&gt;&lt;strong&gt;[Zeeland]&lt;/strong&gt; De CES bevat geen informatie over restgassen.  Het restgasverbruik is bijgeschat om de productie van proceswarmte en waterstof uit restgas en de daaraan gerelateerde CO&lt;sub&gt;2&lt;/sub&gt;-emissies in de analyse te ondervangen. Aangenomen is dat het volume restgas in 2035 gelijk blijft aan dat in 2021, en aangenomen is dat dit volume conform de aanname voor 2021 volledig wordt ingezet voor waterstofproductie en aangenomen is dat in 2035 CCS wordt toegepast op de volledige productie van waterstof uit restgas. Zie onderdeel (12) voor nadere toelichting bij het restgasverbruik voor waterstofproductie.&lt;/aanname&gt;</t>
  </si>
  <si>
    <t>&lt;aanname&gt;&lt;strong&gt;[Rotterdam-Moerdijk]&lt;/strong&gt; De CES noteert 50 PJ waterstofvraag in 2021, waarin volgens de CES wordt voorzien met grijze waterstofproductie. Aangenomen is dat 50% van deze waterstof wordt geproduceerd uit aardgas en 50% wordt geproduceerd uit restgas, beide met een aangenomen conversie-efficientie van 65%.&lt;/aanname&gt;</t>
  </si>
  <si>
    <t>CES, pagina 48, figuur 12 - Aangenomen is dat het volume elektriciteitsproductie onder 'Energieleverancier productie' volledig van toepassing is op aardgasgestookte centrales.</t>
  </si>
  <si>
    <t>Dit is de CO&lt;sub&gt;2&lt;/sub&gt;-uitstoot afkomstig uit zowel het productieproces van TSN zelf als de verbranding van hoogovengas afkomstig uit het proces van TSN, inclusief de emissies uit de verbranding vanhoogovengas voor de productie van elektriciteit elders.&lt;/aanname&gt;</t>
  </si>
  <si>
    <t>2035: Uitstoot gascentrales</t>
  </si>
  <si>
    <t>2035: Uitstoot kolencentrales</t>
  </si>
  <si>
    <t>Aardgasverbruik elektriciteitscentrales</t>
  </si>
  <si>
    <t>Kolenverbruik elektriciteitscentrales</t>
  </si>
  <si>
    <t>PJ kolen/jaar</t>
  </si>
  <si>
    <t>2021: CES pagina 21 fig 4.1, 2035: CES pagina 21 fig 4.3</t>
  </si>
  <si>
    <t>Emissiefactor kolen voor elektriciteitsproductie</t>
  </si>
  <si>
    <t>Uitstoot gascentrales</t>
  </si>
  <si>
    <t>Uitstoot kolencentrales</t>
  </si>
  <si>
    <t>CO2-uitstoot cluster (incl elektriciteitscentrales)</t>
  </si>
  <si>
    <t>2021,2035: fig 4.7 pagina 29</t>
  </si>
  <si>
    <t>CO2-afvang fossiel</t>
  </si>
  <si>
    <t>2021,2035: fig 4.8 pagina 29</t>
  </si>
  <si>
    <t>Totale CO2-emissie 2021 (cluster)</t>
  </si>
  <si>
    <t>Totale CO2-emissie 2035 (cluster)</t>
  </si>
  <si>
    <t>&lt;aanname&gt;&lt;strong&gt;[Noord-Nederland]&lt;/strong&gt; De berekende totale CO&lt;sub&gt;2&lt;/sub&gt; uitstoot van de industrie (exclusief elektriciteitscentrales en waterstofproductie) bedraagt 1.300 kton CO&lt;sub&gt;2&lt;/sub&gt;, de CES noteert in figuur 4.8 op pagina 30 een CO&lt;sub&gt;2&lt;/sub&gt; uitstoot van de industrie (exclusief elektriciteitscentrales en waterstofproductie) van 1.100 kton CO&lt;sub&gt;2&lt;/sub&gt; (200 kton mismatch). De berekende totale CO&lt;sub&gt;2&lt;/sub&gt; uitstoot inclusief elektriciteitscentrales en waterstofproductie bedraagt 8.400 kton CO&lt;sub&gt;2&lt;/sub&gt;, de CES noteert in figuur 4.7 op pagina 29 een CO&lt;sub&gt;2&lt;/sub&gt; uitstoot inclusief elektriciteitscentrales en waterstofproductie van 9.000 kton CO&lt;sub&gt;2&lt;/sub&gt; (600 kton mismatch).&lt;/aanname&gt;</t>
  </si>
  <si>
    <t>&lt;aanname&gt;&lt;strong&gt;[Noord-Nederland]&lt;/strong&gt; De berekende totale CO&lt;sub&gt;2&lt;/sub&gt; uitstoot van de industrie (exclusief elektriciteitscentrales en waterstofproductie) bedraagt 800 kton CO&lt;sub&gt;2&lt;/sub&gt;, de CES noteert in figuur 4.8 op pagina 30 een CO&lt;sub&gt;2&lt;/sub&gt; uitstoot van de industrie (exclusief elektriciteitscentrales en waterstofproductie) van 400 kton CO&lt;sub&gt;2&lt;/sub&gt; (400 kton mismatch). De berekende totale CO&lt;sub&gt;2&lt;/sub&gt; uitstoot inclusief elektriciteitscentrales en waterstofproductie bedraagt 1.600 kton CO&lt;sub&gt;2&lt;/sub&gt;, de CES noteert in figuur 4.7 op pagina 29 een CO&lt;sub&gt;2&lt;/sub&gt; uitstoot inclusief elektriciteitscentrales en waterstofproductie van 1.000 kton CO&lt;sub&gt;2&lt;/sub&gt; (600 kton mismatch).&lt;/aanname&gt;</t>
  </si>
  <si>
    <t>CES, pagina 48, figuur 12.</t>
  </si>
  <si>
    <t>Kolen TSN (incl. emissies hoogovengas)</t>
  </si>
  <si>
    <t>&lt;bron&gt;&lt;strong&gt;[Rotterdam-Moerdijk]&lt;/strong&gt; Het totaalvolume aardgasverbruik is overgenomen uit de CES. Dit is het volume aardgasverbruik exclusief elektriciteitscentrales (pagina 17).&lt;/bron&gt;&lt;aanname&gt;&lt;strong&gt;[Rotterdam-Moerdijk]&lt;/strong&gt; De CES noteert voor 2021 alleen een totaalvolume industrieel aardgasverbruik en geeft geen uitsplitsing van dit aardgasverbruik naar specifieke toepassingen. De uitsplitsing van dit totaalvolume naar waterstofproductie en andere industriele toepassingen is daarom gebaseerd op een aantal aannames. Voor het aandeel aardgas wat wordt aangewend voor waterstofproductie is aangenomen dat 50% van de waterstofvraag in 2021 met waterstofproductie uit aardgas wordt voorzien en is aangenomen dat hiebij een conversie-efficientie van 0.65 van toepassing is. Het volume aardgas wat wordt aangewend voor overige industriele processen is vervolgens berekend door het aangenomen volume aardgas voor waterstofproductie op het het in de CES opgegeven totale aardgasverbruik in mindering te brengen.&lt;/aanname&gt;</t>
  </si>
  <si>
    <t>&lt;aanname&gt;&lt;strong&gt;[Rotterdam-Moerdijk]&lt;/strong&gt; Het totaalvolume aardgasverbruik is overgenomen uit de CES (pagina 17), de uitsplitsing naar waterstofproductie en ander industrieel verbruik zijn ingeschat op basis van het uit de CES overgenomen volume waterstof wat uit methaan wordt geproduceerd en een aangenomen conversie-efficientie van 65%. Het volume aardgas wat wordt aangewend voor het industrieel verbruik naast waterstofproductie is berekend door het aangenomen volume aardgas voor waterstofproductie op het totale aardgasverbruik in mindering te brengen.&lt;/aanname&gt;</t>
  </si>
  <si>
    <t>&lt;bron&gt;&lt;strong&gt;[Rotterdam-Moerdijk]&lt;/strong&gt; Het totaalvolume waterstofvraag is overgenomen uit de CES (pagina 16).&lt;/bron&gt;</t>
  </si>
  <si>
    <t>&lt;bron&gt;&lt;strong&gt;[Rotterdam-Moerdijk]&lt;/strong&gt; Het exportvolume waterstof is overgenomen uit de CES (pagina 17).&lt;/bron&gt;</t>
  </si>
  <si>
    <t>&lt;bron&gt;&lt;strong&gt;[Rotterdam-Moerdijk]&lt;/strong&gt; Het productievolume grijze waterstof Is overgenomen uit de CES (pagina 19).&lt;/bron&gt;</t>
  </si>
  <si>
    <t>&lt;bron&gt;&lt;strong&gt;[Rotterdam-Moerdijk]&lt;/strong&gt; Het importvolume waterstof is overgenomen uit de CES (pagina 17).&lt;/bron&gt;</t>
  </si>
  <si>
    <t>&lt;bron&gt;&lt;strong&gt;[Rotterdam-Moerdijk]&lt;/strong&gt; Het productievolume blauwe waterstof is overgenomen uit de CES (pagina 19).&lt;/bron&gt;</t>
  </si>
  <si>
    <t>&lt;bron&gt;&lt;strong&gt;[Rotterdam-Moerdijk]&lt;/strong&gt; Het productievolume groene waterstof is overgenomen uit de CES (pagina 17, pagina 19).&lt;/bron&gt;</t>
  </si>
  <si>
    <t>&lt;bron&gt;&lt;strong&gt;[Rotterdam-Moerdijk]&lt;/strong&gt; Het volume elektriciteitsverbruik voor groene waterstofproductie is overgenomen uit de CES (pagina 17).&lt;/bron&gt;</t>
  </si>
  <si>
    <t>&lt;bron&gt;&lt;strong&gt;[Rotterdam-Moerdijk]&lt;/strong&gt; Het totaalvolume elektriciteitsverbruik is overgenomen uit de CES (pagina 17).&lt;/bron&gt;</t>
  </si>
  <si>
    <t>&lt;aanname&gt;&lt;strong&gt;[Rotterdam-Moerdijk]&lt;/strong&gt; De berekende CO&lt;sub&gt;2&lt;/sub&gt; uitstoot voor 2035 (8.100 kton) komt niet volledig overeen met de in de CES genoteerde CO2-uitstoot voor 2035 (8.300 kton (pagina 17), 200 kton verschil).&lt;/aanname&gt;</t>
  </si>
  <si>
    <t>&lt;aanname&gt;&lt;strong&gt;[Rotterdam-Moerdijk]&lt;/strong&gt; Volgens de CES wordt in 2035 9.500 kton CO&lt;sub&gt;2&lt;/sub&gt; afgevangen uit industriele processen (exclusief elektriciteitscentrales) (pagina 17). Aangenomen is dat deze afvang volledig van toepassing is op de productie van blauwe waterstof uit aardgas en restgas (n= 65%) met een aangenomen CO&lt;sub&gt;2&lt;/sub&gt; capture rate van 80%.&lt;/aanname&gt;</t>
  </si>
  <si>
    <t>&lt;aanname&gt;&lt;strong&gt;[Rotterdam-Moerdijk]&lt;/strong&gt; De CES bevat geen informatie over restgassen. Het restgasverbruik is bijgeschat om de productie van proceswarmte en waterstof uit restgas en de daaraan gerelateerde CO&lt;sub&gt;2&lt;/sub&gt;-emissies in de analyse te ondervangen. Aangenomen is dat een deel van de restgassen wordt aangewend voor waterstofproductie (zie (12) voor toelichting bij het restgasverbruik voor waterstofproductie).&lt;br&gt;&lt;br&gt; Aangenomen is dat het overige restgasverbruik (anders dan voor waterstofproductie) wordt aangewend voor de productie van proceswarmte. Dit volume (61 PJ) is ingeschat op basis van een fit op de totale in de CES gerapporteerde industriele fossiele CO2-uitstoot van 16.000 kton in 2021 (pagina 17).&lt;/aanname&gt;</t>
  </si>
  <si>
    <t>&lt;aanname&gt;&lt;strong&gt;[Rotterdam-Moerdijk]&lt;/strong&gt; De berekende CO&lt;sub&gt;2&lt;/sub&gt; uitstoot is via het aangenomen volume directe verbranding van restgassen gefit op de in de CES genoteerde CO2-uitstoot van industrie voor 2021 (16.000 kton, pagina 17).&lt;/aanname&gt;</t>
  </si>
  <si>
    <t>&lt;bron&gt;&lt;strong&gt;[Zeeland]&lt;/strong&gt; Het totaalvolume elektriciteitsverbruik is overgenomen uit de CES (pagina 24, figuur 2.6)&lt;/bron&gt;</t>
  </si>
  <si>
    <t>&lt;bron&gt;&lt;strong&gt;[Zeeland]&lt;/strong&gt; Het totaalvolume waterstofvraag is overgenomen uit de CES (pagina 32, figuur 2.10).&lt;/bron&gt;</t>
  </si>
  <si>
    <t>&lt;bron&gt;&lt;strong&gt;[Zeeland]&lt;/strong&gt; Het exportvolume waterstof is overgenomen uit de CES (pagina 32, figuur 2.10).&lt;/bron&gt;</t>
  </si>
  <si>
    <t>&lt;bron&gt;&lt;strong&gt;[Zeeland]&lt;/strong&gt; Het importvolume waterstof is overgenomen uit de CES (pagina 32, figuur 2.10).&lt;/bron&gt;</t>
  </si>
  <si>
    <t>&lt;bron&gt;&lt;strong&gt;[Zeeland]&lt;/strong&gt; Het productievolume grijze waterstof Is overgenomen uit de CES (pagina 32 figuur 2.10, pagina 29 figuur 2.9).&lt;/bron&gt;</t>
  </si>
  <si>
    <t>&lt;bron&gt;&lt;strong&gt;[Zeeland]&lt;/strong&gt; Het productievolume blauwe waterstof is overgenomen uit de CES (pagina 29 figuur 2.9).&lt;/bron&gt;</t>
  </si>
  <si>
    <t>&lt;bron&gt;&lt;strong&gt;[Zeeland]&lt;/strong&gt; Het productievolume groene waterstof is overgenomen uit de CES (pagina 32 figuur 2.10, pagina 29 figuur 2.9).&lt;/bron&gt;</t>
  </si>
  <si>
    <t>&lt;bron&gt;&lt;strong&gt;[Zeeland]&lt;/strong&gt; Het volume elektriciteitsverbruik voor groene waterstofproductie is overgenomen uit de CES (pagina 24, figuur 2.6).&lt;/bron&gt;</t>
  </si>
  <si>
    <t>&lt;aanname&gt;&lt;strong&gt;[Zeeland]&lt;/strong&gt; Het grootste deel van de in het cluster voorziene waterstofproductie wordt in 2035 geproduceerd uit aardgas en restgas. De aandelen aardgas en restgas die hiervoor worden aangewend zijn niet specifiek vermeld in de CES. De CES noteert dat er in 2035 71 PJ blauwe en 20 PJ grijze waterstof in het cluster wordt geproduceerd voor een totaal van 91 PJ waterstofproductie uit fossiele bronnen. Aangenomen is dat het totale veronderstele volume restgassen van 54 PJ wat in het cluster vrijkomt in 2035 volledig wordt aangewend voor blauwe waterstofproductie, wat bij een conversie-rendement van 0.65 circa 20 PJ blauwe waterstofproductie oplevert. Aangenomen is dat de resterende 71-20 = 51 PJ blauwe waterstof uit aardgas wordt geproduceerd. Deze aannames zijn gebaseerd op een fit op het totale industriele aardgasverbruik - een hoger aandeel waterstofproductie uit aardgas zou het totaalvolume industrieel verbruik van aardgas doen overschrijden (zie (1) voor nadere toelichting bij dit aangenomen totaalvolume industrieel verbruik van aardgas). &lt;/aanname&gt;</t>
  </si>
  <si>
    <t>&lt;aanname&gt;&lt;strong&gt;[Zeeland]&lt;/strong&gt; De berekende totale CO&lt;sub&gt;2&lt;/sub&gt; uitstoot van de industrie bedraagt 9.600 kton CO&lt;sub&gt;2&lt;/sub&gt;. In de energiebalans en de berekende emissies is van een aardgasverbruik van 23 PJ voor elektriciteitscentrales uitgegaan, waarbij circa 1.300 CO&lt;sub&gt;2&lt;/sub&gt; emissie vrijkomt. De totale berekende CO&lt;sub&gt;2&lt;/sub&gt; uitstoot van het cluster komt daarmee op 10.900 kton CO&lt;sub&gt;2&lt;/sub&gt;. Dit wijkt af van de in de CES gerapporteerde CO2-uitstoot van 9.300 kton CO&lt;sub&gt;2&lt;/sub&gt; (pagina 49, figuur 3.1), maar komt wel dichter in de buurt van de CO&lt;sub&gt;2&lt;/sub&gt; uitstoot van 10.300 kton gerapporteerd door de &lt;a href="https://www.emissieautoriteit.nl/binaries/nederlandse-emissieautoriteit/documenten/publicatie/2022/04/14/factsheet-ets-uitstoot-2021/Factsheet+CO2-uitstoot_2021.pdf"&gt;NEa&lt;/a&gt; en &lt;a href="https://www.bedrijvenbeleidinbeeld.nl/strategische-doelen/verduurzaming-van-het-nederlandse-bedrijfsleven/hoe-staat-nederland-ervoor#:~:text=Emissies%20industrieclusters,procent%20ten%20opzichte%20van%201990."&gt;EZK&lt;/a&gt;. &lt;/aanname&gt;</t>
  </si>
  <si>
    <t>&lt;aanname&gt;&lt;strong&gt;[Zeeland]&lt;/strong&gt; De berekende totale CO&lt;sub&gt;2&lt;/sub&gt; uitstoot van de industrie bedraagt 3.200 kton CO&lt;sub&gt;2&lt;/sub&gt;. In de energiebalans en de berekende emissies is van een aardgasverbruik van 15 PJ voor elektriciteitscentrales uitgegaan, waarbij circa 800 kton CO&lt;sub&gt;2&lt;/sub&gt; emissie vrijkomt. De totale berekende CO&lt;sub&gt;2&lt;/sub&gt; uitstoot van het cluster komt daarmee voor 2035 uit op 4.000 kton CO&lt;sub&gt;2&lt;/sub&gt;. Dit is in overeenstemming met de 4.000 kton in 2035 resterende CO&lt;sub&gt;2&lt;/sub&gt; emissie genoteerd in de CES (pagina 49, figuur 3.1).&lt;/aanname&gt;</t>
  </si>
  <si>
    <t>&lt;bron&gt;&lt;strong&gt;[Zeeland]&lt;/strong&gt; Het totaalvolume elektriciteitsverbruik is overgenomen uit de CES (pagina 24, figuur 2.6).&lt;/bron&gt;</t>
  </si>
  <si>
    <t>&lt;aanname&gt;&lt;strong&gt;[Zeeland]&lt;/strong&gt; Uit de CES is een totaalvolume aardgasverbruik van 55 PJ overgenomen (pagina 42, figuur 9). Dit volume is inclusief het aardgasverbruik van elektriciteitscentrales. Op basis van de elektriciteitsbalans in figuur 12 op pagina 48 van de CES is een inschatting gemaakt van het aardgasverbruik van gasgestookte elektriciteitscentrales (19 PJ aardgas, gebaseerd op aangenomen conversie-efficientie van 50%). Dit volume is in mindering gebracht op de totaalvraag om tot een inschatting van de netto vraag naar aardgas voor industriele toepassingen te komen (55 - 38 = 17 PJ aardgas).&lt;/aanname&gt;</t>
  </si>
  <si>
    <t>&lt;aanname&gt;&lt;strong&gt;[Noordzeekanaalgebied]&lt;/strong&gt; Uit de CES is een totaalvolume aardgasverbruik van 41 PJ overgenomen (pagina 42, figuur 9). Dit volume is inclusief het aardgasverbruik van elektriciteitscentrales. Op basis van de elektriciteitsbalans in figuur 12 op pagina 48 van de CES is een inschatting gemaakt van het aardgasverbruik van aardgasgestookte elektriciteitscentrales (24 PJ aardgas, gebaseerd op een aangenomen conversie-efficientie van 50%). Dit resulteert in een aangenomen 41 - 24 = 17 PJ aardgasverbruik voor industriele toepassingen.&lt;/aanname&gt;</t>
  </si>
  <si>
    <t>&lt;bron&gt;&lt;strong&gt;[Noordzeekanaalgebied]&lt;/strong&gt; Het totaalvolume elektriciteitsverbruik is overgenomen uit de CES (pagina 48, figuur 12).&lt;/bron&gt;</t>
  </si>
  <si>
    <t>&lt;bron&gt;&lt;strong&gt;[Noordzeekanaalgebied]&lt;/strong&gt; Het exportvolume waterstof is overgenomen uit de CES (pagina 39, figuur 13).&lt;/bron&gt;</t>
  </si>
  <si>
    <t>&lt;bron&gt;&lt;strong&gt;[Noordzeekanaalgebied]&lt;/strong&gt; Het importvolume waterstof is overgenomen uit de CES (pagina 39, figuur 13).&lt;/bron&gt;</t>
  </si>
  <si>
    <t>&lt;bron&gt;&lt;strong&gt;[Noordzeekanaalgebied]&lt;/strong&gt; Het productievolume groene waterstof is overgenomen uit de CES (pagina 39, figuur 13).&lt;/bron&gt;</t>
  </si>
  <si>
    <t>&lt;aanname&gt;&lt;strong&gt;[Noordzeekanaalgebied]&lt;/strong&gt; De CES noteert 11 PJ groene waterstofproductie (pagina 39, figuur 13). Het volume elektriciteitsverbruik voor groene waterstofproductie is ingeschat op basis van een &lt;strong&gt;aangenomen&lt;/strong&gt; conversie-rendement van 70%.&lt;/aanname&gt;</t>
  </si>
  <si>
    <t>&lt;bron&gt;&lt;strong&gt;[Noordzeekanaalgebied]&lt;/strong&gt; De 600 kton CO&lt;sub&gt;2&lt;/sub&gt; afvangst bij TSN is overgenomen uit de CES (pagina 37).&lt;/bron&gt;</t>
  </si>
  <si>
    <t>&lt;bron&gt;&lt;strong&gt;[Noordzeekanaalgebied]&lt;/strong&gt; De 500 kton CO&lt;sub&gt;2&lt;/sub&gt; afvangst bij AEB is overgenomen uit de CES (pagina 37).&lt;/bron&gt;</t>
  </si>
  <si>
    <t>&lt;aanname&gt;&lt;strong&gt;[Noordzeekanaalgebied]&lt;/strong&gt; De berekende totale CO&lt;sub&gt;2&lt;/sub&gt; uitstoot van de industrie bedraagt 13.000 kton CO&lt;sub&gt;2&lt;/sub&gt;. &lt;em&gt;Dit is inclusief de emissies die voortkomen uit de verbranding van hoogovengas elders voor de productie van elektriciteit&lt;/em&gt;. Bij het opstellen van de energiebalans is van een aardgasverbruik van 38 PJ voor elektriciteitscentrales uitgegaan, waarbij circa 2.100 kton CO&lt;sub&gt;2&lt;/sub&gt; emissie vrijkomt. De totale berekende CO&lt;sub&gt;2&lt;/sub&gt; uitstoot van het cluster komt daarmee op 15.100 kton CO&lt;sub&gt;2&lt;/sub&gt;, wat goed overeenstemt met de 15.200 kton CO&lt;sub&gt;2&lt;/sub&gt; genoteerd in de CES (pagina 51, figuur 15).&lt;/aanname&gt;</t>
  </si>
  <si>
    <t>&lt;aanname&gt;&lt;strong&gt;[Noordzeekanaalgebied]&lt;/strong&gt; De berekende totale CO&lt;sub&gt;2&lt;/sub&gt; uitstoot van de industrie bedraagt 6.100 kton CO&lt;sub&gt;2&lt;/sub&gt;. &lt;em&gt;Dit is inclusief de emissies die voortkomen uit de verbranding van hoogovengas elders voor de productie van elektriciteit&lt;/em&gt;. Bij het opstellen van de energiebalans is van een aardgasverbruik van 24 PJ voor elektriciteitscentrales uitgegaan, waarbij circa 1.400 kton CO&lt;sub&gt;2&lt;/sub&gt; emissie vrijkomt. De totale berekende resterende CO&lt;sub&gt;2&lt;/sub&gt; uitstoot van het cluster komt daarmee uit op 7.500 kton CO&lt;sub&gt;2&lt;/sub&gt;, wat goed overeenstemt met de in de CES genoteerde resterende CO&lt;sub&gt;2&lt;/sub&gt; emissie van 7.500 kton (pagina 51, figuur 15).&lt;/aanname&gt;</t>
  </si>
  <si>
    <t>&lt;bron&gt;&lt;strong&gt;[Noordzeekanaalgebied]&lt;/strong&gt; Het totaalvolume kolenverbruik is overgenomen uit de CES (pagina 42, figuur 9).&lt;/bron&gt;</t>
  </si>
  <si>
    <t>&lt;bron&gt;&lt;strong&gt;[Noord-Nederland]&lt;/strong&gt; Het importvolume waterstof is overgenomen uit de CES (pagina 21, figuur 4.3).&lt;/bron&gt;</t>
  </si>
  <si>
    <t>2021: fig 4.1 pagaina 20, 2035: fig 4.3, pagina 21</t>
  </si>
  <si>
    <t>2021: fig 4.1 pagaina 20, 2035: fig 4.4, pagina 22 &amp; berekening op basis van aangenomen conversie-efficientie waterstof</t>
  </si>
  <si>
    <t>2021: fig 4.1 pagaina 20, 2035: fig 4.4, pagina 22</t>
  </si>
  <si>
    <t>2021: fig 4.1 pagaina 20, 2035: fig 4.4 pagina 22</t>
  </si>
  <si>
    <t>2021: fig 4.1 pagaina 20, 2035: fig 4.3 pagina 21</t>
  </si>
  <si>
    <t>&lt;bron&gt;&lt;strong&gt;[Noord-Nederland]&lt;/strong&gt; Het totaalvolume aardgasverbruik (inclusief elektriciteitscentrales) en het volume aardgasverbruik voor industriele processen (inclusief WKK's) zijn overgenomen uit de CES (pagina 20, figuur 4.1).&lt;/bron&gt;</t>
  </si>
  <si>
    <t>&lt;bron&gt;&lt;strong&gt;[Noord-Nederland]&lt;/strong&gt; Het totaalvolume aardgasverbruik (inclusief elektriciteitscentrales), het volume aardgasverbruik voor industriele processen (inclusief WKK's) en het aardgasverbruik voor waterstofproductie zijn overgenomen uit de CES (pagina 21 figuur 4.3, pagina 22 figuur 4.4).&lt;/bron&gt;</t>
  </si>
  <si>
    <t>&lt;bron&gt;&lt;strong&gt;[Noord-Nederland]&lt;/strong&gt; Het exportvolume waterstof is overgenomen uit de CES pagina 21, figuur 4.3).&lt;/bron&gt;</t>
  </si>
  <si>
    <t>&lt;aanname&gt;&lt;strong&gt;[Noord-Nederland]&lt;/strong&gt; Het productievolume blauwe waterstof is berekend op basis van het aardgasverbruik voor waterstofproductie vermeld in figuur 4.3, pagina 21 en een aangenomen conversierendement van 0.65.&lt;/aanname&gt;</t>
  </si>
  <si>
    <t>&lt;bron&gt;&lt;strong&gt;[Noord-Nederland]&lt;/strong&gt; Het volume elektriciteitsverbruik voor groene waterstofproductie is overgenomen uit de CES (pagina 21, figuur 4.3).&lt;/bron&gt;</t>
  </si>
  <si>
    <t>&lt;bron&gt;&lt;strong&gt;[Noord-Nederland]&lt;/strong&gt; Het totaalvolume non-biogeen afval (voor industrie exclusief elektriciteitscentrales) is overgenomen uit de CES (pagina 20, figuur 4.1).&lt;/bron&gt;</t>
  </si>
  <si>
    <t>&lt;bron&gt;&lt;strong&gt;[Noord-Nederland]&lt;/strong&gt; Het totaalvolume biomassaverbruik (voor industrie exclusief elektriciteitscentrales) is overgenomen uit de CES (pagina 20, figuur 4.1).&lt;/bron&gt;</t>
  </si>
  <si>
    <t>&lt;bron&gt;&lt;strong&gt;[Noord-Nederland]&lt;/strong&gt; Het totaalvolume non-biogeen afval (voor industrie exclusief elektriciteitscentrales) is overgenomen uit de CES (pagina 22, figuur 4.4).&lt;/bron&gt;</t>
  </si>
  <si>
    <t>&lt;bron&gt;&lt;strong&gt;[Noord-Nederland]&lt;/strong&gt; Het totaalvolume biomassaverbruik (voor industrie exclusief elektriciteitscentrales) is overgenomen uit de CES (pagina 22, figuur 4.4).&lt;/bron&gt;</t>
  </si>
  <si>
    <t>&lt;bron&gt;&lt;strong&gt;[Noord-Nederland]&lt;/strong&gt; Het totaalvolume elektriciteitsverbruik is overgenomen uit de CES (pagina 21 figuur 4.3, pagina 22 figuur 4.4).&lt;/bron&gt;</t>
  </si>
  <si>
    <t xml:space="preserve">   Analyse CES Zeeland</t>
  </si>
  <si>
    <t xml:space="preserve">   Analyse CES Rotterdam-Moerdijk</t>
  </si>
  <si>
    <t xml:space="preserve">   Analyse CES Noordzeekanaalgebied</t>
  </si>
  <si>
    <t xml:space="preserve">   Analyse Noord-Nederland</t>
  </si>
  <si>
    <t>Efficiency SMR (centrale waterstofproductie uit aardgas)</t>
  </si>
  <si>
    <t>Afvangstpercentage CO2</t>
  </si>
  <si>
    <t>Rode arcering: uitgangspunt is (gedeeltelijk) gebaseerd op aanname, schatting of berekening</t>
  </si>
  <si>
    <t>&lt;aanname&gt;&lt;strong&gt;[Zeeland]&lt;/strong&gt; Uit het PBL rapport &lt;a href="https://www.pbl.nl/publicaties/reflectie-op-cluster-energiestrategieen-2024-ces-30" target="_blank" &gt;Reflectie op Cluster Energiestrategieën 2024 (CES 3.0)&lt;/a&gt; is een totaalvraag naar aardgas van 157 PJ overgenomen (pagina 35, figuur 3.12). Dit volume is inclusief het aardgasverbruik van elektriciteitscentrales. Op basis van de elektriciteitsbalans in figuur 2.6 op pagina 24 van de CES is een inschatting gemaakt van het aardgasverbruik van gasgestookte elektriciteitscentrales (22 PJ aardgas, gebaseerd op aangenomen conversie-efficientie van 59%). Dit volume is in mindering gebracht op de totaalvraag om tot een inschatting van de netto vraag naar aardgas voor industriele toepassingen te komen (157 - 22 = 135 PJ aardgas).&lt;br&gt;&lt;br&gt; Vervolgens is het totaalvolume aardgasverbruik voor industriele toepassingen verder uitgesplitst naar waterstofproductie en andere industriele toepassingen op basis van een aantal aannames. De CES geeft geen informatie over de bronnen waaruit grijze waterstof wordt geproduceerd. Aangenomen is dat 70% van de waterstofvraag in 2021 met waterstofproductie uit aardgas wordt voorzien (Zie (12) voor additionele toelichting). Dit percentage leidt in combinatie met een aantal andere aannames tot een goede fit op ordegrootte op de gerapporteerde CO2-emissies (zie (59) voor nadere toelichting). Het volume aardgas wat wordt aangewend voor overige industriele processen (directe verbranding) is vervolgens berekend door het aangenomen volume aardgas voor waterstofproductie op het het in de CES opgegeven totale aardgasverbruik in mindering te brengen.&lt;/aanname&gt;</t>
  </si>
  <si>
    <t>&lt;aanname&gt;&lt;strong&gt;[Zeeland]&lt;/strong&gt; Uit het PBL rapport &lt;a href="https://www.pbl.nl/publicaties/reflectie-op-cluster-energiestrategieen-2024-ces-30" target="_blank" &gt;Reflectie op Cluster Energiestrategieën 2024 (CES 3.0)&lt;/a&gt; is een totaalvraag naar aardgas van 119 PJ overgenomen (pagina 35, figuur 3.12). Dit volume is inclusief het aardgasverbruik van elektriciteitscentrales. Op basis van de elektriciteitsbalans in figuur 2.6 op pagina 24 van de CES is een inschatting gemaakt van het aardgasverbruik van aardgasgestookte elektriciteitscentrales (15 PJ aardgas, uitgaande van een aangenomen conversie-efficientie van 59%). Dit volume is in mindering gebracht op de totaalvraag om tot een inschatting van de netto vraag naar aardgas voor industriele toepassingen te komen (119 - 15 = 104 PJ aardgas). &lt;br&gt;&lt;br&gt;Vervolgens is dit totaalvolume aardgasverbruik voor industriele toepassingen (104 PJ) nader uitgesplitst naar waterstofproductie en andere industriele toepassingen op basis van een een aantal aannames. Voor het aandeel aardgas wat wordt aangewend voor waterstofproductie is aangenomen dat van de in de CES genoteerde 71 PJ blauwe waterstofproductie 51 PJ uit aardgas wordt geproduceerd (zie (12) voor additionele toelichting), is aangenomen dat de volgens de CES nog in 2035 resterende 20 PJ grijze waterstofproductie wordt geproduceerd uit aardgas en is aangenomen dat hierbij een conversie-efficientie van 0.70 van toepassing is. Dit betekent dat er in totaal 101 PJ aardgas wordt aangewend voor waterstofproductie. Het volume aardgas wat wordt aangewend voor overige industriele processen (directe verbranding) is vervolgens berekend door het aangenomen volume aardgas voor waterstofproductie in mindering te brengen op het aangenomen aardgasverbruik voor industriele toepassingen.&lt;/aanname&gt;</t>
  </si>
  <si>
    <t>Rendement elektrolyser</t>
  </si>
  <si>
    <t>Rendement SMR (aardgas)</t>
  </si>
  <si>
    <t>Rendement SMR (restgas)</t>
  </si>
  <si>
    <t>Rendement ATR</t>
  </si>
  <si>
    <t>Capture rate CCS</t>
  </si>
  <si>
    <t>&lt;aanname&gt;&lt;strong&gt;[Noord-Nederland]&lt;/strong&gt; Het productievolume groene waterstof is berekend op basis van het volume elektriciteitsverbruik voor waterstofproductie vermeld in figuur 4.3, pagina 21 en een aangenomen conversie-rendement van 0.65.&lt;/aanname&gt;</t>
  </si>
  <si>
    <t>versie 09-12-2024</t>
  </si>
  <si>
    <t>Overview Cluster Energie Strategieën (CES)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</si>
</sst>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000"/>
    <numFmt numFmtId="165" formatCode="#,##0.0"/>
  </numFmts>
  <fonts count="39" x14ac:knownFonts="1">
    <font>
      <sz val="12"/>
      <color theme="1"/>
      <name val="Aptos Narrow"/>
      <family val="2"/>
      <scheme val="minor"/>
    </font>
    <font>
      <b/>
      <sz val="12"/>
      <color theme="1"/>
      <name val="Aptos Narrow"/>
      <scheme val="minor"/>
    </font>
    <font>
      <b/>
      <sz val="12"/>
      <color theme="0"/>
      <name val="Aptos Narrow"/>
      <scheme val="minor"/>
    </font>
    <font>
      <sz val="12"/>
      <color theme="1"/>
      <name val="Aptos Narrow"/>
      <scheme val="minor"/>
    </font>
    <font>
      <sz val="10"/>
      <color rgb="FF000000"/>
      <name val="Tahoma"/>
      <family val="2"/>
    </font>
    <font>
      <sz val="12"/>
      <color rgb="FFFF0000"/>
      <name val="Aptos Narrow (Body)"/>
    </font>
    <font>
      <sz val="12"/>
      <color rgb="FF000000"/>
      <name val="Calibri"/>
      <family val="2"/>
    </font>
    <font>
      <sz val="12"/>
      <color rgb="FFFF0000"/>
      <name val="Aptos Narrow"/>
      <family val="2"/>
      <scheme val="minor"/>
    </font>
    <font>
      <sz val="12"/>
      <color theme="0"/>
      <name val="Aptos Narrow"/>
      <family val="2"/>
      <scheme val="minor"/>
    </font>
    <font>
      <i/>
      <sz val="12"/>
      <color theme="1"/>
      <name val="Aptos Narrow"/>
      <scheme val="minor"/>
    </font>
    <font>
      <sz val="12"/>
      <name val="Aptos Narrow"/>
      <family val="2"/>
      <scheme val="minor"/>
    </font>
    <font>
      <b/>
      <sz val="10"/>
      <color rgb="FF000000"/>
      <name val="Tahoma"/>
      <family val="2"/>
    </font>
    <font>
      <u/>
      <sz val="12"/>
      <color theme="10"/>
      <name val="Aptos Narrow"/>
      <family val="2"/>
      <scheme val="minor"/>
    </font>
    <font>
      <sz val="12"/>
      <color rgb="FF000000"/>
      <name val="Aptos Narrow"/>
      <family val="2"/>
      <scheme val="minor"/>
    </font>
    <font>
      <sz val="12"/>
      <color theme="0" tint="-0.249977111117893"/>
      <name val="Aptos Narrow"/>
      <family val="2"/>
      <scheme val="minor"/>
    </font>
    <font>
      <sz val="11"/>
      <color rgb="FF000000"/>
      <name val="Calibri"/>
      <family val="2"/>
    </font>
    <font>
      <sz val="11"/>
      <color indexed="8"/>
      <name val="Aptos Narrow"/>
      <family val="2"/>
      <scheme val="minor"/>
    </font>
    <font>
      <i/>
      <sz val="12"/>
      <color rgb="FFFF0000"/>
      <name val="Aptos Narrow"/>
      <scheme val="minor"/>
    </font>
    <font>
      <sz val="12"/>
      <color theme="0" tint="-0.499984740745262"/>
      <name val="Aptos Narrow"/>
      <family val="2"/>
      <scheme val="minor"/>
    </font>
    <font>
      <sz val="12"/>
      <color theme="0" tint="-0.14999847407452621"/>
      <name val="Aptos Narrow"/>
      <family val="2"/>
      <scheme val="minor"/>
    </font>
    <font>
      <b/>
      <sz val="12"/>
      <color theme="0"/>
      <name val="Aptos Narrow"/>
      <family val="2"/>
      <scheme val="minor"/>
    </font>
    <font>
      <b/>
      <sz val="12"/>
      <color theme="1"/>
      <name val="Aptos Narrow"/>
      <family val="2"/>
      <scheme val="minor"/>
    </font>
    <font>
      <sz val="12"/>
      <color theme="2" tint="-9.9978637043366805E-2"/>
      <name val="Aptos Narrow"/>
      <family val="2"/>
      <scheme val="minor"/>
    </font>
    <font>
      <sz val="12"/>
      <color theme="1" tint="0.499984740745262"/>
      <name val="Aptos Narrow"/>
      <family val="2"/>
      <scheme val="minor"/>
    </font>
    <font>
      <sz val="12"/>
      <color theme="2" tint="-0.249977111117893"/>
      <name val="Aptos Narrow"/>
      <family val="2"/>
      <scheme val="minor"/>
    </font>
    <font>
      <sz val="12"/>
      <color theme="1"/>
      <name val="Calibri"/>
      <family val="2"/>
    </font>
    <font>
      <b/>
      <sz val="12"/>
      <color rgb="FFFFFFFF"/>
      <name val="Aptos Narrow"/>
      <family val="2"/>
      <scheme val="minor"/>
    </font>
    <font>
      <sz val="12"/>
      <color rgb="FF000000"/>
      <name val="Helvetica"/>
      <family val="2"/>
    </font>
    <font>
      <b/>
      <sz val="12"/>
      <color rgb="FF000000"/>
      <name val="Helvetica"/>
      <family val="2"/>
    </font>
    <font>
      <sz val="12"/>
      <color theme="9" tint="-0.249977111117893"/>
      <name val="Aptos Narrow"/>
      <family val="2"/>
      <scheme val="minor"/>
    </font>
    <font>
      <sz val="12"/>
      <color theme="1"/>
      <name val="Menlo"/>
      <family val="2"/>
    </font>
    <font>
      <sz val="16"/>
      <color theme="0"/>
      <name val="Aptos Narrow"/>
      <scheme val="minor"/>
    </font>
    <font>
      <b/>
      <sz val="12"/>
      <color theme="0" tint="-0.249977111117893"/>
      <name val="Aptos Narrow"/>
      <scheme val="minor"/>
    </font>
    <font>
      <sz val="12"/>
      <color theme="0" tint="-0.249977111117893"/>
      <name val="Aptos Narrow"/>
      <scheme val="minor"/>
    </font>
    <font>
      <b/>
      <sz val="12"/>
      <name val="Aptos Narrow"/>
      <scheme val="minor"/>
    </font>
    <font>
      <sz val="12"/>
      <name val="Aptos Narrow"/>
      <scheme val="minor"/>
    </font>
    <font>
      <i/>
      <sz val="12"/>
      <name val="Aptos Narrow"/>
      <scheme val="minor"/>
    </font>
    <font>
      <sz val="8"/>
      <name val="Aptos Narrow"/>
      <family val="2"/>
      <scheme val="minor"/>
    </font>
    <font>
      <i/>
      <sz val="12"/>
      <color theme="0" tint="-4.9989318521683403E-2"/>
      <name val="Aptos Narrow"/>
      <scheme val="minor"/>
    </font>
  </fonts>
  <fills count="16">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rgb="FF595959"/>
        <bgColor indexed="64"/>
      </patternFill>
    </fill>
    <fill>
      <patternFill patternType="solid">
        <fgColor theme="1" tint="0.249977111117893"/>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5" tint="0.79998168889431442"/>
        <bgColor indexed="64"/>
      </patternFill>
    </fill>
    <fill>
      <patternFill patternType="solid">
        <fgColor rgb="FF404040"/>
        <bgColor rgb="FF000000"/>
      </patternFill>
    </fill>
    <fill>
      <patternFill patternType="solid">
        <fgColor theme="8" tint="-0.249977111117893"/>
        <bgColor indexed="64"/>
      </patternFill>
    </fill>
    <fill>
      <patternFill patternType="solid">
        <fgColor theme="0"/>
        <bgColor indexed="64"/>
      </patternFill>
    </fill>
    <fill>
      <patternFill patternType="solid">
        <fgColor theme="9" tint="0.79998168889431442"/>
        <bgColor rgb="FF000000"/>
      </patternFill>
    </fill>
  </fills>
  <borders count="9">
    <border>
      <left/>
      <right/>
      <top/>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xf numFmtId="0" fontId="12" fillId="0" borderId="0" applyNumberFormat="0" applyFill="0" applyBorder="0" applyAlignment="0" applyProtection="0"/>
    <xf numFmtId="0" fontId="15" fillId="0" borderId="0"/>
    <xf numFmtId="43" fontId="15" fillId="0" borderId="0" applyFont="0" applyFill="0" applyBorder="0" applyAlignment="0" applyProtection="0"/>
    <xf numFmtId="0" fontId="15" fillId="0" borderId="0" applyNumberFormat="0" applyBorder="0" applyProtection="0"/>
    <xf numFmtId="43" fontId="16" fillId="0" borderId="0" applyFont="0" applyFill="0" applyBorder="0" applyAlignment="0" applyProtection="0"/>
    <xf numFmtId="0" fontId="16" fillId="0" borderId="0"/>
  </cellStyleXfs>
  <cellXfs count="127">
    <xf numFmtId="0" fontId="0" fillId="0" borderId="0" xfId="0"/>
    <xf numFmtId="0" fontId="1" fillId="0" borderId="0" xfId="0" applyFont="1"/>
    <xf numFmtId="0" fontId="0" fillId="0" borderId="0" xfId="0" applyAlignment="1">
      <alignment vertical="center"/>
    </xf>
    <xf numFmtId="0" fontId="0" fillId="0" borderId="0" xfId="0" quotePrefix="1"/>
    <xf numFmtId="0" fontId="0" fillId="2" borderId="0" xfId="0" applyFill="1"/>
    <xf numFmtId="3" fontId="0" fillId="0" borderId="0" xfId="0" applyNumberFormat="1"/>
    <xf numFmtId="0" fontId="0" fillId="3" borderId="0" xfId="0" applyFill="1"/>
    <xf numFmtId="3" fontId="0" fillId="3" borderId="0" xfId="0" applyNumberFormat="1" applyFill="1"/>
    <xf numFmtId="9" fontId="0" fillId="0" borderId="0" xfId="0" applyNumberFormat="1"/>
    <xf numFmtId="0" fontId="6" fillId="0" borderId="0" xfId="0" applyFont="1"/>
    <xf numFmtId="0" fontId="9" fillId="0" borderId="0" xfId="0" applyFont="1"/>
    <xf numFmtId="0" fontId="10" fillId="0" borderId="0" xfId="0" applyFont="1"/>
    <xf numFmtId="0" fontId="13" fillId="0" borderId="0" xfId="0" applyFont="1"/>
    <xf numFmtId="1" fontId="0" fillId="0" borderId="0" xfId="0" applyNumberFormat="1"/>
    <xf numFmtId="0" fontId="7" fillId="0" borderId="0" xfId="0" applyFont="1"/>
    <xf numFmtId="0" fontId="1" fillId="0" borderId="1" xfId="0" applyFont="1" applyBorder="1"/>
    <xf numFmtId="0" fontId="0" fillId="0" borderId="0" xfId="0" applyAlignment="1">
      <alignment wrapText="1"/>
    </xf>
    <xf numFmtId="0" fontId="0" fillId="0" borderId="1" xfId="0" applyBorder="1"/>
    <xf numFmtId="0" fontId="0" fillId="0" borderId="2" xfId="0" applyBorder="1"/>
    <xf numFmtId="0" fontId="3" fillId="0" borderId="0" xfId="0" applyFont="1"/>
    <xf numFmtId="3" fontId="7" fillId="0" borderId="0" xfId="0" applyNumberFormat="1" applyFont="1"/>
    <xf numFmtId="3" fontId="1" fillId="0" borderId="0" xfId="0" applyNumberFormat="1" applyFont="1"/>
    <xf numFmtId="3" fontId="1" fillId="0" borderId="1" xfId="0" applyNumberFormat="1" applyFont="1" applyBorder="1"/>
    <xf numFmtId="2" fontId="0" fillId="0" borderId="0" xfId="0" applyNumberFormat="1"/>
    <xf numFmtId="0" fontId="12" fillId="0" borderId="0" xfId="1"/>
    <xf numFmtId="0" fontId="0" fillId="0" borderId="3" xfId="0" applyBorder="1"/>
    <xf numFmtId="0" fontId="17" fillId="0" borderId="0" xfId="0" applyFont="1"/>
    <xf numFmtId="0" fontId="2" fillId="8" borderId="0" xfId="0" applyFont="1" applyFill="1" applyAlignment="1">
      <alignment horizontal="left" vertical="center"/>
    </xf>
    <xf numFmtId="0" fontId="1" fillId="8" borderId="0" xfId="0" applyFont="1" applyFill="1"/>
    <xf numFmtId="0" fontId="8" fillId="8" borderId="0" xfId="0" applyFont="1" applyFill="1"/>
    <xf numFmtId="3" fontId="1" fillId="8" borderId="0" xfId="0" applyNumberFormat="1" applyFont="1" applyFill="1"/>
    <xf numFmtId="0" fontId="0" fillId="9" borderId="0" xfId="0" applyFill="1"/>
    <xf numFmtId="0" fontId="0" fillId="10" borderId="0" xfId="0" applyFill="1"/>
    <xf numFmtId="0" fontId="0" fillId="11" borderId="0" xfId="0" applyFill="1"/>
    <xf numFmtId="3" fontId="0" fillId="9" borderId="0" xfId="0" applyNumberFormat="1" applyFill="1"/>
    <xf numFmtId="3" fontId="9" fillId="9" borderId="0" xfId="0" applyNumberFormat="1" applyFont="1" applyFill="1"/>
    <xf numFmtId="1" fontId="0" fillId="9" borderId="0" xfId="0" applyNumberFormat="1" applyFill="1"/>
    <xf numFmtId="3" fontId="0" fillId="11" borderId="0" xfId="0" applyNumberFormat="1" applyFill="1"/>
    <xf numFmtId="1" fontId="0" fillId="11" borderId="0" xfId="0" applyNumberFormat="1" applyFill="1"/>
    <xf numFmtId="0" fontId="0" fillId="0" borderId="0" xfId="0" applyAlignment="1">
      <alignment horizontal="right"/>
    </xf>
    <xf numFmtId="3" fontId="0" fillId="0" borderId="0" xfId="0" applyNumberFormat="1" applyAlignment="1">
      <alignment horizontal="left"/>
    </xf>
    <xf numFmtId="10" fontId="0" fillId="10" borderId="0" xfId="0" applyNumberFormat="1" applyFill="1"/>
    <xf numFmtId="0" fontId="3" fillId="0" borderId="0" xfId="0" quotePrefix="1" applyFont="1"/>
    <xf numFmtId="0" fontId="1" fillId="0" borderId="0" xfId="0" quotePrefix="1" applyFont="1"/>
    <xf numFmtId="0" fontId="18" fillId="0" borderId="0" xfId="0" applyFont="1"/>
    <xf numFmtId="3" fontId="19" fillId="9" borderId="0" xfId="0" applyNumberFormat="1" applyFont="1" applyFill="1"/>
    <xf numFmtId="0" fontId="20" fillId="8" borderId="0" xfId="0" applyFont="1" applyFill="1"/>
    <xf numFmtId="0" fontId="0" fillId="0" borderId="0" xfId="0" applyAlignment="1">
      <alignment horizontal="left"/>
    </xf>
    <xf numFmtId="0" fontId="22" fillId="0" borderId="0" xfId="0" applyFont="1"/>
    <xf numFmtId="0" fontId="23" fillId="0" borderId="0" xfId="0" applyFont="1"/>
    <xf numFmtId="0" fontId="24" fillId="0" borderId="0" xfId="0" applyFont="1"/>
    <xf numFmtId="0" fontId="25" fillId="0" borderId="0" xfId="0" applyFont="1"/>
    <xf numFmtId="0" fontId="21" fillId="0" borderId="0" xfId="0" applyFont="1"/>
    <xf numFmtId="0" fontId="20" fillId="8" borderId="0" xfId="0" applyFont="1" applyFill="1" applyAlignment="1">
      <alignment horizontal="right"/>
    </xf>
    <xf numFmtId="0" fontId="20" fillId="8" borderId="0" xfId="0" applyFont="1" applyFill="1" applyAlignment="1">
      <alignment horizontal="left"/>
    </xf>
    <xf numFmtId="0" fontId="26" fillId="12" borderId="0" xfId="0" applyFont="1" applyFill="1"/>
    <xf numFmtId="0" fontId="8" fillId="0" borderId="0" xfId="0" applyFont="1" applyAlignment="1">
      <alignment horizontal="right"/>
    </xf>
    <xf numFmtId="0" fontId="8" fillId="0" borderId="0" xfId="0" applyFont="1"/>
    <xf numFmtId="0" fontId="8" fillId="0" borderId="0" xfId="0" applyFont="1" applyAlignment="1">
      <alignment horizontal="left"/>
    </xf>
    <xf numFmtId="0" fontId="20" fillId="0" borderId="0" xfId="0" applyFont="1"/>
    <xf numFmtId="2" fontId="0" fillId="0" borderId="0" xfId="0" applyNumberFormat="1" applyAlignment="1">
      <alignment horizontal="right"/>
    </xf>
    <xf numFmtId="0" fontId="27" fillId="0" borderId="0" xfId="0" applyFont="1"/>
    <xf numFmtId="3" fontId="0" fillId="0" borderId="0" xfId="0" applyNumberFormat="1" applyAlignment="1">
      <alignment horizontal="right"/>
    </xf>
    <xf numFmtId="0" fontId="29" fillId="0" borderId="0" xfId="0" applyFont="1"/>
    <xf numFmtId="0" fontId="30" fillId="0" borderId="0" xfId="0" applyFont="1"/>
    <xf numFmtId="3" fontId="10" fillId="9" borderId="0" xfId="0" applyNumberFormat="1" applyFont="1" applyFill="1"/>
    <xf numFmtId="0" fontId="1" fillId="0" borderId="4" xfId="0" applyFont="1" applyBorder="1"/>
    <xf numFmtId="3" fontId="0" fillId="0" borderId="6" xfId="0" applyNumberFormat="1" applyBorder="1"/>
    <xf numFmtId="0" fontId="0" fillId="0" borderId="7" xfId="0" applyBorder="1"/>
    <xf numFmtId="3" fontId="0" fillId="0" borderId="2" xfId="0" applyNumberFormat="1" applyBorder="1"/>
    <xf numFmtId="3" fontId="0" fillId="0" borderId="8" xfId="0" applyNumberFormat="1" applyBorder="1"/>
    <xf numFmtId="0" fontId="1" fillId="0" borderId="5" xfId="0" applyFont="1" applyBorder="1"/>
    <xf numFmtId="0" fontId="8" fillId="8" borderId="0" xfId="0" applyFont="1" applyFill="1" applyAlignment="1">
      <alignment vertical="center"/>
    </xf>
    <xf numFmtId="0" fontId="31" fillId="8" borderId="0" xfId="0" applyFont="1" applyFill="1" applyAlignment="1">
      <alignment horizontal="left" vertical="center"/>
    </xf>
    <xf numFmtId="3" fontId="8" fillId="8" borderId="0" xfId="0" applyNumberFormat="1" applyFont="1" applyFill="1" applyAlignment="1">
      <alignment vertical="center"/>
    </xf>
    <xf numFmtId="0" fontId="0" fillId="8" borderId="0" xfId="0" applyFill="1"/>
    <xf numFmtId="0" fontId="32" fillId="0" borderId="0" xfId="0" applyFont="1"/>
    <xf numFmtId="1" fontId="33" fillId="0" borderId="0" xfId="0" applyNumberFormat="1" applyFont="1"/>
    <xf numFmtId="0" fontId="33" fillId="0" borderId="0" xfId="0" applyFont="1"/>
    <xf numFmtId="0" fontId="33" fillId="0" borderId="0" xfId="0" quotePrefix="1" applyFont="1"/>
    <xf numFmtId="3" fontId="10" fillId="11" borderId="0" xfId="0" applyNumberFormat="1" applyFont="1" applyFill="1"/>
    <xf numFmtId="0" fontId="34" fillId="0" borderId="0" xfId="0" applyFont="1"/>
    <xf numFmtId="0" fontId="35" fillId="0" borderId="0" xfId="0" quotePrefix="1" applyFont="1"/>
    <xf numFmtId="1" fontId="35" fillId="0" borderId="0" xfId="0" applyNumberFormat="1" applyFont="1"/>
    <xf numFmtId="0" fontId="35" fillId="0" borderId="0" xfId="0" applyFont="1"/>
    <xf numFmtId="3" fontId="35" fillId="0" borderId="0" xfId="0" applyNumberFormat="1" applyFont="1"/>
    <xf numFmtId="2" fontId="0" fillId="10" borderId="0" xfId="0" applyNumberFormat="1" applyFill="1"/>
    <xf numFmtId="2" fontId="0" fillId="0" borderId="0" xfId="0" applyNumberFormat="1" applyAlignment="1">
      <alignment horizontal="left"/>
    </xf>
    <xf numFmtId="3" fontId="0" fillId="14" borderId="0" xfId="0" applyNumberFormat="1" applyFill="1"/>
    <xf numFmtId="0" fontId="14" fillId="9" borderId="0" xfId="0" applyFont="1" applyFill="1"/>
    <xf numFmtId="2" fontId="0" fillId="2" borderId="0" xfId="0" applyNumberFormat="1" applyFill="1"/>
    <xf numFmtId="2" fontId="14" fillId="2" borderId="0" xfId="0" applyNumberFormat="1" applyFont="1" applyFill="1"/>
    <xf numFmtId="0" fontId="35" fillId="9" borderId="0" xfId="0" applyFont="1" applyFill="1"/>
    <xf numFmtId="0" fontId="36" fillId="9" borderId="0" xfId="0" applyFont="1" applyFill="1"/>
    <xf numFmtId="0" fontId="9" fillId="9" borderId="0" xfId="0" applyFont="1" applyFill="1"/>
    <xf numFmtId="0" fontId="0" fillId="9" borderId="0" xfId="0" applyFill="1" applyAlignment="1">
      <alignment horizontal="left"/>
    </xf>
    <xf numFmtId="2" fontId="0" fillId="9" borderId="0" xfId="0" applyNumberFormat="1" applyFill="1" applyAlignment="1">
      <alignment horizontal="left"/>
    </xf>
    <xf numFmtId="2" fontId="10" fillId="2" borderId="0" xfId="0" applyNumberFormat="1" applyFont="1" applyFill="1"/>
    <xf numFmtId="0" fontId="2" fillId="13" borderId="0" xfId="0" applyFont="1" applyFill="1" applyAlignment="1">
      <alignment vertical="center"/>
    </xf>
    <xf numFmtId="1" fontId="0" fillId="13" borderId="0" xfId="0" applyNumberFormat="1" applyFill="1" applyAlignment="1">
      <alignment vertical="center"/>
    </xf>
    <xf numFmtId="0" fontId="0" fillId="13" borderId="0" xfId="0" applyFill="1" applyAlignment="1">
      <alignment vertical="center"/>
    </xf>
    <xf numFmtId="3" fontId="0" fillId="13" borderId="0" xfId="0" applyNumberFormat="1" applyFill="1" applyAlignment="1">
      <alignment vertical="center"/>
    </xf>
    <xf numFmtId="1" fontId="0" fillId="8" borderId="0" xfId="0" applyNumberFormat="1" applyFill="1" applyAlignment="1">
      <alignment vertical="center"/>
    </xf>
    <xf numFmtId="3" fontId="9" fillId="3" borderId="0" xfId="0" applyNumberFormat="1" applyFont="1" applyFill="1"/>
    <xf numFmtId="0" fontId="10" fillId="9" borderId="0" xfId="0" applyFont="1" applyFill="1"/>
    <xf numFmtId="3" fontId="19" fillId="3" borderId="0" xfId="0" applyNumberFormat="1" applyFont="1" applyFill="1"/>
    <xf numFmtId="3" fontId="38" fillId="9" borderId="0" xfId="0" applyNumberFormat="1" applyFont="1" applyFill="1"/>
    <xf numFmtId="0" fontId="9" fillId="0" borderId="0" xfId="0" applyFont="1" applyAlignment="1">
      <alignment vertical="center"/>
    </xf>
    <xf numFmtId="3" fontId="0" fillId="0" borderId="0" xfId="0" applyNumberFormat="1" applyAlignment="1">
      <alignment vertical="center"/>
    </xf>
    <xf numFmtId="0" fontId="2" fillId="5" borderId="0" xfId="0" applyFont="1" applyFill="1"/>
    <xf numFmtId="49" fontId="0" fillId="0" borderId="0" xfId="0" applyNumberFormat="1"/>
    <xf numFmtId="0" fontId="35" fillId="11" borderId="0" xfId="0" applyFont="1" applyFill="1"/>
    <xf numFmtId="3" fontId="9" fillId="11" borderId="0" xfId="0" applyNumberFormat="1" applyFont="1" applyFill="1"/>
    <xf numFmtId="164" fontId="0" fillId="0" borderId="0" xfId="0" quotePrefix="1" applyNumberFormat="1"/>
    <xf numFmtId="3" fontId="24" fillId="0" borderId="0" xfId="0" applyNumberFormat="1" applyFont="1"/>
    <xf numFmtId="9" fontId="0" fillId="11" borderId="0" xfId="0" applyNumberFormat="1" applyFill="1"/>
    <xf numFmtId="0" fontId="35" fillId="15" borderId="0" xfId="0" applyFont="1" applyFill="1"/>
    <xf numFmtId="10" fontId="0" fillId="0" borderId="0" xfId="0" applyNumberFormat="1"/>
    <xf numFmtId="0" fontId="2" fillId="7" borderId="0" xfId="0" applyFont="1" applyFill="1"/>
    <xf numFmtId="0" fontId="2" fillId="7" borderId="0" xfId="0" applyFont="1" applyFill="1" applyAlignment="1">
      <alignment horizontal="left"/>
    </xf>
    <xf numFmtId="0" fontId="28" fillId="0" borderId="0" xfId="0" applyFont="1"/>
    <xf numFmtId="3" fontId="0" fillId="6" borderId="0" xfId="0" applyNumberFormat="1" applyFill="1"/>
    <xf numFmtId="3" fontId="0" fillId="10" borderId="0" xfId="0" applyNumberFormat="1" applyFill="1"/>
    <xf numFmtId="0" fontId="0" fillId="4" borderId="0" xfId="0" applyFill="1"/>
    <xf numFmtId="1" fontId="0" fillId="4" borderId="0" xfId="0" applyNumberFormat="1" applyFill="1"/>
    <xf numFmtId="2" fontId="0" fillId="4" borderId="0" xfId="0" applyNumberFormat="1" applyFill="1"/>
    <xf numFmtId="165" fontId="0" fillId="0" borderId="0" xfId="0" applyNumberFormat="1"/>
  </cellXfs>
  <cellStyles count="7">
    <cellStyle name="Comma 2" xfId="3" xr:uid="{8F0E99C6-35AB-914C-87BE-9E2256E845AF}"/>
    <cellStyle name="Hyperlink" xfId="1" builtinId="8"/>
    <cellStyle name="Komma 2" xfId="5" xr:uid="{AAF42550-D460-E746-A15C-290F4436EFDC}"/>
    <cellStyle name="Normal" xfId="0" builtinId="0"/>
    <cellStyle name="Normal 2" xfId="2" xr:uid="{2CF1743E-6D61-E14E-8ECA-83AC3A8EF304}"/>
    <cellStyle name="Standaard 2" xfId="4" xr:uid="{CB74D17A-DC8C-F844-9BA3-0FECFB85C6CE}"/>
    <cellStyle name="Standaard 3" xfId="6" xr:uid="{F067FDEA-974B-374E-B956-0304D0A62C92}"/>
  </cellStyles>
  <dxfs count="1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theme="8" tint="0.79998168889431442"/>
        </patternFill>
      </fill>
    </dxf>
    <dxf>
      <font>
        <color rgb="FF006100"/>
      </font>
      <fill>
        <patternFill>
          <bgColor rgb="FFC6EFCE"/>
        </patternFill>
      </fill>
    </dxf>
    <dxf>
      <font>
        <color rgb="FF9C5700"/>
      </font>
      <fill>
        <patternFill>
          <bgColor rgb="FFFFEB9C"/>
        </patternFill>
      </fill>
    </dxf>
    <dxf>
      <font>
        <color theme="1"/>
      </font>
      <fill>
        <patternFill>
          <bgColor theme="8" tint="0.79998168889431442"/>
        </patternFill>
      </fill>
    </dxf>
    <dxf>
      <font>
        <color rgb="FF006100"/>
      </font>
      <fill>
        <patternFill>
          <bgColor rgb="FFC6EFCE"/>
        </patternFill>
      </fill>
    </dxf>
  </dxfs>
  <tableStyles count="0" defaultTableStyle="TableStyleMedium2" defaultPivotStyle="PivotStyleLight16"/>
  <colors>
    <mruColors>
      <color rgb="FF595959"/>
      <color rgb="FFEA9071"/>
      <color rgb="FFFFC000"/>
      <color rgb="FFAADBF9"/>
      <color rgb="FF4E81BD"/>
      <color rgb="FF92D051"/>
      <color rgb="FFC04E4D"/>
      <color rgb="FF05B0F0"/>
      <color rgb="FFDDD9C3"/>
      <color rgb="FFC050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binnenlandsbestuur.nl/ruimte-en-milieu/klimaatambitie-amsterdam-alleen-haalbaar-met-grote-ingrepen"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6473E-D8F8-1446-9E43-1C104DB1F9F8}">
  <sheetPr>
    <tabColor rgb="FFFFC000"/>
  </sheetPr>
  <dimension ref="A1:V873"/>
  <sheetViews>
    <sheetView zoomScale="112" zoomScaleNormal="81" workbookViewId="0"/>
  </sheetViews>
  <sheetFormatPr baseColWidth="10" defaultRowHeight="16" x14ac:dyDescent="0.2"/>
  <cols>
    <col min="2" max="2" width="61.1640625" bestFit="1" customWidth="1"/>
    <col min="3" max="3" width="26.6640625" customWidth="1"/>
    <col min="4" max="6" width="10.83203125" hidden="1" customWidth="1"/>
    <col min="7" max="7" width="7" hidden="1" customWidth="1"/>
    <col min="8" max="8" width="5.1640625" hidden="1" customWidth="1"/>
    <col min="9" max="9" width="8.6640625" customWidth="1"/>
  </cols>
  <sheetData>
    <row r="1" spans="1:13" s="29" customFormat="1" x14ac:dyDescent="0.2">
      <c r="B1" s="46" t="s">
        <v>76</v>
      </c>
      <c r="C1" s="46" t="s">
        <v>77</v>
      </c>
      <c r="D1" s="29" t="s">
        <v>78</v>
      </c>
      <c r="E1" s="46" t="s">
        <v>79</v>
      </c>
      <c r="F1" s="46" t="s">
        <v>80</v>
      </c>
      <c r="G1" s="46" t="s">
        <v>81</v>
      </c>
      <c r="H1" s="29" t="s">
        <v>82</v>
      </c>
      <c r="I1" s="29" t="s">
        <v>83</v>
      </c>
      <c r="J1" s="29" t="s">
        <v>84</v>
      </c>
    </row>
    <row r="2" spans="1:13" x14ac:dyDescent="0.2">
      <c r="A2">
        <v>1</v>
      </c>
      <c r="B2" t="s">
        <v>85</v>
      </c>
      <c r="C2" t="s">
        <v>49</v>
      </c>
      <c r="I2">
        <v>125</v>
      </c>
      <c r="J2">
        <v>225</v>
      </c>
      <c r="M2">
        <f>I2+100</f>
        <v>225</v>
      </c>
    </row>
    <row r="3" spans="1:13" x14ac:dyDescent="0.2">
      <c r="A3">
        <v>2</v>
      </c>
      <c r="B3" t="s">
        <v>86</v>
      </c>
      <c r="C3" t="s">
        <v>54</v>
      </c>
      <c r="I3">
        <v>125</v>
      </c>
      <c r="J3">
        <v>150</v>
      </c>
      <c r="M3">
        <f t="shared" ref="M3:M66" si="0">I3+100</f>
        <v>225</v>
      </c>
    </row>
    <row r="4" spans="1:13" x14ac:dyDescent="0.2">
      <c r="A4" s="11">
        <v>3</v>
      </c>
      <c r="B4" s="11" t="s">
        <v>262</v>
      </c>
      <c r="C4" s="11" t="s">
        <v>243</v>
      </c>
      <c r="D4" s="11"/>
      <c r="E4" s="11"/>
      <c r="F4" s="11"/>
      <c r="G4" s="11"/>
      <c r="H4" s="11"/>
      <c r="I4" s="11">
        <v>125</v>
      </c>
      <c r="J4" s="11">
        <v>0</v>
      </c>
      <c r="M4">
        <f t="shared" si="0"/>
        <v>225</v>
      </c>
    </row>
    <row r="5" spans="1:13" x14ac:dyDescent="0.2">
      <c r="A5" s="44">
        <v>4</v>
      </c>
      <c r="B5" s="44" t="s">
        <v>263</v>
      </c>
      <c r="C5" s="44" t="s">
        <v>244</v>
      </c>
      <c r="D5" s="44"/>
      <c r="E5" s="44"/>
      <c r="F5" s="44"/>
      <c r="G5" s="44"/>
      <c r="H5" s="44"/>
      <c r="I5" s="44">
        <v>100</v>
      </c>
      <c r="J5" s="44">
        <v>0</v>
      </c>
      <c r="M5">
        <f t="shared" si="0"/>
        <v>200</v>
      </c>
    </row>
    <row r="6" spans="1:13" x14ac:dyDescent="0.2">
      <c r="A6" s="44">
        <v>5</v>
      </c>
      <c r="B6" s="44" t="s">
        <v>264</v>
      </c>
      <c r="C6" s="44" t="s">
        <v>245</v>
      </c>
      <c r="D6" s="44"/>
      <c r="E6" s="44"/>
      <c r="F6" s="44"/>
      <c r="G6" s="44"/>
      <c r="H6" s="44"/>
      <c r="I6" s="44">
        <v>100</v>
      </c>
      <c r="J6" s="44">
        <v>0</v>
      </c>
      <c r="M6">
        <f t="shared" si="0"/>
        <v>200</v>
      </c>
    </row>
    <row r="7" spans="1:13" x14ac:dyDescent="0.2">
      <c r="A7">
        <v>6</v>
      </c>
      <c r="B7" t="s">
        <v>368</v>
      </c>
      <c r="C7" t="s">
        <v>246</v>
      </c>
      <c r="I7">
        <v>125</v>
      </c>
      <c r="J7">
        <v>65</v>
      </c>
      <c r="M7">
        <f t="shared" si="0"/>
        <v>225</v>
      </c>
    </row>
    <row r="8" spans="1:13" x14ac:dyDescent="0.2">
      <c r="A8" s="44">
        <v>7</v>
      </c>
      <c r="B8" s="44" t="s">
        <v>265</v>
      </c>
      <c r="C8" s="44" t="s">
        <v>248</v>
      </c>
      <c r="D8" s="44"/>
      <c r="E8" s="44"/>
      <c r="F8" s="44"/>
      <c r="G8" s="44"/>
      <c r="H8" s="44"/>
      <c r="I8" s="44">
        <v>100</v>
      </c>
      <c r="J8" s="44">
        <v>0</v>
      </c>
      <c r="M8">
        <f t="shared" si="0"/>
        <v>200</v>
      </c>
    </row>
    <row r="9" spans="1:13" x14ac:dyDescent="0.2">
      <c r="A9" s="44">
        <v>8</v>
      </c>
      <c r="B9" s="11" t="s">
        <v>89</v>
      </c>
      <c r="C9" s="11" t="s">
        <v>50</v>
      </c>
      <c r="D9" s="11"/>
      <c r="E9" s="11"/>
      <c r="F9" s="11"/>
      <c r="G9" s="11"/>
      <c r="H9" s="11"/>
      <c r="I9" s="11">
        <v>125</v>
      </c>
      <c r="J9" s="11">
        <v>500</v>
      </c>
      <c r="M9">
        <f t="shared" si="0"/>
        <v>225</v>
      </c>
    </row>
    <row r="10" spans="1:13" x14ac:dyDescent="0.2">
      <c r="A10" s="11">
        <v>9</v>
      </c>
      <c r="B10" s="11" t="s">
        <v>14</v>
      </c>
      <c r="C10" s="11" t="s">
        <v>247</v>
      </c>
      <c r="I10" s="11">
        <v>125</v>
      </c>
      <c r="J10" s="11">
        <v>375</v>
      </c>
      <c r="M10">
        <f t="shared" si="0"/>
        <v>225</v>
      </c>
    </row>
    <row r="11" spans="1:13" x14ac:dyDescent="0.2">
      <c r="A11" s="44">
        <v>10</v>
      </c>
      <c r="B11" s="44" t="s">
        <v>266</v>
      </c>
      <c r="C11" s="44" t="s">
        <v>249</v>
      </c>
      <c r="D11" s="44"/>
      <c r="E11" s="44"/>
      <c r="F11" s="44"/>
      <c r="G11" s="44"/>
      <c r="H11" s="44"/>
      <c r="I11" s="44">
        <v>100</v>
      </c>
      <c r="J11" s="44">
        <v>0</v>
      </c>
      <c r="M11">
        <f t="shared" si="0"/>
        <v>200</v>
      </c>
    </row>
    <row r="12" spans="1:13" x14ac:dyDescent="0.2">
      <c r="A12">
        <v>11</v>
      </c>
      <c r="B12" t="s">
        <v>391</v>
      </c>
      <c r="C12" t="s">
        <v>390</v>
      </c>
      <c r="I12">
        <v>125</v>
      </c>
      <c r="J12">
        <v>110</v>
      </c>
      <c r="M12">
        <f t="shared" si="0"/>
        <v>225</v>
      </c>
    </row>
    <row r="14" spans="1:13" x14ac:dyDescent="0.2">
      <c r="A14" s="44">
        <v>12</v>
      </c>
      <c r="B14" t="s">
        <v>87</v>
      </c>
      <c r="C14" t="s">
        <v>53</v>
      </c>
      <c r="I14">
        <v>325</v>
      </c>
      <c r="J14">
        <v>275</v>
      </c>
      <c r="M14">
        <f t="shared" si="0"/>
        <v>425</v>
      </c>
    </row>
    <row r="15" spans="1:13" x14ac:dyDescent="0.2">
      <c r="A15" s="44">
        <v>13</v>
      </c>
      <c r="B15" t="s">
        <v>88</v>
      </c>
      <c r="C15" t="s">
        <v>67</v>
      </c>
      <c r="I15">
        <v>375</v>
      </c>
      <c r="J15">
        <v>325</v>
      </c>
      <c r="M15">
        <f t="shared" si="0"/>
        <v>475</v>
      </c>
    </row>
    <row r="17" spans="1:13" x14ac:dyDescent="0.2">
      <c r="A17" s="44">
        <v>14</v>
      </c>
      <c r="B17" t="s">
        <v>437</v>
      </c>
      <c r="C17" t="s">
        <v>61</v>
      </c>
      <c r="I17">
        <v>700</v>
      </c>
      <c r="J17">
        <v>625</v>
      </c>
      <c r="M17">
        <f t="shared" si="0"/>
        <v>800</v>
      </c>
    </row>
    <row r="18" spans="1:13" x14ac:dyDescent="0.2">
      <c r="A18" s="44">
        <v>15</v>
      </c>
      <c r="B18" t="s">
        <v>438</v>
      </c>
      <c r="C18" t="s">
        <v>64</v>
      </c>
      <c r="I18">
        <v>700</v>
      </c>
      <c r="J18">
        <v>550</v>
      </c>
      <c r="M18">
        <f t="shared" si="0"/>
        <v>800</v>
      </c>
    </row>
    <row r="19" spans="1:13" x14ac:dyDescent="0.2">
      <c r="A19" s="44">
        <v>16</v>
      </c>
      <c r="B19" t="s">
        <v>429</v>
      </c>
      <c r="C19" t="s">
        <v>62</v>
      </c>
      <c r="I19">
        <v>700</v>
      </c>
      <c r="J19">
        <v>475</v>
      </c>
      <c r="M19">
        <f t="shared" si="0"/>
        <v>800</v>
      </c>
    </row>
    <row r="20" spans="1:13" x14ac:dyDescent="0.2">
      <c r="A20" s="44">
        <v>17</v>
      </c>
      <c r="B20" t="s">
        <v>90</v>
      </c>
      <c r="C20" t="s">
        <v>52</v>
      </c>
      <c r="I20">
        <v>325</v>
      </c>
      <c r="J20">
        <v>425</v>
      </c>
      <c r="M20">
        <f t="shared" si="0"/>
        <v>425</v>
      </c>
    </row>
    <row r="22" spans="1:13" x14ac:dyDescent="0.2">
      <c r="A22" s="44">
        <v>18</v>
      </c>
      <c r="B22" t="s">
        <v>88</v>
      </c>
      <c r="C22" t="s">
        <v>66</v>
      </c>
      <c r="I22">
        <v>375</v>
      </c>
      <c r="J22">
        <v>475</v>
      </c>
      <c r="M22">
        <f t="shared" si="0"/>
        <v>475</v>
      </c>
    </row>
    <row r="24" spans="1:13" x14ac:dyDescent="0.2">
      <c r="A24" s="44">
        <v>19</v>
      </c>
      <c r="B24" t="s">
        <v>436</v>
      </c>
      <c r="C24" t="s">
        <v>63</v>
      </c>
      <c r="I24">
        <v>800</v>
      </c>
      <c r="J24">
        <v>200</v>
      </c>
      <c r="M24">
        <f t="shared" si="0"/>
        <v>900</v>
      </c>
    </row>
    <row r="25" spans="1:13" x14ac:dyDescent="0.2">
      <c r="A25">
        <v>20</v>
      </c>
      <c r="B25" t="s">
        <v>92</v>
      </c>
      <c r="C25" s="47" t="s">
        <v>73</v>
      </c>
      <c r="I25">
        <v>800</v>
      </c>
      <c r="J25">
        <v>280</v>
      </c>
      <c r="M25">
        <f t="shared" si="0"/>
        <v>900</v>
      </c>
    </row>
    <row r="26" spans="1:13" x14ac:dyDescent="0.2">
      <c r="A26" s="44">
        <v>21</v>
      </c>
      <c r="B26" t="s">
        <v>439</v>
      </c>
      <c r="C26" t="s">
        <v>65</v>
      </c>
      <c r="I26">
        <v>800</v>
      </c>
      <c r="J26">
        <v>275</v>
      </c>
      <c r="M26">
        <f t="shared" si="0"/>
        <v>900</v>
      </c>
    </row>
    <row r="27" spans="1:13" x14ac:dyDescent="0.2">
      <c r="A27">
        <v>22</v>
      </c>
      <c r="B27" s="47" t="s">
        <v>93</v>
      </c>
      <c r="C27" s="47" t="s">
        <v>74</v>
      </c>
      <c r="I27">
        <v>800</v>
      </c>
      <c r="J27">
        <v>240</v>
      </c>
      <c r="M27">
        <f t="shared" si="0"/>
        <v>900</v>
      </c>
    </row>
    <row r="28" spans="1:13" x14ac:dyDescent="0.2">
      <c r="A28" s="44"/>
    </row>
    <row r="29" spans="1:13" x14ac:dyDescent="0.2">
      <c r="A29">
        <v>23</v>
      </c>
      <c r="B29" t="s">
        <v>10</v>
      </c>
      <c r="C29" t="s">
        <v>57</v>
      </c>
      <c r="I29">
        <v>500</v>
      </c>
      <c r="J29">
        <v>275</v>
      </c>
      <c r="M29">
        <f t="shared" si="0"/>
        <v>600</v>
      </c>
    </row>
    <row r="30" spans="1:13" x14ac:dyDescent="0.2">
      <c r="A30" s="44">
        <v>24</v>
      </c>
      <c r="B30" t="s">
        <v>414</v>
      </c>
      <c r="C30" t="s">
        <v>56</v>
      </c>
      <c r="I30">
        <v>500</v>
      </c>
      <c r="J30">
        <v>225</v>
      </c>
      <c r="M30">
        <f t="shared" si="0"/>
        <v>600</v>
      </c>
    </row>
    <row r="31" spans="1:13" x14ac:dyDescent="0.2">
      <c r="A31">
        <v>25</v>
      </c>
      <c r="B31" t="s">
        <v>11</v>
      </c>
      <c r="C31" t="s">
        <v>68</v>
      </c>
      <c r="I31">
        <v>500</v>
      </c>
      <c r="J31">
        <v>400</v>
      </c>
      <c r="M31">
        <f t="shared" si="0"/>
        <v>600</v>
      </c>
    </row>
    <row r="33" spans="1:13" x14ac:dyDescent="0.2">
      <c r="A33">
        <v>26</v>
      </c>
      <c r="B33" t="s">
        <v>91</v>
      </c>
      <c r="C33" t="s">
        <v>51</v>
      </c>
      <c r="I33">
        <v>700</v>
      </c>
      <c r="J33">
        <v>300</v>
      </c>
      <c r="M33">
        <f t="shared" si="0"/>
        <v>800</v>
      </c>
    </row>
    <row r="35" spans="1:13" x14ac:dyDescent="0.2">
      <c r="A35">
        <v>27</v>
      </c>
      <c r="B35" t="s">
        <v>3</v>
      </c>
      <c r="C35" t="s">
        <v>48</v>
      </c>
      <c r="I35">
        <v>1100</v>
      </c>
      <c r="J35">
        <v>75</v>
      </c>
      <c r="M35">
        <f t="shared" si="0"/>
        <v>1200</v>
      </c>
    </row>
    <row r="36" spans="1:13" x14ac:dyDescent="0.2">
      <c r="A36">
        <v>28</v>
      </c>
      <c r="B36" t="s">
        <v>13</v>
      </c>
      <c r="C36" t="s">
        <v>12</v>
      </c>
      <c r="I36">
        <v>1100</v>
      </c>
      <c r="J36">
        <v>400</v>
      </c>
      <c r="M36">
        <f t="shared" si="0"/>
        <v>1200</v>
      </c>
    </row>
    <row r="38" spans="1:13" x14ac:dyDescent="0.2">
      <c r="A38">
        <v>29</v>
      </c>
      <c r="B38" s="87" t="s">
        <v>278</v>
      </c>
      <c r="C38" s="87" t="s">
        <v>277</v>
      </c>
      <c r="I38">
        <v>1100</v>
      </c>
      <c r="J38">
        <v>350</v>
      </c>
      <c r="M38">
        <f t="shared" si="0"/>
        <v>1200</v>
      </c>
    </row>
    <row r="40" spans="1:13" x14ac:dyDescent="0.2">
      <c r="A40">
        <v>30</v>
      </c>
      <c r="B40" t="s">
        <v>251</v>
      </c>
      <c r="C40" t="s">
        <v>252</v>
      </c>
      <c r="I40">
        <v>100</v>
      </c>
      <c r="J40">
        <v>0</v>
      </c>
      <c r="M40">
        <f t="shared" si="0"/>
        <v>200</v>
      </c>
    </row>
    <row r="41" spans="1:13" x14ac:dyDescent="0.2">
      <c r="A41">
        <v>31</v>
      </c>
      <c r="B41" t="s">
        <v>251</v>
      </c>
      <c r="C41" t="s">
        <v>253</v>
      </c>
      <c r="I41">
        <v>100</v>
      </c>
      <c r="J41">
        <v>0</v>
      </c>
      <c r="M41">
        <f t="shared" si="0"/>
        <v>200</v>
      </c>
    </row>
    <row r="42" spans="1:13" x14ac:dyDescent="0.2">
      <c r="A42">
        <v>32</v>
      </c>
      <c r="B42" t="s">
        <v>251</v>
      </c>
      <c r="C42" t="s">
        <v>254</v>
      </c>
      <c r="I42">
        <v>100</v>
      </c>
      <c r="J42">
        <v>0</v>
      </c>
      <c r="M42">
        <f t="shared" si="0"/>
        <v>200</v>
      </c>
    </row>
    <row r="43" spans="1:13" x14ac:dyDescent="0.2">
      <c r="A43">
        <v>33</v>
      </c>
      <c r="B43" t="s">
        <v>251</v>
      </c>
      <c r="C43" t="s">
        <v>255</v>
      </c>
      <c r="I43">
        <v>100</v>
      </c>
      <c r="J43">
        <v>0</v>
      </c>
      <c r="M43">
        <f t="shared" si="0"/>
        <v>200</v>
      </c>
    </row>
    <row r="44" spans="1:13" x14ac:dyDescent="0.2">
      <c r="A44">
        <v>34</v>
      </c>
      <c r="B44" t="s">
        <v>251</v>
      </c>
      <c r="C44" t="s">
        <v>256</v>
      </c>
      <c r="I44">
        <v>100</v>
      </c>
      <c r="J44">
        <v>0</v>
      </c>
      <c r="M44">
        <f t="shared" si="0"/>
        <v>200</v>
      </c>
    </row>
    <row r="45" spans="1:13" x14ac:dyDescent="0.2">
      <c r="A45">
        <v>35</v>
      </c>
      <c r="B45" t="s">
        <v>251</v>
      </c>
      <c r="C45" t="s">
        <v>257</v>
      </c>
      <c r="I45">
        <v>100</v>
      </c>
      <c r="J45">
        <v>0</v>
      </c>
      <c r="M45">
        <f t="shared" si="0"/>
        <v>200</v>
      </c>
    </row>
    <row r="46" spans="1:13" x14ac:dyDescent="0.2">
      <c r="A46">
        <v>36</v>
      </c>
      <c r="B46" t="s">
        <v>251</v>
      </c>
      <c r="C46" t="s">
        <v>258</v>
      </c>
      <c r="I46">
        <v>100</v>
      </c>
      <c r="J46">
        <v>0</v>
      </c>
      <c r="M46">
        <f t="shared" si="0"/>
        <v>200</v>
      </c>
    </row>
    <row r="47" spans="1:13" x14ac:dyDescent="0.2">
      <c r="A47">
        <v>37</v>
      </c>
      <c r="B47" t="s">
        <v>251</v>
      </c>
      <c r="C47" t="s">
        <v>259</v>
      </c>
      <c r="I47">
        <v>100</v>
      </c>
      <c r="J47">
        <v>0</v>
      </c>
      <c r="M47">
        <f t="shared" si="0"/>
        <v>200</v>
      </c>
    </row>
    <row r="48" spans="1:13" x14ac:dyDescent="0.2">
      <c r="A48">
        <v>38</v>
      </c>
      <c r="B48" t="s">
        <v>251</v>
      </c>
      <c r="C48" t="s">
        <v>260</v>
      </c>
      <c r="I48">
        <v>100</v>
      </c>
      <c r="J48">
        <v>0</v>
      </c>
      <c r="M48">
        <f t="shared" si="0"/>
        <v>200</v>
      </c>
    </row>
    <row r="49" spans="1:13" x14ac:dyDescent="0.2">
      <c r="A49">
        <v>39</v>
      </c>
      <c r="B49" t="s">
        <v>251</v>
      </c>
      <c r="C49" t="s">
        <v>261</v>
      </c>
      <c r="I49">
        <v>100</v>
      </c>
      <c r="J49">
        <v>0</v>
      </c>
      <c r="M49">
        <f t="shared" si="0"/>
        <v>200</v>
      </c>
    </row>
    <row r="51" spans="1:13" x14ac:dyDescent="0.2">
      <c r="A51">
        <v>40</v>
      </c>
      <c r="B51" t="s">
        <v>285</v>
      </c>
      <c r="C51" t="s">
        <v>291</v>
      </c>
      <c r="I51">
        <v>125</v>
      </c>
      <c r="J51">
        <v>650</v>
      </c>
      <c r="M51">
        <f t="shared" si="0"/>
        <v>225</v>
      </c>
    </row>
    <row r="52" spans="1:13" x14ac:dyDescent="0.2">
      <c r="A52">
        <v>41</v>
      </c>
      <c r="B52" t="s">
        <v>286</v>
      </c>
      <c r="C52" t="s">
        <v>290</v>
      </c>
      <c r="I52">
        <v>125</v>
      </c>
      <c r="J52">
        <f>J51+50</f>
        <v>700</v>
      </c>
      <c r="M52">
        <f t="shared" si="0"/>
        <v>225</v>
      </c>
    </row>
    <row r="53" spans="1:13" x14ac:dyDescent="0.2">
      <c r="A53">
        <v>42</v>
      </c>
      <c r="B53" t="s">
        <v>316</v>
      </c>
      <c r="C53" t="s">
        <v>292</v>
      </c>
      <c r="I53">
        <v>125</v>
      </c>
      <c r="J53">
        <f t="shared" ref="J53:J58" si="1">J52+50</f>
        <v>750</v>
      </c>
      <c r="M53">
        <f t="shared" si="0"/>
        <v>225</v>
      </c>
    </row>
    <row r="54" spans="1:13" x14ac:dyDescent="0.2">
      <c r="A54">
        <v>43</v>
      </c>
      <c r="B54" t="s">
        <v>317</v>
      </c>
      <c r="C54" t="s">
        <v>293</v>
      </c>
      <c r="I54">
        <v>125</v>
      </c>
      <c r="J54">
        <v>800</v>
      </c>
      <c r="M54">
        <f t="shared" si="0"/>
        <v>225</v>
      </c>
    </row>
    <row r="55" spans="1:13" x14ac:dyDescent="0.2">
      <c r="A55">
        <v>44</v>
      </c>
      <c r="B55" t="s">
        <v>20</v>
      </c>
      <c r="C55" t="s">
        <v>314</v>
      </c>
      <c r="I55">
        <v>125</v>
      </c>
      <c r="J55">
        <v>875</v>
      </c>
      <c r="M55">
        <f t="shared" si="0"/>
        <v>225</v>
      </c>
    </row>
    <row r="56" spans="1:13" x14ac:dyDescent="0.2">
      <c r="A56">
        <v>45</v>
      </c>
      <c r="B56" t="s">
        <v>496</v>
      </c>
      <c r="C56" t="s">
        <v>297</v>
      </c>
      <c r="I56">
        <v>125</v>
      </c>
      <c r="J56">
        <f t="shared" si="1"/>
        <v>925</v>
      </c>
      <c r="M56">
        <f t="shared" si="0"/>
        <v>225</v>
      </c>
    </row>
    <row r="57" spans="1:13" x14ac:dyDescent="0.2">
      <c r="A57">
        <v>46</v>
      </c>
      <c r="B57" t="s">
        <v>341</v>
      </c>
      <c r="C57" t="s">
        <v>298</v>
      </c>
      <c r="I57">
        <v>125</v>
      </c>
      <c r="J57">
        <f t="shared" si="1"/>
        <v>975</v>
      </c>
      <c r="M57">
        <f t="shared" si="0"/>
        <v>225</v>
      </c>
    </row>
    <row r="58" spans="1:13" x14ac:dyDescent="0.2">
      <c r="A58">
        <v>47</v>
      </c>
      <c r="B58" t="s">
        <v>382</v>
      </c>
      <c r="C58" t="s">
        <v>299</v>
      </c>
      <c r="I58">
        <v>125</v>
      </c>
      <c r="J58">
        <f t="shared" si="1"/>
        <v>1025</v>
      </c>
      <c r="M58">
        <f t="shared" si="0"/>
        <v>225</v>
      </c>
    </row>
    <row r="59" spans="1:13" x14ac:dyDescent="0.2">
      <c r="A59">
        <v>48</v>
      </c>
      <c r="B59" t="s">
        <v>300</v>
      </c>
      <c r="C59" t="s">
        <v>300</v>
      </c>
      <c r="I59">
        <v>100</v>
      </c>
      <c r="J59">
        <v>0</v>
      </c>
      <c r="M59">
        <f t="shared" si="0"/>
        <v>200</v>
      </c>
    </row>
    <row r="60" spans="1:13" x14ac:dyDescent="0.2">
      <c r="A60">
        <v>49</v>
      </c>
      <c r="B60" t="s">
        <v>301</v>
      </c>
      <c r="C60" t="s">
        <v>301</v>
      </c>
      <c r="I60">
        <v>100</v>
      </c>
      <c r="J60">
        <v>0</v>
      </c>
      <c r="M60">
        <f t="shared" si="0"/>
        <v>200</v>
      </c>
    </row>
    <row r="62" spans="1:13" x14ac:dyDescent="0.2">
      <c r="A62">
        <v>50</v>
      </c>
      <c r="B62" t="s">
        <v>307</v>
      </c>
      <c r="C62" t="s">
        <v>294</v>
      </c>
      <c r="I62">
        <v>650</v>
      </c>
      <c r="J62">
        <v>950</v>
      </c>
      <c r="M62">
        <f t="shared" si="0"/>
        <v>750</v>
      </c>
    </row>
    <row r="63" spans="1:13" x14ac:dyDescent="0.2">
      <c r="A63">
        <v>51</v>
      </c>
      <c r="B63" t="s">
        <v>308</v>
      </c>
      <c r="C63" t="s">
        <v>295</v>
      </c>
      <c r="I63">
        <v>650</v>
      </c>
      <c r="J63">
        <v>1000</v>
      </c>
      <c r="M63">
        <f t="shared" si="0"/>
        <v>750</v>
      </c>
    </row>
    <row r="64" spans="1:13" x14ac:dyDescent="0.2">
      <c r="A64">
        <v>52</v>
      </c>
      <c r="B64" t="s">
        <v>309</v>
      </c>
      <c r="C64" t="s">
        <v>296</v>
      </c>
      <c r="I64">
        <v>650</v>
      </c>
      <c r="J64">
        <v>860</v>
      </c>
      <c r="M64">
        <f t="shared" si="0"/>
        <v>750</v>
      </c>
    </row>
    <row r="65" spans="1:13" x14ac:dyDescent="0.2">
      <c r="A65">
        <v>53</v>
      </c>
      <c r="B65" t="s">
        <v>346</v>
      </c>
      <c r="C65" t="s">
        <v>302</v>
      </c>
      <c r="I65">
        <v>650</v>
      </c>
      <c r="J65">
        <v>825</v>
      </c>
      <c r="M65">
        <f t="shared" si="0"/>
        <v>750</v>
      </c>
    </row>
    <row r="66" spans="1:13" x14ac:dyDescent="0.2">
      <c r="A66">
        <v>54</v>
      </c>
      <c r="B66" t="s">
        <v>347</v>
      </c>
      <c r="C66" t="s">
        <v>303</v>
      </c>
      <c r="I66">
        <v>650</v>
      </c>
      <c r="J66">
        <v>900</v>
      </c>
      <c r="M66">
        <f t="shared" si="0"/>
        <v>750</v>
      </c>
    </row>
    <row r="67" spans="1:13" x14ac:dyDescent="0.2">
      <c r="A67">
        <v>55</v>
      </c>
      <c r="B67" t="s">
        <v>304</v>
      </c>
      <c r="C67" t="s">
        <v>304</v>
      </c>
      <c r="I67">
        <v>100</v>
      </c>
      <c r="J67">
        <v>0</v>
      </c>
      <c r="M67">
        <f t="shared" ref="M67:M74" si="2">I67+100</f>
        <v>200</v>
      </c>
    </row>
    <row r="68" spans="1:13" x14ac:dyDescent="0.2">
      <c r="A68">
        <v>56</v>
      </c>
      <c r="B68" t="s">
        <v>305</v>
      </c>
      <c r="C68" t="s">
        <v>305</v>
      </c>
      <c r="I68">
        <v>100</v>
      </c>
      <c r="J68">
        <v>0</v>
      </c>
      <c r="M68">
        <f t="shared" si="2"/>
        <v>200</v>
      </c>
    </row>
    <row r="69" spans="1:13" x14ac:dyDescent="0.2">
      <c r="A69">
        <v>57</v>
      </c>
      <c r="B69" t="s">
        <v>306</v>
      </c>
      <c r="C69" t="s">
        <v>306</v>
      </c>
      <c r="I69">
        <v>100</v>
      </c>
      <c r="J69">
        <v>0</v>
      </c>
      <c r="M69">
        <f t="shared" si="2"/>
        <v>200</v>
      </c>
    </row>
    <row r="71" spans="1:13" x14ac:dyDescent="0.2">
      <c r="A71">
        <v>58</v>
      </c>
      <c r="B71" t="s">
        <v>310</v>
      </c>
      <c r="C71" t="s">
        <v>311</v>
      </c>
      <c r="I71">
        <v>400</v>
      </c>
      <c r="J71">
        <v>800</v>
      </c>
      <c r="M71">
        <f t="shared" si="2"/>
        <v>500</v>
      </c>
    </row>
    <row r="72" spans="1:13" x14ac:dyDescent="0.2">
      <c r="A72">
        <v>59</v>
      </c>
      <c r="B72" t="s">
        <v>7</v>
      </c>
      <c r="C72" t="s">
        <v>313</v>
      </c>
      <c r="I72">
        <v>1100</v>
      </c>
      <c r="J72">
        <v>700</v>
      </c>
      <c r="M72">
        <f t="shared" si="2"/>
        <v>1200</v>
      </c>
    </row>
    <row r="73" spans="1:13" x14ac:dyDescent="0.2">
      <c r="A73">
        <v>60</v>
      </c>
      <c r="B73" t="s">
        <v>312</v>
      </c>
      <c r="C73" t="s">
        <v>315</v>
      </c>
      <c r="I73">
        <v>900</v>
      </c>
      <c r="J73">
        <v>825</v>
      </c>
      <c r="M73">
        <f t="shared" si="2"/>
        <v>1000</v>
      </c>
    </row>
    <row r="74" spans="1:13" x14ac:dyDescent="0.2">
      <c r="A74">
        <v>61</v>
      </c>
      <c r="B74" t="s">
        <v>321</v>
      </c>
      <c r="C74" t="s">
        <v>318</v>
      </c>
      <c r="I74">
        <v>1100</v>
      </c>
      <c r="J74">
        <v>900</v>
      </c>
      <c r="M74">
        <f t="shared" si="2"/>
        <v>1200</v>
      </c>
    </row>
    <row r="82" spans="2:8" x14ac:dyDescent="0.2">
      <c r="B82" s="48"/>
    </row>
    <row r="89" spans="2:8" x14ac:dyDescent="0.2">
      <c r="B89" s="49"/>
      <c r="C89" s="49"/>
      <c r="D89" s="49"/>
      <c r="E89" s="49"/>
      <c r="F89" s="49"/>
      <c r="G89" s="49"/>
      <c r="H89" s="49"/>
    </row>
    <row r="91" spans="2:8" x14ac:dyDescent="0.2">
      <c r="B91" s="50"/>
      <c r="C91" s="50"/>
      <c r="D91" s="50"/>
      <c r="E91" s="50"/>
      <c r="F91" s="50"/>
      <c r="G91" s="50"/>
      <c r="H91" s="50"/>
    </row>
    <row r="111" spans="2:3" x14ac:dyDescent="0.2">
      <c r="B111" s="11"/>
      <c r="C111" s="11"/>
    </row>
    <row r="117" spans="1:15" x14ac:dyDescent="0.2">
      <c r="B117" s="23"/>
      <c r="C117" s="23"/>
    </row>
    <row r="119" spans="1:15" s="48" customFormat="1" x14ac:dyDescent="0.2">
      <c r="A119"/>
      <c r="K119"/>
      <c r="L119"/>
      <c r="M119"/>
      <c r="O119"/>
    </row>
    <row r="132" spans="2:3" x14ac:dyDescent="0.2">
      <c r="B132" s="14"/>
      <c r="C132" s="14"/>
    </row>
    <row r="133" spans="2:3" x14ac:dyDescent="0.2">
      <c r="B133" s="14"/>
      <c r="C133" s="14"/>
    </row>
    <row r="144" spans="2:3" x14ac:dyDescent="0.2">
      <c r="B144" s="11"/>
      <c r="C144" s="11"/>
    </row>
    <row r="145" spans="2:3" x14ac:dyDescent="0.2">
      <c r="B145" s="11"/>
      <c r="C145" s="11"/>
    </row>
    <row r="146" spans="2:3" x14ac:dyDescent="0.2">
      <c r="B146" s="11"/>
      <c r="C146" s="11"/>
    </row>
    <row r="151" spans="2:3" x14ac:dyDescent="0.2">
      <c r="B151" s="11"/>
      <c r="C151" s="11"/>
    </row>
    <row r="160" spans="2:3" x14ac:dyDescent="0.2">
      <c r="B160" s="12"/>
      <c r="C160" s="12"/>
    </row>
    <row r="161" spans="2:16" x14ac:dyDescent="0.2">
      <c r="B161" s="12"/>
      <c r="C161" s="12"/>
      <c r="P161" s="9"/>
    </row>
    <row r="162" spans="2:16" x14ac:dyDescent="0.2">
      <c r="B162" s="12"/>
      <c r="C162" s="12"/>
      <c r="P162" s="51"/>
    </row>
    <row r="163" spans="2:16" x14ac:dyDescent="0.2">
      <c r="B163" s="12"/>
      <c r="C163" s="12"/>
      <c r="P163" s="51"/>
    </row>
    <row r="164" spans="2:16" x14ac:dyDescent="0.2">
      <c r="B164" s="12"/>
      <c r="C164" s="12"/>
      <c r="P164" s="51"/>
    </row>
    <row r="165" spans="2:16" x14ac:dyDescent="0.2">
      <c r="B165" s="12"/>
      <c r="C165" s="12"/>
      <c r="P165" s="51"/>
    </row>
    <row r="166" spans="2:16" x14ac:dyDescent="0.2">
      <c r="B166" s="12"/>
      <c r="C166" s="12"/>
      <c r="P166" s="51"/>
    </row>
    <row r="167" spans="2:16" x14ac:dyDescent="0.2">
      <c r="B167" s="12"/>
      <c r="C167" s="12"/>
      <c r="P167" s="51"/>
    </row>
    <row r="168" spans="2:16" x14ac:dyDescent="0.2">
      <c r="B168" s="14"/>
      <c r="C168" s="12"/>
      <c r="P168" s="51"/>
    </row>
    <row r="169" spans="2:16" x14ac:dyDescent="0.2">
      <c r="B169" s="12"/>
      <c r="C169" s="12"/>
      <c r="P169" s="51"/>
    </row>
    <row r="170" spans="2:16" x14ac:dyDescent="0.2">
      <c r="P170" s="51"/>
    </row>
    <row r="171" spans="2:16" x14ac:dyDescent="0.2">
      <c r="P171" s="51"/>
    </row>
    <row r="172" spans="2:16" x14ac:dyDescent="0.2">
      <c r="B172" s="12"/>
      <c r="C172" s="12"/>
      <c r="P172" s="51"/>
    </row>
    <row r="173" spans="2:16" x14ac:dyDescent="0.2">
      <c r="B173" s="12"/>
      <c r="C173" s="12"/>
      <c r="P173" s="51"/>
    </row>
    <row r="174" spans="2:16" x14ac:dyDescent="0.2">
      <c r="P174" s="51"/>
    </row>
    <row r="175" spans="2:16" x14ac:dyDescent="0.2">
      <c r="B175" s="12"/>
      <c r="C175" s="12"/>
    </row>
    <row r="178" spans="2:4" x14ac:dyDescent="0.2">
      <c r="D178" s="3"/>
    </row>
    <row r="181" spans="2:4" x14ac:dyDescent="0.2">
      <c r="B181" s="12"/>
      <c r="C181" s="12"/>
    </row>
    <row r="183" spans="2:4" x14ac:dyDescent="0.2">
      <c r="B183" s="12"/>
      <c r="C183" s="12"/>
    </row>
    <row r="262" spans="2:3" x14ac:dyDescent="0.2">
      <c r="B262" s="12"/>
      <c r="C262" s="12"/>
    </row>
    <row r="263" spans="2:3" x14ac:dyDescent="0.2">
      <c r="B263" s="12"/>
      <c r="C263" s="12"/>
    </row>
    <row r="268" spans="2:3" x14ac:dyDescent="0.2">
      <c r="B268" s="12"/>
      <c r="C268" s="12"/>
    </row>
    <row r="269" spans="2:3" x14ac:dyDescent="0.2">
      <c r="B269" s="14"/>
      <c r="C269" s="14"/>
    </row>
    <row r="273" spans="2:7" x14ac:dyDescent="0.2">
      <c r="B273" s="52"/>
      <c r="C273" s="52"/>
      <c r="D273" s="52"/>
      <c r="E273" s="52"/>
      <c r="F273" s="52"/>
      <c r="G273" s="52"/>
    </row>
    <row r="278" spans="2:7" x14ac:dyDescent="0.2">
      <c r="C278" s="52"/>
    </row>
    <row r="291" spans="2:2" x14ac:dyDescent="0.2">
      <c r="B291" s="49"/>
    </row>
    <row r="316" spans="2:3" x14ac:dyDescent="0.2">
      <c r="B316" s="14"/>
      <c r="C316" s="14"/>
    </row>
    <row r="317" spans="2:3" x14ac:dyDescent="0.2">
      <c r="B317" s="14"/>
      <c r="C317" s="14"/>
    </row>
    <row r="342" spans="2:3" x14ac:dyDescent="0.2">
      <c r="B342" s="11"/>
      <c r="C342" s="11"/>
    </row>
    <row r="353" spans="2:3" x14ac:dyDescent="0.2">
      <c r="B353" s="12"/>
      <c r="C353" s="12"/>
    </row>
    <row r="354" spans="2:3" x14ac:dyDescent="0.2">
      <c r="B354" s="12"/>
      <c r="C354" s="12"/>
    </row>
    <row r="372" spans="2:3" x14ac:dyDescent="0.2">
      <c r="B372" s="12"/>
      <c r="C372" s="12"/>
    </row>
    <row r="376" spans="2:3" x14ac:dyDescent="0.2">
      <c r="B376" s="11"/>
      <c r="C376" s="11"/>
    </row>
    <row r="377" spans="2:3" x14ac:dyDescent="0.2">
      <c r="B377" s="11"/>
      <c r="C377" s="11"/>
    </row>
    <row r="406" spans="2:3" x14ac:dyDescent="0.2">
      <c r="B406" s="14"/>
    </row>
    <row r="407" spans="2:3" x14ac:dyDescent="0.2">
      <c r="B407" s="14"/>
    </row>
    <row r="408" spans="2:3" x14ac:dyDescent="0.2">
      <c r="B408" s="14"/>
    </row>
    <row r="410" spans="2:3" x14ac:dyDescent="0.2">
      <c r="B410" s="14"/>
      <c r="C410" s="14"/>
    </row>
    <row r="411" spans="2:3" x14ac:dyDescent="0.2">
      <c r="B411" s="14"/>
      <c r="C411" s="14"/>
    </row>
    <row r="445" spans="10:10" x14ac:dyDescent="0.2">
      <c r="J445" s="12"/>
    </row>
    <row r="446" spans="10:10" x14ac:dyDescent="0.2">
      <c r="J446" s="12"/>
    </row>
    <row r="480" spans="2:3" x14ac:dyDescent="0.2">
      <c r="B480" s="11"/>
      <c r="C480" s="11"/>
    </row>
    <row r="481" spans="2:10" x14ac:dyDescent="0.2">
      <c r="B481" s="11"/>
      <c r="C481" s="11"/>
    </row>
    <row r="484" spans="2:10" x14ac:dyDescent="0.2">
      <c r="I484" s="12"/>
      <c r="J484" s="12"/>
    </row>
    <row r="496" spans="2:10" x14ac:dyDescent="0.2">
      <c r="B496" s="11"/>
      <c r="C496" s="11"/>
    </row>
    <row r="497" spans="2:3" x14ac:dyDescent="0.2">
      <c r="B497" s="11"/>
      <c r="C497" s="11"/>
    </row>
    <row r="498" spans="2:3" x14ac:dyDescent="0.2">
      <c r="B498" s="11"/>
      <c r="C498" s="11"/>
    </row>
    <row r="502" spans="2:3" x14ac:dyDescent="0.2">
      <c r="B502" s="11"/>
      <c r="C502" s="11"/>
    </row>
    <row r="503" spans="2:3" x14ac:dyDescent="0.2">
      <c r="B503" s="11"/>
      <c r="C503" s="11"/>
    </row>
    <row r="504" spans="2:3" x14ac:dyDescent="0.2">
      <c r="B504" s="11"/>
      <c r="C504" s="11"/>
    </row>
    <row r="506" spans="2:3" x14ac:dyDescent="0.2">
      <c r="B506" s="11"/>
      <c r="C506" s="11"/>
    </row>
    <row r="507" spans="2:3" x14ac:dyDescent="0.2">
      <c r="B507" s="11"/>
      <c r="C507" s="11"/>
    </row>
    <row r="508" spans="2:3" x14ac:dyDescent="0.2">
      <c r="B508" s="11"/>
      <c r="C508" s="11"/>
    </row>
    <row r="511" spans="2:3" x14ac:dyDescent="0.2">
      <c r="B511" s="11"/>
      <c r="C511" s="11"/>
    </row>
    <row r="512" spans="2:3" x14ac:dyDescent="0.2">
      <c r="B512" s="11"/>
      <c r="C512" s="11"/>
    </row>
    <row r="513" spans="2:3" x14ac:dyDescent="0.2">
      <c r="B513" s="11"/>
      <c r="C513" s="11"/>
    </row>
    <row r="515" spans="2:3" x14ac:dyDescent="0.2">
      <c r="B515" s="11"/>
      <c r="C515" s="11"/>
    </row>
    <row r="518" spans="2:3" x14ac:dyDescent="0.2">
      <c r="B518" s="11"/>
      <c r="C518" s="11"/>
    </row>
    <row r="519" spans="2:3" x14ac:dyDescent="0.2">
      <c r="B519" s="11"/>
      <c r="C519" s="11"/>
    </row>
    <row r="520" spans="2:3" x14ac:dyDescent="0.2">
      <c r="B520" s="11"/>
      <c r="C520" s="11"/>
    </row>
    <row r="522" spans="2:3" x14ac:dyDescent="0.2">
      <c r="B522" s="11"/>
      <c r="C522" s="11"/>
    </row>
    <row r="523" spans="2:3" x14ac:dyDescent="0.2">
      <c r="B523" s="11"/>
      <c r="C523" s="11"/>
    </row>
    <row r="524" spans="2:3" x14ac:dyDescent="0.2">
      <c r="B524" s="11"/>
      <c r="C524" s="11"/>
    </row>
    <row r="526" spans="2:3" x14ac:dyDescent="0.2">
      <c r="B526" s="11"/>
      <c r="C526" s="11"/>
    </row>
    <row r="527" spans="2:3" x14ac:dyDescent="0.2">
      <c r="B527" s="11"/>
      <c r="C527" s="11"/>
    </row>
    <row r="528" spans="2:3" x14ac:dyDescent="0.2">
      <c r="B528" s="11"/>
      <c r="C528" s="11"/>
    </row>
    <row r="530" spans="2:3" x14ac:dyDescent="0.2">
      <c r="B530" s="11"/>
      <c r="C530" s="11"/>
    </row>
    <row r="531" spans="2:3" x14ac:dyDescent="0.2">
      <c r="B531" s="11"/>
      <c r="C531" s="11"/>
    </row>
    <row r="532" spans="2:3" x14ac:dyDescent="0.2">
      <c r="B532" s="11"/>
      <c r="C532" s="11"/>
    </row>
    <row r="534" spans="2:3" x14ac:dyDescent="0.2">
      <c r="B534" s="11"/>
      <c r="C534" s="11"/>
    </row>
    <row r="535" spans="2:3" x14ac:dyDescent="0.2">
      <c r="B535" s="11"/>
      <c r="C535" s="11"/>
    </row>
    <row r="536" spans="2:3" x14ac:dyDescent="0.2">
      <c r="B536" s="11"/>
      <c r="C536" s="11"/>
    </row>
    <row r="538" spans="2:3" x14ac:dyDescent="0.2">
      <c r="B538" s="11"/>
      <c r="C538" s="11"/>
    </row>
    <row r="539" spans="2:3" x14ac:dyDescent="0.2">
      <c r="B539" s="11"/>
      <c r="C539" s="11"/>
    </row>
    <row r="540" spans="2:3" x14ac:dyDescent="0.2">
      <c r="B540" s="11"/>
      <c r="C540" s="11"/>
    </row>
    <row r="542" spans="2:3" x14ac:dyDescent="0.2">
      <c r="B542" s="11"/>
      <c r="C542" s="11"/>
    </row>
    <row r="543" spans="2:3" x14ac:dyDescent="0.2">
      <c r="B543" s="11"/>
      <c r="C543" s="11"/>
    </row>
    <row r="544" spans="2:3" x14ac:dyDescent="0.2">
      <c r="B544" s="11"/>
      <c r="C544" s="11"/>
    </row>
    <row r="546" spans="2:3" x14ac:dyDescent="0.2">
      <c r="B546" s="11"/>
      <c r="C546" s="11"/>
    </row>
    <row r="547" spans="2:3" x14ac:dyDescent="0.2">
      <c r="B547" s="11"/>
      <c r="C547" s="11"/>
    </row>
    <row r="548" spans="2:3" x14ac:dyDescent="0.2">
      <c r="B548" s="11"/>
      <c r="C548" s="11"/>
    </row>
    <row r="549" spans="2:3" x14ac:dyDescent="0.2">
      <c r="B549" s="11"/>
      <c r="C549" s="11"/>
    </row>
    <row r="550" spans="2:3" x14ac:dyDescent="0.2">
      <c r="B550" s="11"/>
      <c r="C550" s="11"/>
    </row>
    <row r="551" spans="2:3" x14ac:dyDescent="0.2">
      <c r="B551" s="11"/>
      <c r="C551" s="11"/>
    </row>
    <row r="552" spans="2:3" x14ac:dyDescent="0.2">
      <c r="B552" s="11"/>
      <c r="C552" s="11"/>
    </row>
    <row r="553" spans="2:3" x14ac:dyDescent="0.2">
      <c r="B553" s="11"/>
      <c r="C553" s="11"/>
    </row>
    <row r="555" spans="2:3" x14ac:dyDescent="0.2">
      <c r="B555" s="11"/>
      <c r="C555" s="11"/>
    </row>
    <row r="556" spans="2:3" x14ac:dyDescent="0.2">
      <c r="B556" s="11"/>
      <c r="C556" s="11"/>
    </row>
    <row r="557" spans="2:3" x14ac:dyDescent="0.2">
      <c r="B557" s="11"/>
      <c r="C557" s="11"/>
    </row>
    <row r="559" spans="2:3" x14ac:dyDescent="0.2">
      <c r="B559" s="11"/>
      <c r="C559" s="11"/>
    </row>
    <row r="560" spans="2:3" x14ac:dyDescent="0.2">
      <c r="B560" s="11"/>
      <c r="C560" s="11"/>
    </row>
    <row r="561" spans="2:3" x14ac:dyDescent="0.2">
      <c r="B561" s="11"/>
      <c r="C561" s="11"/>
    </row>
    <row r="563" spans="2:3" x14ac:dyDescent="0.2">
      <c r="B563" s="11"/>
      <c r="C563" s="11"/>
    </row>
    <row r="564" spans="2:3" x14ac:dyDescent="0.2">
      <c r="B564" s="11"/>
      <c r="C564" s="11"/>
    </row>
    <row r="565" spans="2:3" x14ac:dyDescent="0.2">
      <c r="B565" s="11"/>
      <c r="C565" s="11"/>
    </row>
    <row r="567" spans="2:3" x14ac:dyDescent="0.2">
      <c r="B567" s="11"/>
      <c r="C567" s="11"/>
    </row>
    <row r="568" spans="2:3" x14ac:dyDescent="0.2">
      <c r="B568" s="11"/>
      <c r="C568" s="11"/>
    </row>
    <row r="569" spans="2:3" x14ac:dyDescent="0.2">
      <c r="B569" s="11"/>
      <c r="C569" s="11"/>
    </row>
    <row r="571" spans="2:3" x14ac:dyDescent="0.2">
      <c r="B571" s="11"/>
      <c r="C571" s="11"/>
    </row>
    <row r="572" spans="2:3" x14ac:dyDescent="0.2">
      <c r="B572" s="11"/>
      <c r="C572" s="11"/>
    </row>
    <row r="573" spans="2:3" x14ac:dyDescent="0.2">
      <c r="B573" s="11"/>
      <c r="C573" s="11"/>
    </row>
    <row r="575" spans="2:3" x14ac:dyDescent="0.2">
      <c r="B575" s="11"/>
      <c r="C575" s="11"/>
    </row>
    <row r="576" spans="2:3" x14ac:dyDescent="0.2">
      <c r="B576" s="11"/>
      <c r="C576" s="11"/>
    </row>
    <row r="577" spans="2:3" x14ac:dyDescent="0.2">
      <c r="B577" s="11"/>
      <c r="C577" s="11"/>
    </row>
    <row r="579" spans="2:3" x14ac:dyDescent="0.2">
      <c r="B579" s="11"/>
      <c r="C579" s="11"/>
    </row>
    <row r="580" spans="2:3" x14ac:dyDescent="0.2">
      <c r="B580" s="11"/>
      <c r="C580" s="11"/>
    </row>
    <row r="581" spans="2:3" x14ac:dyDescent="0.2">
      <c r="B581" s="11"/>
      <c r="C581" s="11"/>
    </row>
    <row r="583" spans="2:3" x14ac:dyDescent="0.2">
      <c r="B583" s="11"/>
      <c r="C583" s="11"/>
    </row>
    <row r="584" spans="2:3" x14ac:dyDescent="0.2">
      <c r="B584" s="11"/>
      <c r="C584" s="11"/>
    </row>
    <row r="585" spans="2:3" x14ac:dyDescent="0.2">
      <c r="B585" s="11"/>
      <c r="C585" s="11"/>
    </row>
    <row r="587" spans="2:3" x14ac:dyDescent="0.2">
      <c r="B587" s="11"/>
      <c r="C587" s="11"/>
    </row>
    <row r="588" spans="2:3" x14ac:dyDescent="0.2">
      <c r="B588" s="11"/>
      <c r="C588" s="11"/>
    </row>
    <row r="589" spans="2:3" x14ac:dyDescent="0.2">
      <c r="B589" s="11"/>
      <c r="C589" s="11"/>
    </row>
    <row r="591" spans="2:3" x14ac:dyDescent="0.2">
      <c r="B591" s="11"/>
      <c r="C591" s="11"/>
    </row>
    <row r="597" spans="2:3" x14ac:dyDescent="0.2">
      <c r="B597" s="12"/>
      <c r="C597" s="12"/>
    </row>
    <row r="601" spans="2:3" x14ac:dyDescent="0.2">
      <c r="B601" s="12"/>
      <c r="C601" s="12"/>
    </row>
    <row r="605" spans="2:3" x14ac:dyDescent="0.2">
      <c r="B605" s="12"/>
      <c r="C605" s="12"/>
    </row>
    <row r="634" spans="2:22" x14ac:dyDescent="0.2">
      <c r="B634" s="11"/>
      <c r="C634" s="11"/>
    </row>
    <row r="638" spans="2:22" x14ac:dyDescent="0.2">
      <c r="B638" s="11"/>
      <c r="C638" s="11"/>
    </row>
    <row r="639" spans="2:22" x14ac:dyDescent="0.2">
      <c r="V639" s="11"/>
    </row>
    <row r="640" spans="2:22" x14ac:dyDescent="0.2">
      <c r="V640" s="11"/>
    </row>
    <row r="641" spans="2:22" x14ac:dyDescent="0.2">
      <c r="V641" s="11"/>
    </row>
    <row r="642" spans="2:22" x14ac:dyDescent="0.2">
      <c r="B642" s="11"/>
      <c r="C642" s="11"/>
    </row>
    <row r="646" spans="2:22" x14ac:dyDescent="0.2">
      <c r="B646" s="11"/>
      <c r="C646" s="11"/>
    </row>
    <row r="650" spans="2:22" x14ac:dyDescent="0.2">
      <c r="B650" s="11"/>
      <c r="C650" s="11"/>
    </row>
    <row r="654" spans="2:22" x14ac:dyDescent="0.2">
      <c r="B654" s="11"/>
      <c r="C654" s="11"/>
    </row>
    <row r="658" spans="2:3" x14ac:dyDescent="0.2">
      <c r="B658" s="11"/>
      <c r="C658" s="11"/>
    </row>
    <row r="662" spans="2:3" x14ac:dyDescent="0.2">
      <c r="B662" s="11"/>
      <c r="C662" s="11"/>
    </row>
    <row r="788" spans="2:3" x14ac:dyDescent="0.2">
      <c r="B788" s="12"/>
      <c r="C788" s="12"/>
    </row>
    <row r="792" spans="2:3" x14ac:dyDescent="0.2">
      <c r="B792" s="12"/>
      <c r="C792" s="12"/>
    </row>
    <row r="873" spans="2:3" x14ac:dyDescent="0.2">
      <c r="B873" s="11"/>
      <c r="C873" s="11"/>
    </row>
  </sheetData>
  <autoFilter ref="B1:H47" xr:uid="{F4E5733A-C465-E64E-BD85-77C8AA88B2D2}"/>
  <phoneticPr fontId="37" type="noConversion"/>
  <conditionalFormatting sqref="B470:C470">
    <cfRule type="containsText" dxfId="13" priority="4" operator="containsText" text="for">
      <formula>NOT(ISERROR(SEARCH("for",B470)))</formula>
    </cfRule>
    <cfRule type="containsText" dxfId="12" priority="5" operator="containsText" text="gas">
      <formula>NOT(ISERROR(SEARCH("gas",B470)))</formula>
    </cfRule>
    <cfRule type="containsText" dxfId="11" priority="6" operator="containsText" text="electricity">
      <formula>NOT(ISERROR(SEARCH("electricity",B470)))</formula>
    </cfRule>
  </conditionalFormatting>
  <conditionalFormatting sqref="B487:C487">
    <cfRule type="containsText" dxfId="10" priority="1" operator="containsText" text="for">
      <formula>NOT(ISERROR(SEARCH("for",B487)))</formula>
    </cfRule>
    <cfRule type="containsText" dxfId="9" priority="2" operator="containsText" text="gas">
      <formula>NOT(ISERROR(SEARCH("gas",B487)))</formula>
    </cfRule>
    <cfRule type="containsText" dxfId="8" priority="3" operator="containsText" text="electricity">
      <formula>NOT(ISERROR(SEARCH("electricity",B487)))</formula>
    </cfRule>
  </conditionalFormatting>
  <pageMargins left="0.7" right="0.7" top="0.75" bottom="0.75" header="0.3" footer="0.3"/>
  <pageSetup paperSize="9" orientation="portrait" horizontalDpi="0" verticalDpi="0"/>
  <headerFooter>
    <oddFooter>&amp;L_x000D_&amp;1#&amp;"Calibri"&amp;10&amp;K000000 Intern gebruik</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9B051-2697-1246-81FB-EDEE5FE966B6}">
  <sheetPr>
    <tabColor rgb="FFFFC000"/>
  </sheetPr>
  <dimension ref="A1:HT1299"/>
  <sheetViews>
    <sheetView zoomScale="75" zoomScaleNormal="75" workbookViewId="0">
      <pane ySplit="1" topLeftCell="A2" activePane="bottomLeft" state="frozen"/>
      <selection pane="bottomLeft" activeCell="O27" sqref="O27"/>
    </sheetView>
  </sheetViews>
  <sheetFormatPr baseColWidth="10" defaultRowHeight="16" x14ac:dyDescent="0.2"/>
  <cols>
    <col min="2" max="2" width="47.33203125" style="39" customWidth="1"/>
    <col min="3" max="3" width="46.83203125" bestFit="1" customWidth="1"/>
    <col min="4" max="4" width="16.1640625" customWidth="1"/>
    <col min="5" max="5" width="8.33203125" hidden="1" customWidth="1"/>
    <col min="6" max="6" width="7.1640625" hidden="1" customWidth="1"/>
    <col min="7" max="7" width="14.5" hidden="1" customWidth="1"/>
    <col min="8" max="8" width="37.6640625" style="47" hidden="1" customWidth="1"/>
    <col min="9" max="20" width="17.6640625" customWidth="1"/>
    <col min="21" max="24" width="28.33203125" customWidth="1"/>
    <col min="25" max="25" width="27.83203125" customWidth="1"/>
    <col min="26" max="35" width="14.5" customWidth="1"/>
    <col min="36" max="36" width="13.5" customWidth="1"/>
    <col min="37" max="37" width="14.5" customWidth="1"/>
    <col min="41" max="41" width="44.83203125" customWidth="1"/>
    <col min="44" max="44" width="11.5" customWidth="1"/>
    <col min="47" max="47" width="11.6640625" customWidth="1"/>
    <col min="48" max="48" width="13.5" customWidth="1"/>
    <col min="49" max="49" width="19" customWidth="1"/>
    <col min="50" max="50" width="3.5" bestFit="1" customWidth="1"/>
    <col min="51" max="51" width="21.6640625" customWidth="1"/>
    <col min="52" max="52" width="18.6640625" customWidth="1"/>
    <col min="53" max="53" width="21.6640625" customWidth="1"/>
    <col min="54" max="54" width="17.83203125" customWidth="1"/>
    <col min="55" max="55" width="22" customWidth="1"/>
    <col min="56" max="56" width="22.83203125" customWidth="1"/>
    <col min="57" max="57" width="8.1640625" customWidth="1"/>
    <col min="58" max="58" width="12.5" customWidth="1"/>
    <col min="59" max="59" width="20.1640625" customWidth="1"/>
    <col min="60" max="60" width="27" customWidth="1"/>
    <col min="61" max="66" width="10.83203125" customWidth="1"/>
    <col min="67" max="67" width="13.83203125" customWidth="1"/>
    <col min="68" max="89" width="10.83203125" customWidth="1"/>
    <col min="92" max="104" width="10.83203125" customWidth="1"/>
  </cols>
  <sheetData>
    <row r="1" spans="1:214" s="29" customFormat="1" x14ac:dyDescent="0.2">
      <c r="B1" s="53" t="s">
        <v>94</v>
      </c>
      <c r="C1" s="46" t="s">
        <v>95</v>
      </c>
      <c r="D1" s="46" t="s">
        <v>96</v>
      </c>
      <c r="E1" s="46" t="s">
        <v>97</v>
      </c>
      <c r="F1" s="46" t="s">
        <v>78</v>
      </c>
      <c r="G1" s="46" t="s">
        <v>82</v>
      </c>
      <c r="H1" s="54" t="s">
        <v>98</v>
      </c>
      <c r="I1" s="46" t="s">
        <v>405</v>
      </c>
      <c r="J1" s="46" t="s">
        <v>406</v>
      </c>
      <c r="K1" s="46" t="s">
        <v>407</v>
      </c>
      <c r="L1" s="46" t="s">
        <v>408</v>
      </c>
      <c r="M1" s="46" t="s">
        <v>404</v>
      </c>
      <c r="N1" s="46" t="s">
        <v>409</v>
      </c>
      <c r="O1" s="55" t="s">
        <v>410</v>
      </c>
      <c r="P1" s="46" t="s">
        <v>411</v>
      </c>
      <c r="Q1" s="46" t="s">
        <v>412</v>
      </c>
      <c r="R1" s="46" t="s">
        <v>413</v>
      </c>
      <c r="S1" s="46" t="s">
        <v>415</v>
      </c>
      <c r="T1" s="46" t="s">
        <v>416</v>
      </c>
      <c r="U1" s="54"/>
      <c r="V1" s="55"/>
      <c r="W1" s="55"/>
      <c r="X1" s="55"/>
      <c r="Y1" s="55"/>
      <c r="Z1" s="55"/>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row>
    <row r="2" spans="1:214" s="57" customFormat="1" x14ac:dyDescent="0.2">
      <c r="A2"/>
      <c r="B2" s="56"/>
      <c r="H2" s="58"/>
      <c r="AW2" s="59"/>
      <c r="AX2" s="59"/>
      <c r="AY2" s="59"/>
      <c r="AZ2" s="59"/>
      <c r="BA2" s="59"/>
      <c r="BB2" s="59"/>
      <c r="BC2" s="59"/>
      <c r="BD2" s="59"/>
    </row>
    <row r="3" spans="1:214" x14ac:dyDescent="0.2">
      <c r="B3" s="60" t="s">
        <v>49</v>
      </c>
      <c r="C3" s="60" t="s">
        <v>48</v>
      </c>
      <c r="D3" t="s">
        <v>18</v>
      </c>
      <c r="E3" s="60"/>
      <c r="F3" s="60"/>
      <c r="G3" s="60"/>
      <c r="I3" s="34">
        <f>K3+M3+O3+Q3</f>
        <v>165.87451368970017</v>
      </c>
      <c r="J3" s="34">
        <f>L3+N3+P3+R3</f>
        <v>82.705762711864395</v>
      </c>
      <c r="K3" s="37">
        <f>data_rotterdam_moerdijk!E165</f>
        <v>60.784615384615378</v>
      </c>
      <c r="L3" s="37">
        <f>data_rotterdam_moerdijk!F165</f>
        <v>53.279999999999987</v>
      </c>
      <c r="M3" s="121">
        <f>data_zeeland!E168</f>
        <v>69.953898305084763</v>
      </c>
      <c r="N3" s="121">
        <f>data_zeeland!F168</f>
        <v>2.0657627118644086</v>
      </c>
      <c r="O3" s="7">
        <f>data_noordzeekanaalgebied!E105</f>
        <v>17.496000000000009</v>
      </c>
      <c r="P3" s="7">
        <f>data_noordzeekanaalgebied!F105</f>
        <v>18.359999999999996</v>
      </c>
      <c r="Q3" s="122">
        <f>data_noord_nederland!E114</f>
        <v>17.64</v>
      </c>
      <c r="R3" s="122">
        <f>data_noord_nederland!F114</f>
        <v>9</v>
      </c>
      <c r="S3" s="123">
        <v>0</v>
      </c>
      <c r="T3" s="123">
        <v>0</v>
      </c>
    </row>
    <row r="4" spans="1:214" x14ac:dyDescent="0.2">
      <c r="B4" s="39" t="s">
        <v>54</v>
      </c>
      <c r="C4" s="39" t="s">
        <v>48</v>
      </c>
      <c r="D4" t="s">
        <v>6</v>
      </c>
      <c r="E4" s="60"/>
      <c r="F4" s="60"/>
      <c r="G4" s="60"/>
      <c r="I4" s="34">
        <f t="shared" ref="I4:I67" si="0">K4+M4+O4+Q4</f>
        <v>98.952607763753434</v>
      </c>
      <c r="J4" s="34">
        <f t="shared" ref="J4:J67" si="1">L4+N4+P4+R4</f>
        <v>41.352607763753454</v>
      </c>
      <c r="K4" s="37">
        <f>data_rotterdam_moerdijk!E166</f>
        <v>98.952607763753434</v>
      </c>
      <c r="L4" s="37">
        <f>data_rotterdam_moerdijk!F166</f>
        <v>41.352607763753454</v>
      </c>
      <c r="M4" s="121">
        <f>data_zeeland!E169</f>
        <v>0</v>
      </c>
      <c r="N4" s="121">
        <f>data_zeeland!F169</f>
        <v>0</v>
      </c>
      <c r="O4" s="7">
        <f>data_noordzeekanaalgebied!E106</f>
        <v>0</v>
      </c>
      <c r="P4" s="7">
        <f>data_noordzeekanaalgebied!F106</f>
        <v>0</v>
      </c>
      <c r="Q4" s="122">
        <f>data_noord_nederland!E115</f>
        <v>0</v>
      </c>
      <c r="R4" s="122">
        <f>data_noord_nederland!F115</f>
        <v>0</v>
      </c>
      <c r="S4" s="123">
        <v>0</v>
      </c>
      <c r="T4" s="123">
        <v>0</v>
      </c>
    </row>
    <row r="5" spans="1:214" x14ac:dyDescent="0.2">
      <c r="C5" s="39"/>
      <c r="E5" s="60"/>
      <c r="F5" s="60"/>
      <c r="G5" s="60"/>
      <c r="I5" s="34"/>
      <c r="J5" s="34"/>
      <c r="K5" s="37"/>
      <c r="L5" s="37"/>
      <c r="M5" s="121"/>
      <c r="N5" s="121"/>
      <c r="O5" s="7"/>
      <c r="P5" s="7"/>
      <c r="Q5" s="122"/>
      <c r="R5" s="122"/>
      <c r="S5" s="123"/>
      <c r="T5" s="123"/>
    </row>
    <row r="6" spans="1:214" x14ac:dyDescent="0.2">
      <c r="B6" s="60" t="s">
        <v>50</v>
      </c>
      <c r="C6" s="60" t="s">
        <v>61</v>
      </c>
      <c r="D6" t="s">
        <v>17</v>
      </c>
      <c r="E6" s="60"/>
      <c r="F6" s="60"/>
      <c r="G6" s="60"/>
      <c r="I6" s="34">
        <f t="shared" si="0"/>
        <v>38.771999999999998</v>
      </c>
      <c r="J6" s="34">
        <f t="shared" si="1"/>
        <v>38.771999999999998</v>
      </c>
      <c r="K6" s="37">
        <f>data_rotterdam_moerdijk!E168</f>
        <v>14.4</v>
      </c>
      <c r="L6" s="37">
        <f>data_rotterdam_moerdijk!F168</f>
        <v>14.4</v>
      </c>
      <c r="M6" s="121">
        <f>data_zeeland!E171</f>
        <v>10.44</v>
      </c>
      <c r="N6" s="121">
        <f>data_zeeland!F171</f>
        <v>10.44</v>
      </c>
      <c r="O6" s="7">
        <f>data_noordzeekanaalgebied!E108</f>
        <v>12.132000000000001</v>
      </c>
      <c r="P6" s="7">
        <f>data_noordzeekanaalgebied!F108</f>
        <v>12.132000000000001</v>
      </c>
      <c r="Q6" s="122">
        <f>data_noord_nederland!E117</f>
        <v>1.8</v>
      </c>
      <c r="R6" s="122">
        <f>data_noord_nederland!F117</f>
        <v>1.8</v>
      </c>
      <c r="S6" s="123">
        <v>0</v>
      </c>
      <c r="T6" s="123">
        <v>0</v>
      </c>
    </row>
    <row r="7" spans="1:214" x14ac:dyDescent="0.2">
      <c r="B7" s="60" t="s">
        <v>50</v>
      </c>
      <c r="C7" s="60" t="s">
        <v>64</v>
      </c>
      <c r="D7" t="s">
        <v>17</v>
      </c>
      <c r="E7" s="60"/>
      <c r="F7" s="60"/>
      <c r="G7" s="60"/>
      <c r="I7" s="34">
        <f t="shared" si="0"/>
        <v>0</v>
      </c>
      <c r="J7" s="34">
        <f t="shared" si="1"/>
        <v>28.979999999999997</v>
      </c>
      <c r="K7" s="37">
        <f>data_rotterdam_moerdijk!E169</f>
        <v>0</v>
      </c>
      <c r="L7" s="37">
        <f>data_rotterdam_moerdijk!F169</f>
        <v>28.979999999999997</v>
      </c>
      <c r="M7" s="121">
        <f>data_zeeland!E172</f>
        <v>0</v>
      </c>
      <c r="N7" s="121">
        <f>data_zeeland!F172</f>
        <v>0</v>
      </c>
      <c r="O7" s="7">
        <f>data_noordzeekanaalgebied!E109</f>
        <v>0</v>
      </c>
      <c r="P7" s="7">
        <f>data_noordzeekanaalgebied!F109</f>
        <v>0</v>
      </c>
      <c r="Q7" s="122">
        <f>data_noord_nederland!E118</f>
        <v>0</v>
      </c>
      <c r="R7" s="122">
        <f>data_noord_nederland!F118</f>
        <v>0</v>
      </c>
      <c r="S7" s="123">
        <v>0</v>
      </c>
      <c r="T7" s="123">
        <v>0</v>
      </c>
    </row>
    <row r="8" spans="1:214" x14ac:dyDescent="0.2">
      <c r="B8" s="60" t="s">
        <v>50</v>
      </c>
      <c r="C8" s="60" t="s">
        <v>62</v>
      </c>
      <c r="D8" t="s">
        <v>17</v>
      </c>
      <c r="E8" s="60"/>
      <c r="F8" s="60"/>
      <c r="G8" s="60"/>
      <c r="I8" s="34">
        <f t="shared" si="0"/>
        <v>0</v>
      </c>
      <c r="J8" s="34">
        <f t="shared" si="1"/>
        <v>75.168000000000006</v>
      </c>
      <c r="K8" s="37">
        <f>data_rotterdam_moerdijk!E170</f>
        <v>0</v>
      </c>
      <c r="L8" s="37">
        <f>data_rotterdam_moerdijk!F170</f>
        <v>29.340000000000003</v>
      </c>
      <c r="M8" s="121">
        <f>data_zeeland!E173</f>
        <v>0</v>
      </c>
      <c r="N8" s="121">
        <f>data_zeeland!F173</f>
        <v>8.6399999999999988</v>
      </c>
      <c r="O8" s="7">
        <f>data_noordzeekanaalgebied!E110</f>
        <v>0</v>
      </c>
      <c r="P8" s="7">
        <f>data_noordzeekanaalgebied!F110</f>
        <v>33.227999999999994</v>
      </c>
      <c r="Q8" s="122">
        <f>data_noord_nederland!E119</f>
        <v>0</v>
      </c>
      <c r="R8" s="122">
        <f>data_noord_nederland!F119</f>
        <v>3.9600000000000009</v>
      </c>
      <c r="S8" s="123">
        <v>0</v>
      </c>
      <c r="T8" s="123">
        <v>0</v>
      </c>
    </row>
    <row r="9" spans="1:214" x14ac:dyDescent="0.2">
      <c r="B9" s="60"/>
      <c r="C9" s="60"/>
      <c r="E9" s="60"/>
      <c r="F9" s="60"/>
      <c r="G9" s="60"/>
      <c r="I9" s="34"/>
      <c r="J9" s="34"/>
      <c r="K9" s="37"/>
      <c r="L9" s="37"/>
      <c r="M9" s="121"/>
      <c r="N9" s="121"/>
      <c r="O9" s="7"/>
      <c r="P9" s="7"/>
      <c r="Q9" s="122"/>
      <c r="R9" s="122"/>
      <c r="S9" s="123"/>
      <c r="T9" s="123"/>
    </row>
    <row r="10" spans="1:214" x14ac:dyDescent="0.2">
      <c r="B10" s="60" t="s">
        <v>61</v>
      </c>
      <c r="C10" s="60" t="s">
        <v>48</v>
      </c>
      <c r="D10" t="s">
        <v>17</v>
      </c>
      <c r="E10" s="60"/>
      <c r="F10" s="60"/>
      <c r="G10" s="60"/>
      <c r="I10" s="34">
        <f t="shared" si="0"/>
        <v>38.771999999999998</v>
      </c>
      <c r="J10" s="34">
        <f t="shared" si="1"/>
        <v>38.771999999999998</v>
      </c>
      <c r="K10" s="37">
        <f>data_rotterdam_moerdijk!E172</f>
        <v>14.4</v>
      </c>
      <c r="L10" s="37">
        <f>data_rotterdam_moerdijk!F172</f>
        <v>14.4</v>
      </c>
      <c r="M10" s="121">
        <f>data_zeeland!E175</f>
        <v>10.44</v>
      </c>
      <c r="N10" s="121">
        <f>data_zeeland!F175</f>
        <v>10.44</v>
      </c>
      <c r="O10" s="7">
        <f>data_noordzeekanaalgebied!E112</f>
        <v>12.132000000000001</v>
      </c>
      <c r="P10" s="7">
        <f>data_noordzeekanaalgebied!F112</f>
        <v>12.132000000000001</v>
      </c>
      <c r="Q10" s="122">
        <f>data_noord_nederland!E121</f>
        <v>1.8</v>
      </c>
      <c r="R10" s="122">
        <f>data_noord_nederland!F121</f>
        <v>1.8</v>
      </c>
      <c r="S10" s="123">
        <v>0</v>
      </c>
      <c r="T10" s="123">
        <v>0</v>
      </c>
    </row>
    <row r="11" spans="1:214" x14ac:dyDescent="0.2">
      <c r="B11" s="60" t="s">
        <v>64</v>
      </c>
      <c r="C11" s="60" t="s">
        <v>48</v>
      </c>
      <c r="D11" t="s">
        <v>17</v>
      </c>
      <c r="E11" s="60"/>
      <c r="F11" s="60"/>
      <c r="G11" s="60"/>
      <c r="I11" s="34">
        <f t="shared" si="0"/>
        <v>0</v>
      </c>
      <c r="J11" s="34">
        <f t="shared" si="1"/>
        <v>28.979999999999997</v>
      </c>
      <c r="K11" s="37">
        <f>data_rotterdam_moerdijk!E173</f>
        <v>0</v>
      </c>
      <c r="L11" s="37">
        <f>data_rotterdam_moerdijk!F173</f>
        <v>28.979999999999997</v>
      </c>
      <c r="M11" s="121">
        <f>data_zeeland!E176</f>
        <v>0</v>
      </c>
      <c r="N11" s="121">
        <f>data_zeeland!F176</f>
        <v>0</v>
      </c>
      <c r="O11" s="7">
        <f>data_noordzeekanaalgebied!E113</f>
        <v>0</v>
      </c>
      <c r="P11" s="7">
        <f>data_noordzeekanaalgebied!F113</f>
        <v>0</v>
      </c>
      <c r="Q11" s="122">
        <f>data_noord_nederland!E122</f>
        <v>0</v>
      </c>
      <c r="R11" s="122">
        <f>data_noord_nederland!F122</f>
        <v>0</v>
      </c>
      <c r="S11" s="123">
        <v>0</v>
      </c>
      <c r="T11" s="123">
        <v>0</v>
      </c>
    </row>
    <row r="12" spans="1:214" x14ac:dyDescent="0.2">
      <c r="B12" s="60" t="s">
        <v>62</v>
      </c>
      <c r="C12" s="60" t="s">
        <v>48</v>
      </c>
      <c r="D12" t="s">
        <v>17</v>
      </c>
      <c r="E12" s="60"/>
      <c r="F12" s="60"/>
      <c r="G12" s="60"/>
      <c r="I12" s="34">
        <f t="shared" si="0"/>
        <v>0</v>
      </c>
      <c r="J12" s="34">
        <f t="shared" si="1"/>
        <v>75.168000000000006</v>
      </c>
      <c r="K12" s="37">
        <f>data_rotterdam_moerdijk!E174</f>
        <v>0</v>
      </c>
      <c r="L12" s="37">
        <f>data_rotterdam_moerdijk!F174</f>
        <v>29.340000000000003</v>
      </c>
      <c r="M12" s="121">
        <f>data_zeeland!E177</f>
        <v>0</v>
      </c>
      <c r="N12" s="121">
        <f>data_zeeland!F177</f>
        <v>8.6399999999999988</v>
      </c>
      <c r="O12" s="7">
        <f>data_noordzeekanaalgebied!E114</f>
        <v>0</v>
      </c>
      <c r="P12" s="7">
        <f>data_noordzeekanaalgebied!F114</f>
        <v>33.227999999999994</v>
      </c>
      <c r="Q12" s="122">
        <f>data_noord_nederland!E123</f>
        <v>0</v>
      </c>
      <c r="R12" s="122">
        <f>data_noord_nederland!F123</f>
        <v>3.9600000000000009</v>
      </c>
      <c r="S12" s="123">
        <v>0</v>
      </c>
      <c r="T12" s="123">
        <v>0</v>
      </c>
    </row>
    <row r="13" spans="1:214" x14ac:dyDescent="0.2">
      <c r="B13" s="60"/>
      <c r="C13" s="60"/>
      <c r="E13" s="60"/>
      <c r="F13" s="60"/>
      <c r="G13" s="60"/>
      <c r="I13" s="34"/>
      <c r="J13" s="34"/>
      <c r="K13" s="37"/>
      <c r="L13" s="37"/>
      <c r="M13" s="121"/>
      <c r="N13" s="121"/>
      <c r="O13" s="7"/>
      <c r="P13" s="7"/>
      <c r="Q13" s="122"/>
      <c r="R13" s="122"/>
      <c r="S13" s="123"/>
      <c r="T13" s="123"/>
    </row>
    <row r="14" spans="1:214" x14ac:dyDescent="0.2">
      <c r="B14" s="60" t="s">
        <v>51</v>
      </c>
      <c r="C14" s="60" t="s">
        <v>63</v>
      </c>
      <c r="D14" t="s">
        <v>15</v>
      </c>
      <c r="E14" s="60"/>
      <c r="F14" s="60"/>
      <c r="G14" s="60"/>
      <c r="I14" s="34">
        <f t="shared" si="0"/>
        <v>114.72</v>
      </c>
      <c r="J14" s="34">
        <f t="shared" si="1"/>
        <v>114.72</v>
      </c>
      <c r="K14" s="37">
        <f>data_rotterdam_moerdijk!E176</f>
        <v>49.680000000000007</v>
      </c>
      <c r="L14" s="37">
        <f>data_rotterdam_moerdijk!F176</f>
        <v>49.680000000000007</v>
      </c>
      <c r="M14" s="121">
        <f>data_zeeland!E179</f>
        <v>65.039999999999992</v>
      </c>
      <c r="N14" s="121">
        <f>data_zeeland!F179</f>
        <v>65.039999999999992</v>
      </c>
      <c r="O14" s="7">
        <f>data_noordzeekanaalgebied!E116</f>
        <v>0</v>
      </c>
      <c r="P14" s="7">
        <f>data_noordzeekanaalgebied!F116</f>
        <v>0</v>
      </c>
      <c r="Q14" s="122">
        <f>data_noord_nederland!E125</f>
        <v>0</v>
      </c>
      <c r="R14" s="122">
        <f>data_noord_nederland!F125</f>
        <v>0</v>
      </c>
      <c r="S14" s="123">
        <v>0</v>
      </c>
      <c r="T14" s="123">
        <v>0</v>
      </c>
      <c r="CW14" s="61"/>
    </row>
    <row r="15" spans="1:214" x14ac:dyDescent="0.2">
      <c r="B15" s="60" t="s">
        <v>51</v>
      </c>
      <c r="C15" s="39" t="s">
        <v>73</v>
      </c>
      <c r="D15" t="s">
        <v>15</v>
      </c>
      <c r="E15" s="60"/>
      <c r="F15" s="60"/>
      <c r="G15" s="60"/>
      <c r="I15" s="34">
        <f t="shared" si="0"/>
        <v>0</v>
      </c>
      <c r="J15" s="34">
        <f t="shared" si="1"/>
        <v>0</v>
      </c>
      <c r="K15" s="37">
        <f>data_rotterdam_moerdijk!E177</f>
        <v>0</v>
      </c>
      <c r="L15" s="37">
        <f>data_rotterdam_moerdijk!F177</f>
        <v>0</v>
      </c>
      <c r="M15" s="121">
        <f>data_zeeland!E180</f>
        <v>0</v>
      </c>
      <c r="N15" s="121">
        <f>data_zeeland!F180</f>
        <v>0</v>
      </c>
      <c r="O15" s="7">
        <f>data_noordzeekanaalgebied!E117</f>
        <v>0</v>
      </c>
      <c r="P15" s="7">
        <f>data_noordzeekanaalgebied!F117</f>
        <v>0</v>
      </c>
      <c r="Q15" s="122">
        <f>data_noord_nederland!E126</f>
        <v>0</v>
      </c>
      <c r="R15" s="122">
        <f>data_noord_nederland!F126</f>
        <v>0</v>
      </c>
      <c r="S15" s="123">
        <v>0</v>
      </c>
      <c r="T15" s="123">
        <v>0</v>
      </c>
      <c r="EV15" s="120"/>
      <c r="EW15" s="120"/>
      <c r="EX15" s="120"/>
      <c r="EY15" s="120"/>
      <c r="EZ15" s="120"/>
      <c r="FA15" s="120"/>
      <c r="FB15" s="120"/>
      <c r="FC15" s="120"/>
      <c r="FD15" s="120"/>
      <c r="FE15" s="120"/>
      <c r="FF15" s="120"/>
      <c r="FG15" s="120"/>
      <c r="FH15" s="120"/>
      <c r="FI15" s="120"/>
      <c r="FJ15" s="120"/>
      <c r="FK15" s="120"/>
      <c r="FL15" s="120"/>
      <c r="FM15" s="120"/>
      <c r="FN15" s="120"/>
      <c r="FO15" s="120"/>
      <c r="FP15" s="120"/>
      <c r="FQ15" s="120"/>
      <c r="FR15" s="120"/>
      <c r="FS15" s="120"/>
      <c r="FT15" s="120"/>
      <c r="FU15" s="120"/>
      <c r="FV15" s="120"/>
      <c r="FW15" s="120"/>
      <c r="FX15" s="120"/>
      <c r="FY15" s="120"/>
      <c r="FZ15" s="120"/>
      <c r="GA15" s="120"/>
      <c r="GB15" s="120"/>
      <c r="GC15" s="120"/>
      <c r="GD15" s="120"/>
      <c r="GE15" s="120"/>
      <c r="GF15" s="120"/>
      <c r="GG15" s="120"/>
      <c r="GH15" s="120"/>
      <c r="GI15" s="120"/>
      <c r="GJ15" s="120"/>
      <c r="GK15" s="120"/>
      <c r="GL15" s="120"/>
      <c r="GM15" s="120"/>
      <c r="GN15" s="120"/>
      <c r="GO15" s="120"/>
      <c r="GP15" s="120"/>
      <c r="GQ15" s="120"/>
      <c r="GR15" s="120"/>
      <c r="GS15" s="120"/>
      <c r="GT15" s="120"/>
      <c r="GU15" s="120"/>
      <c r="GV15" s="120"/>
      <c r="GW15" s="120"/>
      <c r="GX15" s="120"/>
      <c r="GY15" s="120"/>
      <c r="GZ15" s="120"/>
      <c r="HA15" s="120"/>
      <c r="HB15" s="120"/>
      <c r="HC15" s="120"/>
      <c r="HD15" s="120"/>
      <c r="HE15" s="120"/>
    </row>
    <row r="16" spans="1:214" x14ac:dyDescent="0.2">
      <c r="B16" s="60" t="s">
        <v>51</v>
      </c>
      <c r="C16" s="39" t="s">
        <v>74</v>
      </c>
      <c r="D16" t="s">
        <v>15</v>
      </c>
      <c r="E16" s="60"/>
      <c r="F16" s="60"/>
      <c r="G16" s="60"/>
      <c r="I16" s="34">
        <f t="shared" si="0"/>
        <v>0</v>
      </c>
      <c r="J16" s="34">
        <f t="shared" si="1"/>
        <v>0</v>
      </c>
      <c r="K16" s="37">
        <f>data_rotterdam_moerdijk!E178</f>
        <v>0</v>
      </c>
      <c r="L16" s="37">
        <f>data_rotterdam_moerdijk!F178</f>
        <v>0</v>
      </c>
      <c r="M16" s="121">
        <f>data_zeeland!E181</f>
        <v>0</v>
      </c>
      <c r="N16" s="121">
        <f>data_zeeland!F181</f>
        <v>0</v>
      </c>
      <c r="O16" s="7">
        <f>data_noordzeekanaalgebied!E118</f>
        <v>0</v>
      </c>
      <c r="P16" s="7">
        <f>data_noordzeekanaalgebied!F118</f>
        <v>0</v>
      </c>
      <c r="Q16" s="122">
        <f>data_noord_nederland!E127</f>
        <v>0</v>
      </c>
      <c r="R16" s="122">
        <f>data_noord_nederland!F127</f>
        <v>0</v>
      </c>
      <c r="S16" s="123">
        <v>0</v>
      </c>
      <c r="T16" s="123">
        <v>0</v>
      </c>
      <c r="EV16" s="61"/>
      <c r="EW16" s="61"/>
      <c r="EX16" s="61"/>
      <c r="EY16" s="61"/>
      <c r="EZ16" s="61"/>
      <c r="FA16" s="61"/>
      <c r="FB16" s="61"/>
      <c r="FC16" s="61"/>
      <c r="FD16" s="61"/>
      <c r="FE16" s="61"/>
      <c r="FF16" s="61"/>
      <c r="FG16" s="61"/>
      <c r="FH16" s="61"/>
      <c r="FI16" s="61"/>
      <c r="FJ16" s="61"/>
      <c r="FK16" s="61"/>
      <c r="FL16" s="61"/>
      <c r="FM16" s="61"/>
      <c r="FN16" s="61"/>
      <c r="FO16" s="61"/>
      <c r="FP16" s="61"/>
      <c r="FQ16" s="61"/>
      <c r="FR16" s="61"/>
      <c r="FS16" s="61"/>
      <c r="FT16" s="61"/>
      <c r="FU16" s="61"/>
      <c r="FV16" s="61"/>
      <c r="FW16" s="61"/>
      <c r="FX16" s="61"/>
      <c r="FY16" s="61"/>
      <c r="FZ16" s="61"/>
      <c r="GA16" s="61"/>
      <c r="GB16" s="61"/>
      <c r="GC16" s="61"/>
      <c r="GD16" s="61"/>
      <c r="GE16" s="61"/>
      <c r="GF16" s="61"/>
      <c r="GG16" s="61"/>
      <c r="GH16" s="61"/>
      <c r="GI16" s="61"/>
      <c r="GJ16" s="61"/>
      <c r="GK16" s="61"/>
      <c r="GL16" s="61"/>
      <c r="GM16" s="61"/>
      <c r="GN16" s="61"/>
      <c r="GO16" s="61"/>
      <c r="GP16" s="61"/>
      <c r="GQ16" s="61"/>
      <c r="GR16" s="61"/>
      <c r="GS16" s="61"/>
      <c r="GT16" s="61"/>
      <c r="GU16" s="61"/>
      <c r="GV16" s="61"/>
      <c r="GW16" s="61"/>
      <c r="GX16" s="61"/>
      <c r="GY16" s="61"/>
      <c r="GZ16" s="61"/>
      <c r="HA16" s="61"/>
      <c r="HB16" s="61"/>
      <c r="HC16" s="61"/>
      <c r="HD16" s="120"/>
      <c r="HE16" s="120"/>
      <c r="HF16" s="120"/>
    </row>
    <row r="17" spans="2:214" x14ac:dyDescent="0.2">
      <c r="B17" s="60" t="s">
        <v>51</v>
      </c>
      <c r="C17" s="60" t="s">
        <v>65</v>
      </c>
      <c r="D17" t="s">
        <v>15</v>
      </c>
      <c r="E17" s="60"/>
      <c r="F17" s="60"/>
      <c r="G17" s="60"/>
      <c r="I17" s="34">
        <f t="shared" si="0"/>
        <v>0</v>
      </c>
      <c r="J17" s="34">
        <f t="shared" si="1"/>
        <v>149.39999999999998</v>
      </c>
      <c r="K17" s="37">
        <f>data_rotterdam_moerdijk!E179</f>
        <v>0</v>
      </c>
      <c r="L17" s="37">
        <f>data_rotterdam_moerdijk!F179</f>
        <v>38.519999999999982</v>
      </c>
      <c r="M17" s="121">
        <f>data_zeeland!E182</f>
        <v>0</v>
      </c>
      <c r="N17" s="121">
        <f>data_zeeland!F182</f>
        <v>72.12</v>
      </c>
      <c r="O17" s="7">
        <f>data_noordzeekanaalgebied!E119</f>
        <v>0</v>
      </c>
      <c r="P17" s="7">
        <f>data_noordzeekanaalgebied!F119</f>
        <v>24.72</v>
      </c>
      <c r="Q17" s="122">
        <f>data_noord_nederland!E128</f>
        <v>0</v>
      </c>
      <c r="R17" s="122">
        <f>data_noord_nederland!F128</f>
        <v>14.04</v>
      </c>
      <c r="S17" s="123">
        <v>0</v>
      </c>
      <c r="T17" s="123">
        <v>0</v>
      </c>
      <c r="EV17" s="61"/>
      <c r="EW17" s="61"/>
      <c r="EX17" s="61"/>
      <c r="EY17" s="61"/>
      <c r="EZ17" s="61"/>
      <c r="FA17" s="61"/>
      <c r="FB17" s="61"/>
      <c r="FC17" s="61"/>
      <c r="FD17" s="61"/>
      <c r="FE17" s="61"/>
      <c r="FF17" s="61"/>
      <c r="FG17" s="61"/>
      <c r="FH17" s="61"/>
      <c r="FI17" s="61"/>
      <c r="FJ17" s="61"/>
      <c r="FK17" s="61"/>
      <c r="FL17" s="61"/>
      <c r="FM17" s="61"/>
      <c r="FN17" s="61"/>
      <c r="FO17" s="61"/>
      <c r="FP17" s="61"/>
      <c r="FQ17" s="61"/>
      <c r="FR17" s="61"/>
      <c r="FS17" s="61"/>
      <c r="FT17" s="61"/>
      <c r="FU17" s="61"/>
      <c r="FV17" s="61"/>
      <c r="FW17" s="61"/>
      <c r="FX17" s="61"/>
      <c r="FY17" s="61"/>
      <c r="FZ17" s="61"/>
      <c r="GA17" s="61"/>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C17" s="61"/>
      <c r="HD17" s="61"/>
      <c r="HE17" s="61"/>
      <c r="HF17" s="61"/>
    </row>
    <row r="18" spans="2:214" x14ac:dyDescent="0.2">
      <c r="B18" s="60"/>
      <c r="C18" s="60"/>
      <c r="E18" s="60"/>
      <c r="F18" s="60"/>
      <c r="G18" s="60"/>
      <c r="I18" s="34"/>
      <c r="J18" s="34"/>
      <c r="K18" s="37"/>
      <c r="L18" s="37"/>
      <c r="M18" s="121"/>
      <c r="N18" s="121"/>
      <c r="O18" s="7"/>
      <c r="P18" s="7"/>
      <c r="Q18" s="122"/>
      <c r="R18" s="122"/>
      <c r="S18" s="123"/>
      <c r="T18" s="123"/>
      <c r="CX18" s="61"/>
      <c r="EV18" s="61"/>
      <c r="EW18" s="61"/>
      <c r="EX18" s="61"/>
      <c r="EY18" s="61"/>
      <c r="EZ18" s="61"/>
      <c r="FA18" s="61"/>
      <c r="FB18" s="61"/>
      <c r="FC18" s="61"/>
      <c r="FD18" s="61"/>
      <c r="FE18" s="61"/>
      <c r="FF18" s="61"/>
      <c r="FG18" s="61"/>
      <c r="FH18" s="61"/>
      <c r="FI18" s="61"/>
      <c r="FJ18" s="61"/>
      <c r="FK18" s="61"/>
      <c r="FL18" s="61"/>
      <c r="FM18" s="61"/>
      <c r="FN18" s="61"/>
      <c r="FO18" s="61"/>
      <c r="FP18" s="61"/>
      <c r="FQ18" s="61"/>
      <c r="FR18" s="61"/>
      <c r="FS18" s="61"/>
      <c r="FT18" s="61"/>
      <c r="FU18" s="61"/>
      <c r="FV18" s="61"/>
      <c r="FW18" s="61"/>
      <c r="FX18" s="61"/>
      <c r="FY18" s="61"/>
      <c r="FZ18" s="61"/>
      <c r="GA18" s="61"/>
      <c r="GB18" s="61"/>
      <c r="GC18" s="61"/>
      <c r="GD18" s="61"/>
      <c r="GE18" s="61"/>
      <c r="GF18" s="61"/>
      <c r="GG18" s="61"/>
      <c r="GH18" s="61"/>
      <c r="GI18" s="61"/>
      <c r="GJ18" s="61"/>
      <c r="GK18" s="61"/>
      <c r="GL18" s="61"/>
      <c r="GM18" s="61"/>
      <c r="GN18" s="61"/>
      <c r="GO18" s="61"/>
      <c r="GP18" s="61"/>
      <c r="GQ18" s="61"/>
      <c r="GR18" s="61"/>
      <c r="GS18" s="61"/>
      <c r="GT18" s="61"/>
      <c r="GU18" s="61"/>
      <c r="GV18" s="61"/>
      <c r="GW18" s="61"/>
      <c r="GX18" s="61"/>
      <c r="GY18" s="61"/>
      <c r="GZ18" s="61"/>
      <c r="HA18" s="61"/>
      <c r="HB18" s="61"/>
      <c r="HC18" s="61"/>
      <c r="HD18" s="61"/>
      <c r="HE18" s="61"/>
      <c r="HF18" s="61"/>
    </row>
    <row r="19" spans="2:214" x14ac:dyDescent="0.2">
      <c r="B19" s="60" t="s">
        <v>63</v>
      </c>
      <c r="C19" s="60" t="s">
        <v>48</v>
      </c>
      <c r="D19" t="s">
        <v>15</v>
      </c>
      <c r="E19" s="60"/>
      <c r="F19" s="60"/>
      <c r="G19" s="60"/>
      <c r="I19" s="34">
        <f t="shared" si="0"/>
        <v>114.72</v>
      </c>
      <c r="J19" s="34">
        <f t="shared" si="1"/>
        <v>114.72</v>
      </c>
      <c r="K19" s="37">
        <f>data_rotterdam_moerdijk!E181</f>
        <v>49.680000000000007</v>
      </c>
      <c r="L19" s="37">
        <f>data_rotterdam_moerdijk!F181</f>
        <v>49.680000000000007</v>
      </c>
      <c r="M19" s="121">
        <f>data_zeeland!E184</f>
        <v>65.039999999999992</v>
      </c>
      <c r="N19" s="121">
        <f>data_zeeland!F184</f>
        <v>65.039999999999992</v>
      </c>
      <c r="O19" s="7">
        <f>data_noordzeekanaalgebied!E121</f>
        <v>0</v>
      </c>
      <c r="P19" s="7">
        <f>data_noordzeekanaalgebied!F121</f>
        <v>0</v>
      </c>
      <c r="Q19" s="122">
        <f>data_noord_nederland!E130</f>
        <v>0</v>
      </c>
      <c r="R19" s="122">
        <f>data_noord_nederland!F130</f>
        <v>0</v>
      </c>
      <c r="S19" s="123">
        <v>0</v>
      </c>
      <c r="T19" s="123">
        <v>0</v>
      </c>
      <c r="CX19" s="61"/>
      <c r="EV19" s="61"/>
      <c r="EW19" s="61"/>
      <c r="EX19" s="61"/>
      <c r="EY19" s="61"/>
      <c r="EZ19" s="61"/>
      <c r="FA19" s="61"/>
      <c r="FB19" s="61"/>
      <c r="FC19" s="61"/>
      <c r="FD19" s="61"/>
      <c r="FE19" s="61"/>
      <c r="FF19" s="61"/>
      <c r="FG19" s="61"/>
      <c r="FH19" s="61"/>
      <c r="FI19" s="61"/>
      <c r="FJ19" s="61"/>
      <c r="FK19" s="61"/>
      <c r="FL19" s="61"/>
      <c r="FM19" s="61"/>
      <c r="FN19" s="61"/>
      <c r="FO19" s="61"/>
      <c r="FP19" s="61"/>
      <c r="FQ19" s="61"/>
      <c r="FR19" s="61"/>
      <c r="FS19" s="61"/>
      <c r="FT19" s="61"/>
      <c r="FU19" s="61"/>
      <c r="FV19" s="61"/>
      <c r="FW19" s="61"/>
      <c r="FX19" s="61"/>
      <c r="FY19" s="61"/>
      <c r="FZ19" s="61"/>
      <c r="GA19" s="61"/>
      <c r="GB19" s="61"/>
      <c r="GC19" s="61"/>
      <c r="GD19" s="61"/>
      <c r="GE19" s="61"/>
      <c r="GF19" s="61"/>
      <c r="GG19" s="61"/>
      <c r="GH19" s="61"/>
      <c r="GI19" s="61"/>
      <c r="GJ19" s="61"/>
      <c r="GK19" s="61"/>
      <c r="GL19" s="61"/>
      <c r="GM19" s="61"/>
      <c r="GN19" s="61"/>
      <c r="GO19" s="61"/>
      <c r="GP19" s="61"/>
      <c r="GQ19" s="61"/>
      <c r="GR19" s="61"/>
      <c r="GS19" s="61"/>
      <c r="GT19" s="61"/>
      <c r="GU19" s="61"/>
      <c r="GV19" s="61"/>
      <c r="GW19" s="61"/>
      <c r="GX19" s="61"/>
      <c r="GY19" s="61"/>
      <c r="GZ19" s="61"/>
      <c r="HA19" s="61"/>
      <c r="HB19" s="61"/>
      <c r="HC19" s="61"/>
      <c r="HD19" s="61"/>
      <c r="HE19" s="61"/>
      <c r="HF19" s="61"/>
    </row>
    <row r="20" spans="2:214" x14ac:dyDescent="0.2">
      <c r="B20" s="39" t="s">
        <v>73</v>
      </c>
      <c r="C20" s="60" t="s">
        <v>48</v>
      </c>
      <c r="D20" t="s">
        <v>15</v>
      </c>
      <c r="E20" s="60"/>
      <c r="F20" s="60"/>
      <c r="G20" s="60"/>
      <c r="I20" s="34">
        <f t="shared" si="0"/>
        <v>0</v>
      </c>
      <c r="J20" s="34">
        <f t="shared" si="1"/>
        <v>0</v>
      </c>
      <c r="K20" s="37">
        <f>data_rotterdam_moerdijk!E182</f>
        <v>0</v>
      </c>
      <c r="L20" s="37">
        <f>data_rotterdam_moerdijk!F182</f>
        <v>0</v>
      </c>
      <c r="M20" s="121">
        <f>data_zeeland!E185</f>
        <v>0</v>
      </c>
      <c r="N20" s="121">
        <f>data_zeeland!F185</f>
        <v>0</v>
      </c>
      <c r="O20" s="7">
        <f>data_noordzeekanaalgebied!E122</f>
        <v>0</v>
      </c>
      <c r="P20" s="7">
        <f>data_noordzeekanaalgebied!F122</f>
        <v>0</v>
      </c>
      <c r="Q20" s="122">
        <f>data_noord_nederland!E131</f>
        <v>0</v>
      </c>
      <c r="R20" s="122">
        <f>data_noord_nederland!F131</f>
        <v>0</v>
      </c>
      <c r="S20" s="123">
        <v>0</v>
      </c>
      <c r="T20" s="123">
        <v>0</v>
      </c>
      <c r="CX20" s="61"/>
      <c r="EV20" s="61"/>
      <c r="EW20" s="61"/>
      <c r="EX20" s="61"/>
      <c r="EY20" s="61"/>
      <c r="EZ20" s="61"/>
      <c r="FA20" s="61"/>
      <c r="FB20" s="61"/>
      <c r="FC20" s="61"/>
      <c r="FD20" s="61"/>
      <c r="FE20" s="61"/>
      <c r="FF20" s="61"/>
      <c r="FG20" s="61"/>
      <c r="FH20" s="61"/>
      <c r="FI20" s="61"/>
      <c r="FJ20" s="61"/>
      <c r="FK20" s="61"/>
      <c r="FL20" s="61"/>
      <c r="FM20" s="61"/>
      <c r="FN20" s="61"/>
      <c r="FO20" s="61"/>
      <c r="FP20" s="61"/>
      <c r="FQ20" s="61"/>
      <c r="FR20" s="61"/>
      <c r="FS20" s="61"/>
      <c r="FT20" s="61"/>
      <c r="FU20" s="61"/>
      <c r="FV20" s="61"/>
      <c r="FW20" s="61"/>
      <c r="FX20" s="61"/>
      <c r="FY20" s="61"/>
      <c r="FZ20" s="61"/>
      <c r="GA20" s="61"/>
      <c r="GB20" s="61"/>
      <c r="GC20" s="61"/>
      <c r="GD20" s="61"/>
      <c r="GE20" s="61"/>
      <c r="GF20" s="61"/>
      <c r="GG20" s="61"/>
      <c r="GH20" s="61"/>
      <c r="GI20" s="61"/>
      <c r="GJ20" s="61"/>
      <c r="GK20" s="61"/>
      <c r="GL20" s="61"/>
      <c r="GM20" s="61"/>
      <c r="GN20" s="61"/>
      <c r="GO20" s="61"/>
      <c r="GP20" s="61"/>
      <c r="GQ20" s="61"/>
      <c r="GR20" s="61"/>
      <c r="GS20" s="61"/>
      <c r="GT20" s="61"/>
      <c r="GU20" s="61"/>
      <c r="GV20" s="61"/>
      <c r="GW20" s="61"/>
      <c r="GX20" s="61"/>
      <c r="GY20" s="61"/>
      <c r="GZ20" s="61"/>
      <c r="HA20" s="61"/>
      <c r="HB20" s="61"/>
      <c r="HC20" s="61"/>
      <c r="HD20" s="61"/>
      <c r="HE20" s="61"/>
      <c r="HF20" s="61"/>
    </row>
    <row r="21" spans="2:214" x14ac:dyDescent="0.2">
      <c r="B21" s="39" t="s">
        <v>74</v>
      </c>
      <c r="C21" s="60" t="s">
        <v>48</v>
      </c>
      <c r="D21" t="s">
        <v>15</v>
      </c>
      <c r="E21" s="60"/>
      <c r="F21" s="60"/>
      <c r="G21" s="60"/>
      <c r="I21" s="34">
        <f t="shared" si="0"/>
        <v>0</v>
      </c>
      <c r="J21" s="34">
        <f t="shared" si="1"/>
        <v>0</v>
      </c>
      <c r="K21" s="37">
        <f>data_rotterdam_moerdijk!E183</f>
        <v>0</v>
      </c>
      <c r="L21" s="37">
        <f>data_rotterdam_moerdijk!F183</f>
        <v>0</v>
      </c>
      <c r="M21" s="121">
        <f>data_zeeland!E186</f>
        <v>0</v>
      </c>
      <c r="N21" s="121">
        <f>data_zeeland!F186</f>
        <v>0</v>
      </c>
      <c r="O21" s="7">
        <f>data_noordzeekanaalgebied!E123</f>
        <v>0</v>
      </c>
      <c r="P21" s="7">
        <f>data_noordzeekanaalgebied!F123</f>
        <v>0</v>
      </c>
      <c r="Q21" s="122">
        <f>data_noord_nederland!E132</f>
        <v>0</v>
      </c>
      <c r="R21" s="122">
        <f>data_noord_nederland!F132</f>
        <v>0</v>
      </c>
      <c r="S21" s="123">
        <v>0</v>
      </c>
      <c r="T21" s="123">
        <v>0</v>
      </c>
      <c r="CX21" s="61"/>
      <c r="EV21" s="61"/>
      <c r="EW21" s="61"/>
      <c r="EX21" s="61"/>
      <c r="EY21" s="61"/>
      <c r="EZ21" s="61"/>
      <c r="FA21" s="61"/>
      <c r="FB21" s="61"/>
      <c r="FC21" s="61"/>
      <c r="FD21" s="61"/>
      <c r="FE21" s="61"/>
      <c r="FF21" s="61"/>
      <c r="FG21" s="61"/>
      <c r="FH21" s="61"/>
      <c r="FI21" s="61"/>
      <c r="FJ21" s="61"/>
      <c r="FK21" s="61"/>
      <c r="FL21" s="61"/>
      <c r="FM21" s="61"/>
      <c r="FN21" s="61"/>
      <c r="FO21" s="61"/>
      <c r="FP21" s="61"/>
      <c r="FQ21" s="61"/>
      <c r="FR21" s="61"/>
      <c r="FS21" s="61"/>
      <c r="FT21" s="61"/>
      <c r="FU21" s="61"/>
      <c r="FV21" s="61"/>
      <c r="FW21" s="61"/>
      <c r="FX21" s="61"/>
      <c r="FY21" s="61"/>
      <c r="FZ21" s="61"/>
      <c r="GA21" s="61"/>
      <c r="GB21" s="61"/>
      <c r="GC21" s="61"/>
      <c r="GD21" s="61"/>
      <c r="GE21" s="61"/>
      <c r="GF21" s="61"/>
      <c r="GG21" s="61"/>
      <c r="GH21" s="61"/>
      <c r="GI21" s="61"/>
      <c r="GJ21" s="61"/>
      <c r="GK21" s="61"/>
      <c r="GL21" s="61"/>
      <c r="GM21" s="61"/>
      <c r="GN21" s="61"/>
      <c r="GO21" s="61"/>
      <c r="GP21" s="61"/>
      <c r="GQ21" s="61"/>
      <c r="GR21" s="61"/>
      <c r="GS21" s="61"/>
      <c r="GT21" s="61"/>
      <c r="GU21" s="61"/>
      <c r="GV21" s="61"/>
      <c r="GW21" s="61"/>
      <c r="GX21" s="61"/>
      <c r="GY21" s="61"/>
      <c r="GZ21" s="61"/>
      <c r="HA21" s="61"/>
      <c r="HB21" s="61"/>
      <c r="HC21" s="61"/>
      <c r="HD21" s="61"/>
      <c r="HE21" s="61"/>
      <c r="HF21" s="61"/>
    </row>
    <row r="22" spans="2:214" x14ac:dyDescent="0.2">
      <c r="B22" s="60" t="s">
        <v>65</v>
      </c>
      <c r="C22" s="60" t="s">
        <v>48</v>
      </c>
      <c r="D22" t="s">
        <v>15</v>
      </c>
      <c r="E22" s="60"/>
      <c r="F22" s="60"/>
      <c r="G22" s="60"/>
      <c r="I22" s="34">
        <f t="shared" si="0"/>
        <v>0</v>
      </c>
      <c r="J22" s="34">
        <f t="shared" si="1"/>
        <v>149.39999999999998</v>
      </c>
      <c r="K22" s="37">
        <f>data_rotterdam_moerdijk!E184</f>
        <v>0</v>
      </c>
      <c r="L22" s="37">
        <f>data_rotterdam_moerdijk!F184</f>
        <v>38.519999999999982</v>
      </c>
      <c r="M22" s="121">
        <f>data_zeeland!E187</f>
        <v>0</v>
      </c>
      <c r="N22" s="121">
        <f>data_zeeland!F187</f>
        <v>72.12</v>
      </c>
      <c r="O22" s="7">
        <f>data_noordzeekanaalgebied!E124</f>
        <v>0</v>
      </c>
      <c r="P22" s="7">
        <f>data_noordzeekanaalgebied!F124</f>
        <v>24.72</v>
      </c>
      <c r="Q22" s="122">
        <f>data_noord_nederland!E133</f>
        <v>0</v>
      </c>
      <c r="R22" s="122">
        <f>data_noord_nederland!F133</f>
        <v>14.04</v>
      </c>
      <c r="S22" s="123">
        <v>0</v>
      </c>
      <c r="T22" s="123">
        <v>0</v>
      </c>
      <c r="CX22" s="61"/>
      <c r="EV22" s="61"/>
      <c r="EW22" s="61"/>
      <c r="EX22" s="61"/>
      <c r="EY22" s="61"/>
      <c r="EZ22" s="61"/>
      <c r="FA22" s="61"/>
      <c r="FB22" s="61"/>
      <c r="FC22" s="61"/>
      <c r="FD22" s="61"/>
      <c r="FE22" s="61"/>
      <c r="FF22" s="61"/>
      <c r="FG22" s="61"/>
      <c r="FH22" s="61"/>
      <c r="FI22" s="61"/>
      <c r="FJ22" s="61"/>
      <c r="FK22" s="61"/>
      <c r="FL22" s="61"/>
      <c r="FM22" s="61"/>
      <c r="FN22" s="61"/>
      <c r="FO22" s="61"/>
      <c r="FP22" s="61"/>
      <c r="FQ22" s="61"/>
      <c r="FR22" s="61"/>
      <c r="FS22" s="61"/>
      <c r="FT22" s="61"/>
      <c r="FU22" s="61"/>
      <c r="FV22" s="61"/>
      <c r="FW22" s="61"/>
      <c r="FX22" s="61"/>
      <c r="FY22" s="61"/>
      <c r="FZ22" s="61"/>
      <c r="GA22" s="61"/>
      <c r="GB22" s="61"/>
      <c r="GC22" s="61"/>
      <c r="GD22" s="61"/>
      <c r="GE22" s="61"/>
      <c r="GF22" s="61"/>
      <c r="GG22" s="61"/>
      <c r="GH22" s="61"/>
      <c r="GI22" s="61"/>
      <c r="GJ22" s="61"/>
      <c r="GK22" s="61"/>
      <c r="GL22" s="61"/>
      <c r="GM22" s="61"/>
      <c r="GN22" s="61"/>
      <c r="GO22" s="61"/>
      <c r="GP22" s="61"/>
      <c r="GQ22" s="61"/>
      <c r="GR22" s="61"/>
      <c r="GS22" s="61"/>
      <c r="GT22" s="61"/>
      <c r="GU22" s="61"/>
      <c r="GV22" s="61"/>
      <c r="GW22" s="61"/>
      <c r="GX22" s="61"/>
      <c r="GY22" s="61"/>
      <c r="GZ22" s="61"/>
      <c r="HA22" s="61"/>
      <c r="HB22" s="61"/>
      <c r="HC22" s="61"/>
      <c r="HD22" s="61"/>
      <c r="HE22" s="61"/>
      <c r="HF22" s="61"/>
    </row>
    <row r="23" spans="2:214" x14ac:dyDescent="0.2">
      <c r="B23" s="60"/>
      <c r="C23" s="60"/>
      <c r="E23" s="60"/>
      <c r="F23" s="60"/>
      <c r="G23" s="60"/>
      <c r="I23" s="34"/>
      <c r="J23" s="34"/>
      <c r="K23" s="37"/>
      <c r="L23" s="37"/>
      <c r="M23" s="121"/>
      <c r="N23" s="121"/>
      <c r="O23" s="7"/>
      <c r="P23" s="7"/>
      <c r="Q23" s="122"/>
      <c r="R23" s="122"/>
      <c r="S23" s="123"/>
      <c r="T23" s="123"/>
      <c r="CX23" s="61"/>
      <c r="EV23" s="61"/>
      <c r="EW23" s="61"/>
      <c r="EX23" s="61"/>
      <c r="EY23" s="61"/>
      <c r="EZ23" s="61"/>
      <c r="FA23" s="61"/>
      <c r="FB23" s="61"/>
      <c r="FC23" s="61"/>
      <c r="FD23" s="61"/>
      <c r="FE23" s="61"/>
      <c r="FF23" s="61"/>
      <c r="FG23" s="61"/>
      <c r="FH23" s="61"/>
      <c r="FI23" s="61"/>
      <c r="FJ23" s="61"/>
      <c r="FK23" s="61"/>
      <c r="FL23" s="61"/>
      <c r="FM23" s="61"/>
      <c r="FN23" s="61"/>
      <c r="FO23" s="61"/>
      <c r="FP23" s="61"/>
      <c r="FQ23" s="61"/>
      <c r="FR23" s="61"/>
      <c r="FS23" s="61"/>
      <c r="FT23" s="61"/>
      <c r="FU23" s="61"/>
      <c r="FV23" s="61"/>
      <c r="FW23" s="61"/>
      <c r="FX23" s="61"/>
      <c r="FY23" s="61"/>
      <c r="FZ23" s="61"/>
      <c r="GA23" s="61"/>
      <c r="GB23" s="61"/>
      <c r="GC23" s="61"/>
      <c r="GD23" s="61"/>
      <c r="GE23" s="61"/>
      <c r="GF23" s="61"/>
      <c r="GG23" s="61"/>
      <c r="GH23" s="61"/>
      <c r="GI23" s="61"/>
      <c r="GJ23" s="61"/>
      <c r="GK23" s="61"/>
      <c r="GL23" s="61"/>
      <c r="GM23" s="61"/>
      <c r="GN23" s="61"/>
      <c r="GO23" s="61"/>
      <c r="GP23" s="61"/>
      <c r="GQ23" s="61"/>
      <c r="GR23" s="61"/>
      <c r="GS23" s="61"/>
      <c r="GT23" s="61"/>
      <c r="GU23" s="61"/>
      <c r="GV23" s="61"/>
      <c r="GW23" s="61"/>
      <c r="GX23" s="61"/>
      <c r="GY23" s="61"/>
      <c r="GZ23" s="61"/>
      <c r="HA23" s="61"/>
      <c r="HB23" s="61"/>
      <c r="HC23" s="61"/>
      <c r="HD23" s="61"/>
      <c r="HE23" s="61"/>
      <c r="HF23" s="61"/>
    </row>
    <row r="24" spans="2:214" x14ac:dyDescent="0.2">
      <c r="B24" s="60" t="s">
        <v>51</v>
      </c>
      <c r="C24" s="60" t="s">
        <v>277</v>
      </c>
      <c r="D24" s="23" t="s">
        <v>15</v>
      </c>
      <c r="E24" s="60"/>
      <c r="F24" s="60"/>
      <c r="G24" s="60"/>
      <c r="I24" s="34">
        <f t="shared" si="0"/>
        <v>0</v>
      </c>
      <c r="J24" s="34">
        <f t="shared" si="1"/>
        <v>6.12</v>
      </c>
      <c r="K24" s="37">
        <f>data_rotterdam_moerdijk!E186</f>
        <v>0</v>
      </c>
      <c r="L24" s="37">
        <f>data_rotterdam_moerdijk!F186</f>
        <v>6.12</v>
      </c>
      <c r="M24" s="121">
        <f>data_zeeland!E189</f>
        <v>0</v>
      </c>
      <c r="N24" s="121">
        <f>data_zeeland!F189</f>
        <v>0</v>
      </c>
      <c r="O24" s="7">
        <f>data_noordzeekanaalgebied!E126</f>
        <v>0</v>
      </c>
      <c r="P24" s="7">
        <f>data_noordzeekanaalgebied!F126</f>
        <v>0</v>
      </c>
      <c r="Q24" s="122">
        <f>data_noord_nederland!E135</f>
        <v>0</v>
      </c>
      <c r="R24" s="122">
        <f>data_noord_nederland!F135</f>
        <v>0</v>
      </c>
      <c r="S24" s="123">
        <v>0</v>
      </c>
      <c r="T24" s="123">
        <v>0</v>
      </c>
      <c r="CX24" s="61"/>
      <c r="EV24" s="61"/>
      <c r="EW24" s="61"/>
      <c r="EX24" s="61"/>
      <c r="EY24" s="61"/>
      <c r="EZ24" s="61"/>
      <c r="FA24" s="61"/>
      <c r="FB24" s="61"/>
      <c r="FC24" s="61"/>
      <c r="FD24" s="61"/>
      <c r="FE24" s="61"/>
      <c r="FF24" s="61"/>
      <c r="FG24" s="61"/>
      <c r="FH24" s="61"/>
      <c r="FI24" s="61"/>
      <c r="FJ24" s="61"/>
      <c r="FK24" s="61"/>
      <c r="FL24" s="61"/>
      <c r="FM24" s="61"/>
      <c r="FN24" s="61"/>
      <c r="FO24" s="61"/>
      <c r="FP24" s="61"/>
      <c r="FQ24" s="61"/>
      <c r="FR24" s="61"/>
      <c r="FS24" s="61"/>
      <c r="FT24" s="61"/>
      <c r="FU24" s="61"/>
      <c r="FV24" s="61"/>
      <c r="FW24" s="61"/>
      <c r="FX24" s="61"/>
      <c r="FY24" s="61"/>
      <c r="FZ24" s="61"/>
      <c r="GA24" s="61"/>
      <c r="GB24" s="61"/>
      <c r="GC24" s="61"/>
      <c r="GD24" s="61"/>
      <c r="GE24" s="61"/>
      <c r="GF24" s="61"/>
      <c r="GG24" s="61"/>
      <c r="GH24" s="61"/>
      <c r="GI24" s="61"/>
      <c r="GJ24" s="61"/>
      <c r="GK24" s="61"/>
      <c r="GL24" s="61"/>
      <c r="GM24" s="61"/>
      <c r="GN24" s="61"/>
      <c r="GO24" s="61"/>
      <c r="GP24" s="61"/>
      <c r="GQ24" s="61"/>
      <c r="GR24" s="61"/>
      <c r="GS24" s="61"/>
      <c r="GT24" s="61"/>
      <c r="GU24" s="61"/>
      <c r="GV24" s="61"/>
      <c r="GW24" s="61"/>
      <c r="GX24" s="61"/>
      <c r="GY24" s="61"/>
      <c r="GZ24" s="61"/>
      <c r="HA24" s="61"/>
      <c r="HB24" s="61"/>
      <c r="HC24" s="61"/>
      <c r="HD24" s="61"/>
      <c r="HE24" s="61"/>
      <c r="HF24" s="61"/>
    </row>
    <row r="25" spans="2:214" x14ac:dyDescent="0.2">
      <c r="B25" s="60"/>
      <c r="C25" s="60"/>
      <c r="E25" s="60"/>
      <c r="F25" s="60"/>
      <c r="G25" s="60"/>
      <c r="I25" s="34"/>
      <c r="J25" s="34"/>
      <c r="K25" s="37"/>
      <c r="L25" s="37"/>
      <c r="M25" s="121"/>
      <c r="N25" s="121"/>
      <c r="O25" s="7"/>
      <c r="P25" s="7"/>
      <c r="Q25" s="122"/>
      <c r="R25" s="122"/>
      <c r="S25" s="123"/>
      <c r="T25" s="123"/>
      <c r="CX25" s="61"/>
      <c r="EV25" s="61"/>
      <c r="EW25" s="61"/>
      <c r="EX25" s="61"/>
      <c r="EY25" s="61"/>
      <c r="EZ25" s="61"/>
      <c r="FA25" s="61"/>
      <c r="FB25" s="61"/>
      <c r="FC25" s="61"/>
      <c r="FD25" s="61"/>
      <c r="FE25" s="61"/>
      <c r="FF25" s="61"/>
      <c r="FG25" s="61"/>
      <c r="FH25" s="61"/>
      <c r="FI25" s="61"/>
      <c r="FJ25" s="61"/>
      <c r="FK25" s="61"/>
      <c r="FL25" s="61"/>
      <c r="FM25" s="61"/>
      <c r="FN25" s="61"/>
      <c r="FO25" s="61"/>
      <c r="FP25" s="61"/>
      <c r="FQ25" s="61"/>
      <c r="FR25" s="61"/>
      <c r="FS25" s="61"/>
      <c r="FT25" s="61"/>
      <c r="FU25" s="61"/>
      <c r="FV25" s="61"/>
      <c r="FW25" s="61"/>
      <c r="FX25" s="61"/>
      <c r="FY25" s="61"/>
      <c r="FZ25" s="61"/>
      <c r="GA25" s="61"/>
      <c r="GB25" s="61"/>
      <c r="GC25" s="61"/>
      <c r="GD25" s="61"/>
      <c r="GE25" s="61"/>
      <c r="GF25" s="61"/>
      <c r="GG25" s="61"/>
      <c r="GH25" s="61"/>
      <c r="GI25" s="61"/>
      <c r="GJ25" s="61"/>
      <c r="GK25" s="61"/>
      <c r="GL25" s="61"/>
      <c r="GM25" s="61"/>
      <c r="GN25" s="61"/>
      <c r="GO25" s="61"/>
      <c r="GP25" s="61"/>
      <c r="GQ25" s="61"/>
      <c r="GR25" s="61"/>
      <c r="GS25" s="61"/>
      <c r="GT25" s="61"/>
      <c r="GU25" s="61"/>
      <c r="GV25" s="61"/>
      <c r="GW25" s="61"/>
      <c r="GX25" s="61"/>
      <c r="GY25" s="61"/>
      <c r="GZ25" s="61"/>
      <c r="HA25" s="61"/>
      <c r="HB25" s="61"/>
      <c r="HC25" s="61"/>
      <c r="HD25" s="61"/>
      <c r="HE25" s="61"/>
      <c r="HF25" s="61"/>
    </row>
    <row r="26" spans="2:214" x14ac:dyDescent="0.2">
      <c r="B26" s="60" t="s">
        <v>51</v>
      </c>
      <c r="C26" s="60" t="s">
        <v>12</v>
      </c>
      <c r="D26" t="s">
        <v>15</v>
      </c>
      <c r="E26" s="60"/>
      <c r="F26" s="60"/>
      <c r="G26" s="60"/>
      <c r="I26" s="34">
        <f t="shared" si="0"/>
        <v>0</v>
      </c>
      <c r="J26" s="34">
        <f t="shared" si="1"/>
        <v>304.55600000000004</v>
      </c>
      <c r="K26" s="37">
        <f>data_rotterdam_moerdijk!E188</f>
        <v>0</v>
      </c>
      <c r="L26" s="37">
        <f>data_rotterdam_moerdijk!F188</f>
        <v>185.04000000000002</v>
      </c>
      <c r="M26" s="121">
        <f>data_zeeland!E191</f>
        <v>0</v>
      </c>
      <c r="N26" s="121">
        <f>data_zeeland!F191</f>
        <v>51.799999999999983</v>
      </c>
      <c r="O26" s="7">
        <f>data_noordzeekanaalgebied!E128</f>
        <v>0</v>
      </c>
      <c r="P26" s="7">
        <f>data_noordzeekanaalgebied!F128</f>
        <v>9.7559999999999985</v>
      </c>
      <c r="Q26" s="122">
        <f>data_noord_nederland!E137</f>
        <v>0</v>
      </c>
      <c r="R26" s="122">
        <f>data_noord_nederland!F137</f>
        <v>57.960000000000008</v>
      </c>
      <c r="S26" s="123">
        <v>0</v>
      </c>
      <c r="T26" s="123">
        <v>0</v>
      </c>
      <c r="CX26" s="61"/>
      <c r="EV26" s="61"/>
      <c r="EW26" s="61"/>
      <c r="EX26" s="61"/>
      <c r="EY26" s="61"/>
      <c r="EZ26" s="61"/>
      <c r="FA26" s="61"/>
      <c r="FB26" s="61"/>
      <c r="FC26" s="61"/>
      <c r="FD26" s="61"/>
      <c r="FE26" s="61"/>
      <c r="FF26" s="61"/>
      <c r="FG26" s="61"/>
      <c r="FH26" s="61"/>
      <c r="FI26" s="61"/>
      <c r="FJ26" s="61"/>
      <c r="FK26" s="61"/>
      <c r="FL26" s="61"/>
      <c r="FM26" s="61"/>
      <c r="FN26" s="61"/>
      <c r="FO26" s="61"/>
      <c r="FP26" s="61"/>
      <c r="FQ26" s="61"/>
      <c r="FR26" s="61"/>
      <c r="FS26" s="61"/>
      <c r="FT26" s="61"/>
      <c r="FU26" s="61"/>
      <c r="FV26" s="61"/>
      <c r="FW26" s="61"/>
      <c r="FX26" s="61"/>
      <c r="FY26" s="61"/>
      <c r="FZ26" s="61"/>
      <c r="GA26" s="61"/>
      <c r="GB26" s="61"/>
      <c r="GC26" s="61"/>
      <c r="GD26" s="61"/>
      <c r="GE26" s="61"/>
      <c r="GF26" s="61"/>
      <c r="GG26" s="61"/>
      <c r="GH26" s="61"/>
      <c r="GI26" s="61"/>
      <c r="GJ26" s="61"/>
      <c r="GK26" s="61"/>
      <c r="GL26" s="61"/>
      <c r="GM26" s="61"/>
      <c r="GN26" s="61"/>
      <c r="GO26" s="61"/>
      <c r="GP26" s="61"/>
      <c r="GQ26" s="61"/>
      <c r="GR26" s="61"/>
      <c r="GS26" s="61"/>
      <c r="GT26" s="61"/>
      <c r="GU26" s="61"/>
      <c r="GV26" s="61"/>
      <c r="GW26" s="61"/>
      <c r="GX26" s="61"/>
      <c r="GY26" s="61"/>
      <c r="GZ26" s="61"/>
      <c r="HA26" s="61"/>
      <c r="HB26" s="61"/>
      <c r="HC26" s="61"/>
      <c r="HD26" s="61"/>
      <c r="HE26" s="61"/>
      <c r="HF26" s="61"/>
    </row>
    <row r="27" spans="2:214" x14ac:dyDescent="0.2">
      <c r="B27" s="60"/>
      <c r="C27" s="60"/>
      <c r="E27" s="60"/>
      <c r="F27" s="60"/>
      <c r="G27" s="60"/>
      <c r="I27" s="34"/>
      <c r="J27" s="34"/>
      <c r="K27" s="37"/>
      <c r="L27" s="37"/>
      <c r="M27" s="121"/>
      <c r="N27" s="121"/>
      <c r="O27" s="7"/>
      <c r="P27" s="7"/>
      <c r="Q27" s="122"/>
      <c r="R27" s="122"/>
      <c r="S27" s="123"/>
      <c r="T27" s="123"/>
      <c r="CX27" s="61"/>
      <c r="EV27" s="61"/>
      <c r="EW27" s="61"/>
      <c r="EX27" s="61"/>
      <c r="EY27" s="61"/>
      <c r="EZ27" s="61"/>
      <c r="FA27" s="61"/>
      <c r="FB27" s="61"/>
      <c r="FC27" s="61"/>
      <c r="FD27" s="61"/>
      <c r="FE27" s="61"/>
      <c r="FF27" s="61"/>
      <c r="FG27" s="61"/>
      <c r="FH27" s="61"/>
      <c r="FI27" s="61"/>
      <c r="FJ27" s="61"/>
      <c r="FK27" s="61"/>
      <c r="FL27" s="61"/>
      <c r="FM27" s="61"/>
      <c r="FN27" s="61"/>
      <c r="FO27" s="61"/>
      <c r="FP27" s="61"/>
      <c r="FQ27" s="61"/>
      <c r="FR27" s="61"/>
      <c r="FS27" s="61"/>
      <c r="FT27" s="61"/>
      <c r="FU27" s="61"/>
      <c r="FV27" s="61"/>
      <c r="FW27" s="61"/>
      <c r="FX27" s="61"/>
      <c r="FY27" s="61"/>
      <c r="FZ27" s="61"/>
      <c r="GA27" s="61"/>
      <c r="GB27" s="61"/>
      <c r="GC27" s="61"/>
      <c r="GD27" s="61"/>
      <c r="GE27" s="61"/>
      <c r="GF27" s="61"/>
      <c r="GG27" s="61"/>
      <c r="GH27" s="61"/>
      <c r="GI27" s="61"/>
      <c r="GJ27" s="61"/>
      <c r="GK27" s="61"/>
      <c r="GL27" s="61"/>
      <c r="GM27" s="61"/>
      <c r="GN27" s="61"/>
      <c r="GO27" s="61"/>
      <c r="GP27" s="61"/>
      <c r="GQ27" s="61"/>
      <c r="GR27" s="61"/>
      <c r="GS27" s="61"/>
      <c r="GT27" s="61"/>
      <c r="GU27" s="61"/>
      <c r="GV27" s="61"/>
      <c r="GW27" s="61"/>
      <c r="GX27" s="61"/>
      <c r="GY27" s="61"/>
      <c r="GZ27" s="61"/>
      <c r="HA27" s="61"/>
      <c r="HB27" s="61"/>
      <c r="HC27" s="61"/>
      <c r="HD27" s="61"/>
      <c r="HE27" s="61"/>
      <c r="HF27" s="61"/>
    </row>
    <row r="28" spans="2:214" x14ac:dyDescent="0.2">
      <c r="B28" s="60" t="s">
        <v>56</v>
      </c>
      <c r="C28" s="60" t="s">
        <v>51</v>
      </c>
      <c r="D28" t="s">
        <v>99</v>
      </c>
      <c r="E28" s="60"/>
      <c r="F28" s="60"/>
      <c r="G28" s="60"/>
      <c r="I28" s="34">
        <f t="shared" si="0"/>
        <v>114.72</v>
      </c>
      <c r="J28" s="34">
        <f t="shared" si="1"/>
        <v>20</v>
      </c>
      <c r="K28" s="37">
        <f>data_rotterdam_moerdijk!E190</f>
        <v>49.680000000000007</v>
      </c>
      <c r="L28" s="37">
        <f>data_rotterdam_moerdijk!F190</f>
        <v>0</v>
      </c>
      <c r="M28" s="121">
        <f>data_zeeland!E193</f>
        <v>65.039999999999992</v>
      </c>
      <c r="N28" s="121">
        <f>data_zeeland!F193</f>
        <v>20</v>
      </c>
      <c r="O28" s="7">
        <f>data_noordzeekanaalgebied!E130</f>
        <v>0</v>
      </c>
      <c r="P28" s="7">
        <f>data_noordzeekanaalgebied!F130</f>
        <v>0</v>
      </c>
      <c r="Q28" s="122">
        <f>data_noord_nederland!E139</f>
        <v>0</v>
      </c>
      <c r="R28" s="122">
        <f>data_noord_nederland!F139</f>
        <v>0</v>
      </c>
      <c r="S28" s="123">
        <v>0</v>
      </c>
      <c r="T28" s="123">
        <v>0</v>
      </c>
      <c r="CX28" s="61"/>
      <c r="EV28" s="61"/>
      <c r="EW28" s="61"/>
      <c r="EX28" s="61"/>
      <c r="EY28" s="61"/>
      <c r="EZ28" s="61"/>
      <c r="FA28" s="61"/>
      <c r="FB28" s="61"/>
      <c r="FC28" s="61"/>
      <c r="FD28" s="61"/>
      <c r="FE28" s="61"/>
      <c r="FF28" s="61"/>
      <c r="FG28" s="61"/>
      <c r="FH28" s="61"/>
      <c r="FI28" s="61"/>
      <c r="FJ28" s="61"/>
      <c r="FK28" s="61"/>
      <c r="FL28" s="61"/>
      <c r="FM28" s="61"/>
      <c r="FN28" s="61"/>
      <c r="FO28" s="61"/>
      <c r="FP28" s="61"/>
      <c r="FQ28" s="61"/>
      <c r="FR28" s="61"/>
      <c r="FS28" s="61"/>
      <c r="FT28" s="61"/>
      <c r="FU28" s="61"/>
      <c r="FV28" s="61"/>
      <c r="FW28" s="61"/>
      <c r="FX28" s="61"/>
      <c r="FY28" s="61"/>
      <c r="FZ28" s="61"/>
      <c r="GA28" s="61"/>
      <c r="GB28" s="61"/>
      <c r="GC28" s="61"/>
      <c r="GD28" s="61"/>
      <c r="GE28" s="61"/>
      <c r="GF28" s="61"/>
      <c r="GG28" s="61"/>
      <c r="GH28" s="61"/>
      <c r="GI28" s="61"/>
      <c r="GJ28" s="61"/>
      <c r="GK28" s="61"/>
      <c r="GL28" s="61"/>
      <c r="GM28" s="61"/>
      <c r="GN28" s="61"/>
      <c r="GO28" s="61"/>
      <c r="GP28" s="61"/>
      <c r="GQ28" s="61"/>
      <c r="GR28" s="61"/>
      <c r="GS28" s="61"/>
      <c r="GT28" s="61"/>
      <c r="GU28" s="61"/>
      <c r="GV28" s="61"/>
      <c r="GW28" s="61"/>
      <c r="GX28" s="61"/>
      <c r="GY28" s="61"/>
      <c r="GZ28" s="61"/>
      <c r="HA28" s="61"/>
      <c r="HB28" s="61"/>
      <c r="HC28" s="61"/>
      <c r="HD28" s="61"/>
      <c r="HE28" s="61"/>
      <c r="HF28" s="61"/>
    </row>
    <row r="29" spans="2:214" x14ac:dyDescent="0.2">
      <c r="B29" s="60" t="s">
        <v>57</v>
      </c>
      <c r="C29" s="60" t="s">
        <v>51</v>
      </c>
      <c r="D29" t="s">
        <v>100</v>
      </c>
      <c r="E29" s="60"/>
      <c r="F29" s="60"/>
      <c r="G29" s="60"/>
      <c r="I29" s="34">
        <f t="shared" si="0"/>
        <v>0</v>
      </c>
      <c r="J29" s="34">
        <f t="shared" si="1"/>
        <v>222</v>
      </c>
      <c r="K29" s="37">
        <f>data_rotterdam_moerdijk!E191</f>
        <v>0</v>
      </c>
      <c r="L29" s="37">
        <f>data_rotterdam_moerdijk!F191</f>
        <v>127.8</v>
      </c>
      <c r="M29" s="121">
        <f>data_zeeland!E194</f>
        <v>0</v>
      </c>
      <c r="N29" s="121">
        <f>data_zeeland!F194</f>
        <v>70.8</v>
      </c>
      <c r="O29" s="7">
        <f>data_noordzeekanaalgebied!E131</f>
        <v>0</v>
      </c>
      <c r="P29" s="7">
        <f>data_noordzeekanaalgebied!F131</f>
        <v>0</v>
      </c>
      <c r="Q29" s="122">
        <f>data_noord_nederland!E140</f>
        <v>0</v>
      </c>
      <c r="R29" s="122">
        <f>data_noord_nederland!F140</f>
        <v>23.400000000000002</v>
      </c>
      <c r="S29" s="123">
        <v>0</v>
      </c>
      <c r="T29" s="123">
        <v>0</v>
      </c>
      <c r="CX29" s="61"/>
      <c r="EV29" s="61"/>
      <c r="EW29" s="61"/>
      <c r="EX29" s="61"/>
      <c r="EY29" s="61"/>
      <c r="EZ29" s="61"/>
      <c r="FA29" s="61"/>
      <c r="FB29" s="61"/>
      <c r="FC29" s="61"/>
      <c r="FD29" s="61"/>
      <c r="FE29" s="61"/>
      <c r="FF29" s="61"/>
      <c r="FG29" s="61"/>
      <c r="FH29" s="61"/>
      <c r="FI29" s="61"/>
      <c r="FJ29" s="61"/>
      <c r="FK29" s="61"/>
      <c r="FL29" s="61"/>
      <c r="FM29" s="61"/>
      <c r="FN29" s="61"/>
      <c r="FO29" s="61"/>
      <c r="FP29" s="61"/>
      <c r="FQ29" s="61"/>
      <c r="FR29" s="61"/>
      <c r="FS29" s="61"/>
      <c r="FT29" s="61"/>
      <c r="FU29" s="61"/>
      <c r="FV29" s="61"/>
      <c r="FW29" s="61"/>
      <c r="FX29" s="61"/>
      <c r="FY29" s="61"/>
      <c r="FZ29" s="61"/>
      <c r="GA29" s="61"/>
      <c r="GB29" s="61"/>
      <c r="GC29" s="61"/>
      <c r="GD29" s="61"/>
      <c r="GE29" s="61"/>
      <c r="GF29" s="61"/>
      <c r="GG29" s="61"/>
      <c r="GH29" s="61"/>
      <c r="GI29" s="61"/>
      <c r="GJ29" s="61"/>
      <c r="GK29" s="61"/>
      <c r="GL29" s="61"/>
      <c r="GM29" s="61"/>
      <c r="GN29" s="61"/>
      <c r="GO29" s="61"/>
      <c r="GP29" s="61"/>
      <c r="GQ29" s="61"/>
      <c r="GR29" s="61"/>
      <c r="GS29" s="61"/>
      <c r="GT29" s="61"/>
      <c r="GU29" s="61"/>
      <c r="GV29" s="61"/>
      <c r="GW29" s="61"/>
      <c r="GX29" s="61"/>
      <c r="GY29" s="61"/>
      <c r="GZ29" s="61"/>
      <c r="HA29" s="61"/>
      <c r="HB29" s="61"/>
      <c r="HC29" s="61"/>
      <c r="HD29" s="61"/>
      <c r="HE29" s="61"/>
      <c r="HF29" s="61"/>
    </row>
    <row r="30" spans="2:214" x14ac:dyDescent="0.2">
      <c r="B30" s="60" t="s">
        <v>68</v>
      </c>
      <c r="C30" s="60" t="s">
        <v>51</v>
      </c>
      <c r="D30" t="s">
        <v>101</v>
      </c>
      <c r="E30" s="60"/>
      <c r="F30" s="60"/>
      <c r="G30" s="60"/>
      <c r="I30" s="34">
        <f t="shared" si="0"/>
        <v>0</v>
      </c>
      <c r="J30" s="34">
        <f t="shared" si="1"/>
        <v>126.07199999999999</v>
      </c>
      <c r="K30" s="37">
        <f>data_rotterdam_moerdijk!E192</f>
        <v>0</v>
      </c>
      <c r="L30" s="37">
        <f>data_rotterdam_moerdijk!F192</f>
        <v>38.880000000000003</v>
      </c>
      <c r="M30" s="121">
        <f>data_zeeland!E195</f>
        <v>0</v>
      </c>
      <c r="N30" s="121">
        <f>data_zeeland!F195</f>
        <v>27.72</v>
      </c>
      <c r="O30" s="7">
        <f>data_noordzeekanaalgebied!E132</f>
        <v>0</v>
      </c>
      <c r="P30" s="7">
        <f>data_noordzeekanaalgebied!F132</f>
        <v>10.799999999999999</v>
      </c>
      <c r="Q30" s="122">
        <f>data_noord_nederland!E141</f>
        <v>0</v>
      </c>
      <c r="R30" s="122">
        <f>data_noord_nederland!F141</f>
        <v>48.671999999999997</v>
      </c>
      <c r="S30" s="123">
        <v>0</v>
      </c>
      <c r="T30" s="123">
        <v>0</v>
      </c>
      <c r="CX30" s="61"/>
      <c r="EV30" s="61"/>
      <c r="EW30" s="61"/>
      <c r="EX30" s="61"/>
      <c r="EY30" s="61"/>
      <c r="EZ30" s="61"/>
      <c r="FA30" s="61"/>
      <c r="FB30" s="61"/>
      <c r="FC30" s="61"/>
      <c r="FD30" s="61"/>
      <c r="FE30" s="61"/>
      <c r="FF30" s="61"/>
      <c r="FG30" s="61"/>
      <c r="FH30" s="61"/>
      <c r="FI30" s="61"/>
      <c r="FJ30" s="61"/>
      <c r="FK30" s="61"/>
      <c r="FL30" s="61"/>
      <c r="FM30" s="61"/>
      <c r="FN30" s="61"/>
      <c r="FO30" s="61"/>
      <c r="FP30" s="61"/>
      <c r="FQ30" s="61"/>
      <c r="FR30" s="61"/>
      <c r="FS30" s="61"/>
      <c r="FT30" s="61"/>
      <c r="FU30" s="61"/>
      <c r="FV30" s="61"/>
      <c r="FW30" s="61"/>
      <c r="FX30" s="61"/>
      <c r="FY30" s="61"/>
      <c r="FZ30" s="61"/>
      <c r="GA30" s="61"/>
      <c r="GB30" s="61"/>
      <c r="GC30" s="61"/>
      <c r="GD30" s="61"/>
      <c r="GE30" s="61"/>
      <c r="GF30" s="61"/>
      <c r="GG30" s="61"/>
      <c r="GH30" s="61"/>
      <c r="GI30" s="61"/>
      <c r="GJ30" s="61"/>
      <c r="GK30" s="61"/>
      <c r="GL30" s="61"/>
      <c r="GM30" s="61"/>
      <c r="GN30" s="61"/>
      <c r="GO30" s="61"/>
      <c r="GP30" s="61"/>
      <c r="GQ30" s="61"/>
      <c r="GR30" s="61"/>
      <c r="GS30" s="61"/>
      <c r="GT30" s="61"/>
      <c r="GU30" s="61"/>
      <c r="GV30" s="61"/>
      <c r="GW30" s="61"/>
      <c r="GX30" s="61"/>
      <c r="GY30" s="61"/>
      <c r="GZ30" s="61"/>
      <c r="HA30" s="61"/>
      <c r="HB30" s="61"/>
      <c r="HC30" s="61"/>
      <c r="HD30" s="61"/>
      <c r="HE30" s="61"/>
      <c r="HF30" s="61"/>
    </row>
    <row r="31" spans="2:214" x14ac:dyDescent="0.2">
      <c r="B31" s="60"/>
      <c r="C31" s="60"/>
      <c r="E31" s="60"/>
      <c r="F31" s="60"/>
      <c r="G31" s="60"/>
      <c r="I31" s="34"/>
      <c r="J31" s="34"/>
      <c r="K31" s="37"/>
      <c r="L31" s="37"/>
      <c r="M31" s="121"/>
      <c r="N31" s="121"/>
      <c r="O31" s="7"/>
      <c r="P31" s="7"/>
      <c r="Q31" s="122"/>
      <c r="R31" s="122"/>
      <c r="S31" s="123"/>
      <c r="T31" s="123"/>
      <c r="CX31" s="61"/>
      <c r="EV31" s="61"/>
      <c r="EW31" s="61"/>
      <c r="EX31" s="61"/>
      <c r="EY31" s="61"/>
      <c r="EZ31" s="61"/>
      <c r="FA31" s="61"/>
      <c r="FB31" s="61"/>
      <c r="FC31" s="61"/>
      <c r="FD31" s="61"/>
      <c r="FE31" s="61"/>
      <c r="FF31" s="61"/>
      <c r="FG31" s="61"/>
      <c r="FH31" s="61"/>
      <c r="FI31" s="61"/>
      <c r="FJ31" s="61"/>
      <c r="FK31" s="61"/>
      <c r="FL31" s="61"/>
      <c r="FM31" s="61"/>
      <c r="FN31" s="61"/>
      <c r="FO31" s="61"/>
      <c r="FP31" s="61"/>
      <c r="FQ31" s="61"/>
      <c r="FR31" s="61"/>
      <c r="FS31" s="61"/>
      <c r="FT31" s="61"/>
      <c r="FU31" s="61"/>
      <c r="FV31" s="61"/>
      <c r="FW31" s="61"/>
      <c r="FX31" s="61"/>
      <c r="FY31" s="61"/>
      <c r="FZ31" s="61"/>
      <c r="GA31" s="61"/>
      <c r="GB31" s="61"/>
      <c r="GC31" s="61"/>
      <c r="GD31" s="61"/>
      <c r="GE31" s="61"/>
      <c r="GF31" s="61"/>
      <c r="GG31" s="61"/>
      <c r="GH31" s="61"/>
      <c r="GI31" s="61"/>
      <c r="GJ31" s="61"/>
      <c r="GK31" s="61"/>
      <c r="GL31" s="61"/>
      <c r="GM31" s="61"/>
      <c r="GN31" s="61"/>
      <c r="GO31" s="61"/>
      <c r="GP31" s="61"/>
      <c r="GQ31" s="61"/>
      <c r="GR31" s="61"/>
      <c r="GS31" s="61"/>
      <c r="GT31" s="61"/>
      <c r="GU31" s="61"/>
      <c r="GV31" s="61"/>
      <c r="GW31" s="61"/>
      <c r="GX31" s="61"/>
      <c r="GY31" s="61"/>
      <c r="GZ31" s="61"/>
      <c r="HA31" s="61"/>
      <c r="HB31" s="61"/>
      <c r="HC31" s="61"/>
      <c r="HD31" s="61"/>
      <c r="HE31" s="61"/>
      <c r="HF31" s="61"/>
    </row>
    <row r="32" spans="2:214" x14ac:dyDescent="0.2">
      <c r="B32" s="60" t="s">
        <v>247</v>
      </c>
      <c r="C32" s="60" t="s">
        <v>51</v>
      </c>
      <c r="D32" t="s">
        <v>15</v>
      </c>
      <c r="E32" s="60"/>
      <c r="F32" s="60"/>
      <c r="G32" s="60"/>
      <c r="I32" s="34">
        <f t="shared" si="0"/>
        <v>0</v>
      </c>
      <c r="J32" s="34">
        <f t="shared" si="1"/>
        <v>206.76</v>
      </c>
      <c r="K32" s="37">
        <f>data_rotterdam_moerdijk!E194</f>
        <v>0</v>
      </c>
      <c r="L32" s="37">
        <f>data_rotterdam_moerdijk!F194</f>
        <v>112.68</v>
      </c>
      <c r="M32" s="121">
        <f>data_zeeland!E197</f>
        <v>0</v>
      </c>
      <c r="N32" s="121">
        <f>data_zeeland!F197</f>
        <v>70.44</v>
      </c>
      <c r="O32" s="7">
        <f>data_noordzeekanaalgebied!E134</f>
        <v>0</v>
      </c>
      <c r="P32" s="7">
        <f>data_noordzeekanaalgebied!F134</f>
        <v>23.64</v>
      </c>
      <c r="Q32" s="122">
        <f>data_noord_nederland!E143</f>
        <v>0</v>
      </c>
      <c r="R32" s="122">
        <f>data_noord_nederland!F143</f>
        <v>0</v>
      </c>
      <c r="S32" s="123">
        <v>0</v>
      </c>
      <c r="T32" s="123">
        <v>0</v>
      </c>
      <c r="CX32" s="61"/>
      <c r="EV32" s="61"/>
      <c r="EW32" s="61"/>
      <c r="EX32" s="61"/>
      <c r="EY32" s="61"/>
      <c r="EZ32" s="61"/>
      <c r="FA32" s="61"/>
      <c r="FB32" s="61"/>
      <c r="FC32" s="61"/>
      <c r="FD32" s="61"/>
      <c r="FE32" s="61"/>
      <c r="FF32" s="61"/>
      <c r="FG32" s="61"/>
      <c r="FH32" s="61"/>
      <c r="FI32" s="61"/>
      <c r="FJ32" s="61"/>
      <c r="FK32" s="61"/>
      <c r="FL32" s="61"/>
      <c r="FM32" s="61"/>
      <c r="FN32" s="61"/>
      <c r="FO32" s="61"/>
      <c r="FP32" s="61"/>
      <c r="FQ32" s="61"/>
      <c r="FR32" s="61"/>
      <c r="FS32" s="61"/>
      <c r="FT32" s="61"/>
      <c r="FU32" s="61"/>
      <c r="FV32" s="61"/>
      <c r="FW32" s="61"/>
      <c r="FX32" s="61"/>
      <c r="FY32" s="61"/>
      <c r="FZ32" s="61"/>
      <c r="GA32" s="61"/>
      <c r="GB32" s="61"/>
      <c r="GC32" s="61"/>
      <c r="GD32" s="61"/>
      <c r="GE32" s="61"/>
      <c r="GF32" s="61"/>
      <c r="GG32" s="61"/>
      <c r="GH32" s="61"/>
      <c r="GI32" s="61"/>
      <c r="GJ32" s="61"/>
      <c r="GK32" s="61"/>
      <c r="GL32" s="61"/>
      <c r="GM32" s="61"/>
      <c r="GN32" s="61"/>
      <c r="GO32" s="61"/>
      <c r="GP32" s="61"/>
      <c r="GQ32" s="61"/>
      <c r="GR32" s="61"/>
      <c r="GS32" s="61"/>
      <c r="GT32" s="61"/>
      <c r="GU32" s="61"/>
      <c r="GV32" s="61"/>
      <c r="GW32" s="61"/>
      <c r="GX32" s="61"/>
      <c r="GY32" s="61"/>
      <c r="GZ32" s="61"/>
      <c r="HA32" s="61"/>
      <c r="HB32" s="61"/>
      <c r="HC32" s="61"/>
      <c r="HD32" s="61"/>
      <c r="HE32" s="61"/>
      <c r="HF32" s="61"/>
    </row>
    <row r="33" spans="2:228" x14ac:dyDescent="0.2">
      <c r="B33" s="60"/>
      <c r="C33" s="60"/>
      <c r="E33" s="60"/>
      <c r="F33" s="60"/>
      <c r="G33" s="60"/>
      <c r="I33" s="34"/>
      <c r="J33" s="34"/>
      <c r="K33" s="37"/>
      <c r="L33" s="37"/>
      <c r="M33" s="121"/>
      <c r="N33" s="121"/>
      <c r="O33" s="7"/>
      <c r="P33" s="7"/>
      <c r="Q33" s="122"/>
      <c r="R33" s="122"/>
      <c r="S33" s="123"/>
      <c r="T33" s="123"/>
      <c r="CX33" s="61"/>
      <c r="EV33" s="61"/>
      <c r="EW33" s="61"/>
      <c r="EX33" s="61"/>
      <c r="EY33" s="61"/>
      <c r="EZ33" s="61"/>
      <c r="FA33" s="61"/>
      <c r="FB33" s="61"/>
      <c r="FC33" s="61"/>
      <c r="FD33" s="61"/>
      <c r="FE33" s="61"/>
      <c r="FF33" s="61"/>
      <c r="FG33" s="61"/>
      <c r="FH33" s="61"/>
      <c r="FI33" s="61"/>
      <c r="FJ33" s="61"/>
      <c r="FK33" s="61"/>
      <c r="FL33" s="61"/>
      <c r="FM33" s="61"/>
      <c r="FN33" s="61"/>
      <c r="FO33" s="61"/>
      <c r="FP33" s="61"/>
      <c r="FQ33" s="61"/>
      <c r="FR33" s="61"/>
      <c r="FS33" s="61"/>
      <c r="FT33" s="61"/>
      <c r="FU33" s="61"/>
      <c r="FV33" s="61"/>
      <c r="FW33" s="61"/>
      <c r="FX33" s="61"/>
      <c r="FY33" s="61"/>
      <c r="FZ33" s="61"/>
      <c r="GA33" s="61"/>
      <c r="GB33" s="61"/>
      <c r="GC33" s="61"/>
      <c r="GD33" s="61"/>
      <c r="GE33" s="61"/>
      <c r="GF33" s="61"/>
      <c r="GG33" s="61"/>
      <c r="GH33" s="61"/>
      <c r="GI33" s="61"/>
      <c r="GJ33" s="61"/>
      <c r="GK33" s="61"/>
      <c r="GL33" s="61"/>
      <c r="GM33" s="61"/>
      <c r="GN33" s="61"/>
      <c r="GO33" s="61"/>
      <c r="GP33" s="61"/>
      <c r="GQ33" s="61"/>
      <c r="GR33" s="61"/>
      <c r="GS33" s="61"/>
      <c r="GT33" s="61"/>
      <c r="GU33" s="61"/>
      <c r="GV33" s="61"/>
      <c r="GW33" s="61"/>
      <c r="GX33" s="61"/>
      <c r="GY33" s="61"/>
      <c r="GZ33" s="61"/>
      <c r="HA33" s="61"/>
      <c r="HB33" s="61"/>
      <c r="HC33" s="61"/>
      <c r="HD33" s="61"/>
      <c r="HE33" s="61"/>
      <c r="HF33" s="61"/>
    </row>
    <row r="34" spans="2:228" x14ac:dyDescent="0.2">
      <c r="B34" s="60" t="s">
        <v>53</v>
      </c>
      <c r="C34" s="60" t="s">
        <v>56</v>
      </c>
      <c r="D34" t="s">
        <v>15</v>
      </c>
      <c r="E34" s="60"/>
      <c r="F34" s="60"/>
      <c r="G34" s="60"/>
      <c r="I34" s="34">
        <f t="shared" si="0"/>
        <v>114.72</v>
      </c>
      <c r="J34" s="34">
        <f t="shared" si="1"/>
        <v>20</v>
      </c>
      <c r="K34" s="37">
        <f>data_rotterdam_moerdijk!E196</f>
        <v>49.680000000000007</v>
      </c>
      <c r="L34" s="37">
        <f>data_rotterdam_moerdijk!F196</f>
        <v>0</v>
      </c>
      <c r="M34" s="121">
        <f>data_zeeland!E199</f>
        <v>65.039999999999992</v>
      </c>
      <c r="N34" s="121">
        <f>data_zeeland!F199</f>
        <v>20</v>
      </c>
      <c r="O34" s="7">
        <f>data_noordzeekanaalgebied!E136</f>
        <v>0</v>
      </c>
      <c r="P34" s="7">
        <f>data_noordzeekanaalgebied!F136</f>
        <v>0</v>
      </c>
      <c r="Q34" s="122">
        <f>data_noord_nederland!E145</f>
        <v>0</v>
      </c>
      <c r="R34" s="122">
        <f>data_noord_nederland!F145</f>
        <v>0</v>
      </c>
      <c r="S34" s="123">
        <v>0</v>
      </c>
      <c r="T34" s="123">
        <v>0</v>
      </c>
      <c r="CX34" s="61"/>
      <c r="EV34" s="61"/>
      <c r="EW34" s="61"/>
      <c r="EX34" s="61"/>
      <c r="EY34" s="61"/>
      <c r="EZ34" s="61"/>
      <c r="FA34" s="61"/>
      <c r="FB34" s="61"/>
      <c r="FC34" s="61"/>
      <c r="FD34" s="61"/>
      <c r="FE34" s="61"/>
      <c r="FF34" s="61"/>
      <c r="FG34" s="61"/>
      <c r="FH34" s="61"/>
      <c r="FI34" s="61"/>
      <c r="FJ34" s="61"/>
      <c r="FK34" s="61"/>
      <c r="FL34" s="61"/>
      <c r="FM34" s="61"/>
      <c r="FN34" s="61"/>
      <c r="FO34" s="61"/>
      <c r="FP34" s="61"/>
      <c r="FQ34" s="61"/>
      <c r="FR34" s="61"/>
      <c r="FS34" s="61"/>
      <c r="FT34" s="61"/>
      <c r="FU34" s="61"/>
      <c r="FV34" s="61"/>
      <c r="FW34" s="61"/>
      <c r="FX34" s="61"/>
      <c r="FY34" s="61"/>
      <c r="FZ34" s="61"/>
      <c r="GA34" s="61"/>
      <c r="GB34" s="61"/>
      <c r="GC34" s="61"/>
      <c r="GD34" s="61"/>
      <c r="GE34" s="61"/>
      <c r="GF34" s="61"/>
      <c r="GG34" s="61"/>
      <c r="GH34" s="61"/>
      <c r="GI34" s="61"/>
      <c r="GJ34" s="61"/>
      <c r="GK34" s="61"/>
      <c r="GL34" s="61"/>
      <c r="GM34" s="61"/>
      <c r="GN34" s="61"/>
      <c r="GO34" s="61"/>
      <c r="GP34" s="61"/>
      <c r="GQ34" s="61"/>
      <c r="GR34" s="61"/>
      <c r="GS34" s="61"/>
      <c r="GT34" s="61"/>
      <c r="GU34" s="61"/>
      <c r="GV34" s="61"/>
      <c r="GW34" s="61"/>
      <c r="GX34" s="61"/>
      <c r="GY34" s="61"/>
      <c r="GZ34" s="61"/>
      <c r="HA34" s="61"/>
      <c r="HB34" s="61"/>
      <c r="HC34" s="61"/>
      <c r="HD34" s="61"/>
      <c r="HE34" s="61"/>
      <c r="HF34" s="61"/>
    </row>
    <row r="35" spans="2:228" x14ac:dyDescent="0.2">
      <c r="B35" s="60" t="s">
        <v>53</v>
      </c>
      <c r="C35" s="60" t="s">
        <v>57</v>
      </c>
      <c r="D35" t="s">
        <v>15</v>
      </c>
      <c r="E35" s="60"/>
      <c r="F35" s="60"/>
      <c r="G35" s="60"/>
      <c r="I35" s="34">
        <f t="shared" si="0"/>
        <v>0</v>
      </c>
      <c r="J35" s="34">
        <f t="shared" si="1"/>
        <v>222</v>
      </c>
      <c r="K35" s="37">
        <f>data_rotterdam_moerdijk!E197</f>
        <v>0</v>
      </c>
      <c r="L35" s="37">
        <f>data_rotterdam_moerdijk!F197</f>
        <v>127.8</v>
      </c>
      <c r="M35" s="121">
        <f>data_zeeland!E200</f>
        <v>0</v>
      </c>
      <c r="N35" s="121">
        <f>data_zeeland!F200</f>
        <v>70.8</v>
      </c>
      <c r="O35" s="7">
        <f>data_noordzeekanaalgebied!E137</f>
        <v>0</v>
      </c>
      <c r="P35" s="7">
        <f>data_noordzeekanaalgebied!F137</f>
        <v>0</v>
      </c>
      <c r="Q35" s="122">
        <f>data_noord_nederland!E146</f>
        <v>0</v>
      </c>
      <c r="R35" s="122">
        <f>data_noord_nederland!F146</f>
        <v>23.400000000000002</v>
      </c>
      <c r="S35" s="123">
        <v>0</v>
      </c>
      <c r="T35" s="123">
        <v>0</v>
      </c>
      <c r="CX35" s="61"/>
      <c r="EV35" s="61"/>
      <c r="EW35" s="61"/>
      <c r="EX35" s="61"/>
      <c r="EY35" s="61"/>
      <c r="EZ35" s="61"/>
      <c r="FA35" s="61"/>
      <c r="FB35" s="61"/>
      <c r="FC35" s="61"/>
      <c r="FD35" s="61"/>
      <c r="FE35" s="61"/>
      <c r="FF35" s="61"/>
      <c r="FG35" s="61"/>
      <c r="FH35" s="61"/>
      <c r="FI35" s="61"/>
      <c r="FJ35" s="61"/>
      <c r="FK35" s="61"/>
      <c r="FL35" s="61"/>
      <c r="FM35" s="61"/>
      <c r="FN35" s="61"/>
      <c r="FO35" s="61"/>
      <c r="FP35" s="61"/>
      <c r="FQ35" s="61"/>
      <c r="FR35" s="61"/>
      <c r="FS35" s="61"/>
      <c r="FT35" s="61"/>
      <c r="FU35" s="61"/>
      <c r="FV35" s="61"/>
      <c r="FW35" s="61"/>
      <c r="FX35" s="61"/>
      <c r="FY35" s="61"/>
      <c r="FZ35" s="61"/>
      <c r="GA35" s="61"/>
      <c r="GB35" s="61"/>
      <c r="GC35" s="61"/>
      <c r="GD35" s="61"/>
      <c r="GE35" s="61"/>
      <c r="GF35" s="61"/>
      <c r="GG35" s="61"/>
      <c r="GH35" s="61"/>
      <c r="GI35" s="61"/>
      <c r="GJ35" s="61"/>
      <c r="GK35" s="61"/>
      <c r="GL35" s="61"/>
      <c r="GM35" s="61"/>
      <c r="GN35" s="61"/>
      <c r="GO35" s="61"/>
      <c r="GP35" s="61"/>
      <c r="GQ35" s="61"/>
      <c r="GR35" s="61"/>
      <c r="GS35" s="61"/>
      <c r="GT35" s="61"/>
      <c r="GU35" s="61"/>
      <c r="GV35" s="61"/>
      <c r="GW35" s="61"/>
      <c r="GX35" s="61"/>
      <c r="GY35" s="61"/>
      <c r="GZ35" s="61"/>
      <c r="HA35" s="61"/>
      <c r="HB35" s="61"/>
      <c r="HC35" s="61"/>
      <c r="HD35" s="61"/>
      <c r="HE35" s="61"/>
      <c r="HF35" s="61"/>
    </row>
    <row r="36" spans="2:228" x14ac:dyDescent="0.2">
      <c r="B36" s="60" t="s">
        <v>52</v>
      </c>
      <c r="C36" s="60" t="s">
        <v>68</v>
      </c>
      <c r="D36" t="s">
        <v>15</v>
      </c>
      <c r="E36" s="60"/>
      <c r="F36" s="60"/>
      <c r="G36" s="60"/>
      <c r="I36" s="34">
        <f t="shared" si="0"/>
        <v>0</v>
      </c>
      <c r="J36" s="34">
        <f t="shared" si="1"/>
        <v>126.07199999999999</v>
      </c>
      <c r="K36" s="37">
        <f>data_rotterdam_moerdijk!E198</f>
        <v>0</v>
      </c>
      <c r="L36" s="37">
        <f>data_rotterdam_moerdijk!F198</f>
        <v>38.880000000000003</v>
      </c>
      <c r="M36" s="121">
        <f>data_zeeland!E201</f>
        <v>0</v>
      </c>
      <c r="N36" s="121">
        <f>data_zeeland!F201</f>
        <v>27.72</v>
      </c>
      <c r="O36" s="7">
        <f>data_noordzeekanaalgebied!E138</f>
        <v>0</v>
      </c>
      <c r="P36" s="7">
        <f>data_noordzeekanaalgebied!F138</f>
        <v>10.799999999999999</v>
      </c>
      <c r="Q36" s="122">
        <f>data_noord_nederland!E147</f>
        <v>0</v>
      </c>
      <c r="R36" s="122">
        <f>data_noord_nederland!F147</f>
        <v>48.671999999999997</v>
      </c>
      <c r="S36" s="123">
        <v>0</v>
      </c>
      <c r="T36" s="123">
        <v>0</v>
      </c>
      <c r="CX36" s="61"/>
      <c r="EV36" s="61"/>
      <c r="EW36" s="61"/>
      <c r="EX36" s="61"/>
      <c r="EY36" s="61"/>
      <c r="EZ36" s="61"/>
      <c r="FA36" s="61"/>
      <c r="FB36" s="61"/>
      <c r="FC36" s="61"/>
      <c r="FD36" s="61"/>
      <c r="FE36" s="61"/>
      <c r="FF36" s="61"/>
      <c r="FG36" s="61"/>
      <c r="FH36" s="61"/>
      <c r="FI36" s="61"/>
      <c r="FJ36" s="61"/>
      <c r="FK36" s="61"/>
      <c r="FL36" s="61"/>
      <c r="FM36" s="61"/>
      <c r="FN36" s="61"/>
      <c r="FO36" s="61"/>
      <c r="FP36" s="61"/>
      <c r="FQ36" s="61"/>
      <c r="FR36" s="61"/>
      <c r="FS36" s="61"/>
      <c r="FT36" s="61"/>
      <c r="FU36" s="61"/>
      <c r="FV36" s="61"/>
      <c r="FW36" s="61"/>
      <c r="FX36" s="61"/>
      <c r="FY36" s="61"/>
      <c r="FZ36" s="61"/>
      <c r="GA36" s="61"/>
      <c r="GB36" s="61"/>
      <c r="GC36" s="61"/>
      <c r="GD36" s="61"/>
      <c r="GE36" s="61"/>
      <c r="GF36" s="61"/>
      <c r="GG36" s="61"/>
      <c r="GH36" s="61"/>
      <c r="GI36" s="61"/>
      <c r="GJ36" s="61"/>
      <c r="GK36" s="61"/>
      <c r="GL36" s="61"/>
      <c r="GM36" s="61"/>
      <c r="GN36" s="61"/>
      <c r="GO36" s="61"/>
      <c r="GP36" s="61"/>
      <c r="GQ36" s="61"/>
      <c r="GR36" s="61"/>
      <c r="GS36" s="61"/>
      <c r="GT36" s="61"/>
      <c r="GU36" s="61"/>
      <c r="GV36" s="61"/>
      <c r="GW36" s="61"/>
      <c r="GX36" s="61"/>
      <c r="GY36" s="61"/>
      <c r="GZ36" s="61"/>
      <c r="HA36" s="61"/>
      <c r="HB36" s="61"/>
      <c r="HC36" s="61"/>
      <c r="HD36" s="61"/>
      <c r="HE36" s="61"/>
      <c r="HF36" s="61"/>
    </row>
    <row r="37" spans="2:228" x14ac:dyDescent="0.2">
      <c r="B37" s="60"/>
      <c r="C37" s="60"/>
      <c r="E37" s="60"/>
      <c r="F37" s="60"/>
      <c r="G37" s="60"/>
      <c r="I37" s="34"/>
      <c r="J37" s="34"/>
      <c r="K37" s="37"/>
      <c r="L37" s="37"/>
      <c r="M37" s="121"/>
      <c r="N37" s="121"/>
      <c r="O37" s="7"/>
      <c r="P37" s="7"/>
      <c r="Q37" s="122"/>
      <c r="R37" s="122"/>
      <c r="S37" s="123"/>
      <c r="T37" s="123"/>
      <c r="CX37" s="61"/>
      <c r="EV37" s="61"/>
      <c r="EW37" s="61"/>
      <c r="EX37" s="61"/>
      <c r="EY37" s="61"/>
      <c r="EZ37" s="61"/>
      <c r="FA37" s="61"/>
      <c r="FB37" s="61"/>
      <c r="FC37" s="61"/>
      <c r="FD37" s="61"/>
      <c r="FE37" s="61"/>
      <c r="FF37" s="61"/>
      <c r="FG37" s="61"/>
      <c r="FH37" s="61"/>
      <c r="FI37" s="61"/>
      <c r="FJ37" s="61"/>
      <c r="FK37" s="61"/>
      <c r="FL37" s="61"/>
      <c r="FM37" s="61"/>
      <c r="FN37" s="61"/>
      <c r="FO37" s="61"/>
      <c r="FP37" s="61"/>
      <c r="FQ37" s="61"/>
      <c r="FR37" s="61"/>
      <c r="FS37" s="61"/>
      <c r="FT37" s="61"/>
      <c r="FU37" s="61"/>
      <c r="FV37" s="61"/>
      <c r="FW37" s="61"/>
      <c r="FX37" s="61"/>
      <c r="FY37" s="61"/>
      <c r="FZ37" s="61"/>
      <c r="GA37" s="61"/>
      <c r="GB37" s="61"/>
      <c r="GC37" s="61"/>
      <c r="GD37" s="61"/>
      <c r="GE37" s="61"/>
      <c r="GF37" s="61"/>
      <c r="GG37" s="61"/>
      <c r="GH37" s="61"/>
      <c r="GI37" s="61"/>
      <c r="GJ37" s="61"/>
      <c r="GK37" s="61"/>
      <c r="GL37" s="61"/>
      <c r="GM37" s="61"/>
      <c r="GN37" s="61"/>
      <c r="GO37" s="61"/>
      <c r="GP37" s="61"/>
      <c r="GQ37" s="61"/>
      <c r="GR37" s="61"/>
      <c r="GS37" s="61"/>
      <c r="GT37" s="61"/>
      <c r="GU37" s="61"/>
      <c r="GV37" s="61"/>
      <c r="GW37" s="61"/>
      <c r="GX37" s="61"/>
      <c r="GY37" s="61"/>
      <c r="GZ37" s="61"/>
      <c r="HA37" s="61"/>
      <c r="HB37" s="61"/>
      <c r="HC37" s="61"/>
      <c r="HD37" s="61"/>
      <c r="HE37" s="61"/>
      <c r="HF37" s="61"/>
    </row>
    <row r="38" spans="2:228" x14ac:dyDescent="0.2">
      <c r="B38" s="60" t="s">
        <v>50</v>
      </c>
      <c r="C38" s="60" t="s">
        <v>52</v>
      </c>
      <c r="D38" t="s">
        <v>17</v>
      </c>
      <c r="E38" s="60"/>
      <c r="F38" s="60"/>
      <c r="G38" s="60"/>
      <c r="I38" s="34">
        <f t="shared" si="0"/>
        <v>0</v>
      </c>
      <c r="J38" s="34">
        <f t="shared" si="1"/>
        <v>193.62857142857143</v>
      </c>
      <c r="K38" s="37">
        <f>data_rotterdam_moerdijk!E200</f>
        <v>0</v>
      </c>
      <c r="L38" s="37">
        <f>data_rotterdam_moerdijk!F200</f>
        <v>57.6</v>
      </c>
      <c r="M38" s="121">
        <f>data_zeeland!E203</f>
        <v>0</v>
      </c>
      <c r="N38" s="121">
        <f>data_zeeland!F203</f>
        <v>45.72</v>
      </c>
      <c r="O38" s="7">
        <f>data_noordzeekanaalgebied!E140</f>
        <v>0</v>
      </c>
      <c r="P38" s="7">
        <f>data_noordzeekanaalgebied!F140</f>
        <v>15.428571428571429</v>
      </c>
      <c r="Q38" s="122">
        <f>data_noord_nederland!E149</f>
        <v>0</v>
      </c>
      <c r="R38" s="122">
        <f>data_noord_nederland!F149</f>
        <v>74.88</v>
      </c>
      <c r="S38" s="123">
        <v>0</v>
      </c>
      <c r="T38" s="123">
        <v>0</v>
      </c>
      <c r="EV38" s="61"/>
      <c r="EW38" s="61"/>
      <c r="EX38" s="61"/>
      <c r="EY38" s="61"/>
      <c r="EZ38" s="61"/>
      <c r="FA38" s="61"/>
      <c r="FB38" s="61"/>
      <c r="FC38" s="61"/>
      <c r="FD38" s="61"/>
      <c r="FE38" s="61"/>
      <c r="FF38" s="61"/>
      <c r="FG38" s="61"/>
      <c r="FH38" s="61"/>
      <c r="FI38" s="61"/>
      <c r="FJ38" s="61"/>
      <c r="FK38" s="61"/>
      <c r="FL38" s="61"/>
      <c r="FM38" s="61"/>
      <c r="FN38" s="61"/>
      <c r="FO38" s="61"/>
      <c r="FP38" s="61"/>
      <c r="FQ38" s="61"/>
      <c r="FR38" s="61"/>
      <c r="FS38" s="61"/>
      <c r="FT38" s="61"/>
      <c r="FU38" s="61"/>
      <c r="FV38" s="61"/>
      <c r="FW38" s="61"/>
      <c r="FX38" s="61"/>
      <c r="FY38" s="61"/>
      <c r="FZ38" s="61"/>
      <c r="GA38" s="61"/>
      <c r="GB38" s="61"/>
      <c r="GC38" s="61"/>
      <c r="GD38" s="61"/>
      <c r="GE38" s="61"/>
      <c r="GF38" s="61"/>
      <c r="GG38" s="61"/>
      <c r="GH38" s="61"/>
      <c r="GI38" s="61"/>
      <c r="GJ38" s="61"/>
      <c r="GK38" s="61"/>
      <c r="GL38" s="61"/>
      <c r="GM38" s="61"/>
      <c r="GN38" s="61"/>
      <c r="GO38" s="61"/>
      <c r="GP38" s="61"/>
      <c r="GQ38" s="61"/>
      <c r="GR38" s="61"/>
      <c r="GS38" s="61"/>
      <c r="GT38" s="61"/>
      <c r="GU38" s="61"/>
      <c r="GV38" s="61"/>
      <c r="GW38" s="61"/>
      <c r="GX38" s="61"/>
      <c r="GY38" s="61"/>
      <c r="GZ38" s="61"/>
      <c r="HA38" s="61"/>
      <c r="HB38" s="61"/>
      <c r="HC38" s="61"/>
      <c r="HD38" s="61"/>
      <c r="HE38" s="61"/>
      <c r="HF38" s="61"/>
    </row>
    <row r="39" spans="2:228" x14ac:dyDescent="0.2">
      <c r="B39" s="60" t="s">
        <v>49</v>
      </c>
      <c r="C39" s="60" t="s">
        <v>53</v>
      </c>
      <c r="D39" t="s">
        <v>18</v>
      </c>
      <c r="E39" s="60"/>
      <c r="F39" s="60"/>
      <c r="G39" s="60"/>
      <c r="I39" s="34">
        <f t="shared" si="0"/>
        <v>103.25538461538461</v>
      </c>
      <c r="J39" s="34">
        <f t="shared" si="1"/>
        <v>238.64</v>
      </c>
      <c r="K39" s="37">
        <f>data_rotterdam_moerdijk!E201</f>
        <v>38.215384615384622</v>
      </c>
      <c r="L39" s="37">
        <f>data_rotterdam_moerdijk!F201</f>
        <v>100.79999999999998</v>
      </c>
      <c r="M39" s="121">
        <f>data_zeeland!E204</f>
        <v>65.039999999999992</v>
      </c>
      <c r="N39" s="121">
        <f>data_zeeland!F204</f>
        <v>101.84</v>
      </c>
      <c r="O39" s="7">
        <f>data_noordzeekanaalgebied!E141</f>
        <v>0</v>
      </c>
      <c r="P39" s="7">
        <f>data_noordzeekanaalgebied!F141</f>
        <v>0</v>
      </c>
      <c r="Q39" s="122">
        <f>data_noord_nederland!E150</f>
        <v>0</v>
      </c>
      <c r="R39" s="122">
        <f>data_noord_nederland!F150</f>
        <v>36</v>
      </c>
      <c r="S39" s="123">
        <v>0</v>
      </c>
      <c r="T39" s="123">
        <v>0</v>
      </c>
      <c r="EV39" s="61"/>
      <c r="EW39" s="61"/>
      <c r="EX39" s="61"/>
      <c r="EY39" s="61"/>
      <c r="EZ39" s="61"/>
      <c r="FA39" s="61"/>
      <c r="FB39" s="61"/>
      <c r="FC39" s="61"/>
      <c r="FD39" s="61"/>
      <c r="FE39" s="61"/>
      <c r="FF39" s="61"/>
      <c r="FG39" s="61"/>
      <c r="FH39" s="61"/>
      <c r="FI39" s="61"/>
      <c r="FJ39" s="61"/>
      <c r="FK39" s="61"/>
      <c r="FL39" s="61"/>
      <c r="FM39" s="61"/>
      <c r="FN39" s="61"/>
      <c r="FO39" s="61"/>
      <c r="FP39" s="61"/>
      <c r="FQ39" s="61"/>
      <c r="FR39" s="61"/>
      <c r="FS39" s="61"/>
      <c r="FT39" s="61"/>
      <c r="FU39" s="61"/>
      <c r="FV39" s="61"/>
      <c r="FW39" s="61"/>
      <c r="FX39" s="61"/>
      <c r="FY39" s="61"/>
      <c r="FZ39" s="61"/>
      <c r="GA39" s="61"/>
      <c r="GB39" s="61"/>
      <c r="GC39" s="61"/>
      <c r="GD39" s="61"/>
      <c r="GE39" s="61"/>
      <c r="GF39" s="61"/>
      <c r="GG39" s="61"/>
      <c r="GH39" s="61"/>
      <c r="GI39" s="61"/>
      <c r="GJ39" s="61"/>
      <c r="GK39" s="61"/>
      <c r="GL39" s="61"/>
      <c r="GM39" s="61"/>
      <c r="GN39" s="61"/>
      <c r="GO39" s="61"/>
      <c r="GP39" s="61"/>
      <c r="GQ39" s="61"/>
      <c r="GR39" s="61"/>
      <c r="GS39" s="61"/>
      <c r="GT39" s="61"/>
      <c r="GU39" s="61"/>
      <c r="GV39" s="61"/>
      <c r="GW39" s="61"/>
      <c r="GX39" s="61"/>
      <c r="GY39" s="61"/>
      <c r="GZ39" s="61"/>
      <c r="HA39" s="61"/>
      <c r="HB39" s="61"/>
      <c r="HC39" s="61"/>
      <c r="HD39" s="61"/>
      <c r="HE39" s="61"/>
      <c r="HF39" s="61"/>
    </row>
    <row r="40" spans="2:228" x14ac:dyDescent="0.2">
      <c r="B40" s="60" t="s">
        <v>54</v>
      </c>
      <c r="C40" s="60" t="s">
        <v>53</v>
      </c>
      <c r="D40" t="s">
        <v>6</v>
      </c>
      <c r="E40" s="60"/>
      <c r="F40" s="60"/>
      <c r="G40" s="60"/>
      <c r="I40" s="34">
        <f t="shared" si="0"/>
        <v>68.233846153846159</v>
      </c>
      <c r="J40" s="34">
        <f t="shared" si="1"/>
        <v>125.83384615384614</v>
      </c>
      <c r="K40" s="37">
        <f>data_rotterdam_moerdijk!E202</f>
        <v>38.215384615384622</v>
      </c>
      <c r="L40" s="37">
        <f>data_rotterdam_moerdijk!F202</f>
        <v>95.815384615384616</v>
      </c>
      <c r="M40" s="121">
        <f>data_zeeland!E205</f>
        <v>30.018461538461533</v>
      </c>
      <c r="N40" s="121">
        <f>data_zeeland!F205</f>
        <v>30.01846153846153</v>
      </c>
      <c r="O40" s="7">
        <f>data_noordzeekanaalgebied!E142</f>
        <v>0</v>
      </c>
      <c r="P40" s="7">
        <f>data_noordzeekanaalgebied!F142</f>
        <v>0</v>
      </c>
      <c r="Q40" s="122">
        <f>data_noord_nederland!E151</f>
        <v>0</v>
      </c>
      <c r="R40" s="122">
        <f>data_noord_nederland!F151</f>
        <v>0</v>
      </c>
      <c r="S40" s="123">
        <v>0</v>
      </c>
      <c r="T40" s="123">
        <v>0</v>
      </c>
      <c r="EV40" s="61"/>
      <c r="EW40" s="61"/>
      <c r="EX40" s="61"/>
      <c r="EY40" s="61"/>
      <c r="EZ40" s="61"/>
      <c r="FA40" s="61"/>
      <c r="FB40" s="61"/>
      <c r="FC40" s="61"/>
      <c r="FD40" s="61"/>
      <c r="FE40" s="61"/>
      <c r="FF40" s="61"/>
      <c r="FG40" s="61"/>
      <c r="FH40" s="61"/>
      <c r="FI40" s="61"/>
      <c r="FJ40" s="61"/>
      <c r="FK40" s="61"/>
      <c r="FL40" s="61"/>
      <c r="FM40" s="61"/>
      <c r="FN40" s="61"/>
      <c r="FO40" s="61"/>
      <c r="FP40" s="61"/>
      <c r="FQ40" s="61"/>
      <c r="FR40" s="61"/>
      <c r="FS40" s="61"/>
      <c r="FT40" s="61"/>
      <c r="FU40" s="61"/>
      <c r="FV40" s="61"/>
      <c r="FW40" s="61"/>
      <c r="FX40" s="61"/>
      <c r="FY40" s="61"/>
      <c r="FZ40" s="61"/>
      <c r="GA40" s="61"/>
      <c r="GB40" s="61"/>
      <c r="GC40" s="61"/>
      <c r="GD40" s="61"/>
      <c r="GE40" s="61"/>
      <c r="GF40" s="61"/>
      <c r="GG40" s="61"/>
      <c r="GH40" s="61"/>
      <c r="GI40" s="61"/>
      <c r="GJ40" s="61"/>
      <c r="GK40" s="61"/>
      <c r="GL40" s="61"/>
      <c r="GM40" s="61"/>
      <c r="GN40" s="61"/>
      <c r="GO40" s="61"/>
      <c r="GP40" s="61"/>
      <c r="GQ40" s="61"/>
      <c r="GR40" s="61"/>
      <c r="GS40" s="61"/>
      <c r="GT40" s="61"/>
      <c r="GU40" s="61"/>
      <c r="GV40" s="61"/>
      <c r="GW40" s="61"/>
      <c r="GX40" s="61"/>
      <c r="GY40" s="61"/>
      <c r="GZ40" s="61"/>
      <c r="HA40" s="61"/>
      <c r="HB40" s="61"/>
      <c r="HC40" s="61"/>
      <c r="HD40" s="61"/>
      <c r="HE40" s="61"/>
      <c r="HF40" s="61"/>
    </row>
    <row r="41" spans="2:228" x14ac:dyDescent="0.2">
      <c r="B41" s="60"/>
      <c r="C41" s="60"/>
      <c r="E41" s="60"/>
      <c r="F41" s="60"/>
      <c r="G41" s="60"/>
      <c r="I41" s="34"/>
      <c r="J41" s="34"/>
      <c r="K41" s="37"/>
      <c r="L41" s="37"/>
      <c r="M41" s="121"/>
      <c r="N41" s="121"/>
      <c r="O41" s="7"/>
      <c r="P41" s="7"/>
      <c r="Q41" s="122"/>
      <c r="R41" s="122"/>
      <c r="S41" s="123"/>
      <c r="T41" s="123"/>
      <c r="EV41" s="61"/>
      <c r="EW41" s="61"/>
      <c r="EX41" s="61"/>
      <c r="EY41" s="61"/>
      <c r="EZ41" s="61"/>
      <c r="FA41" s="61"/>
      <c r="FB41" s="61"/>
      <c r="FC41" s="61"/>
      <c r="FD41" s="61"/>
      <c r="FE41" s="61"/>
      <c r="FF41" s="61"/>
      <c r="FG41" s="61"/>
      <c r="FH41" s="61"/>
      <c r="FI41" s="61"/>
      <c r="FJ41" s="61"/>
      <c r="FK41" s="61"/>
      <c r="FL41" s="61"/>
      <c r="FM41" s="61"/>
      <c r="FN41" s="61"/>
      <c r="FO41" s="61"/>
      <c r="FP41" s="61"/>
      <c r="FQ41" s="61"/>
      <c r="FR41" s="61"/>
      <c r="FS41" s="61"/>
      <c r="FT41" s="61"/>
      <c r="FU41" s="61"/>
      <c r="FV41" s="61"/>
      <c r="FW41" s="61"/>
      <c r="FX41" s="61"/>
      <c r="FY41" s="61"/>
      <c r="FZ41" s="61"/>
      <c r="GA41" s="61"/>
      <c r="GB41" s="61"/>
      <c r="GC41" s="61"/>
      <c r="GD41" s="61"/>
      <c r="GE41" s="61"/>
      <c r="GF41" s="61"/>
      <c r="GG41" s="61"/>
      <c r="GH41" s="61"/>
      <c r="GI41" s="61"/>
      <c r="GJ41" s="61"/>
      <c r="GK41" s="61"/>
      <c r="GL41" s="61"/>
      <c r="GM41" s="61"/>
      <c r="GN41" s="61"/>
      <c r="GO41" s="61"/>
      <c r="GP41" s="61"/>
      <c r="GQ41" s="61"/>
      <c r="GR41" s="61"/>
      <c r="GS41" s="61"/>
      <c r="GT41" s="61"/>
      <c r="GU41" s="61"/>
      <c r="GV41" s="61"/>
      <c r="GW41" s="61"/>
      <c r="GX41" s="61"/>
      <c r="GY41" s="61"/>
      <c r="GZ41" s="61"/>
      <c r="HA41" s="61"/>
      <c r="HB41" s="61"/>
      <c r="HC41" s="61"/>
      <c r="HD41" s="61"/>
      <c r="HE41" s="61"/>
      <c r="HF41" s="61"/>
    </row>
    <row r="42" spans="2:228" x14ac:dyDescent="0.2">
      <c r="B42" s="60" t="s">
        <v>52</v>
      </c>
      <c r="C42" s="60" t="s">
        <v>66</v>
      </c>
      <c r="D42" t="s">
        <v>58</v>
      </c>
      <c r="E42" s="60"/>
      <c r="F42" s="60"/>
      <c r="G42" s="60"/>
      <c r="I42" s="34">
        <f t="shared" si="0"/>
        <v>0</v>
      </c>
      <c r="J42" s="34">
        <f t="shared" si="1"/>
        <v>67.556571428571431</v>
      </c>
      <c r="K42" s="37">
        <f>data_rotterdam_moerdijk!E204</f>
        <v>0</v>
      </c>
      <c r="L42" s="37">
        <f>data_rotterdam_moerdijk!F204</f>
        <v>18.72</v>
      </c>
      <c r="M42" s="121">
        <f>data_zeeland!E207</f>
        <v>0</v>
      </c>
      <c r="N42" s="121">
        <f>data_zeeland!F207</f>
        <v>18</v>
      </c>
      <c r="O42" s="7">
        <f>data_noordzeekanaalgebied!E144</f>
        <v>0</v>
      </c>
      <c r="P42" s="7">
        <f>data_noordzeekanaalgebied!F144</f>
        <v>4.6285714285714299</v>
      </c>
      <c r="Q42" s="122">
        <f>data_noord_nederland!E153</f>
        <v>0</v>
      </c>
      <c r="R42" s="122">
        <f>data_noord_nederland!F153</f>
        <v>26.207999999999998</v>
      </c>
      <c r="S42" s="123">
        <v>0</v>
      </c>
      <c r="T42" s="123">
        <v>0</v>
      </c>
      <c r="CX42" s="61"/>
      <c r="EV42" s="61"/>
      <c r="EW42" s="61"/>
      <c r="EX42" s="61"/>
      <c r="EY42" s="61"/>
      <c r="EZ42" s="61"/>
      <c r="FA42" s="61"/>
      <c r="FB42" s="61"/>
      <c r="FC42" s="61"/>
      <c r="FD42" s="61"/>
      <c r="FE42" s="61"/>
      <c r="FF42" s="61"/>
      <c r="FG42" s="61"/>
      <c r="FH42" s="61"/>
      <c r="FI42" s="61"/>
      <c r="FJ42" s="61"/>
      <c r="FK42" s="61"/>
      <c r="FL42" s="61"/>
      <c r="FM42" s="61"/>
      <c r="FN42" s="61"/>
      <c r="FO42" s="61"/>
      <c r="FP42" s="61"/>
      <c r="FQ42" s="61"/>
      <c r="FR42" s="61"/>
      <c r="FS42" s="61"/>
      <c r="FT42" s="61"/>
      <c r="FU42" s="61"/>
      <c r="FV42" s="61"/>
      <c r="FW42" s="61"/>
      <c r="FX42" s="61"/>
      <c r="FY42" s="61"/>
      <c r="FZ42" s="61"/>
      <c r="GA42" s="61"/>
      <c r="GB42" s="61"/>
      <c r="GC42" s="61"/>
      <c r="GD42" s="61"/>
      <c r="GE42" s="61"/>
      <c r="GF42" s="61"/>
      <c r="GG42" s="61"/>
      <c r="GH42" s="61"/>
      <c r="GI42" s="61"/>
      <c r="GJ42" s="61"/>
      <c r="GK42" s="61"/>
      <c r="GL42" s="61"/>
      <c r="GM42" s="61"/>
      <c r="GN42" s="61"/>
      <c r="GO42" s="61"/>
      <c r="GP42" s="61"/>
      <c r="GQ42" s="61"/>
      <c r="GR42" s="61"/>
      <c r="GS42" s="61"/>
      <c r="GT42" s="61"/>
      <c r="GU42" s="61"/>
      <c r="GV42" s="61"/>
      <c r="GW42" s="61"/>
      <c r="GX42" s="61"/>
      <c r="GY42" s="61"/>
      <c r="GZ42" s="61"/>
      <c r="HA42" s="61"/>
      <c r="HB42" s="61"/>
      <c r="HC42" s="61"/>
      <c r="HD42" s="61"/>
      <c r="HE42" s="61"/>
      <c r="HF42" s="61"/>
    </row>
    <row r="43" spans="2:228" x14ac:dyDescent="0.2">
      <c r="B43" s="60" t="s">
        <v>53</v>
      </c>
      <c r="C43" s="60" t="s">
        <v>67</v>
      </c>
      <c r="D43" t="s">
        <v>58</v>
      </c>
      <c r="E43" s="60"/>
      <c r="F43" s="60"/>
      <c r="G43" s="60"/>
      <c r="I43" s="34">
        <f t="shared" si="0"/>
        <v>56.769230769230774</v>
      </c>
      <c r="J43" s="34">
        <f t="shared" si="1"/>
        <v>122.47384615384613</v>
      </c>
      <c r="K43" s="37">
        <f>data_rotterdam_moerdijk!E205</f>
        <v>26.750769230769237</v>
      </c>
      <c r="L43" s="37">
        <f>data_rotterdam_moerdijk!F205</f>
        <v>68.815384615384588</v>
      </c>
      <c r="M43" s="121">
        <f>data_zeeland!E208</f>
        <v>30.018461538461537</v>
      </c>
      <c r="N43" s="121">
        <f>data_zeeland!F208</f>
        <v>41.058461538461543</v>
      </c>
      <c r="O43" s="7">
        <f>data_noordzeekanaalgebied!E145</f>
        <v>0</v>
      </c>
      <c r="P43" s="7">
        <f>data_noordzeekanaalgebied!F145</f>
        <v>0</v>
      </c>
      <c r="Q43" s="122">
        <f>data_noord_nederland!E154</f>
        <v>0</v>
      </c>
      <c r="R43" s="122">
        <f>data_noord_nederland!F154</f>
        <v>12.599999999999998</v>
      </c>
      <c r="S43" s="123">
        <v>0</v>
      </c>
      <c r="T43" s="123">
        <v>0</v>
      </c>
      <c r="CX43" s="61"/>
      <c r="EV43" s="61"/>
      <c r="EW43" s="61"/>
      <c r="EX43" s="61"/>
      <c r="EY43" s="61"/>
      <c r="EZ43" s="61"/>
      <c r="FA43" s="61"/>
      <c r="FB43" s="61"/>
      <c r="FC43" s="61"/>
      <c r="FD43" s="61"/>
      <c r="FE43" s="61"/>
      <c r="FF43" s="61"/>
      <c r="FG43" s="61"/>
      <c r="FH43" s="61"/>
      <c r="FI43" s="61"/>
      <c r="FJ43" s="61"/>
      <c r="FK43" s="61"/>
      <c r="FL43" s="61"/>
      <c r="FM43" s="61"/>
      <c r="FN43" s="61"/>
      <c r="FO43" s="61"/>
      <c r="FP43" s="61"/>
      <c r="FQ43" s="61"/>
      <c r="FR43" s="61"/>
      <c r="FS43" s="61"/>
      <c r="FT43" s="61"/>
      <c r="FU43" s="61"/>
      <c r="FV43" s="61"/>
      <c r="FW43" s="61"/>
      <c r="FX43" s="61"/>
      <c r="FY43" s="61"/>
      <c r="FZ43" s="61"/>
      <c r="GA43" s="61"/>
      <c r="GB43" s="61"/>
      <c r="GC43" s="61"/>
      <c r="GD43" s="61"/>
      <c r="GE43" s="61"/>
      <c r="GF43" s="61"/>
      <c r="GG43" s="61"/>
      <c r="GH43" s="61"/>
      <c r="GI43" s="61"/>
      <c r="GJ43" s="61"/>
      <c r="GK43" s="61"/>
      <c r="GL43" s="61"/>
      <c r="GM43" s="61"/>
      <c r="GN43" s="61"/>
      <c r="GO43" s="61"/>
      <c r="GP43" s="61"/>
      <c r="GQ43" s="61"/>
      <c r="GR43" s="61"/>
      <c r="GS43" s="61"/>
      <c r="GT43" s="61"/>
      <c r="GU43" s="61"/>
      <c r="GV43" s="61"/>
      <c r="GW43" s="61"/>
      <c r="GX43" s="61"/>
      <c r="GY43" s="61"/>
      <c r="GZ43" s="61"/>
      <c r="HA43" s="61"/>
      <c r="HB43" s="61"/>
      <c r="HC43" s="61"/>
      <c r="HD43" s="61"/>
      <c r="HE43" s="61"/>
      <c r="HF43" s="61"/>
    </row>
    <row r="44" spans="2:228" x14ac:dyDescent="0.2">
      <c r="B44" s="60"/>
      <c r="C44" s="60"/>
      <c r="D44" s="60"/>
      <c r="E44" s="60"/>
      <c r="F44" s="60"/>
      <c r="G44" s="60"/>
      <c r="I44" s="34"/>
      <c r="J44" s="34"/>
      <c r="K44" s="37"/>
      <c r="L44" s="37"/>
      <c r="M44" s="121"/>
      <c r="N44" s="121"/>
      <c r="O44" s="7"/>
      <c r="P44" s="7"/>
      <c r="Q44" s="122"/>
      <c r="R44" s="122"/>
      <c r="S44" s="123"/>
      <c r="T44" s="123"/>
      <c r="CX44" s="61"/>
      <c r="EV44" s="61"/>
      <c r="EW44" s="61"/>
      <c r="EX44" s="61"/>
      <c r="EY44" s="61"/>
      <c r="EZ44" s="61"/>
      <c r="FA44" s="61"/>
      <c r="FB44" s="61"/>
      <c r="FC44" s="61"/>
      <c r="FD44" s="61"/>
      <c r="FE44" s="61"/>
      <c r="FF44" s="61"/>
      <c r="FG44" s="61"/>
      <c r="FH44" s="61"/>
      <c r="FI44" s="61"/>
      <c r="FJ44" s="61"/>
      <c r="FK44" s="61"/>
      <c r="FL44" s="61"/>
      <c r="FM44" s="61"/>
      <c r="FN44" s="61"/>
      <c r="FO44" s="61"/>
      <c r="FP44" s="61"/>
      <c r="FQ44" s="61"/>
      <c r="FR44" s="61"/>
      <c r="FS44" s="61"/>
      <c r="FT44" s="61"/>
      <c r="FU44" s="61"/>
      <c r="FV44" s="61"/>
      <c r="FW44" s="61"/>
      <c r="FX44" s="61"/>
      <c r="FY44" s="61"/>
      <c r="FZ44" s="61"/>
      <c r="GA44" s="61"/>
      <c r="GB44" s="61"/>
      <c r="GC44" s="61"/>
      <c r="GD44" s="61"/>
      <c r="GE44" s="61"/>
      <c r="GF44" s="61"/>
      <c r="GG44" s="61"/>
      <c r="GH44" s="61"/>
      <c r="GI44" s="61"/>
      <c r="GJ44" s="61"/>
      <c r="GK44" s="61"/>
      <c r="GL44" s="61"/>
      <c r="GM44" s="61"/>
      <c r="GN44" s="61"/>
      <c r="GO44" s="61"/>
      <c r="GP44" s="61"/>
      <c r="GQ44" s="61"/>
      <c r="GR44" s="61"/>
      <c r="GS44" s="61"/>
      <c r="GT44" s="61"/>
      <c r="GU44" s="61"/>
      <c r="GV44" s="61"/>
      <c r="GW44" s="61"/>
      <c r="GX44" s="61"/>
      <c r="GY44" s="61"/>
      <c r="GZ44" s="61"/>
      <c r="HA44" s="61"/>
      <c r="HB44" s="61"/>
      <c r="HC44" s="61"/>
      <c r="HD44" s="61"/>
      <c r="HE44" s="61"/>
      <c r="HF44" s="61"/>
    </row>
    <row r="45" spans="2:228" x14ac:dyDescent="0.2">
      <c r="B45" s="39" t="s">
        <v>243</v>
      </c>
      <c r="C45" s="47" t="s">
        <v>48</v>
      </c>
      <c r="D45" s="47" t="s">
        <v>16</v>
      </c>
      <c r="E45" s="60"/>
      <c r="F45" s="60"/>
      <c r="G45" s="60"/>
      <c r="H45" s="62"/>
      <c r="I45" s="34">
        <f t="shared" si="0"/>
        <v>129.6</v>
      </c>
      <c r="J45" s="34">
        <f t="shared" si="1"/>
        <v>57.960000000000008</v>
      </c>
      <c r="K45" s="37">
        <f>data_rotterdam_moerdijk!E207</f>
        <v>0</v>
      </c>
      <c r="L45" s="37">
        <f>data_rotterdam_moerdijk!F207</f>
        <v>0</v>
      </c>
      <c r="M45" s="121">
        <f>data_zeeland!E210</f>
        <v>0</v>
      </c>
      <c r="N45" s="121">
        <f>data_zeeland!F210</f>
        <v>0</v>
      </c>
      <c r="O45" s="7">
        <f>data_noordzeekanaalgebied!E147</f>
        <v>129.6</v>
      </c>
      <c r="P45" s="7">
        <f>data_noordzeekanaalgebied!F147</f>
        <v>57.960000000000008</v>
      </c>
      <c r="Q45" s="122">
        <f>data_noord_nederland!E156</f>
        <v>0</v>
      </c>
      <c r="R45" s="122">
        <f>data_noord_nederland!F156</f>
        <v>0</v>
      </c>
      <c r="S45" s="123">
        <v>0</v>
      </c>
      <c r="T45" s="123">
        <v>0</v>
      </c>
      <c r="CX45" s="61"/>
      <c r="EV45" s="61"/>
      <c r="EW45" s="61"/>
      <c r="EX45" s="61"/>
      <c r="EY45" s="61"/>
      <c r="EZ45" s="61"/>
      <c r="FA45" s="61"/>
      <c r="FB45" s="61"/>
      <c r="FC45" s="61"/>
      <c r="FD45" s="61"/>
      <c r="FE45" s="61"/>
      <c r="FF45" s="61"/>
      <c r="FG45" s="61"/>
      <c r="FH45" s="61"/>
      <c r="FI45" s="61"/>
      <c r="FJ45" s="61"/>
      <c r="FK45" s="61"/>
      <c r="FL45" s="61"/>
      <c r="FM45" s="61"/>
      <c r="FN45" s="61"/>
      <c r="FO45" s="61"/>
      <c r="FP45" s="61"/>
      <c r="FQ45" s="61"/>
      <c r="FR45" s="61"/>
      <c r="FS45" s="61"/>
      <c r="FT45" s="61"/>
      <c r="FU45" s="61"/>
      <c r="FV45" s="61"/>
      <c r="FW45" s="61"/>
      <c r="FX45" s="61"/>
      <c r="FY45" s="61"/>
      <c r="FZ45" s="61"/>
      <c r="GA45" s="61"/>
      <c r="GB45" s="61"/>
      <c r="GC45" s="61"/>
      <c r="GD45" s="61"/>
      <c r="GE45" s="61"/>
      <c r="GF45" s="61"/>
      <c r="GG45" s="61"/>
      <c r="GH45" s="61"/>
      <c r="GI45" s="61"/>
      <c r="GJ45" s="61"/>
      <c r="GK45" s="61"/>
      <c r="GL45" s="61"/>
      <c r="GM45" s="61"/>
      <c r="GN45" s="61"/>
      <c r="GO45" s="61"/>
      <c r="GP45" s="61"/>
      <c r="GQ45" s="61"/>
      <c r="GR45" s="61"/>
      <c r="GS45" s="61"/>
      <c r="GT45" s="61"/>
      <c r="GU45" s="61"/>
      <c r="GV45" s="61"/>
      <c r="GW45" s="61"/>
      <c r="GX45" s="61"/>
      <c r="GY45" s="61"/>
      <c r="GZ45" s="61"/>
      <c r="HA45" s="61"/>
      <c r="HB45" s="61"/>
      <c r="HC45" s="61"/>
      <c r="HD45" s="61"/>
      <c r="HE45" s="61"/>
      <c r="HF45" s="61"/>
    </row>
    <row r="46" spans="2:228" x14ac:dyDescent="0.2">
      <c r="B46" s="60" t="s">
        <v>390</v>
      </c>
      <c r="C46" s="87" t="s">
        <v>48</v>
      </c>
      <c r="D46" s="87" t="s">
        <v>392</v>
      </c>
      <c r="E46" s="60"/>
      <c r="F46" s="60"/>
      <c r="G46" s="60"/>
      <c r="H46" s="62"/>
      <c r="I46" s="34">
        <f t="shared" si="0"/>
        <v>2.52</v>
      </c>
      <c r="J46" s="34">
        <f t="shared" si="1"/>
        <v>2.52</v>
      </c>
      <c r="K46" s="37">
        <f>data_rotterdam_moerdijk!E208</f>
        <v>0</v>
      </c>
      <c r="L46" s="37">
        <f>data_rotterdam_moerdijk!F208</f>
        <v>0</v>
      </c>
      <c r="M46" s="121">
        <f>data_zeeland!E211</f>
        <v>0</v>
      </c>
      <c r="N46" s="121">
        <f>data_zeeland!F211</f>
        <v>0</v>
      </c>
      <c r="O46" s="7">
        <f>data_noordzeekanaalgebied!E148</f>
        <v>0</v>
      </c>
      <c r="P46" s="7">
        <f>data_noordzeekanaalgebied!F148</f>
        <v>0</v>
      </c>
      <c r="Q46" s="122">
        <f>data_noord_nederland!E157</f>
        <v>2.52</v>
      </c>
      <c r="R46" s="122">
        <f>data_noord_nederland!F157</f>
        <v>2.52</v>
      </c>
      <c r="S46" s="123">
        <v>0</v>
      </c>
      <c r="T46" s="123">
        <v>0</v>
      </c>
      <c r="CX46" s="61"/>
      <c r="EV46" s="61"/>
      <c r="EW46" s="61"/>
      <c r="EX46" s="61"/>
      <c r="EY46" s="61"/>
      <c r="EZ46" s="61"/>
      <c r="FA46" s="61"/>
      <c r="FB46" s="61"/>
      <c r="FC46" s="61"/>
      <c r="FD46" s="61"/>
      <c r="FE46" s="61"/>
      <c r="FF46" s="61"/>
      <c r="FG46" s="61"/>
      <c r="FH46" s="61"/>
      <c r="FI46" s="61"/>
      <c r="FJ46" s="61"/>
      <c r="FK46" s="61"/>
      <c r="FL46" s="61"/>
      <c r="FM46" s="61"/>
      <c r="FN46" s="61"/>
      <c r="FO46" s="61"/>
      <c r="FP46" s="61"/>
      <c r="FQ46" s="61"/>
      <c r="FR46" s="61"/>
      <c r="FS46" s="61"/>
      <c r="FT46" s="61"/>
      <c r="FU46" s="61"/>
      <c r="FV46" s="61"/>
      <c r="FW46" s="61"/>
      <c r="FX46" s="61"/>
      <c r="FY46" s="61"/>
      <c r="FZ46" s="61"/>
      <c r="GA46" s="61"/>
      <c r="GB46" s="61"/>
      <c r="GC46" s="61"/>
      <c r="GD46" s="61"/>
      <c r="GE46" s="61"/>
      <c r="GF46" s="61"/>
      <c r="GG46" s="61"/>
      <c r="GH46" s="61"/>
      <c r="GI46" s="61"/>
      <c r="GJ46" s="61"/>
      <c r="GK46" s="61"/>
      <c r="GL46" s="61"/>
      <c r="GM46" s="61"/>
      <c r="GN46" s="61"/>
      <c r="GO46" s="61"/>
      <c r="GP46" s="61"/>
      <c r="GQ46" s="61"/>
      <c r="GR46" s="61"/>
      <c r="GS46" s="61"/>
      <c r="GT46" s="61"/>
      <c r="GU46" s="61"/>
      <c r="GV46" s="61"/>
      <c r="GW46" s="61"/>
      <c r="GX46" s="61"/>
      <c r="GY46" s="61"/>
      <c r="GZ46" s="61"/>
      <c r="HA46" s="61"/>
      <c r="HB46" s="61"/>
      <c r="HC46" s="61"/>
      <c r="HD46" s="61"/>
      <c r="HE46" s="61"/>
      <c r="HF46" s="61"/>
    </row>
    <row r="47" spans="2:228" x14ac:dyDescent="0.2">
      <c r="B47" s="60" t="s">
        <v>246</v>
      </c>
      <c r="C47" s="87" t="s">
        <v>48</v>
      </c>
      <c r="D47" s="47" t="s">
        <v>393</v>
      </c>
      <c r="E47" s="60"/>
      <c r="F47" s="60"/>
      <c r="G47" s="60"/>
      <c r="H47" s="62"/>
      <c r="I47" s="34">
        <f t="shared" si="0"/>
        <v>6.84</v>
      </c>
      <c r="J47" s="34">
        <f t="shared" si="1"/>
        <v>7.9200000000000008</v>
      </c>
      <c r="K47" s="37">
        <f>data_rotterdam_moerdijk!E209</f>
        <v>0</v>
      </c>
      <c r="L47" s="37">
        <f>data_rotterdam_moerdijk!F209</f>
        <v>0</v>
      </c>
      <c r="M47" s="121">
        <f>data_zeeland!E212</f>
        <v>0</v>
      </c>
      <c r="N47" s="121">
        <f>data_zeeland!F212</f>
        <v>0</v>
      </c>
      <c r="O47" s="7">
        <f>data_noordzeekanaalgebied!E149</f>
        <v>0</v>
      </c>
      <c r="P47" s="7">
        <f>data_noordzeekanaalgebied!F149</f>
        <v>0</v>
      </c>
      <c r="Q47" s="122">
        <f>data_noord_nederland!E158</f>
        <v>6.84</v>
      </c>
      <c r="R47" s="122">
        <f>data_noord_nederland!F158</f>
        <v>7.9200000000000008</v>
      </c>
      <c r="S47" s="124">
        <v>0</v>
      </c>
      <c r="T47" s="124">
        <v>0</v>
      </c>
      <c r="U47" s="13"/>
      <c r="V47" s="13"/>
      <c r="W47" s="13"/>
      <c r="X47" s="13"/>
      <c r="Y47" s="13"/>
      <c r="Z47" s="13"/>
      <c r="AB47" s="40"/>
      <c r="AC47" s="40"/>
      <c r="AD47" s="40"/>
      <c r="AE47" s="40"/>
      <c r="AF47" s="5"/>
      <c r="DL47" s="61"/>
      <c r="FJ47" s="61"/>
      <c r="FK47" s="61"/>
      <c r="FL47" s="61"/>
      <c r="FM47" s="61"/>
      <c r="FN47" s="61"/>
      <c r="FO47" s="61"/>
      <c r="FP47" s="61"/>
      <c r="FQ47" s="61"/>
      <c r="FR47" s="61"/>
      <c r="FS47" s="61"/>
      <c r="FT47" s="61"/>
      <c r="FU47" s="61"/>
      <c r="FV47" s="61"/>
      <c r="FW47" s="61"/>
      <c r="FX47" s="61"/>
      <c r="FY47" s="61"/>
      <c r="FZ47" s="61"/>
      <c r="GA47" s="61"/>
      <c r="GB47" s="61"/>
      <c r="GC47" s="61"/>
      <c r="GD47" s="61"/>
      <c r="GE47" s="61"/>
      <c r="GF47" s="61"/>
      <c r="GG47" s="61"/>
      <c r="GH47" s="61"/>
      <c r="GI47" s="61"/>
      <c r="GJ47" s="61"/>
      <c r="GK47" s="61"/>
      <c r="GL47" s="61"/>
      <c r="GM47" s="61"/>
      <c r="GN47" s="61"/>
      <c r="GO47" s="61"/>
      <c r="GP47" s="61"/>
      <c r="GQ47" s="61"/>
      <c r="GR47" s="61"/>
      <c r="GS47" s="61"/>
      <c r="GT47" s="61"/>
      <c r="GU47" s="61"/>
      <c r="GV47" s="61"/>
      <c r="GW47" s="61"/>
      <c r="GX47" s="61"/>
      <c r="GY47" s="61"/>
      <c r="GZ47" s="61"/>
      <c r="HA47" s="61"/>
      <c r="HB47" s="61"/>
      <c r="HC47" s="61"/>
      <c r="HD47" s="61"/>
      <c r="HE47" s="61"/>
      <c r="HF47" s="61"/>
      <c r="HG47" s="61"/>
      <c r="HH47" s="61"/>
      <c r="HI47" s="61"/>
      <c r="HJ47" s="61"/>
      <c r="HK47" s="61"/>
      <c r="HL47" s="61"/>
      <c r="HM47" s="61"/>
      <c r="HN47" s="61"/>
      <c r="HO47" s="61"/>
      <c r="HP47" s="61"/>
      <c r="HQ47" s="61"/>
      <c r="HR47" s="61"/>
      <c r="HS47" s="61"/>
      <c r="HT47" s="61"/>
    </row>
    <row r="48" spans="2:228" x14ac:dyDescent="0.2">
      <c r="B48" s="60" t="s">
        <v>252</v>
      </c>
      <c r="C48" s="87" t="s">
        <v>256</v>
      </c>
      <c r="D48" s="47" t="s">
        <v>250</v>
      </c>
      <c r="E48" s="60"/>
      <c r="F48" s="60"/>
      <c r="G48" s="60"/>
      <c r="H48" s="62"/>
      <c r="I48" s="34">
        <f t="shared" si="0"/>
        <v>0</v>
      </c>
      <c r="J48" s="34">
        <f t="shared" si="1"/>
        <v>0</v>
      </c>
      <c r="K48" s="37">
        <f>data_rotterdam_moerdijk!E210</f>
        <v>0</v>
      </c>
      <c r="L48" s="37">
        <f>data_rotterdam_moerdijk!F210</f>
        <v>0</v>
      </c>
      <c r="M48" s="121">
        <f>data_zeeland!E213</f>
        <v>0</v>
      </c>
      <c r="N48" s="121">
        <f>data_zeeland!F213</f>
        <v>0</v>
      </c>
      <c r="O48" s="7">
        <f>data_noordzeekanaalgebied!E150</f>
        <v>0</v>
      </c>
      <c r="P48" s="7">
        <f>data_noordzeekanaalgebied!F150</f>
        <v>0</v>
      </c>
      <c r="Q48" s="122">
        <f>data_noord_nederland!E159</f>
        <v>0</v>
      </c>
      <c r="R48" s="122">
        <f>data_noord_nederland!F159</f>
        <v>0</v>
      </c>
      <c r="S48" s="125">
        <v>0</v>
      </c>
      <c r="T48" s="125">
        <v>0</v>
      </c>
      <c r="U48" s="23"/>
      <c r="V48" s="23"/>
      <c r="W48" s="23"/>
      <c r="X48" s="23"/>
      <c r="Y48" s="23"/>
      <c r="Z48" s="23"/>
      <c r="AB48" s="40"/>
      <c r="AC48" s="40"/>
      <c r="AD48" s="40"/>
      <c r="AE48" s="40"/>
      <c r="AF48" s="5"/>
      <c r="DL48" s="61"/>
      <c r="FJ48" s="61"/>
      <c r="FK48" s="61"/>
      <c r="FL48" s="61"/>
      <c r="FM48" s="61"/>
      <c r="FN48" s="61"/>
      <c r="FO48" s="61"/>
      <c r="FP48" s="61"/>
      <c r="FQ48" s="61"/>
      <c r="FR48" s="61"/>
      <c r="FS48" s="61"/>
      <c r="FT48" s="61"/>
      <c r="FU48" s="61"/>
      <c r="FV48" s="61"/>
      <c r="FW48" s="61"/>
      <c r="FX48" s="61"/>
      <c r="FY48" s="61"/>
      <c r="FZ48" s="61"/>
      <c r="GA48" s="61"/>
      <c r="GB48" s="61"/>
      <c r="GC48" s="61"/>
      <c r="GD48" s="61"/>
      <c r="GE48" s="61"/>
      <c r="GF48" s="61"/>
      <c r="GG48" s="61"/>
      <c r="GH48" s="61"/>
      <c r="GI48" s="61"/>
      <c r="GJ48" s="61"/>
      <c r="GK48" s="61"/>
      <c r="GL48" s="61"/>
      <c r="GM48" s="61"/>
      <c r="GN48" s="61"/>
      <c r="GO48" s="61"/>
      <c r="GP48" s="61"/>
      <c r="GQ48" s="61"/>
      <c r="GR48" s="61"/>
      <c r="GS48" s="61"/>
      <c r="GT48" s="61"/>
      <c r="GU48" s="61"/>
      <c r="GV48" s="61"/>
      <c r="GW48" s="61"/>
      <c r="GX48" s="61"/>
      <c r="GY48" s="61"/>
      <c r="GZ48" s="61"/>
      <c r="HA48" s="61"/>
      <c r="HB48" s="61"/>
      <c r="HC48" s="61"/>
      <c r="HD48" s="61"/>
      <c r="HE48" s="61"/>
      <c r="HF48" s="61"/>
      <c r="HG48" s="61"/>
      <c r="HH48" s="61"/>
      <c r="HI48" s="61"/>
      <c r="HJ48" s="61"/>
      <c r="HK48" s="61"/>
      <c r="HL48" s="61"/>
      <c r="HM48" s="61"/>
      <c r="HN48" s="61"/>
      <c r="HO48" s="61"/>
      <c r="HP48" s="61"/>
      <c r="HQ48" s="61"/>
      <c r="HR48" s="61"/>
      <c r="HS48" s="61"/>
      <c r="HT48" s="61"/>
    </row>
    <row r="49" spans="2:228" x14ac:dyDescent="0.2">
      <c r="B49" s="60" t="s">
        <v>252</v>
      </c>
      <c r="C49" s="87" t="s">
        <v>257</v>
      </c>
      <c r="D49" s="47" t="s">
        <v>250</v>
      </c>
      <c r="E49" s="60"/>
      <c r="F49" s="60"/>
      <c r="G49" s="60"/>
      <c r="H49" s="62"/>
      <c r="I49" s="34">
        <f t="shared" si="0"/>
        <v>0</v>
      </c>
      <c r="J49" s="34">
        <f t="shared" si="1"/>
        <v>0</v>
      </c>
      <c r="K49" s="37">
        <f>data_rotterdam_moerdijk!E211</f>
        <v>0</v>
      </c>
      <c r="L49" s="37">
        <f>data_rotterdam_moerdijk!F211</f>
        <v>0</v>
      </c>
      <c r="M49" s="121">
        <f>data_zeeland!E214</f>
        <v>0</v>
      </c>
      <c r="N49" s="121">
        <f>data_zeeland!F214</f>
        <v>0</v>
      </c>
      <c r="O49" s="7">
        <f>data_noordzeekanaalgebied!E151</f>
        <v>0</v>
      </c>
      <c r="P49" s="7">
        <f>data_noordzeekanaalgebied!F151</f>
        <v>0</v>
      </c>
      <c r="Q49" s="122">
        <f>data_noord_nederland!E160</f>
        <v>0</v>
      </c>
      <c r="R49" s="122">
        <f>data_noord_nederland!F160</f>
        <v>0</v>
      </c>
      <c r="S49" s="125">
        <v>0</v>
      </c>
      <c r="T49" s="125">
        <v>0</v>
      </c>
      <c r="U49" s="23"/>
      <c r="V49" s="23"/>
      <c r="W49" s="23"/>
      <c r="X49" s="23"/>
      <c r="Y49" s="23"/>
      <c r="Z49" s="23"/>
      <c r="AB49" s="40"/>
      <c r="AC49" s="40"/>
      <c r="AD49" s="40"/>
      <c r="AE49" s="40"/>
      <c r="AF49" s="5"/>
      <c r="FJ49" s="61"/>
      <c r="FK49" s="61"/>
      <c r="FL49" s="61"/>
      <c r="FM49" s="61"/>
      <c r="FN49" s="61"/>
      <c r="FO49" s="61"/>
      <c r="FP49" s="61"/>
      <c r="FQ49" s="61"/>
      <c r="FR49" s="61"/>
      <c r="FS49" s="61"/>
      <c r="FT49" s="61"/>
      <c r="FU49" s="61"/>
      <c r="FV49" s="61"/>
      <c r="FW49" s="61"/>
      <c r="FX49" s="61"/>
      <c r="FY49" s="61"/>
      <c r="FZ49" s="61"/>
      <c r="GA49" s="61"/>
      <c r="GB49" s="61"/>
      <c r="GC49" s="61"/>
      <c r="GD49" s="61"/>
      <c r="GE49" s="61"/>
      <c r="GF49" s="61"/>
      <c r="GG49" s="61"/>
      <c r="GH49" s="61"/>
      <c r="GI49" s="61"/>
      <c r="GJ49" s="61"/>
      <c r="GK49" s="61"/>
      <c r="GL49" s="61"/>
      <c r="GM49" s="61"/>
      <c r="GN49" s="61"/>
      <c r="GO49" s="61"/>
      <c r="GP49" s="61"/>
      <c r="GQ49" s="61"/>
      <c r="GR49" s="61"/>
      <c r="GS49" s="61"/>
      <c r="GT49" s="61"/>
      <c r="GU49" s="61"/>
      <c r="GV49" s="61"/>
      <c r="GW49" s="61"/>
      <c r="GX49" s="61"/>
      <c r="GY49" s="61"/>
      <c r="GZ49" s="61"/>
      <c r="HA49" s="61"/>
      <c r="HB49" s="61"/>
      <c r="HC49" s="61"/>
      <c r="HD49" s="61"/>
      <c r="HE49" s="61"/>
      <c r="HF49" s="61"/>
      <c r="HG49" s="61"/>
      <c r="HH49" s="61"/>
      <c r="HI49" s="61"/>
      <c r="HJ49" s="61"/>
      <c r="HK49" s="61"/>
      <c r="HL49" s="61"/>
      <c r="HM49" s="61"/>
      <c r="HN49" s="61"/>
      <c r="HO49" s="61"/>
      <c r="HP49" s="61"/>
      <c r="HQ49" s="61"/>
      <c r="HR49" s="61"/>
      <c r="HS49" s="61"/>
      <c r="HT49" s="61"/>
    </row>
    <row r="50" spans="2:228" x14ac:dyDescent="0.2">
      <c r="B50" s="60" t="s">
        <v>252</v>
      </c>
      <c r="C50" s="87" t="s">
        <v>258</v>
      </c>
      <c r="D50" s="47" t="s">
        <v>250</v>
      </c>
      <c r="E50" s="60"/>
      <c r="F50" s="60"/>
      <c r="G50" s="60"/>
      <c r="H50" s="62"/>
      <c r="I50" s="34">
        <f t="shared" si="0"/>
        <v>0</v>
      </c>
      <c r="J50" s="34">
        <f t="shared" si="1"/>
        <v>0</v>
      </c>
      <c r="K50" s="37">
        <f>data_rotterdam_moerdijk!E212</f>
        <v>0</v>
      </c>
      <c r="L50" s="37">
        <f>data_rotterdam_moerdijk!F212</f>
        <v>0</v>
      </c>
      <c r="M50" s="121">
        <f>data_zeeland!E215</f>
        <v>0</v>
      </c>
      <c r="N50" s="121">
        <f>data_zeeland!F215</f>
        <v>0</v>
      </c>
      <c r="O50" s="7">
        <f>data_noordzeekanaalgebied!E152</f>
        <v>0</v>
      </c>
      <c r="P50" s="7">
        <f>data_noordzeekanaalgebied!F152</f>
        <v>0</v>
      </c>
      <c r="Q50" s="122">
        <f>data_noord_nederland!E161</f>
        <v>0</v>
      </c>
      <c r="R50" s="122">
        <f>data_noord_nederland!F161</f>
        <v>0</v>
      </c>
      <c r="S50" s="125">
        <v>0</v>
      </c>
      <c r="T50" s="125">
        <v>0</v>
      </c>
      <c r="U50" s="23"/>
      <c r="V50" s="23"/>
      <c r="X50" s="40"/>
      <c r="Y50" s="40"/>
      <c r="Z50" s="40"/>
      <c r="AA50" s="40"/>
      <c r="AB50" s="5"/>
      <c r="DH50" s="61"/>
      <c r="FF50" s="61"/>
      <c r="FG50" s="61"/>
      <c r="FH50" s="61"/>
      <c r="FI50" s="61"/>
      <c r="FJ50" s="61"/>
      <c r="FK50" s="61"/>
      <c r="FL50" s="61"/>
      <c r="FM50" s="61"/>
      <c r="FN50" s="61"/>
      <c r="FO50" s="61"/>
      <c r="FP50" s="61"/>
      <c r="FQ50" s="61"/>
      <c r="FR50" s="61"/>
      <c r="FS50" s="61"/>
      <c r="FT50" s="61"/>
      <c r="FU50" s="61"/>
      <c r="FV50" s="61"/>
      <c r="FW50" s="61"/>
      <c r="FX50" s="61"/>
      <c r="FY50" s="61"/>
      <c r="FZ50" s="61"/>
      <c r="GA50" s="61"/>
      <c r="GB50" s="61"/>
      <c r="GC50" s="61"/>
      <c r="GD50" s="61"/>
      <c r="GE50" s="61"/>
      <c r="GF50" s="61"/>
      <c r="GG50" s="61"/>
      <c r="GH50" s="61"/>
      <c r="GI50" s="61"/>
      <c r="GJ50" s="61"/>
      <c r="GK50" s="61"/>
      <c r="GL50" s="61"/>
      <c r="GM50" s="61"/>
      <c r="GN50" s="61"/>
      <c r="GO50" s="61"/>
      <c r="GP50" s="61"/>
      <c r="GQ50" s="61"/>
      <c r="GR50" s="61"/>
      <c r="GS50" s="61"/>
      <c r="GT50" s="61"/>
      <c r="GU50" s="61"/>
      <c r="GV50" s="61"/>
      <c r="GW50" s="61"/>
      <c r="GX50" s="61"/>
      <c r="GY50" s="61"/>
      <c r="GZ50" s="61"/>
      <c r="HA50" s="61"/>
      <c r="HB50" s="61"/>
      <c r="HC50" s="61"/>
      <c r="HD50" s="61"/>
      <c r="HE50" s="61"/>
      <c r="HF50" s="61"/>
      <c r="HG50" s="61"/>
      <c r="HH50" s="61"/>
      <c r="HI50" s="61"/>
      <c r="HJ50" s="61"/>
      <c r="HK50" s="61"/>
      <c r="HL50" s="61"/>
      <c r="HM50" s="61"/>
      <c r="HN50" s="61"/>
      <c r="HO50" s="61"/>
      <c r="HP50" s="61"/>
    </row>
    <row r="51" spans="2:228" x14ac:dyDescent="0.2">
      <c r="B51" s="60" t="s">
        <v>252</v>
      </c>
      <c r="C51" s="87" t="s">
        <v>259</v>
      </c>
      <c r="D51" s="47" t="s">
        <v>250</v>
      </c>
      <c r="E51" s="60"/>
      <c r="F51" s="60"/>
      <c r="G51" s="60"/>
      <c r="H51" s="62"/>
      <c r="I51" s="34">
        <f t="shared" si="0"/>
        <v>0</v>
      </c>
      <c r="J51" s="34">
        <f t="shared" si="1"/>
        <v>0</v>
      </c>
      <c r="K51" s="37">
        <f>data_rotterdam_moerdijk!E213</f>
        <v>0</v>
      </c>
      <c r="L51" s="37">
        <f>data_rotterdam_moerdijk!F213</f>
        <v>0</v>
      </c>
      <c r="M51" s="121">
        <f>data_zeeland!E216</f>
        <v>0</v>
      </c>
      <c r="N51" s="121">
        <f>data_zeeland!F216</f>
        <v>0</v>
      </c>
      <c r="O51" s="7">
        <f>data_noordzeekanaalgebied!E153</f>
        <v>0</v>
      </c>
      <c r="P51" s="7">
        <f>data_noordzeekanaalgebied!F153</f>
        <v>0</v>
      </c>
      <c r="Q51" s="122">
        <f>data_noord_nederland!E162</f>
        <v>0</v>
      </c>
      <c r="R51" s="122">
        <f>data_noord_nederland!F162</f>
        <v>0</v>
      </c>
      <c r="S51" s="125">
        <v>0</v>
      </c>
      <c r="T51" s="125">
        <v>0</v>
      </c>
      <c r="U51" s="23"/>
      <c r="V51" s="23"/>
      <c r="X51" s="40"/>
      <c r="Y51" s="40"/>
      <c r="Z51" s="40"/>
      <c r="AA51" s="40"/>
      <c r="AB51" s="5"/>
      <c r="DH51" s="61"/>
      <c r="FF51" s="61"/>
      <c r="FG51" s="61"/>
      <c r="FH51" s="61"/>
      <c r="FI51" s="61"/>
      <c r="FJ51" s="61"/>
      <c r="FK51" s="61"/>
      <c r="FL51" s="61"/>
      <c r="FM51" s="61"/>
      <c r="FN51" s="61"/>
      <c r="FO51" s="61"/>
      <c r="FP51" s="61"/>
      <c r="FQ51" s="61"/>
      <c r="FR51" s="61"/>
      <c r="FS51" s="61"/>
      <c r="FT51" s="61"/>
      <c r="FU51" s="61"/>
      <c r="FV51" s="61"/>
      <c r="FW51" s="61"/>
      <c r="FX51" s="61"/>
      <c r="FY51" s="61"/>
      <c r="FZ51" s="61"/>
      <c r="GA51" s="61"/>
      <c r="GB51" s="61"/>
      <c r="GC51" s="61"/>
      <c r="GD51" s="61"/>
      <c r="GE51" s="61"/>
      <c r="GF51" s="61"/>
      <c r="GG51" s="61"/>
      <c r="GH51" s="61"/>
      <c r="GI51" s="61"/>
      <c r="GJ51" s="61"/>
      <c r="GK51" s="61"/>
      <c r="GL51" s="61"/>
      <c r="GM51" s="61"/>
      <c r="GN51" s="61"/>
      <c r="GO51" s="61"/>
      <c r="GP51" s="61"/>
      <c r="GQ51" s="61"/>
      <c r="GR51" s="61"/>
      <c r="GS51" s="61"/>
      <c r="GT51" s="61"/>
      <c r="GU51" s="61"/>
      <c r="GV51" s="61"/>
      <c r="GW51" s="61"/>
      <c r="GX51" s="61"/>
      <c r="GY51" s="61"/>
      <c r="GZ51" s="61"/>
      <c r="HA51" s="61"/>
      <c r="HB51" s="61"/>
      <c r="HC51" s="61"/>
      <c r="HD51" s="61"/>
      <c r="HE51" s="61"/>
      <c r="HF51" s="61"/>
      <c r="HG51" s="61"/>
      <c r="HH51" s="61"/>
      <c r="HI51" s="61"/>
      <c r="HJ51" s="61"/>
      <c r="HK51" s="61"/>
      <c r="HL51" s="61"/>
      <c r="HM51" s="61"/>
      <c r="HN51" s="61"/>
      <c r="HO51" s="61"/>
      <c r="HP51" s="61"/>
    </row>
    <row r="52" spans="2:228" x14ac:dyDescent="0.2">
      <c r="B52" s="60" t="s">
        <v>252</v>
      </c>
      <c r="C52" s="87" t="s">
        <v>260</v>
      </c>
      <c r="D52" s="47" t="s">
        <v>250</v>
      </c>
      <c r="E52" s="60"/>
      <c r="F52" s="60"/>
      <c r="G52" s="60"/>
      <c r="H52" s="62"/>
      <c r="I52" s="34">
        <f t="shared" si="0"/>
        <v>0</v>
      </c>
      <c r="J52" s="34">
        <f t="shared" si="1"/>
        <v>0</v>
      </c>
      <c r="K52" s="37">
        <f>data_rotterdam_moerdijk!E214</f>
        <v>0</v>
      </c>
      <c r="L52" s="37">
        <f>data_rotterdam_moerdijk!F214</f>
        <v>0</v>
      </c>
      <c r="M52" s="121">
        <f>data_zeeland!E217</f>
        <v>0</v>
      </c>
      <c r="N52" s="121">
        <f>data_zeeland!F217</f>
        <v>0</v>
      </c>
      <c r="O52" s="7">
        <f>data_noordzeekanaalgebied!E154</f>
        <v>0</v>
      </c>
      <c r="P52" s="7">
        <f>data_noordzeekanaalgebied!F154</f>
        <v>0</v>
      </c>
      <c r="Q52" s="122">
        <f>data_noord_nederland!E163</f>
        <v>0</v>
      </c>
      <c r="R52" s="122">
        <f>data_noord_nederland!F163</f>
        <v>0</v>
      </c>
      <c r="S52" s="125">
        <v>0</v>
      </c>
      <c r="T52" s="125">
        <v>0</v>
      </c>
      <c r="U52" s="23"/>
      <c r="V52" s="23"/>
      <c r="X52" s="40"/>
      <c r="Y52" s="40"/>
      <c r="Z52" s="40"/>
      <c r="AA52" s="40"/>
      <c r="AB52" s="5"/>
      <c r="DH52" s="61"/>
      <c r="FF52" s="61"/>
      <c r="FG52" s="61"/>
      <c r="FH52" s="61"/>
      <c r="FI52" s="61"/>
      <c r="FJ52" s="61"/>
      <c r="FK52" s="61"/>
      <c r="FL52" s="61"/>
      <c r="FM52" s="61"/>
      <c r="FN52" s="61"/>
      <c r="FO52" s="61"/>
      <c r="FP52" s="61"/>
      <c r="FQ52" s="61"/>
      <c r="FR52" s="61"/>
      <c r="FS52" s="61"/>
      <c r="FT52" s="61"/>
      <c r="FU52" s="61"/>
      <c r="FV52" s="61"/>
      <c r="FW52" s="61"/>
      <c r="FX52" s="61"/>
      <c r="FY52" s="61"/>
      <c r="FZ52" s="61"/>
      <c r="GA52" s="61"/>
      <c r="GB52" s="61"/>
      <c r="GC52" s="61"/>
      <c r="GD52" s="61"/>
      <c r="GE52" s="61"/>
      <c r="GF52" s="61"/>
      <c r="GG52" s="61"/>
      <c r="GH52" s="61"/>
      <c r="GI52" s="61"/>
      <c r="GJ52" s="61"/>
      <c r="GK52" s="61"/>
      <c r="GL52" s="61"/>
      <c r="GM52" s="61"/>
      <c r="GN52" s="61"/>
      <c r="GO52" s="61"/>
      <c r="GP52" s="61"/>
      <c r="GQ52" s="61"/>
      <c r="GR52" s="61"/>
      <c r="GS52" s="61"/>
      <c r="GT52" s="61"/>
      <c r="GU52" s="61"/>
      <c r="GV52" s="61"/>
      <c r="GW52" s="61"/>
      <c r="GX52" s="61"/>
      <c r="GY52" s="61"/>
      <c r="GZ52" s="61"/>
      <c r="HA52" s="61"/>
      <c r="HB52" s="61"/>
      <c r="HC52" s="61"/>
      <c r="HD52" s="61"/>
      <c r="HE52" s="61"/>
      <c r="HF52" s="61"/>
      <c r="HG52" s="61"/>
      <c r="HH52" s="61"/>
      <c r="HI52" s="61"/>
      <c r="HJ52" s="61"/>
      <c r="HK52" s="61"/>
      <c r="HL52" s="61"/>
      <c r="HM52" s="61"/>
      <c r="HN52" s="61"/>
      <c r="HO52" s="61"/>
      <c r="HP52" s="61"/>
    </row>
    <row r="53" spans="2:228" x14ac:dyDescent="0.2">
      <c r="B53" s="60" t="s">
        <v>252</v>
      </c>
      <c r="C53" s="87" t="s">
        <v>261</v>
      </c>
      <c r="D53" s="47" t="s">
        <v>250</v>
      </c>
      <c r="E53" s="60"/>
      <c r="F53" s="60"/>
      <c r="G53" s="60"/>
      <c r="H53" s="62"/>
      <c r="I53" s="34">
        <f t="shared" si="0"/>
        <v>0</v>
      </c>
      <c r="J53" s="34">
        <f t="shared" si="1"/>
        <v>0</v>
      </c>
      <c r="K53" s="37">
        <f>data_rotterdam_moerdijk!E215</f>
        <v>0</v>
      </c>
      <c r="L53" s="37">
        <f>data_rotterdam_moerdijk!F215</f>
        <v>0</v>
      </c>
      <c r="M53" s="121">
        <f>data_zeeland!E218</f>
        <v>0</v>
      </c>
      <c r="N53" s="121">
        <f>data_zeeland!F218</f>
        <v>0</v>
      </c>
      <c r="O53" s="7">
        <f>data_noordzeekanaalgebied!E155</f>
        <v>0</v>
      </c>
      <c r="P53" s="7">
        <f>data_noordzeekanaalgebied!F155</f>
        <v>0</v>
      </c>
      <c r="Q53" s="122">
        <f>data_noord_nederland!E164</f>
        <v>0</v>
      </c>
      <c r="R53" s="122">
        <f>data_noord_nederland!F164</f>
        <v>0</v>
      </c>
      <c r="S53" s="125">
        <v>0</v>
      </c>
      <c r="T53" s="125">
        <v>0</v>
      </c>
      <c r="U53" s="23"/>
      <c r="V53" s="23"/>
      <c r="X53" s="40"/>
      <c r="Y53" s="40"/>
      <c r="Z53" s="40"/>
      <c r="AA53" s="40"/>
      <c r="AB53" s="5"/>
      <c r="DH53" s="61"/>
      <c r="FF53" s="61"/>
      <c r="FG53" s="61"/>
      <c r="FH53" s="61"/>
      <c r="FI53" s="61"/>
      <c r="FJ53" s="61"/>
      <c r="FK53" s="61"/>
      <c r="FL53" s="61"/>
      <c r="FM53" s="61"/>
      <c r="FN53" s="61"/>
      <c r="FO53" s="61"/>
      <c r="FP53" s="61"/>
      <c r="FQ53" s="61"/>
      <c r="FR53" s="61"/>
      <c r="FS53" s="61"/>
      <c r="FT53" s="61"/>
      <c r="FU53" s="61"/>
      <c r="FV53" s="61"/>
      <c r="FW53" s="61"/>
      <c r="FX53" s="61"/>
      <c r="FY53" s="61"/>
      <c r="FZ53" s="61"/>
      <c r="GA53" s="61"/>
      <c r="GB53" s="61"/>
      <c r="GC53" s="61"/>
      <c r="GD53" s="61"/>
      <c r="GE53" s="61"/>
      <c r="GF53" s="61"/>
      <c r="GG53" s="61"/>
      <c r="GH53" s="61"/>
      <c r="GI53" s="61"/>
      <c r="GJ53" s="61"/>
      <c r="GK53" s="61"/>
      <c r="GL53" s="61"/>
      <c r="GM53" s="61"/>
      <c r="GN53" s="61"/>
      <c r="GO53" s="61"/>
      <c r="GP53" s="61"/>
      <c r="GQ53" s="61"/>
      <c r="GR53" s="61"/>
      <c r="GS53" s="61"/>
      <c r="GT53" s="61"/>
      <c r="GU53" s="61"/>
      <c r="GV53" s="61"/>
      <c r="GW53" s="61"/>
      <c r="GX53" s="61"/>
      <c r="GY53" s="61"/>
      <c r="GZ53" s="61"/>
      <c r="HA53" s="61"/>
      <c r="HB53" s="61"/>
      <c r="HC53" s="61"/>
      <c r="HD53" s="61"/>
      <c r="HE53" s="61"/>
      <c r="HF53" s="61"/>
      <c r="HG53" s="61"/>
      <c r="HH53" s="61"/>
      <c r="HI53" s="61"/>
      <c r="HJ53" s="61"/>
      <c r="HK53" s="61"/>
      <c r="HL53" s="61"/>
      <c r="HM53" s="61"/>
      <c r="HN53" s="61"/>
      <c r="HO53" s="61"/>
      <c r="HP53" s="61"/>
    </row>
    <row r="54" spans="2:228" x14ac:dyDescent="0.2">
      <c r="B54" s="60" t="s">
        <v>253</v>
      </c>
      <c r="C54" s="87" t="s">
        <v>254</v>
      </c>
      <c r="D54" s="87" t="s">
        <v>250</v>
      </c>
      <c r="E54" s="60"/>
      <c r="F54" s="60"/>
      <c r="G54" s="60"/>
      <c r="H54" s="62"/>
      <c r="I54" s="34">
        <f t="shared" si="0"/>
        <v>0</v>
      </c>
      <c r="J54" s="34">
        <f t="shared" si="1"/>
        <v>0</v>
      </c>
      <c r="K54" s="37">
        <f>data_rotterdam_moerdijk!E216</f>
        <v>0</v>
      </c>
      <c r="L54" s="37">
        <f>data_rotterdam_moerdijk!F216</f>
        <v>0</v>
      </c>
      <c r="M54" s="121">
        <f>data_zeeland!E219</f>
        <v>0</v>
      </c>
      <c r="N54" s="121">
        <f>data_zeeland!F219</f>
        <v>0</v>
      </c>
      <c r="O54" s="7">
        <f>data_noordzeekanaalgebied!E156</f>
        <v>0</v>
      </c>
      <c r="P54" s="7">
        <f>data_noordzeekanaalgebied!F156</f>
        <v>0</v>
      </c>
      <c r="Q54" s="122">
        <f>data_noord_nederland!E165</f>
        <v>0</v>
      </c>
      <c r="R54" s="122">
        <f>data_noord_nederland!F165</f>
        <v>0</v>
      </c>
      <c r="S54" s="125">
        <v>0</v>
      </c>
      <c r="T54" s="125">
        <v>0</v>
      </c>
      <c r="U54" s="23"/>
      <c r="V54" s="23"/>
      <c r="X54" s="40"/>
      <c r="Y54" s="40"/>
      <c r="Z54" s="40"/>
      <c r="AA54" s="40"/>
      <c r="AB54" s="5"/>
      <c r="DH54" s="61"/>
      <c r="FF54" s="61"/>
      <c r="FG54" s="61"/>
      <c r="FH54" s="61"/>
      <c r="FI54" s="61"/>
      <c r="FJ54" s="61"/>
      <c r="FK54" s="61"/>
      <c r="FL54" s="61"/>
      <c r="FM54" s="61"/>
      <c r="FN54" s="61"/>
      <c r="FO54" s="61"/>
      <c r="FP54" s="61"/>
      <c r="FQ54" s="61"/>
      <c r="FR54" s="61"/>
      <c r="FS54" s="61"/>
      <c r="FT54" s="61"/>
      <c r="FU54" s="61"/>
      <c r="FV54" s="61"/>
      <c r="FW54" s="61"/>
      <c r="FX54" s="61"/>
      <c r="FY54" s="61"/>
      <c r="FZ54" s="61"/>
      <c r="GA54" s="61"/>
      <c r="GB54" s="61"/>
      <c r="GC54" s="61"/>
      <c r="GD54" s="61"/>
      <c r="GE54" s="61"/>
      <c r="GF54" s="61"/>
      <c r="GG54" s="61"/>
      <c r="GH54" s="61"/>
      <c r="GI54" s="61"/>
      <c r="GJ54" s="61"/>
      <c r="GK54" s="61"/>
      <c r="GL54" s="61"/>
      <c r="GM54" s="61"/>
      <c r="GN54" s="61"/>
      <c r="GO54" s="61"/>
      <c r="GP54" s="61"/>
      <c r="GQ54" s="61"/>
      <c r="GR54" s="61"/>
      <c r="GS54" s="61"/>
      <c r="GT54" s="61"/>
      <c r="GU54" s="61"/>
      <c r="GV54" s="61"/>
      <c r="GW54" s="61"/>
      <c r="GX54" s="61"/>
      <c r="GY54" s="61"/>
      <c r="GZ54" s="61"/>
      <c r="HA54" s="61"/>
      <c r="HB54" s="61"/>
      <c r="HC54" s="61"/>
      <c r="HD54" s="61"/>
      <c r="HE54" s="61"/>
      <c r="HF54" s="61"/>
      <c r="HG54" s="61"/>
      <c r="HH54" s="61"/>
      <c r="HI54" s="61"/>
      <c r="HJ54" s="61"/>
      <c r="HK54" s="61"/>
      <c r="HL54" s="61"/>
      <c r="HM54" s="61"/>
      <c r="HN54" s="61"/>
      <c r="HO54" s="61"/>
      <c r="HP54" s="61"/>
    </row>
    <row r="55" spans="2:228" x14ac:dyDescent="0.2">
      <c r="B55" s="60" t="s">
        <v>253</v>
      </c>
      <c r="C55" s="87" t="s">
        <v>255</v>
      </c>
      <c r="D55" s="87" t="s">
        <v>250</v>
      </c>
      <c r="E55" s="60"/>
      <c r="F55" s="60"/>
      <c r="G55" s="60"/>
      <c r="H55" s="62"/>
      <c r="I55" s="34">
        <f t="shared" si="0"/>
        <v>0</v>
      </c>
      <c r="J55" s="34">
        <f t="shared" si="1"/>
        <v>0</v>
      </c>
      <c r="K55" s="37">
        <f>data_rotterdam_moerdijk!E217</f>
        <v>0</v>
      </c>
      <c r="L55" s="37">
        <f>data_rotterdam_moerdijk!F217</f>
        <v>0</v>
      </c>
      <c r="M55" s="121">
        <f>data_zeeland!E220</f>
        <v>0</v>
      </c>
      <c r="N55" s="121">
        <f>data_zeeland!F220</f>
        <v>0</v>
      </c>
      <c r="O55" s="7">
        <f>data_noordzeekanaalgebied!E157</f>
        <v>0</v>
      </c>
      <c r="P55" s="7">
        <f>data_noordzeekanaalgebied!F157</f>
        <v>0</v>
      </c>
      <c r="Q55" s="122">
        <f>data_noord_nederland!E166</f>
        <v>0</v>
      </c>
      <c r="R55" s="122">
        <f>data_noord_nederland!F166</f>
        <v>0</v>
      </c>
      <c r="S55" s="125">
        <v>0</v>
      </c>
      <c r="T55" s="125">
        <v>0</v>
      </c>
      <c r="U55" s="23"/>
      <c r="V55" s="23"/>
      <c r="X55" s="40"/>
      <c r="Y55" s="40"/>
      <c r="Z55" s="40"/>
      <c r="AA55" s="40"/>
      <c r="AB55" s="5"/>
      <c r="DH55" s="61"/>
      <c r="FF55" s="61"/>
      <c r="FG55" s="61"/>
      <c r="FH55" s="61"/>
      <c r="FI55" s="61"/>
      <c r="FJ55" s="61"/>
      <c r="FK55" s="61"/>
      <c r="FL55" s="61"/>
      <c r="FM55" s="61"/>
      <c r="FN55" s="61"/>
      <c r="FO55" s="61"/>
      <c r="FP55" s="61"/>
      <c r="FQ55" s="61"/>
      <c r="FR55" s="61"/>
      <c r="FS55" s="61"/>
      <c r="FT55" s="61"/>
      <c r="FU55" s="61"/>
      <c r="FV55" s="61"/>
      <c r="FW55" s="61"/>
      <c r="FX55" s="61"/>
      <c r="FY55" s="61"/>
      <c r="FZ55" s="61"/>
      <c r="GA55" s="61"/>
      <c r="GB55" s="61"/>
      <c r="GC55" s="61"/>
      <c r="GD55" s="61"/>
      <c r="GE55" s="61"/>
      <c r="GF55" s="61"/>
      <c r="GG55" s="61"/>
      <c r="GH55" s="61"/>
      <c r="GI55" s="61"/>
      <c r="GJ55" s="61"/>
      <c r="GK55" s="61"/>
      <c r="GL55" s="61"/>
      <c r="GM55" s="61"/>
      <c r="GN55" s="61"/>
      <c r="GO55" s="61"/>
      <c r="GP55" s="61"/>
      <c r="GQ55" s="61"/>
      <c r="GR55" s="61"/>
      <c r="GS55" s="61"/>
      <c r="GT55" s="61"/>
      <c r="GU55" s="61"/>
      <c r="GV55" s="61"/>
      <c r="GW55" s="61"/>
      <c r="GX55" s="61"/>
      <c r="GY55" s="61"/>
      <c r="GZ55" s="61"/>
      <c r="HA55" s="61"/>
      <c r="HB55" s="61"/>
      <c r="HC55" s="61"/>
      <c r="HD55" s="61"/>
      <c r="HE55" s="61"/>
      <c r="HF55" s="61"/>
      <c r="HG55" s="61"/>
      <c r="HH55" s="61"/>
      <c r="HI55" s="61"/>
      <c r="HJ55" s="61"/>
      <c r="HK55" s="61"/>
      <c r="HL55" s="61"/>
      <c r="HM55" s="61"/>
      <c r="HN55" s="61"/>
      <c r="HO55" s="61"/>
      <c r="HP55" s="61"/>
    </row>
    <row r="56" spans="2:228" x14ac:dyDescent="0.2">
      <c r="B56" s="60" t="s">
        <v>253</v>
      </c>
      <c r="C56" s="87" t="s">
        <v>256</v>
      </c>
      <c r="D56" s="87" t="s">
        <v>250</v>
      </c>
      <c r="E56" s="60"/>
      <c r="F56" s="60"/>
      <c r="G56" s="60"/>
      <c r="H56" s="62"/>
      <c r="I56" s="34">
        <f t="shared" si="0"/>
        <v>0</v>
      </c>
      <c r="J56" s="34">
        <f t="shared" si="1"/>
        <v>0</v>
      </c>
      <c r="K56" s="37">
        <f>data_rotterdam_moerdijk!E218</f>
        <v>0</v>
      </c>
      <c r="L56" s="37">
        <f>data_rotterdam_moerdijk!F218</f>
        <v>0</v>
      </c>
      <c r="M56" s="121">
        <f>data_zeeland!E221</f>
        <v>0</v>
      </c>
      <c r="N56" s="121">
        <f>data_zeeland!F221</f>
        <v>0</v>
      </c>
      <c r="O56" s="7">
        <f>data_noordzeekanaalgebied!E158</f>
        <v>0</v>
      </c>
      <c r="P56" s="7">
        <f>data_noordzeekanaalgebied!F158</f>
        <v>0</v>
      </c>
      <c r="Q56" s="122">
        <f>data_noord_nederland!E167</f>
        <v>0</v>
      </c>
      <c r="R56" s="122">
        <f>data_noord_nederland!F167</f>
        <v>0</v>
      </c>
      <c r="S56" s="125">
        <v>0</v>
      </c>
      <c r="T56" s="125">
        <v>0</v>
      </c>
      <c r="U56" s="23"/>
      <c r="V56" s="23"/>
      <c r="X56" s="40"/>
      <c r="Y56" s="40"/>
      <c r="Z56" s="40"/>
      <c r="AA56" s="40"/>
      <c r="AB56" s="5"/>
      <c r="DH56" s="61"/>
      <c r="FF56" s="61"/>
      <c r="FG56" s="61"/>
      <c r="FH56" s="61"/>
      <c r="FI56" s="61"/>
      <c r="FJ56" s="61"/>
      <c r="FK56" s="61"/>
      <c r="FL56" s="61"/>
      <c r="FM56" s="61"/>
      <c r="FN56" s="61"/>
      <c r="FO56" s="61"/>
      <c r="FP56" s="61"/>
      <c r="FQ56" s="61"/>
      <c r="FR56" s="61"/>
      <c r="FS56" s="61"/>
      <c r="FT56" s="61"/>
      <c r="FU56" s="61"/>
      <c r="FV56" s="61"/>
      <c r="FW56" s="61"/>
      <c r="FX56" s="61"/>
      <c r="FY56" s="61"/>
      <c r="FZ56" s="61"/>
      <c r="GA56" s="61"/>
      <c r="GB56" s="61"/>
      <c r="GC56" s="61"/>
      <c r="GD56" s="61"/>
      <c r="GE56" s="61"/>
      <c r="GF56" s="61"/>
      <c r="GG56" s="61"/>
      <c r="GH56" s="61"/>
      <c r="GI56" s="61"/>
      <c r="GJ56" s="61"/>
      <c r="GK56" s="61"/>
      <c r="GL56" s="61"/>
      <c r="GM56" s="61"/>
      <c r="GN56" s="61"/>
      <c r="GO56" s="61"/>
      <c r="GP56" s="61"/>
      <c r="GQ56" s="61"/>
      <c r="GR56" s="61"/>
      <c r="GS56" s="61"/>
      <c r="GT56" s="61"/>
      <c r="GU56" s="61"/>
      <c r="GV56" s="61"/>
      <c r="GW56" s="61"/>
      <c r="GX56" s="61"/>
      <c r="GY56" s="61"/>
      <c r="GZ56" s="61"/>
      <c r="HA56" s="61"/>
      <c r="HB56" s="61"/>
      <c r="HC56" s="61"/>
      <c r="HD56" s="61"/>
      <c r="HE56" s="61"/>
      <c r="HF56" s="61"/>
      <c r="HG56" s="61"/>
      <c r="HH56" s="61"/>
      <c r="HI56" s="61"/>
      <c r="HJ56" s="61"/>
      <c r="HK56" s="61"/>
      <c r="HL56" s="61"/>
      <c r="HM56" s="61"/>
      <c r="HN56" s="61"/>
      <c r="HO56" s="61"/>
      <c r="HP56" s="61"/>
    </row>
    <row r="57" spans="2:228" x14ac:dyDescent="0.2">
      <c r="B57" s="60" t="s">
        <v>253</v>
      </c>
      <c r="C57" s="87" t="s">
        <v>257</v>
      </c>
      <c r="D57" s="87" t="s">
        <v>250</v>
      </c>
      <c r="E57" s="60"/>
      <c r="F57" s="60"/>
      <c r="G57" s="60"/>
      <c r="H57" s="62"/>
      <c r="I57" s="34">
        <f t="shared" si="0"/>
        <v>0</v>
      </c>
      <c r="J57" s="34">
        <f t="shared" si="1"/>
        <v>0</v>
      </c>
      <c r="K57" s="37">
        <f>data_rotterdam_moerdijk!E219</f>
        <v>0</v>
      </c>
      <c r="L57" s="37">
        <f>data_rotterdam_moerdijk!F219</f>
        <v>0</v>
      </c>
      <c r="M57" s="121">
        <f>data_zeeland!E222</f>
        <v>0</v>
      </c>
      <c r="N57" s="121">
        <f>data_zeeland!F222</f>
        <v>0</v>
      </c>
      <c r="O57" s="7">
        <f>data_noordzeekanaalgebied!E159</f>
        <v>0</v>
      </c>
      <c r="P57" s="7">
        <f>data_noordzeekanaalgebied!F159</f>
        <v>0</v>
      </c>
      <c r="Q57" s="122">
        <f>data_noord_nederland!E168</f>
        <v>0</v>
      </c>
      <c r="R57" s="122">
        <f>data_noord_nederland!F168</f>
        <v>0</v>
      </c>
      <c r="S57" s="125">
        <v>0</v>
      </c>
      <c r="T57" s="125">
        <v>0</v>
      </c>
      <c r="U57" s="23"/>
      <c r="V57" s="23"/>
      <c r="X57" s="40"/>
      <c r="Y57" s="40"/>
      <c r="Z57" s="40"/>
      <c r="AA57" s="40"/>
      <c r="AB57" s="5"/>
      <c r="DH57" s="61"/>
      <c r="FF57" s="61"/>
      <c r="FG57" s="61"/>
      <c r="FH57" s="61"/>
      <c r="FI57" s="61"/>
      <c r="FJ57" s="61"/>
      <c r="FK57" s="61"/>
      <c r="FL57" s="61"/>
      <c r="FM57" s="61"/>
      <c r="FN57" s="61"/>
      <c r="FO57" s="61"/>
      <c r="FP57" s="61"/>
      <c r="FQ57" s="61"/>
      <c r="FR57" s="61"/>
      <c r="FS57" s="61"/>
      <c r="FT57" s="61"/>
      <c r="FU57" s="61"/>
      <c r="FV57" s="61"/>
      <c r="FW57" s="61"/>
      <c r="FX57" s="61"/>
      <c r="FY57" s="61"/>
      <c r="FZ57" s="61"/>
      <c r="GA57" s="61"/>
      <c r="GB57" s="61"/>
      <c r="GC57" s="61"/>
      <c r="GD57" s="61"/>
      <c r="GE57" s="61"/>
      <c r="GF57" s="61"/>
      <c r="GG57" s="61"/>
      <c r="GH57" s="61"/>
      <c r="GI57" s="61"/>
      <c r="GJ57" s="61"/>
      <c r="GK57" s="61"/>
      <c r="GL57" s="61"/>
      <c r="GM57" s="61"/>
      <c r="GN57" s="61"/>
      <c r="GO57" s="61"/>
      <c r="GP57" s="61"/>
      <c r="GQ57" s="61"/>
      <c r="GR57" s="61"/>
      <c r="GS57" s="61"/>
      <c r="GT57" s="61"/>
      <c r="GU57" s="61"/>
      <c r="GV57" s="61"/>
      <c r="GW57" s="61"/>
      <c r="GX57" s="61"/>
      <c r="GY57" s="61"/>
      <c r="GZ57" s="61"/>
      <c r="HA57" s="61"/>
      <c r="HB57" s="61"/>
      <c r="HC57" s="61"/>
      <c r="HD57" s="61"/>
      <c r="HE57" s="61"/>
      <c r="HF57" s="61"/>
      <c r="HG57" s="61"/>
      <c r="HH57" s="61"/>
      <c r="HI57" s="61"/>
      <c r="HJ57" s="61"/>
      <c r="HK57" s="61"/>
      <c r="HL57" s="61"/>
      <c r="HM57" s="61"/>
      <c r="HN57" s="61"/>
      <c r="HO57" s="61"/>
      <c r="HP57" s="61"/>
    </row>
    <row r="58" spans="2:228" x14ac:dyDescent="0.2">
      <c r="B58" s="60" t="s">
        <v>253</v>
      </c>
      <c r="C58" s="87" t="s">
        <v>258</v>
      </c>
      <c r="D58" s="87" t="s">
        <v>250</v>
      </c>
      <c r="E58" s="60"/>
      <c r="F58" s="60"/>
      <c r="G58" s="60"/>
      <c r="H58" s="62"/>
      <c r="I58" s="34">
        <f t="shared" si="0"/>
        <v>0</v>
      </c>
      <c r="J58" s="34">
        <f t="shared" si="1"/>
        <v>0</v>
      </c>
      <c r="K58" s="37">
        <f>data_rotterdam_moerdijk!E220</f>
        <v>0</v>
      </c>
      <c r="L58" s="37">
        <f>data_rotterdam_moerdijk!F220</f>
        <v>0</v>
      </c>
      <c r="M58" s="121">
        <f>data_zeeland!E223</f>
        <v>0</v>
      </c>
      <c r="N58" s="121">
        <f>data_zeeland!F223</f>
        <v>0</v>
      </c>
      <c r="O58" s="7">
        <f>data_noordzeekanaalgebied!E160</f>
        <v>0</v>
      </c>
      <c r="P58" s="7">
        <f>data_noordzeekanaalgebied!F160</f>
        <v>0</v>
      </c>
      <c r="Q58" s="122">
        <f>data_noord_nederland!E169</f>
        <v>0</v>
      </c>
      <c r="R58" s="122">
        <f>data_noord_nederland!F169</f>
        <v>0</v>
      </c>
      <c r="S58" s="125">
        <v>0</v>
      </c>
      <c r="T58" s="125">
        <v>0</v>
      </c>
      <c r="U58" s="23"/>
      <c r="V58" s="23"/>
      <c r="X58" s="40"/>
      <c r="Y58" s="40"/>
      <c r="Z58" s="40"/>
      <c r="AA58" s="40"/>
      <c r="AB58" s="5"/>
      <c r="FF58" s="61"/>
      <c r="FG58" s="61"/>
      <c r="FH58" s="61"/>
      <c r="FI58" s="61"/>
      <c r="FJ58" s="61"/>
      <c r="FK58" s="61"/>
      <c r="FL58" s="61"/>
      <c r="FM58" s="61"/>
      <c r="FN58" s="61"/>
      <c r="FO58" s="61"/>
      <c r="FP58" s="61"/>
      <c r="FQ58" s="61"/>
      <c r="FR58" s="61"/>
      <c r="FS58" s="61"/>
      <c r="FT58" s="61"/>
      <c r="FU58" s="61"/>
      <c r="FV58" s="61"/>
      <c r="FW58" s="61"/>
      <c r="FX58" s="61"/>
      <c r="FY58" s="61"/>
      <c r="FZ58" s="61"/>
      <c r="GA58" s="61"/>
      <c r="GB58" s="61"/>
      <c r="GC58" s="61"/>
      <c r="GD58" s="61"/>
      <c r="GE58" s="61"/>
      <c r="GF58" s="61"/>
      <c r="GG58" s="61"/>
      <c r="GH58" s="61"/>
      <c r="GI58" s="61"/>
      <c r="GJ58" s="61"/>
      <c r="GK58" s="61"/>
      <c r="GL58" s="61"/>
      <c r="GM58" s="61"/>
      <c r="GN58" s="61"/>
      <c r="GO58" s="61"/>
      <c r="GP58" s="61"/>
      <c r="GQ58" s="61"/>
      <c r="GR58" s="61"/>
      <c r="GS58" s="61"/>
      <c r="GT58" s="61"/>
      <c r="GU58" s="61"/>
      <c r="GV58" s="61"/>
      <c r="GW58" s="61"/>
      <c r="GX58" s="61"/>
      <c r="GY58" s="61"/>
      <c r="GZ58" s="61"/>
      <c r="HA58" s="61"/>
      <c r="HB58" s="61"/>
      <c r="HC58" s="61"/>
      <c r="HD58" s="61"/>
      <c r="HE58" s="61"/>
      <c r="HF58" s="61"/>
      <c r="HG58" s="61"/>
      <c r="HH58" s="61"/>
      <c r="HI58" s="61"/>
      <c r="HJ58" s="61"/>
      <c r="HK58" s="61"/>
      <c r="HL58" s="61"/>
      <c r="HM58" s="61"/>
      <c r="HN58" s="61"/>
      <c r="HO58" s="61"/>
      <c r="HP58" s="61"/>
    </row>
    <row r="59" spans="2:228" x14ac:dyDescent="0.2">
      <c r="B59" s="60" t="s">
        <v>253</v>
      </c>
      <c r="C59" s="87" t="s">
        <v>259</v>
      </c>
      <c r="D59" s="87" t="s">
        <v>250</v>
      </c>
      <c r="E59" s="60"/>
      <c r="F59" s="60"/>
      <c r="G59" s="60"/>
      <c r="H59" s="62"/>
      <c r="I59" s="34">
        <f t="shared" si="0"/>
        <v>0</v>
      </c>
      <c r="J59" s="34">
        <f t="shared" si="1"/>
        <v>0</v>
      </c>
      <c r="K59" s="37">
        <f>data_rotterdam_moerdijk!E221</f>
        <v>0</v>
      </c>
      <c r="L59" s="37">
        <f>data_rotterdam_moerdijk!F221</f>
        <v>0</v>
      </c>
      <c r="M59" s="121">
        <f>data_zeeland!E224</f>
        <v>0</v>
      </c>
      <c r="N59" s="121">
        <f>data_zeeland!F224</f>
        <v>0</v>
      </c>
      <c r="O59" s="7">
        <f>data_noordzeekanaalgebied!E161</f>
        <v>0</v>
      </c>
      <c r="P59" s="7">
        <f>data_noordzeekanaalgebied!F161</f>
        <v>0</v>
      </c>
      <c r="Q59" s="122">
        <f>data_noord_nederland!E170</f>
        <v>0</v>
      </c>
      <c r="R59" s="122">
        <f>data_noord_nederland!F170</f>
        <v>0</v>
      </c>
      <c r="S59" s="125">
        <v>0</v>
      </c>
      <c r="T59" s="125">
        <v>0</v>
      </c>
      <c r="U59" s="23"/>
      <c r="V59" s="23"/>
      <c r="X59" s="40"/>
      <c r="Y59" s="40"/>
      <c r="Z59" s="40"/>
      <c r="AA59" s="40"/>
      <c r="AB59" s="5"/>
      <c r="FF59" s="61"/>
      <c r="FG59" s="61"/>
      <c r="FH59" s="61"/>
      <c r="FI59" s="61"/>
      <c r="FJ59" s="61"/>
      <c r="FK59" s="61"/>
      <c r="FL59" s="61"/>
      <c r="FM59" s="61"/>
      <c r="FN59" s="61"/>
      <c r="FO59" s="61"/>
      <c r="FP59" s="61"/>
      <c r="FQ59" s="61"/>
      <c r="FR59" s="61"/>
      <c r="FS59" s="61"/>
      <c r="FT59" s="61"/>
      <c r="FU59" s="61"/>
      <c r="FV59" s="61"/>
      <c r="FW59" s="61"/>
      <c r="FX59" s="61"/>
      <c r="FY59" s="61"/>
      <c r="FZ59" s="61"/>
      <c r="GA59" s="61"/>
      <c r="GB59" s="61"/>
      <c r="GC59" s="61"/>
      <c r="GD59" s="61"/>
      <c r="GE59" s="61"/>
      <c r="GF59" s="61"/>
      <c r="GG59" s="61"/>
      <c r="GH59" s="61"/>
      <c r="GI59" s="61"/>
      <c r="GJ59" s="61"/>
      <c r="GK59" s="61"/>
      <c r="GL59" s="61"/>
      <c r="GM59" s="61"/>
      <c r="GN59" s="61"/>
      <c r="GO59" s="61"/>
      <c r="GP59" s="61"/>
      <c r="GQ59" s="61"/>
      <c r="GR59" s="61"/>
      <c r="GS59" s="61"/>
      <c r="GT59" s="61"/>
      <c r="GU59" s="61"/>
      <c r="GV59" s="61"/>
      <c r="GW59" s="61"/>
      <c r="GX59" s="61"/>
      <c r="GY59" s="61"/>
      <c r="GZ59" s="61"/>
      <c r="HA59" s="61"/>
      <c r="HB59" s="61"/>
      <c r="HC59" s="61"/>
      <c r="HD59" s="61"/>
      <c r="HE59" s="61"/>
      <c r="HF59" s="61"/>
      <c r="HG59" s="61"/>
      <c r="HH59" s="61"/>
      <c r="HI59" s="61"/>
      <c r="HJ59" s="61"/>
      <c r="HK59" s="61"/>
      <c r="HL59" s="61"/>
      <c r="HM59" s="61"/>
      <c r="HN59" s="61"/>
      <c r="HO59" s="61"/>
      <c r="HP59" s="61"/>
    </row>
    <row r="60" spans="2:228" x14ac:dyDescent="0.2">
      <c r="B60" s="60"/>
      <c r="C60" s="60"/>
      <c r="D60" s="60"/>
      <c r="E60" s="60"/>
      <c r="F60" s="60"/>
      <c r="G60" s="60"/>
      <c r="H60" s="62"/>
      <c r="I60" s="34"/>
      <c r="J60" s="34"/>
      <c r="K60" s="37"/>
      <c r="L60" s="37"/>
      <c r="M60" s="121"/>
      <c r="N60" s="121"/>
      <c r="O60" s="7"/>
      <c r="P60" s="7"/>
      <c r="Q60" s="122"/>
      <c r="R60" s="122"/>
      <c r="S60" s="125"/>
      <c r="T60" s="125"/>
      <c r="U60" s="23"/>
      <c r="V60" s="23"/>
      <c r="X60" s="40"/>
      <c r="Y60" s="40"/>
      <c r="Z60" s="40"/>
      <c r="AA60" s="40"/>
      <c r="AB60" s="5"/>
      <c r="FF60" s="61"/>
      <c r="FG60" s="61"/>
      <c r="FH60" s="61"/>
      <c r="FI60" s="61"/>
      <c r="FJ60" s="61"/>
      <c r="FK60" s="61"/>
      <c r="FL60" s="61"/>
      <c r="FM60" s="61"/>
      <c r="FN60" s="61"/>
      <c r="FO60" s="61"/>
      <c r="FP60" s="61"/>
      <c r="FQ60" s="61"/>
      <c r="FR60" s="61"/>
      <c r="FS60" s="61"/>
      <c r="FT60" s="61"/>
      <c r="FU60" s="61"/>
      <c r="FV60" s="61"/>
      <c r="FW60" s="61"/>
      <c r="FX60" s="61"/>
      <c r="FY60" s="61"/>
      <c r="FZ60" s="61"/>
      <c r="GA60" s="61"/>
      <c r="GB60" s="61"/>
      <c r="GC60" s="61"/>
      <c r="GD60" s="61"/>
      <c r="GE60" s="61"/>
      <c r="GF60" s="61"/>
      <c r="GG60" s="61"/>
      <c r="GH60" s="61"/>
      <c r="GI60" s="61"/>
      <c r="GJ60" s="61"/>
      <c r="GK60" s="61"/>
      <c r="GL60" s="61"/>
      <c r="GM60" s="61"/>
      <c r="GN60" s="61"/>
      <c r="GO60" s="61"/>
      <c r="GP60" s="61"/>
      <c r="GQ60" s="61"/>
      <c r="GR60" s="61"/>
      <c r="GS60" s="61"/>
      <c r="GT60" s="61"/>
      <c r="GU60" s="61"/>
      <c r="GV60" s="61"/>
      <c r="GW60" s="61"/>
      <c r="GX60" s="61"/>
      <c r="GY60" s="61"/>
      <c r="GZ60" s="61"/>
      <c r="HA60" s="61"/>
      <c r="HB60" s="61"/>
      <c r="HC60" s="61"/>
      <c r="HD60" s="61"/>
      <c r="HE60" s="61"/>
      <c r="HF60" s="61"/>
      <c r="HG60" s="61"/>
      <c r="HH60" s="61"/>
      <c r="HI60" s="61"/>
      <c r="HJ60" s="61"/>
      <c r="HK60" s="61"/>
      <c r="HL60" s="61"/>
      <c r="HM60" s="61"/>
      <c r="HN60" s="61"/>
      <c r="HO60" s="61"/>
      <c r="HP60" s="61"/>
    </row>
    <row r="61" spans="2:228" x14ac:dyDescent="0.2">
      <c r="B61" s="39" t="s">
        <v>291</v>
      </c>
      <c r="C61" s="39" t="s">
        <v>311</v>
      </c>
      <c r="D61" s="60" t="s">
        <v>320</v>
      </c>
      <c r="E61" s="60"/>
      <c r="F61" s="60"/>
      <c r="G61" s="60"/>
      <c r="H61" s="62"/>
      <c r="I61" s="34">
        <f t="shared" si="0"/>
        <v>11510.670264406781</v>
      </c>
      <c r="J61" s="34">
        <f t="shared" si="1"/>
        <v>4664.6050169491518</v>
      </c>
      <c r="K61" s="37">
        <f>data_rotterdam_moerdijk!E223</f>
        <v>5583.5999999999995</v>
      </c>
      <c r="L61" s="37">
        <f>data_rotterdam_moerdijk!F223</f>
        <v>3004.9919999999993</v>
      </c>
      <c r="M61" s="121">
        <f>data_zeeland!E226</f>
        <v>3945.3998644067806</v>
      </c>
      <c r="N61" s="121">
        <f>data_zeeland!F226</f>
        <v>116.50901694915264</v>
      </c>
      <c r="O61" s="7">
        <f>data_noordzeekanaalgebied!E163</f>
        <v>986.77440000000047</v>
      </c>
      <c r="P61" s="7">
        <f>data_noordzeekanaalgebied!F163</f>
        <v>1035.5039999999997</v>
      </c>
      <c r="Q61" s="122">
        <f>data_noord_nederland!E172</f>
        <v>994.89599999999996</v>
      </c>
      <c r="R61" s="122">
        <f>data_noord_nederland!F172</f>
        <v>507.59999999999997</v>
      </c>
      <c r="S61" s="125">
        <v>0</v>
      </c>
      <c r="T61" s="125">
        <v>0</v>
      </c>
      <c r="U61" s="23"/>
      <c r="V61" s="23"/>
      <c r="X61" s="40"/>
      <c r="Y61" s="40"/>
      <c r="Z61" s="40"/>
      <c r="AA61" s="40"/>
      <c r="AB61" s="5"/>
      <c r="FF61" s="61"/>
      <c r="FG61" s="61"/>
      <c r="FH61" s="61"/>
      <c r="FI61" s="61"/>
      <c r="FJ61" s="61"/>
      <c r="FK61" s="61"/>
      <c r="FL61" s="61"/>
      <c r="FM61" s="61"/>
      <c r="FN61" s="61"/>
      <c r="FO61" s="61"/>
      <c r="FP61" s="61"/>
      <c r="FQ61" s="61"/>
      <c r="FR61" s="61"/>
      <c r="FS61" s="61"/>
      <c r="FT61" s="61"/>
      <c r="FU61" s="61"/>
      <c r="FV61" s="61"/>
      <c r="FW61" s="61"/>
      <c r="FX61" s="61"/>
      <c r="FY61" s="61"/>
      <c r="FZ61" s="61"/>
      <c r="GA61" s="61"/>
      <c r="GB61" s="61"/>
      <c r="GC61" s="61"/>
      <c r="GD61" s="61"/>
      <c r="GE61" s="61"/>
      <c r="GF61" s="61"/>
      <c r="GG61" s="61"/>
      <c r="GH61" s="61"/>
      <c r="GI61" s="61"/>
      <c r="GJ61" s="61"/>
      <c r="GK61" s="61"/>
      <c r="GL61" s="61"/>
      <c r="GM61" s="61"/>
      <c r="GN61" s="61"/>
      <c r="GO61" s="61"/>
      <c r="GP61" s="61"/>
      <c r="GQ61" s="61"/>
      <c r="GR61" s="61"/>
      <c r="GS61" s="61"/>
      <c r="GT61" s="61"/>
      <c r="GU61" s="61"/>
      <c r="GV61" s="61"/>
      <c r="GW61" s="61"/>
      <c r="GX61" s="61"/>
      <c r="GY61" s="61"/>
      <c r="GZ61" s="61"/>
      <c r="HA61" s="61"/>
      <c r="HB61" s="61"/>
      <c r="HC61" s="61"/>
      <c r="HD61" s="61"/>
      <c r="HE61" s="61"/>
      <c r="HF61" s="61"/>
      <c r="HG61" s="61"/>
      <c r="HH61" s="61"/>
      <c r="HI61" s="61"/>
      <c r="HJ61" s="61"/>
      <c r="HK61" s="61"/>
      <c r="HL61" s="61"/>
      <c r="HM61" s="61"/>
      <c r="HN61" s="61"/>
      <c r="HO61" s="61"/>
      <c r="HP61" s="61"/>
    </row>
    <row r="62" spans="2:228" x14ac:dyDescent="0.2">
      <c r="B62" s="39" t="s">
        <v>290</v>
      </c>
      <c r="C62" s="39" t="s">
        <v>311</v>
      </c>
      <c r="D62" s="60" t="s">
        <v>320</v>
      </c>
      <c r="E62" s="60"/>
      <c r="F62" s="60"/>
      <c r="G62" s="60"/>
      <c r="H62" s="62"/>
      <c r="I62" s="34">
        <f t="shared" si="0"/>
        <v>6392.3384615384712</v>
      </c>
      <c r="J62" s="34">
        <f t="shared" si="1"/>
        <v>2671.3784615384729</v>
      </c>
      <c r="K62" s="37">
        <f>data_rotterdam_moerdijk!E224</f>
        <v>6392.3384615384712</v>
      </c>
      <c r="L62" s="37">
        <f>data_rotterdam_moerdijk!F224</f>
        <v>2671.3784615384729</v>
      </c>
      <c r="M62" s="121">
        <f>data_zeeland!E227</f>
        <v>0</v>
      </c>
      <c r="N62" s="121">
        <f>data_zeeland!F227</f>
        <v>0</v>
      </c>
      <c r="O62" s="7">
        <f>data_noordzeekanaalgebied!E164</f>
        <v>0</v>
      </c>
      <c r="P62" s="7">
        <f>data_noordzeekanaalgebied!F164</f>
        <v>0</v>
      </c>
      <c r="Q62" s="122">
        <f>data_noord_nederland!E173</f>
        <v>0</v>
      </c>
      <c r="R62" s="122">
        <f>data_noord_nederland!F173</f>
        <v>0</v>
      </c>
      <c r="S62" s="125">
        <v>0</v>
      </c>
      <c r="T62" s="125">
        <v>0</v>
      </c>
      <c r="U62" s="23"/>
      <c r="V62" s="23"/>
      <c r="X62" s="40"/>
      <c r="Y62" s="40"/>
      <c r="Z62" s="40"/>
      <c r="AA62" s="40"/>
      <c r="AB62" s="5"/>
      <c r="FF62" s="61"/>
      <c r="FG62" s="61"/>
      <c r="FH62" s="61"/>
      <c r="FI62" s="61"/>
      <c r="FJ62" s="61"/>
      <c r="FK62" s="61"/>
      <c r="FL62" s="61"/>
      <c r="FM62" s="61"/>
      <c r="FN62" s="61"/>
      <c r="FO62" s="61"/>
      <c r="FP62" s="61"/>
      <c r="FQ62" s="61"/>
      <c r="FR62" s="61"/>
      <c r="FS62" s="61"/>
      <c r="FT62" s="61"/>
      <c r="FU62" s="61"/>
      <c r="FV62" s="61"/>
      <c r="FW62" s="61"/>
      <c r="FX62" s="61"/>
      <c r="FY62" s="61"/>
      <c r="FZ62" s="61"/>
      <c r="GA62" s="61"/>
      <c r="GB62" s="61"/>
      <c r="GC62" s="61"/>
      <c r="GD62" s="61"/>
      <c r="GE62" s="61"/>
      <c r="GF62" s="61"/>
      <c r="GG62" s="61"/>
      <c r="GH62" s="61"/>
      <c r="GI62" s="61"/>
      <c r="GJ62" s="61"/>
      <c r="GK62" s="61"/>
      <c r="GL62" s="61"/>
      <c r="GM62" s="61"/>
      <c r="GN62" s="61"/>
      <c r="GO62" s="61"/>
      <c r="GP62" s="61"/>
      <c r="GQ62" s="61"/>
      <c r="GR62" s="61"/>
      <c r="GS62" s="61"/>
      <c r="GT62" s="61"/>
      <c r="GU62" s="61"/>
      <c r="GV62" s="61"/>
      <c r="GW62" s="61"/>
      <c r="GX62" s="61"/>
      <c r="GY62" s="61"/>
      <c r="GZ62" s="61"/>
      <c r="HA62" s="61"/>
      <c r="HB62" s="61"/>
      <c r="HC62" s="61"/>
      <c r="HD62" s="61"/>
      <c r="HE62" s="61"/>
      <c r="HF62" s="61"/>
      <c r="HG62" s="61"/>
      <c r="HH62" s="61"/>
      <c r="HI62" s="61"/>
      <c r="HJ62" s="61"/>
      <c r="HK62" s="61"/>
      <c r="HL62" s="61"/>
      <c r="HM62" s="61"/>
      <c r="HN62" s="61"/>
      <c r="HO62" s="61"/>
      <c r="HP62" s="61"/>
    </row>
    <row r="63" spans="2:228" x14ac:dyDescent="0.2">
      <c r="B63" s="39" t="s">
        <v>292</v>
      </c>
      <c r="C63" s="39" t="s">
        <v>311</v>
      </c>
      <c r="D63" s="60" t="s">
        <v>320</v>
      </c>
      <c r="E63" s="60"/>
      <c r="F63" s="60"/>
      <c r="G63" s="60"/>
      <c r="H63" s="62"/>
      <c r="I63" s="34">
        <f t="shared" si="0"/>
        <v>4407.9064615384614</v>
      </c>
      <c r="J63" s="34">
        <f t="shared" si="1"/>
        <v>8129.9175384615373</v>
      </c>
      <c r="K63" s="37">
        <f>data_rotterdam_moerdijk!E225</f>
        <v>2468.7138461538461</v>
      </c>
      <c r="L63" s="37">
        <f>data_rotterdam_moerdijk!F225</f>
        <v>6189.6738461538453</v>
      </c>
      <c r="M63" s="121">
        <f>data_zeeland!E228</f>
        <v>1939.1926153846148</v>
      </c>
      <c r="N63" s="121">
        <f>data_zeeland!F228</f>
        <v>1940.2436923076916</v>
      </c>
      <c r="O63" s="7">
        <f>data_noordzeekanaalgebied!E165</f>
        <v>0</v>
      </c>
      <c r="P63" s="7">
        <f>data_noordzeekanaalgebied!F165</f>
        <v>0</v>
      </c>
      <c r="Q63" s="122">
        <f>data_noord_nederland!E174</f>
        <v>0</v>
      </c>
      <c r="R63" s="122">
        <f>data_noord_nederland!F174</f>
        <v>0</v>
      </c>
      <c r="S63" s="125">
        <v>0</v>
      </c>
      <c r="T63" s="125">
        <v>0</v>
      </c>
      <c r="U63" s="23"/>
      <c r="V63" s="23"/>
      <c r="X63" s="40"/>
      <c r="Y63" s="40"/>
      <c r="Z63" s="40"/>
      <c r="AA63" s="40"/>
      <c r="AB63" s="5"/>
      <c r="FF63" s="61"/>
      <c r="FG63" s="61"/>
      <c r="FH63" s="61"/>
      <c r="FI63" s="61"/>
      <c r="FJ63" s="61"/>
      <c r="FK63" s="61"/>
      <c r="FL63" s="61"/>
      <c r="FM63" s="61"/>
      <c r="FN63" s="61"/>
      <c r="FO63" s="61"/>
      <c r="FP63" s="61"/>
      <c r="FQ63" s="61"/>
      <c r="FR63" s="61"/>
      <c r="FS63" s="61"/>
      <c r="FT63" s="61"/>
      <c r="FU63" s="61"/>
      <c r="FV63" s="61"/>
      <c r="FW63" s="61"/>
      <c r="FX63" s="61"/>
      <c r="FY63" s="61"/>
      <c r="FZ63" s="61"/>
      <c r="GA63" s="61"/>
      <c r="GB63" s="61"/>
      <c r="GC63" s="61"/>
      <c r="GD63" s="61"/>
      <c r="GE63" s="61"/>
      <c r="GF63" s="61"/>
      <c r="GG63" s="61"/>
      <c r="GH63" s="61"/>
      <c r="GI63" s="61"/>
      <c r="GJ63" s="61"/>
      <c r="GK63" s="61"/>
      <c r="GL63" s="61"/>
      <c r="GM63" s="61"/>
      <c r="GN63" s="61"/>
      <c r="GO63" s="61"/>
      <c r="GP63" s="61"/>
      <c r="GQ63" s="61"/>
      <c r="GR63" s="61"/>
      <c r="GS63" s="61"/>
      <c r="GT63" s="61"/>
      <c r="GU63" s="61"/>
      <c r="GV63" s="61"/>
      <c r="GW63" s="61"/>
      <c r="GX63" s="61"/>
      <c r="GY63" s="61"/>
      <c r="GZ63" s="61"/>
      <c r="HA63" s="61"/>
      <c r="HB63" s="61"/>
      <c r="HC63" s="61"/>
      <c r="HD63" s="61"/>
      <c r="HE63" s="61"/>
      <c r="HF63" s="61"/>
      <c r="HG63" s="61"/>
      <c r="HH63" s="61"/>
      <c r="HI63" s="61"/>
      <c r="HJ63" s="61"/>
      <c r="HK63" s="61"/>
      <c r="HL63" s="61"/>
      <c r="HM63" s="61"/>
      <c r="HN63" s="61"/>
      <c r="HO63" s="61"/>
      <c r="HP63" s="61"/>
    </row>
    <row r="64" spans="2:228" x14ac:dyDescent="0.2">
      <c r="B64" s="39" t="s">
        <v>293</v>
      </c>
      <c r="C64" s="39" t="s">
        <v>311</v>
      </c>
      <c r="D64" s="60" t="s">
        <v>320</v>
      </c>
      <c r="E64" s="60"/>
      <c r="F64" s="60"/>
      <c r="G64" s="60"/>
      <c r="H64" s="62"/>
      <c r="I64" s="34">
        <f t="shared" si="0"/>
        <v>5823.6036923076917</v>
      </c>
      <c r="J64" s="34">
        <f t="shared" si="1"/>
        <v>13459.295999999998</v>
      </c>
      <c r="K64" s="37">
        <f>data_rotterdam_moerdijk!E226</f>
        <v>2155.3476923076928</v>
      </c>
      <c r="L64" s="37">
        <f>data_rotterdam_moerdijk!F226</f>
        <v>5685.119999999999</v>
      </c>
      <c r="M64" s="121">
        <f>data_zeeland!E229</f>
        <v>3668.2559999999994</v>
      </c>
      <c r="N64" s="121">
        <f>data_zeeland!F229</f>
        <v>5743.7759999999998</v>
      </c>
      <c r="O64" s="7">
        <f>data_noordzeekanaalgebied!E166</f>
        <v>0</v>
      </c>
      <c r="P64" s="7">
        <f>data_noordzeekanaalgebied!F166</f>
        <v>0</v>
      </c>
      <c r="Q64" s="122">
        <f>data_noord_nederland!E175</f>
        <v>0</v>
      </c>
      <c r="R64" s="122">
        <f>data_noord_nederland!F175</f>
        <v>2030.3999999999999</v>
      </c>
      <c r="S64" s="125">
        <v>0</v>
      </c>
      <c r="T64" s="125">
        <v>0</v>
      </c>
      <c r="U64" s="23"/>
      <c r="V64" s="23"/>
      <c r="X64" s="40"/>
      <c r="Y64" s="40"/>
      <c r="Z64" s="40"/>
      <c r="AA64" s="40"/>
      <c r="AB64" s="5"/>
      <c r="FF64" s="61"/>
      <c r="FG64" s="61"/>
      <c r="FH64" s="61"/>
      <c r="FI64" s="61"/>
      <c r="FJ64" s="61"/>
      <c r="FK64" s="61"/>
      <c r="FL64" s="61"/>
      <c r="FM64" s="61"/>
      <c r="FN64" s="61"/>
      <c r="FO64" s="61"/>
      <c r="FP64" s="61"/>
      <c r="FQ64" s="61"/>
      <c r="FR64" s="61"/>
      <c r="FS64" s="61"/>
      <c r="FT64" s="61"/>
      <c r="FU64" s="61"/>
      <c r="FV64" s="61"/>
      <c r="FW64" s="61"/>
      <c r="FX64" s="61"/>
      <c r="FY64" s="61"/>
      <c r="FZ64" s="61"/>
      <c r="GA64" s="61"/>
      <c r="GB64" s="61"/>
      <c r="GC64" s="61"/>
      <c r="GD64" s="61"/>
      <c r="GE64" s="61"/>
      <c r="GF64" s="61"/>
      <c r="GG64" s="61"/>
      <c r="GH64" s="61"/>
      <c r="GI64" s="61"/>
      <c r="GJ64" s="61"/>
      <c r="GK64" s="61"/>
      <c r="GL64" s="61"/>
      <c r="GM64" s="61"/>
      <c r="GN64" s="61"/>
      <c r="GO64" s="61"/>
      <c r="GP64" s="61"/>
      <c r="GQ64" s="61"/>
      <c r="GR64" s="61"/>
      <c r="GS64" s="61"/>
      <c r="GT64" s="61"/>
      <c r="GU64" s="61"/>
      <c r="GV64" s="61"/>
      <c r="GW64" s="61"/>
      <c r="GX64" s="61"/>
      <c r="GY64" s="61"/>
      <c r="GZ64" s="61"/>
      <c r="HA64" s="61"/>
      <c r="HB64" s="61"/>
      <c r="HC64" s="61"/>
      <c r="HD64" s="61"/>
      <c r="HE64" s="61"/>
      <c r="HF64" s="61"/>
      <c r="HG64" s="61"/>
      <c r="HH64" s="61"/>
      <c r="HI64" s="61"/>
      <c r="HJ64" s="61"/>
      <c r="HK64" s="61"/>
      <c r="HL64" s="61"/>
      <c r="HM64" s="61"/>
      <c r="HN64" s="61"/>
      <c r="HO64" s="61"/>
      <c r="HP64" s="61"/>
    </row>
    <row r="65" spans="2:224" x14ac:dyDescent="0.2">
      <c r="B65" s="39" t="s">
        <v>314</v>
      </c>
      <c r="C65" s="39" t="s">
        <v>311</v>
      </c>
      <c r="D65" s="60" t="s">
        <v>320</v>
      </c>
      <c r="E65" s="60"/>
      <c r="F65" s="60"/>
      <c r="G65" s="60"/>
      <c r="H65" s="62"/>
      <c r="I65" s="34">
        <f t="shared" si="0"/>
        <v>0</v>
      </c>
      <c r="J65" s="34">
        <f t="shared" si="1"/>
        <v>175</v>
      </c>
      <c r="K65" s="37">
        <f>data_rotterdam_moerdijk!E227</f>
        <v>0</v>
      </c>
      <c r="L65" s="37">
        <f>data_rotterdam_moerdijk!F227</f>
        <v>0</v>
      </c>
      <c r="M65" s="121">
        <f>data_zeeland!E230</f>
        <v>0</v>
      </c>
      <c r="N65" s="121">
        <f>data_zeeland!F230</f>
        <v>0</v>
      </c>
      <c r="O65" s="7">
        <f>data_noordzeekanaalgebied!E167</f>
        <v>0</v>
      </c>
      <c r="P65" s="7">
        <f>data_noordzeekanaalgebied!F167</f>
        <v>0</v>
      </c>
      <c r="Q65" s="122">
        <f>data_noord_nederland!E176</f>
        <v>0</v>
      </c>
      <c r="R65" s="122">
        <f>data_noord_nederland!F176</f>
        <v>175</v>
      </c>
      <c r="S65" s="125">
        <v>0</v>
      </c>
      <c r="T65" s="125">
        <v>0</v>
      </c>
      <c r="U65" s="23"/>
      <c r="V65" s="23"/>
      <c r="X65" s="40"/>
      <c r="Y65" s="40"/>
      <c r="Z65" s="40"/>
      <c r="AA65" s="40"/>
      <c r="AB65" s="5"/>
      <c r="FF65" s="61"/>
      <c r="FG65" s="61"/>
      <c r="FH65" s="61"/>
      <c r="FI65" s="61"/>
      <c r="FJ65" s="61"/>
      <c r="FK65" s="61"/>
      <c r="FL65" s="61"/>
      <c r="FM65" s="61"/>
      <c r="FN65" s="61"/>
      <c r="FO65" s="61"/>
      <c r="FP65" s="61"/>
      <c r="FQ65" s="61"/>
      <c r="FR65" s="61"/>
      <c r="FS65" s="61"/>
      <c r="FT65" s="61"/>
      <c r="FU65" s="61"/>
      <c r="FV65" s="61"/>
      <c r="FW65" s="61"/>
      <c r="FX65" s="61"/>
      <c r="FY65" s="61"/>
      <c r="FZ65" s="61"/>
      <c r="GA65" s="61"/>
      <c r="GB65" s="61"/>
      <c r="GC65" s="61"/>
      <c r="GD65" s="61"/>
      <c r="GE65" s="61"/>
      <c r="GF65" s="61"/>
      <c r="GG65" s="61"/>
      <c r="GH65" s="61"/>
      <c r="GI65" s="61"/>
      <c r="GJ65" s="61"/>
      <c r="GK65" s="61"/>
      <c r="GL65" s="61"/>
      <c r="GM65" s="61"/>
      <c r="GN65" s="61"/>
      <c r="GO65" s="61"/>
      <c r="GP65" s="61"/>
      <c r="GQ65" s="61"/>
      <c r="GR65" s="61"/>
      <c r="GS65" s="61"/>
      <c r="GT65" s="61"/>
      <c r="GU65" s="61"/>
      <c r="GV65" s="61"/>
      <c r="GW65" s="61"/>
      <c r="GX65" s="61"/>
      <c r="GY65" s="61"/>
      <c r="GZ65" s="61"/>
      <c r="HA65" s="61"/>
      <c r="HB65" s="61"/>
      <c r="HC65" s="61"/>
      <c r="HD65" s="61"/>
      <c r="HE65" s="61"/>
      <c r="HF65" s="61"/>
      <c r="HG65" s="61"/>
      <c r="HH65" s="61"/>
      <c r="HI65" s="61"/>
      <c r="HJ65" s="61"/>
      <c r="HK65" s="61"/>
      <c r="HL65" s="61"/>
      <c r="HM65" s="61"/>
      <c r="HN65" s="61"/>
      <c r="HO65" s="61"/>
      <c r="HP65" s="61"/>
    </row>
    <row r="66" spans="2:224" x14ac:dyDescent="0.2">
      <c r="B66" s="39" t="s">
        <v>297</v>
      </c>
      <c r="C66" s="39" t="s">
        <v>311</v>
      </c>
      <c r="D66" s="60" t="s">
        <v>320</v>
      </c>
      <c r="E66" s="60"/>
      <c r="F66" s="60"/>
      <c r="G66" s="60"/>
      <c r="H66" s="62"/>
      <c r="I66" s="34">
        <f t="shared" si="0"/>
        <v>10485.936000000002</v>
      </c>
      <c r="J66" s="34">
        <f t="shared" si="1"/>
        <v>4689.5436000000009</v>
      </c>
      <c r="K66" s="37">
        <f>data_rotterdam_moerdijk!E228</f>
        <v>0</v>
      </c>
      <c r="L66" s="37">
        <f>data_rotterdam_moerdijk!F228</f>
        <v>0</v>
      </c>
      <c r="M66" s="121">
        <f>data_zeeland!E231</f>
        <v>0</v>
      </c>
      <c r="N66" s="121">
        <f>data_zeeland!F231</f>
        <v>0</v>
      </c>
      <c r="O66" s="7">
        <f>data_noordzeekanaalgebied!E168</f>
        <v>10485.936000000002</v>
      </c>
      <c r="P66" s="7">
        <f>data_noordzeekanaalgebied!F168</f>
        <v>4689.5436000000009</v>
      </c>
      <c r="Q66" s="122">
        <f>data_noord_nederland!E177</f>
        <v>0</v>
      </c>
      <c r="R66" s="122">
        <f>data_noord_nederland!F177</f>
        <v>0</v>
      </c>
      <c r="S66" s="125">
        <v>0</v>
      </c>
      <c r="T66" s="125">
        <v>0</v>
      </c>
      <c r="U66" s="23"/>
      <c r="V66" s="23"/>
      <c r="X66" s="40"/>
      <c r="Y66" s="40"/>
      <c r="Z66" s="40"/>
      <c r="AA66" s="40"/>
      <c r="AB66" s="5"/>
      <c r="FF66" s="61"/>
      <c r="FG66" s="61"/>
      <c r="FH66" s="61"/>
      <c r="FI66" s="61"/>
      <c r="FJ66" s="61"/>
      <c r="FK66" s="61"/>
      <c r="FL66" s="61"/>
      <c r="FM66" s="61"/>
      <c r="FN66" s="61"/>
      <c r="FO66" s="61"/>
      <c r="FP66" s="61"/>
      <c r="FQ66" s="61"/>
      <c r="FR66" s="61"/>
      <c r="FS66" s="61"/>
      <c r="FT66" s="61"/>
      <c r="FU66" s="61"/>
      <c r="FV66" s="61"/>
      <c r="FW66" s="61"/>
      <c r="FX66" s="61"/>
      <c r="FY66" s="61"/>
      <c r="FZ66" s="61"/>
      <c r="GA66" s="61"/>
      <c r="GB66" s="61"/>
      <c r="GC66" s="61"/>
      <c r="GD66" s="61"/>
      <c r="GE66" s="61"/>
      <c r="GF66" s="61"/>
      <c r="GG66" s="61"/>
      <c r="GH66" s="61"/>
      <c r="GI66" s="61"/>
      <c r="GJ66" s="61"/>
      <c r="GK66" s="61"/>
      <c r="GL66" s="61"/>
      <c r="GM66" s="61"/>
      <c r="GN66" s="61"/>
      <c r="GO66" s="61"/>
      <c r="GP66" s="61"/>
      <c r="GQ66" s="61"/>
      <c r="GR66" s="61"/>
      <c r="GS66" s="61"/>
      <c r="GT66" s="61"/>
      <c r="GU66" s="61"/>
      <c r="GV66" s="61"/>
      <c r="GW66" s="61"/>
      <c r="GX66" s="61"/>
      <c r="GY66" s="61"/>
      <c r="GZ66" s="61"/>
      <c r="HA66" s="61"/>
      <c r="HB66" s="61"/>
      <c r="HC66" s="61"/>
      <c r="HD66" s="61"/>
      <c r="HE66" s="61"/>
      <c r="HF66" s="61"/>
      <c r="HG66" s="61"/>
      <c r="HH66" s="61"/>
      <c r="HI66" s="61"/>
      <c r="HJ66" s="61"/>
      <c r="HK66" s="61"/>
      <c r="HL66" s="61"/>
      <c r="HM66" s="61"/>
      <c r="HN66" s="61"/>
      <c r="HO66" s="61"/>
      <c r="HP66" s="61"/>
    </row>
    <row r="67" spans="2:224" x14ac:dyDescent="0.2">
      <c r="B67" s="39" t="s">
        <v>298</v>
      </c>
      <c r="C67" s="39" t="s">
        <v>311</v>
      </c>
      <c r="D67" s="60" t="s">
        <v>320</v>
      </c>
      <c r="E67" s="60"/>
      <c r="F67" s="60"/>
      <c r="G67" s="60"/>
      <c r="H67" s="62"/>
      <c r="I67" s="34">
        <f t="shared" si="0"/>
        <v>1500</v>
      </c>
      <c r="J67" s="34">
        <f t="shared" si="1"/>
        <v>1500</v>
      </c>
      <c r="K67" s="37">
        <f>data_rotterdam_moerdijk!E229</f>
        <v>0</v>
      </c>
      <c r="L67" s="37">
        <f>data_rotterdam_moerdijk!F229</f>
        <v>0</v>
      </c>
      <c r="M67" s="121">
        <f>data_zeeland!E232</f>
        <v>0</v>
      </c>
      <c r="N67" s="121">
        <f>data_zeeland!F232</f>
        <v>0</v>
      </c>
      <c r="O67" s="7">
        <f>data_noordzeekanaalgebied!E169</f>
        <v>1500</v>
      </c>
      <c r="P67" s="7">
        <f>data_noordzeekanaalgebied!F169</f>
        <v>1500</v>
      </c>
      <c r="Q67" s="122">
        <f>data_noord_nederland!E178</f>
        <v>0</v>
      </c>
      <c r="R67" s="122">
        <f>data_noord_nederland!F178</f>
        <v>0</v>
      </c>
      <c r="S67" s="125">
        <v>0</v>
      </c>
      <c r="T67" s="125">
        <v>0</v>
      </c>
      <c r="U67" s="23"/>
      <c r="V67" s="23"/>
      <c r="X67" s="40"/>
      <c r="Y67" s="40"/>
      <c r="Z67" s="40"/>
      <c r="AA67" s="40"/>
      <c r="AB67" s="5"/>
      <c r="FF67" s="61"/>
      <c r="FG67" s="61"/>
      <c r="FH67" s="61"/>
      <c r="FI67" s="61"/>
      <c r="FJ67" s="61"/>
      <c r="FK67" s="61"/>
      <c r="FL67" s="61"/>
      <c r="FM67" s="61"/>
      <c r="FN67" s="61"/>
      <c r="FO67" s="61"/>
      <c r="FP67" s="61"/>
      <c r="FQ67" s="61"/>
      <c r="FR67" s="61"/>
      <c r="FS67" s="61"/>
      <c r="FT67" s="61"/>
      <c r="FU67" s="61"/>
      <c r="FV67" s="61"/>
      <c r="FW67" s="61"/>
      <c r="FX67" s="61"/>
      <c r="FY67" s="61"/>
      <c r="FZ67" s="61"/>
      <c r="GA67" s="61"/>
      <c r="GB67" s="61"/>
      <c r="GC67" s="61"/>
      <c r="GD67" s="61"/>
      <c r="GE67" s="61"/>
      <c r="GF67" s="61"/>
      <c r="GG67" s="61"/>
      <c r="GH67" s="61"/>
      <c r="GI67" s="61"/>
      <c r="GJ67" s="61"/>
      <c r="GK67" s="61"/>
      <c r="GL67" s="61"/>
      <c r="GM67" s="61"/>
      <c r="GN67" s="61"/>
      <c r="GO67" s="61"/>
      <c r="GP67" s="61"/>
      <c r="GQ67" s="61"/>
      <c r="GR67" s="61"/>
      <c r="GS67" s="61"/>
      <c r="GT67" s="61"/>
      <c r="GU67" s="61"/>
      <c r="GV67" s="61"/>
      <c r="GW67" s="61"/>
      <c r="GX67" s="61"/>
      <c r="GY67" s="61"/>
      <c r="GZ67" s="61"/>
      <c r="HA67" s="61"/>
      <c r="HB67" s="61"/>
      <c r="HC67" s="61"/>
      <c r="HD67" s="61"/>
      <c r="HE67" s="61"/>
      <c r="HF67" s="61"/>
      <c r="HG67" s="61"/>
      <c r="HH67" s="61"/>
      <c r="HI67" s="61"/>
      <c r="HJ67" s="61"/>
      <c r="HK67" s="61"/>
      <c r="HL67" s="61"/>
      <c r="HM67" s="61"/>
      <c r="HN67" s="61"/>
      <c r="HO67" s="61"/>
      <c r="HP67" s="61"/>
    </row>
    <row r="68" spans="2:224" x14ac:dyDescent="0.2">
      <c r="B68" s="39" t="s">
        <v>299</v>
      </c>
      <c r="C68" s="39" t="s">
        <v>311</v>
      </c>
      <c r="D68" s="60" t="s">
        <v>320</v>
      </c>
      <c r="E68" s="60"/>
      <c r="F68" s="60"/>
      <c r="G68" s="60"/>
      <c r="H68" s="62"/>
      <c r="I68" s="34">
        <f t="shared" ref="I68:I92" si="2">K68+M68+O68+Q68</f>
        <v>270.64800000000002</v>
      </c>
      <c r="J68" s="34">
        <f t="shared" ref="J68:J92" si="3">L68+N68+P68+R68</f>
        <v>270.64800000000002</v>
      </c>
      <c r="K68" s="37">
        <f>data_rotterdam_moerdijk!E230</f>
        <v>0</v>
      </c>
      <c r="L68" s="37">
        <f>data_rotterdam_moerdijk!F230</f>
        <v>0</v>
      </c>
      <c r="M68" s="121">
        <f>data_zeeland!E233</f>
        <v>0</v>
      </c>
      <c r="N68" s="121">
        <f>data_zeeland!F233</f>
        <v>0</v>
      </c>
      <c r="O68" s="7">
        <f>data_noordzeekanaalgebied!E170</f>
        <v>0</v>
      </c>
      <c r="P68" s="7">
        <f>data_noordzeekanaalgebied!F170</f>
        <v>0</v>
      </c>
      <c r="Q68" s="122">
        <f>data_noord_nederland!E179</f>
        <v>270.64800000000002</v>
      </c>
      <c r="R68" s="122">
        <f>data_noord_nederland!F179</f>
        <v>270.64800000000002</v>
      </c>
      <c r="S68" s="125">
        <v>0</v>
      </c>
      <c r="T68" s="125">
        <v>0</v>
      </c>
      <c r="U68" s="23"/>
      <c r="V68" s="23"/>
      <c r="X68" s="40"/>
      <c r="Y68" s="40"/>
      <c r="Z68" s="40"/>
      <c r="AA68" s="40"/>
      <c r="AB68" s="5"/>
      <c r="FF68" s="61"/>
      <c r="FG68" s="61"/>
      <c r="FH68" s="61"/>
      <c r="FI68" s="61"/>
      <c r="FJ68" s="61"/>
      <c r="FK68" s="61"/>
      <c r="FL68" s="61"/>
      <c r="FM68" s="61"/>
      <c r="FN68" s="61"/>
      <c r="FO68" s="61"/>
      <c r="FP68" s="61"/>
      <c r="FQ68" s="61"/>
      <c r="FR68" s="61"/>
      <c r="FS68" s="61"/>
      <c r="FT68" s="61"/>
      <c r="FU68" s="61"/>
      <c r="FV68" s="61"/>
      <c r="FW68" s="61"/>
      <c r="FX68" s="61"/>
      <c r="FY68" s="61"/>
      <c r="FZ68" s="61"/>
      <c r="GA68" s="61"/>
      <c r="GB68" s="61"/>
      <c r="GC68" s="61"/>
      <c r="GD68" s="61"/>
      <c r="GE68" s="61"/>
      <c r="GF68" s="61"/>
      <c r="GG68" s="61"/>
      <c r="GH68" s="61"/>
      <c r="GI68" s="61"/>
      <c r="GJ68" s="61"/>
      <c r="GK68" s="61"/>
      <c r="GL68" s="61"/>
      <c r="GM68" s="61"/>
      <c r="GN68" s="61"/>
      <c r="GO68" s="61"/>
      <c r="GP68" s="61"/>
      <c r="GQ68" s="61"/>
      <c r="GR68" s="61"/>
      <c r="GS68" s="61"/>
      <c r="GT68" s="61"/>
      <c r="GU68" s="61"/>
      <c r="GV68" s="61"/>
      <c r="GW68" s="61"/>
      <c r="GX68" s="61"/>
      <c r="GY68" s="61"/>
      <c r="GZ68" s="61"/>
      <c r="HA68" s="61"/>
      <c r="HB68" s="61"/>
      <c r="HC68" s="61"/>
      <c r="HD68" s="61"/>
      <c r="HE68" s="61"/>
      <c r="HF68" s="61"/>
      <c r="HG68" s="61"/>
      <c r="HH68" s="61"/>
      <c r="HI68" s="61"/>
      <c r="HJ68" s="61"/>
      <c r="HK68" s="61"/>
      <c r="HL68" s="61"/>
      <c r="HM68" s="61"/>
      <c r="HN68" s="61"/>
      <c r="HO68" s="61"/>
      <c r="HP68" s="61"/>
    </row>
    <row r="69" spans="2:224" x14ac:dyDescent="0.2">
      <c r="B69" s="39" t="s">
        <v>300</v>
      </c>
      <c r="C69" s="39" t="s">
        <v>311</v>
      </c>
      <c r="D69" s="60" t="s">
        <v>320</v>
      </c>
      <c r="E69" s="60"/>
      <c r="F69" s="60"/>
      <c r="G69" s="60"/>
      <c r="H69" s="62"/>
      <c r="I69" s="34">
        <f t="shared" si="2"/>
        <v>0</v>
      </c>
      <c r="J69" s="34">
        <f t="shared" si="3"/>
        <v>0</v>
      </c>
      <c r="K69" s="37">
        <f>data_rotterdam_moerdijk!E231</f>
        <v>0</v>
      </c>
      <c r="L69" s="37">
        <f>data_rotterdam_moerdijk!F231</f>
        <v>0</v>
      </c>
      <c r="M69" s="121">
        <f>data_zeeland!E234</f>
        <v>0</v>
      </c>
      <c r="N69" s="121">
        <f>data_zeeland!F234</f>
        <v>0</v>
      </c>
      <c r="O69" s="7">
        <f>data_noordzeekanaalgebied!E171</f>
        <v>0</v>
      </c>
      <c r="P69" s="7">
        <f>data_noordzeekanaalgebied!F171</f>
        <v>0</v>
      </c>
      <c r="Q69" s="122">
        <f>data_noord_nederland!E180</f>
        <v>0</v>
      </c>
      <c r="R69" s="122">
        <f>data_noord_nederland!F180</f>
        <v>0</v>
      </c>
      <c r="S69" s="125">
        <v>0</v>
      </c>
      <c r="T69" s="125">
        <v>0</v>
      </c>
      <c r="U69" s="23"/>
      <c r="V69" s="23"/>
      <c r="X69" s="40"/>
      <c r="Y69" s="40"/>
      <c r="Z69" s="40"/>
      <c r="AA69" s="40"/>
      <c r="AB69" s="5"/>
      <c r="FF69" s="61"/>
      <c r="FG69" s="61"/>
      <c r="FH69" s="61"/>
      <c r="FI69" s="61"/>
      <c r="FJ69" s="61"/>
      <c r="FK69" s="61"/>
      <c r="FL69" s="61"/>
      <c r="FM69" s="61"/>
      <c r="FN69" s="61"/>
      <c r="FO69" s="61"/>
      <c r="FP69" s="61"/>
      <c r="FQ69" s="61"/>
      <c r="FR69" s="61"/>
      <c r="FS69" s="61"/>
      <c r="FT69" s="61"/>
      <c r="FU69" s="61"/>
      <c r="FV69" s="61"/>
      <c r="FW69" s="61"/>
      <c r="FX69" s="61"/>
      <c r="FY69" s="61"/>
      <c r="FZ69" s="61"/>
      <c r="GA69" s="61"/>
      <c r="GB69" s="61"/>
      <c r="GC69" s="61"/>
      <c r="GD69" s="61"/>
      <c r="GE69" s="61"/>
      <c r="GF69" s="61"/>
      <c r="GG69" s="61"/>
      <c r="GH69" s="61"/>
      <c r="GI69" s="61"/>
      <c r="GJ69" s="61"/>
      <c r="GK69" s="61"/>
      <c r="GL69" s="61"/>
      <c r="GM69" s="61"/>
      <c r="GN69" s="61"/>
      <c r="GO69" s="61"/>
      <c r="GP69" s="61"/>
      <c r="GQ69" s="61"/>
      <c r="GR69" s="61"/>
      <c r="GS69" s="61"/>
      <c r="GT69" s="61"/>
      <c r="GU69" s="61"/>
      <c r="GV69" s="61"/>
      <c r="GW69" s="61"/>
      <c r="GX69" s="61"/>
      <c r="GY69" s="61"/>
      <c r="GZ69" s="61"/>
      <c r="HA69" s="61"/>
      <c r="HB69" s="61"/>
      <c r="HC69" s="61"/>
      <c r="HD69" s="61"/>
      <c r="HE69" s="61"/>
      <c r="HF69" s="61"/>
      <c r="HG69" s="61"/>
      <c r="HH69" s="61"/>
      <c r="HI69" s="61"/>
      <c r="HJ69" s="61"/>
      <c r="HK69" s="61"/>
      <c r="HL69" s="61"/>
      <c r="HM69" s="61"/>
      <c r="HN69" s="61"/>
      <c r="HO69" s="61"/>
      <c r="HP69" s="61"/>
    </row>
    <row r="70" spans="2:224" x14ac:dyDescent="0.2">
      <c r="B70" s="39" t="s">
        <v>301</v>
      </c>
      <c r="C70" s="39" t="s">
        <v>311</v>
      </c>
      <c r="D70" s="60" t="s">
        <v>320</v>
      </c>
      <c r="E70" s="60"/>
      <c r="F70" s="60"/>
      <c r="G70" s="60"/>
      <c r="H70" s="62"/>
      <c r="I70" s="34">
        <f t="shared" si="2"/>
        <v>0</v>
      </c>
      <c r="J70" s="34">
        <f t="shared" si="3"/>
        <v>0</v>
      </c>
      <c r="K70" s="37">
        <f>data_rotterdam_moerdijk!E232</f>
        <v>0</v>
      </c>
      <c r="L70" s="37">
        <f>data_rotterdam_moerdijk!F232</f>
        <v>0</v>
      </c>
      <c r="M70" s="121">
        <f>data_zeeland!E235</f>
        <v>0</v>
      </c>
      <c r="N70" s="121">
        <f>data_zeeland!F235</f>
        <v>0</v>
      </c>
      <c r="O70" s="7">
        <f>data_noordzeekanaalgebied!E172</f>
        <v>0</v>
      </c>
      <c r="P70" s="7">
        <f>data_noordzeekanaalgebied!F172</f>
        <v>0</v>
      </c>
      <c r="Q70" s="122">
        <f>data_noord_nederland!E181</f>
        <v>0</v>
      </c>
      <c r="R70" s="122">
        <f>data_noord_nederland!F181</f>
        <v>0</v>
      </c>
      <c r="S70" s="125">
        <v>0</v>
      </c>
      <c r="T70" s="125">
        <v>0</v>
      </c>
      <c r="U70" s="23"/>
      <c r="V70" s="23"/>
      <c r="X70" s="40"/>
      <c r="Y70" s="40"/>
      <c r="Z70" s="40"/>
      <c r="AA70" s="40"/>
      <c r="AB70" s="5"/>
      <c r="FF70" s="61"/>
      <c r="FG70" s="61"/>
      <c r="FH70" s="61"/>
      <c r="FI70" s="61"/>
      <c r="FJ70" s="61"/>
      <c r="FK70" s="61"/>
      <c r="FL70" s="61"/>
      <c r="FM70" s="61"/>
      <c r="FN70" s="61"/>
      <c r="FO70" s="61"/>
      <c r="FP70" s="61"/>
      <c r="FQ70" s="61"/>
      <c r="FR70" s="61"/>
      <c r="FS70" s="61"/>
      <c r="FT70" s="61"/>
      <c r="FU70" s="61"/>
      <c r="FV70" s="61"/>
      <c r="FW70" s="61"/>
      <c r="FX70" s="61"/>
      <c r="FY70" s="61"/>
      <c r="FZ70" s="61"/>
      <c r="GA70" s="61"/>
      <c r="GB70" s="61"/>
      <c r="GC70" s="61"/>
      <c r="GD70" s="61"/>
      <c r="GE70" s="61"/>
      <c r="GF70" s="61"/>
      <c r="GG70" s="61"/>
      <c r="GH70" s="61"/>
      <c r="GI70" s="61"/>
      <c r="GJ70" s="61"/>
      <c r="GK70" s="61"/>
      <c r="GL70" s="61"/>
      <c r="GM70" s="61"/>
      <c r="GN70" s="61"/>
      <c r="GO70" s="61"/>
      <c r="GP70" s="61"/>
      <c r="GQ70" s="61"/>
      <c r="GR70" s="61"/>
      <c r="GS70" s="61"/>
      <c r="GT70" s="61"/>
      <c r="GU70" s="61"/>
      <c r="GV70" s="61"/>
      <c r="GW70" s="61"/>
      <c r="GX70" s="61"/>
      <c r="GY70" s="61"/>
      <c r="GZ70" s="61"/>
      <c r="HA70" s="61"/>
      <c r="HB70" s="61"/>
      <c r="HC70" s="61"/>
      <c r="HD70" s="61"/>
      <c r="HE70" s="61"/>
      <c r="HF70" s="61"/>
      <c r="HG70" s="61"/>
      <c r="HH70" s="61"/>
      <c r="HI70" s="61"/>
      <c r="HJ70" s="61"/>
      <c r="HK70" s="61"/>
      <c r="HL70" s="61"/>
      <c r="HM70" s="61"/>
      <c r="HN70" s="61"/>
      <c r="HO70" s="61"/>
      <c r="HP70" s="61"/>
    </row>
    <row r="71" spans="2:224" x14ac:dyDescent="0.2">
      <c r="C71" s="60"/>
      <c r="D71" s="60"/>
      <c r="E71" s="60"/>
      <c r="F71" s="60"/>
      <c r="G71" s="60"/>
      <c r="H71" s="62"/>
      <c r="I71" s="34"/>
      <c r="J71" s="34"/>
      <c r="K71" s="37"/>
      <c r="L71" s="37"/>
      <c r="M71" s="121"/>
      <c r="N71" s="121"/>
      <c r="O71" s="7"/>
      <c r="P71" s="7"/>
      <c r="Q71" s="122"/>
      <c r="R71" s="122"/>
      <c r="S71" s="125"/>
      <c r="T71" s="125"/>
      <c r="U71" s="23"/>
      <c r="V71" s="23"/>
      <c r="X71" s="40"/>
      <c r="Y71" s="40"/>
      <c r="Z71" s="40"/>
      <c r="AA71" s="40"/>
      <c r="AB71" s="5"/>
      <c r="FF71" s="61"/>
      <c r="FG71" s="61"/>
      <c r="FH71" s="61"/>
      <c r="FI71" s="61"/>
      <c r="FJ71" s="61"/>
      <c r="FK71" s="61"/>
      <c r="FL71" s="61"/>
      <c r="FM71" s="61"/>
      <c r="FN71" s="61"/>
      <c r="FO71" s="61"/>
      <c r="FP71" s="61"/>
      <c r="FQ71" s="61"/>
      <c r="FR71" s="61"/>
      <c r="FS71" s="61"/>
      <c r="FT71" s="61"/>
      <c r="FU71" s="61"/>
      <c r="FV71" s="61"/>
      <c r="FW71" s="61"/>
      <c r="FX71" s="61"/>
      <c r="FY71" s="61"/>
      <c r="FZ71" s="61"/>
      <c r="GA71" s="61"/>
      <c r="GB71" s="61"/>
      <c r="GC71" s="61"/>
      <c r="GD71" s="61"/>
      <c r="GE71" s="61"/>
      <c r="GF71" s="61"/>
      <c r="GG71" s="61"/>
      <c r="GH71" s="61"/>
      <c r="GI71" s="61"/>
      <c r="GJ71" s="61"/>
      <c r="GK71" s="61"/>
      <c r="GL71" s="61"/>
      <c r="GM71" s="61"/>
      <c r="GN71" s="61"/>
      <c r="GO71" s="61"/>
      <c r="GP71" s="61"/>
      <c r="GQ71" s="61"/>
      <c r="GR71" s="61"/>
      <c r="GS71" s="61"/>
      <c r="GT71" s="61"/>
      <c r="GU71" s="61"/>
      <c r="GV71" s="61"/>
      <c r="GW71" s="61"/>
      <c r="GX71" s="61"/>
      <c r="GY71" s="61"/>
      <c r="GZ71" s="61"/>
      <c r="HA71" s="61"/>
      <c r="HB71" s="61"/>
      <c r="HC71" s="61"/>
      <c r="HD71" s="61"/>
      <c r="HE71" s="61"/>
      <c r="HF71" s="61"/>
      <c r="HG71" s="61"/>
      <c r="HH71" s="61"/>
      <c r="HI71" s="61"/>
      <c r="HJ71" s="61"/>
      <c r="HK71" s="61"/>
      <c r="HL71" s="61"/>
      <c r="HM71" s="61"/>
      <c r="HN71" s="61"/>
      <c r="HO71" s="61"/>
      <c r="HP71" s="61"/>
    </row>
    <row r="72" spans="2:224" x14ac:dyDescent="0.2">
      <c r="B72" s="39" t="s">
        <v>311</v>
      </c>
      <c r="C72" s="39" t="s">
        <v>294</v>
      </c>
      <c r="D72" s="60" t="s">
        <v>320</v>
      </c>
      <c r="E72" s="60"/>
      <c r="F72" s="60"/>
      <c r="G72" s="60"/>
      <c r="H72" s="62"/>
      <c r="I72" s="34">
        <f t="shared" si="2"/>
        <v>0</v>
      </c>
      <c r="J72" s="34">
        <f t="shared" si="3"/>
        <v>6142.2252307692297</v>
      </c>
      <c r="K72" s="37">
        <f>data_rotterdam_moerdijk!E234</f>
        <v>0</v>
      </c>
      <c r="L72" s="37">
        <f>data_rotterdam_moerdijk!F234</f>
        <v>6189.6738461538453</v>
      </c>
      <c r="M72" s="121">
        <f>data_zeeland!E237</f>
        <v>0</v>
      </c>
      <c r="N72" s="121">
        <f>data_zeeland!F237</f>
        <v>-47.448615384615678</v>
      </c>
      <c r="O72" s="7">
        <f>data_noordzeekanaalgebied!E174</f>
        <v>0</v>
      </c>
      <c r="P72" s="7">
        <f>data_noordzeekanaalgebied!F174</f>
        <v>0</v>
      </c>
      <c r="Q72" s="122">
        <f>data_noord_nederland!E183</f>
        <v>0</v>
      </c>
      <c r="R72" s="122">
        <f>data_noord_nederland!F183</f>
        <v>0</v>
      </c>
      <c r="S72" s="125">
        <v>0</v>
      </c>
      <c r="T72" s="125">
        <v>0</v>
      </c>
      <c r="U72" s="23"/>
      <c r="V72" s="23"/>
      <c r="X72" s="40"/>
      <c r="Y72" s="40"/>
      <c r="Z72" s="40"/>
      <c r="AA72" s="40"/>
      <c r="AB72" s="5"/>
      <c r="DH72" s="61"/>
      <c r="FF72" s="61"/>
      <c r="FG72" s="61"/>
      <c r="FH72" s="61"/>
      <c r="FI72" s="61"/>
      <c r="FJ72" s="61"/>
      <c r="FK72" s="61"/>
      <c r="FL72" s="61"/>
      <c r="FM72" s="61"/>
      <c r="FN72" s="61"/>
      <c r="FO72" s="61"/>
      <c r="FP72" s="61"/>
      <c r="FQ72" s="61"/>
      <c r="FR72" s="61"/>
      <c r="FS72" s="61"/>
      <c r="FT72" s="61"/>
      <c r="FU72" s="61"/>
      <c r="FV72" s="61"/>
      <c r="FW72" s="61"/>
      <c r="FX72" s="61"/>
      <c r="FY72" s="61"/>
      <c r="FZ72" s="61"/>
      <c r="GA72" s="61"/>
      <c r="GB72" s="61"/>
      <c r="GC72" s="61"/>
      <c r="GD72" s="61"/>
      <c r="GE72" s="61"/>
      <c r="GF72" s="61"/>
      <c r="GG72" s="61"/>
      <c r="GH72" s="61"/>
      <c r="GI72" s="61"/>
      <c r="GJ72" s="61"/>
      <c r="GK72" s="61"/>
      <c r="GL72" s="61"/>
      <c r="GM72" s="61"/>
      <c r="GN72" s="61"/>
      <c r="GO72" s="61"/>
      <c r="GP72" s="61"/>
      <c r="GQ72" s="61"/>
      <c r="GR72" s="61"/>
      <c r="GS72" s="61"/>
      <c r="GT72" s="61"/>
      <c r="GU72" s="61"/>
      <c r="GV72" s="61"/>
      <c r="GW72" s="61"/>
      <c r="GX72" s="61"/>
      <c r="GY72" s="61"/>
      <c r="GZ72" s="61"/>
      <c r="HA72" s="61"/>
      <c r="HB72" s="61"/>
      <c r="HC72" s="61"/>
      <c r="HD72" s="61"/>
      <c r="HE72" s="61"/>
      <c r="HF72" s="61"/>
      <c r="HG72" s="61"/>
      <c r="HH72" s="61"/>
      <c r="HI72" s="61"/>
      <c r="HJ72" s="61"/>
      <c r="HK72" s="61"/>
      <c r="HL72" s="61"/>
      <c r="HM72" s="61"/>
      <c r="HN72" s="61"/>
      <c r="HO72" s="61"/>
      <c r="HP72" s="61"/>
    </row>
    <row r="73" spans="2:224" x14ac:dyDescent="0.2">
      <c r="B73" s="39" t="s">
        <v>311</v>
      </c>
      <c r="C73" s="39" t="s">
        <v>295</v>
      </c>
      <c r="D73" s="60" t="s">
        <v>320</v>
      </c>
      <c r="E73" s="60"/>
      <c r="F73" s="60"/>
      <c r="G73" s="60"/>
      <c r="H73" s="62"/>
      <c r="I73" s="34">
        <f t="shared" si="2"/>
        <v>0</v>
      </c>
      <c r="J73" s="34">
        <f t="shared" si="3"/>
        <v>13459.295999999998</v>
      </c>
      <c r="K73" s="37">
        <f>data_rotterdam_moerdijk!E235</f>
        <v>0</v>
      </c>
      <c r="L73" s="37">
        <f>data_rotterdam_moerdijk!F235</f>
        <v>5685.119999999999</v>
      </c>
      <c r="M73" s="121">
        <f>data_zeeland!E238</f>
        <v>0</v>
      </c>
      <c r="N73" s="121">
        <f>data_zeeland!F238</f>
        <v>5743.7759999999998</v>
      </c>
      <c r="O73" s="7">
        <f>data_noordzeekanaalgebied!E175</f>
        <v>0</v>
      </c>
      <c r="P73" s="7">
        <f>data_noordzeekanaalgebied!F175</f>
        <v>0</v>
      </c>
      <c r="Q73" s="122">
        <f>data_noord_nederland!E184</f>
        <v>0</v>
      </c>
      <c r="R73" s="122">
        <f>data_noord_nederland!F184</f>
        <v>2030.3999999999999</v>
      </c>
      <c r="S73" s="125">
        <v>0</v>
      </c>
      <c r="T73" s="125">
        <v>0</v>
      </c>
      <c r="U73" s="23"/>
      <c r="V73" s="23"/>
      <c r="X73" s="40"/>
      <c r="Y73" s="40"/>
      <c r="Z73" s="40"/>
      <c r="AA73" s="40"/>
      <c r="AB73" s="5"/>
      <c r="FF73" s="61"/>
      <c r="FG73" s="61"/>
      <c r="FH73" s="61"/>
      <c r="FI73" s="61"/>
      <c r="FJ73" s="61"/>
      <c r="FK73" s="61"/>
      <c r="FL73" s="61"/>
      <c r="FM73" s="61"/>
      <c r="FN73" s="61"/>
      <c r="FO73" s="61"/>
      <c r="FP73" s="61"/>
      <c r="FQ73" s="61"/>
      <c r="FR73" s="61"/>
      <c r="FS73" s="61"/>
      <c r="FT73" s="61"/>
      <c r="FU73" s="61"/>
      <c r="FV73" s="61"/>
      <c r="FW73" s="61"/>
      <c r="FX73" s="61"/>
      <c r="FY73" s="61"/>
      <c r="FZ73" s="61"/>
      <c r="GA73" s="61"/>
      <c r="GB73" s="61"/>
      <c r="GC73" s="61"/>
      <c r="GD73" s="61"/>
      <c r="GE73" s="61"/>
      <c r="GF73" s="61"/>
      <c r="GG73" s="61"/>
      <c r="GH73" s="61"/>
      <c r="GI73" s="61"/>
      <c r="GJ73" s="61"/>
      <c r="GK73" s="61"/>
      <c r="GL73" s="61"/>
      <c r="GM73" s="61"/>
      <c r="GN73" s="61"/>
      <c r="GO73" s="61"/>
      <c r="GP73" s="61"/>
      <c r="GQ73" s="61"/>
      <c r="GR73" s="61"/>
      <c r="GS73" s="61"/>
      <c r="GT73" s="61"/>
      <c r="GU73" s="61"/>
      <c r="GV73" s="61"/>
      <c r="GW73" s="61"/>
      <c r="GX73" s="61"/>
      <c r="GY73" s="61"/>
      <c r="GZ73" s="61"/>
      <c r="HA73" s="61"/>
      <c r="HB73" s="61"/>
      <c r="HC73" s="61"/>
      <c r="HD73" s="61"/>
      <c r="HE73" s="61"/>
      <c r="HF73" s="61"/>
      <c r="HG73" s="61"/>
      <c r="HH73" s="61"/>
      <c r="HI73" s="61"/>
      <c r="HJ73" s="61"/>
      <c r="HK73" s="61"/>
      <c r="HL73" s="61"/>
      <c r="HM73" s="61"/>
      <c r="HN73" s="61"/>
      <c r="HO73" s="61"/>
      <c r="HP73" s="61"/>
    </row>
    <row r="74" spans="2:224" x14ac:dyDescent="0.2">
      <c r="B74" s="39" t="s">
        <v>311</v>
      </c>
      <c r="C74" s="39" t="s">
        <v>296</v>
      </c>
      <c r="D74" s="60" t="s">
        <v>320</v>
      </c>
      <c r="E74" s="60"/>
      <c r="F74" s="60"/>
      <c r="G74" s="60"/>
      <c r="H74" s="62"/>
      <c r="I74" s="34">
        <f t="shared" si="2"/>
        <v>600</v>
      </c>
      <c r="J74" s="34">
        <f t="shared" si="3"/>
        <v>175</v>
      </c>
      <c r="K74" s="37">
        <f>data_rotterdam_moerdijk!E236</f>
        <v>600</v>
      </c>
      <c r="L74" s="37">
        <f>data_rotterdam_moerdijk!F236</f>
        <v>0</v>
      </c>
      <c r="M74" s="121">
        <f>data_zeeland!E239</f>
        <v>0</v>
      </c>
      <c r="N74" s="121">
        <f>data_zeeland!F239</f>
        <v>0</v>
      </c>
      <c r="O74" s="7">
        <f>data_noordzeekanaalgebied!E176</f>
        <v>0</v>
      </c>
      <c r="P74" s="7">
        <f>data_noordzeekanaalgebied!F176</f>
        <v>0</v>
      </c>
      <c r="Q74" s="122">
        <f>data_noord_nederland!E185</f>
        <v>0</v>
      </c>
      <c r="R74" s="122">
        <f>data_noord_nederland!F185</f>
        <v>175</v>
      </c>
      <c r="S74" s="125">
        <v>0</v>
      </c>
      <c r="T74" s="125">
        <v>0</v>
      </c>
      <c r="U74" s="23"/>
      <c r="V74" s="23"/>
      <c r="X74" s="40"/>
      <c r="Y74" s="40"/>
      <c r="Z74" s="40"/>
      <c r="AA74" s="40"/>
      <c r="AB74" s="5"/>
      <c r="FF74" s="61"/>
      <c r="FG74" s="61"/>
      <c r="FH74" s="61"/>
      <c r="FI74" s="61"/>
      <c r="FJ74" s="61"/>
      <c r="FK74" s="61"/>
      <c r="FL74" s="61"/>
      <c r="FM74" s="61"/>
      <c r="FN74" s="61"/>
      <c r="FO74" s="61"/>
      <c r="FP74" s="61"/>
      <c r="FQ74" s="61"/>
      <c r="FR74" s="61"/>
      <c r="FS74" s="61"/>
      <c r="FT74" s="61"/>
      <c r="FU74" s="61"/>
      <c r="FV74" s="61"/>
      <c r="FW74" s="61"/>
      <c r="FX74" s="61"/>
      <c r="FY74" s="61"/>
      <c r="FZ74" s="61"/>
      <c r="GA74" s="61"/>
      <c r="GB74" s="61"/>
      <c r="GC74" s="61"/>
      <c r="GD74" s="61"/>
      <c r="GE74" s="61"/>
      <c r="GF74" s="61"/>
      <c r="GG74" s="61"/>
      <c r="GH74" s="61"/>
      <c r="GI74" s="61"/>
      <c r="GJ74" s="61"/>
      <c r="GK74" s="61"/>
      <c r="GL74" s="61"/>
      <c r="GM74" s="61"/>
      <c r="GN74" s="61"/>
      <c r="GO74" s="61"/>
      <c r="GP74" s="61"/>
      <c r="GQ74" s="61"/>
      <c r="GR74" s="61"/>
      <c r="GS74" s="61"/>
      <c r="GT74" s="61"/>
      <c r="GU74" s="61"/>
      <c r="GV74" s="61"/>
      <c r="GW74" s="61"/>
      <c r="GX74" s="61"/>
      <c r="GY74" s="61"/>
      <c r="GZ74" s="61"/>
      <c r="HA74" s="61"/>
      <c r="HB74" s="61"/>
      <c r="HC74" s="61"/>
      <c r="HD74" s="61"/>
      <c r="HE74" s="61"/>
      <c r="HF74" s="61"/>
      <c r="HG74" s="61"/>
      <c r="HH74" s="61"/>
      <c r="HI74" s="61"/>
      <c r="HJ74" s="61"/>
      <c r="HK74" s="61"/>
      <c r="HL74" s="61"/>
      <c r="HM74" s="61"/>
      <c r="HN74" s="61"/>
      <c r="HO74" s="61"/>
      <c r="HP74" s="61"/>
    </row>
    <row r="75" spans="2:224" x14ac:dyDescent="0.2">
      <c r="B75" s="39" t="s">
        <v>311</v>
      </c>
      <c r="C75" s="39" t="s">
        <v>302</v>
      </c>
      <c r="D75" s="60" t="s">
        <v>320</v>
      </c>
      <c r="E75" s="60"/>
      <c r="F75" s="60"/>
      <c r="G75" s="60"/>
      <c r="H75" s="62"/>
      <c r="I75" s="34">
        <f t="shared" si="2"/>
        <v>0</v>
      </c>
      <c r="J75" s="34">
        <f t="shared" si="3"/>
        <v>600</v>
      </c>
      <c r="K75" s="37">
        <f>data_rotterdam_moerdijk!E237</f>
        <v>0</v>
      </c>
      <c r="L75" s="37">
        <f>data_rotterdam_moerdijk!F237</f>
        <v>0</v>
      </c>
      <c r="M75" s="121">
        <f>data_zeeland!E240</f>
        <v>0</v>
      </c>
      <c r="N75" s="121">
        <f>data_zeeland!F240</f>
        <v>0</v>
      </c>
      <c r="O75" s="7">
        <f>data_noordzeekanaalgebied!E177</f>
        <v>0</v>
      </c>
      <c r="P75" s="7">
        <f>data_noordzeekanaalgebied!F177</f>
        <v>600</v>
      </c>
      <c r="Q75" s="122">
        <f>data_noord_nederland!E186</f>
        <v>0</v>
      </c>
      <c r="R75" s="122">
        <f>data_noord_nederland!F186</f>
        <v>0</v>
      </c>
      <c r="S75" s="125">
        <v>0</v>
      </c>
      <c r="T75" s="125">
        <v>0</v>
      </c>
      <c r="U75" s="23"/>
      <c r="V75" s="23"/>
      <c r="X75" s="40"/>
      <c r="Y75" s="40"/>
      <c r="Z75" s="40"/>
      <c r="AA75" s="40"/>
      <c r="AB75" s="5"/>
      <c r="FF75" s="61"/>
      <c r="FG75" s="61"/>
      <c r="FH75" s="61"/>
      <c r="FI75" s="61"/>
      <c r="FJ75" s="61"/>
      <c r="FK75" s="61"/>
      <c r="FL75" s="61"/>
      <c r="FM75" s="61"/>
      <c r="FN75" s="61"/>
      <c r="FO75" s="61"/>
      <c r="FP75" s="61"/>
      <c r="FQ75" s="61"/>
      <c r="FR75" s="61"/>
      <c r="FS75" s="61"/>
      <c r="FT75" s="61"/>
      <c r="FU75" s="61"/>
      <c r="FV75" s="61"/>
      <c r="FW75" s="61"/>
      <c r="FX75" s="61"/>
      <c r="FY75" s="61"/>
      <c r="FZ75" s="61"/>
      <c r="GA75" s="61"/>
      <c r="GB75" s="61"/>
      <c r="GC75" s="61"/>
      <c r="GD75" s="61"/>
      <c r="GE75" s="61"/>
      <c r="GF75" s="61"/>
      <c r="GG75" s="61"/>
      <c r="GH75" s="61"/>
      <c r="GI75" s="61"/>
      <c r="GJ75" s="61"/>
      <c r="GK75" s="61"/>
      <c r="GL75" s="61"/>
      <c r="GM75" s="61"/>
      <c r="GN75" s="61"/>
      <c r="GO75" s="61"/>
      <c r="GP75" s="61"/>
      <c r="GQ75" s="61"/>
      <c r="GR75" s="61"/>
      <c r="GS75" s="61"/>
      <c r="GT75" s="61"/>
      <c r="GU75" s="61"/>
      <c r="GV75" s="61"/>
      <c r="GW75" s="61"/>
      <c r="GX75" s="61"/>
      <c r="GY75" s="61"/>
      <c r="GZ75" s="61"/>
      <c r="HA75" s="61"/>
      <c r="HB75" s="61"/>
      <c r="HC75" s="61"/>
      <c r="HD75" s="61"/>
      <c r="HE75" s="61"/>
      <c r="HF75" s="61"/>
      <c r="HG75" s="61"/>
      <c r="HH75" s="61"/>
      <c r="HI75" s="61"/>
      <c r="HJ75" s="61"/>
      <c r="HK75" s="61"/>
      <c r="HL75" s="61"/>
      <c r="HM75" s="61"/>
      <c r="HN75" s="61"/>
      <c r="HO75" s="61"/>
      <c r="HP75" s="61"/>
    </row>
    <row r="76" spans="2:224" x14ac:dyDescent="0.2">
      <c r="B76" s="39" t="s">
        <v>311</v>
      </c>
      <c r="C76" s="39" t="s">
        <v>303</v>
      </c>
      <c r="D76" s="60" t="s">
        <v>320</v>
      </c>
      <c r="E76" s="60"/>
      <c r="F76" s="60"/>
      <c r="G76" s="60"/>
      <c r="H76" s="62"/>
      <c r="I76" s="34">
        <f t="shared" si="2"/>
        <v>0</v>
      </c>
      <c r="J76" s="34">
        <f t="shared" si="3"/>
        <v>500</v>
      </c>
      <c r="K76" s="37">
        <f>data_rotterdam_moerdijk!E238</f>
        <v>0</v>
      </c>
      <c r="L76" s="37">
        <f>data_rotterdam_moerdijk!F238</f>
        <v>0</v>
      </c>
      <c r="M76" s="121">
        <f>data_zeeland!E241</f>
        <v>0</v>
      </c>
      <c r="N76" s="121">
        <f>data_zeeland!F241</f>
        <v>0</v>
      </c>
      <c r="O76" s="7">
        <f>data_noordzeekanaalgebied!E178</f>
        <v>0</v>
      </c>
      <c r="P76" s="7">
        <f>data_noordzeekanaalgebied!F178</f>
        <v>500</v>
      </c>
      <c r="Q76" s="122">
        <f>data_noord_nederland!E187</f>
        <v>0</v>
      </c>
      <c r="R76" s="122">
        <f>data_noord_nederland!F187</f>
        <v>0</v>
      </c>
      <c r="S76" s="125">
        <v>0</v>
      </c>
      <c r="T76" s="125">
        <v>0</v>
      </c>
      <c r="U76" s="23"/>
      <c r="V76" s="23"/>
      <c r="X76" s="40"/>
      <c r="Y76" s="40"/>
      <c r="Z76" s="40"/>
      <c r="AA76" s="40"/>
      <c r="AB76" s="5"/>
      <c r="FF76" s="61"/>
      <c r="FG76" s="61"/>
      <c r="FH76" s="61"/>
      <c r="FI76" s="61"/>
      <c r="FJ76" s="61"/>
      <c r="FK76" s="61"/>
      <c r="FL76" s="61"/>
      <c r="FM76" s="61"/>
      <c r="FN76" s="61"/>
      <c r="FO76" s="61"/>
      <c r="FP76" s="61"/>
      <c r="FQ76" s="61"/>
      <c r="FR76" s="61"/>
      <c r="FS76" s="61"/>
      <c r="FT76" s="61"/>
      <c r="FU76" s="61"/>
      <c r="FV76" s="61"/>
      <c r="FW76" s="61"/>
      <c r="FX76" s="61"/>
      <c r="FY76" s="61"/>
      <c r="FZ76" s="61"/>
      <c r="GA76" s="61"/>
      <c r="GB76" s="61"/>
      <c r="GC76" s="61"/>
      <c r="GD76" s="61"/>
      <c r="GE76" s="61"/>
      <c r="GF76" s="61"/>
      <c r="GG76" s="61"/>
      <c r="GH76" s="61"/>
      <c r="GI76" s="61"/>
      <c r="GJ76" s="61"/>
      <c r="GK76" s="61"/>
      <c r="GL76" s="61"/>
      <c r="GM76" s="61"/>
      <c r="GN76" s="61"/>
      <c r="GO76" s="61"/>
      <c r="GP76" s="61"/>
      <c r="GQ76" s="61"/>
      <c r="GR76" s="61"/>
      <c r="GS76" s="61"/>
      <c r="GT76" s="61"/>
      <c r="GU76" s="61"/>
      <c r="GV76" s="61"/>
      <c r="GW76" s="61"/>
      <c r="GX76" s="61"/>
      <c r="GY76" s="61"/>
      <c r="GZ76" s="61"/>
      <c r="HA76" s="61"/>
      <c r="HB76" s="61"/>
      <c r="HC76" s="61"/>
      <c r="HD76" s="61"/>
      <c r="HE76" s="61"/>
      <c r="HF76" s="61"/>
      <c r="HG76" s="61"/>
      <c r="HH76" s="61"/>
      <c r="HI76" s="61"/>
      <c r="HJ76" s="61"/>
      <c r="HK76" s="61"/>
      <c r="HL76" s="61"/>
      <c r="HM76" s="61"/>
      <c r="HN76" s="61"/>
      <c r="HO76" s="61"/>
      <c r="HP76" s="61"/>
    </row>
    <row r="77" spans="2:224" x14ac:dyDescent="0.2">
      <c r="B77" s="39" t="s">
        <v>311</v>
      </c>
      <c r="C77" s="39" t="s">
        <v>304</v>
      </c>
      <c r="D77" s="60" t="s">
        <v>320</v>
      </c>
      <c r="E77" s="60"/>
      <c r="F77" s="60"/>
      <c r="G77" s="60"/>
      <c r="H77" s="62"/>
      <c r="I77" s="34">
        <f t="shared" si="2"/>
        <v>0</v>
      </c>
      <c r="J77" s="34">
        <f t="shared" si="3"/>
        <v>0</v>
      </c>
      <c r="K77" s="37">
        <f>data_rotterdam_moerdijk!E239</f>
        <v>0</v>
      </c>
      <c r="L77" s="37">
        <f>data_rotterdam_moerdijk!F239</f>
        <v>0</v>
      </c>
      <c r="M77" s="121">
        <f>data_zeeland!E242</f>
        <v>0</v>
      </c>
      <c r="N77" s="121">
        <f>data_zeeland!F242</f>
        <v>0</v>
      </c>
      <c r="O77" s="7">
        <f>data_noordzeekanaalgebied!E179</f>
        <v>0</v>
      </c>
      <c r="P77" s="7">
        <f>data_noordzeekanaalgebied!F179</f>
        <v>0</v>
      </c>
      <c r="Q77" s="122">
        <f>data_noord_nederland!E188</f>
        <v>0</v>
      </c>
      <c r="R77" s="122">
        <f>data_noord_nederland!F188</f>
        <v>0</v>
      </c>
      <c r="S77" s="125">
        <v>0</v>
      </c>
      <c r="T77" s="125">
        <v>0</v>
      </c>
      <c r="U77" s="23"/>
      <c r="V77" s="23"/>
      <c r="X77" s="40"/>
      <c r="Y77" s="40"/>
      <c r="Z77" s="40"/>
      <c r="AA77" s="40"/>
      <c r="AB77" s="5"/>
      <c r="FF77" s="61"/>
      <c r="FG77" s="61"/>
      <c r="FH77" s="61"/>
      <c r="FI77" s="61"/>
      <c r="FJ77" s="61"/>
      <c r="FK77" s="61"/>
      <c r="FL77" s="61"/>
      <c r="FM77" s="61"/>
      <c r="FN77" s="61"/>
      <c r="FO77" s="61"/>
      <c r="FP77" s="61"/>
      <c r="FQ77" s="61"/>
      <c r="FR77" s="61"/>
      <c r="FS77" s="61"/>
      <c r="FT77" s="61"/>
      <c r="FU77" s="61"/>
      <c r="FV77" s="61"/>
      <c r="FW77" s="61"/>
      <c r="FX77" s="61"/>
      <c r="FY77" s="61"/>
      <c r="FZ77" s="61"/>
      <c r="GA77" s="61"/>
      <c r="GB77" s="61"/>
      <c r="GC77" s="61"/>
      <c r="GD77" s="61"/>
      <c r="GE77" s="61"/>
      <c r="GF77" s="61"/>
      <c r="GG77" s="61"/>
      <c r="GH77" s="61"/>
      <c r="GI77" s="61"/>
      <c r="GJ77" s="61"/>
      <c r="GK77" s="61"/>
      <c r="GL77" s="61"/>
      <c r="GM77" s="61"/>
      <c r="GN77" s="61"/>
      <c r="GO77" s="61"/>
      <c r="GP77" s="61"/>
      <c r="GQ77" s="61"/>
      <c r="GR77" s="61"/>
      <c r="GS77" s="61"/>
      <c r="GT77" s="61"/>
      <c r="GU77" s="61"/>
      <c r="GV77" s="61"/>
      <c r="GW77" s="61"/>
      <c r="GX77" s="61"/>
      <c r="GY77" s="61"/>
      <c r="GZ77" s="61"/>
      <c r="HA77" s="61"/>
      <c r="HB77" s="61"/>
      <c r="HC77" s="61"/>
      <c r="HD77" s="61"/>
      <c r="HE77" s="61"/>
      <c r="HF77" s="61"/>
      <c r="HG77" s="61"/>
      <c r="HH77" s="61"/>
      <c r="HI77" s="61"/>
      <c r="HJ77" s="61"/>
      <c r="HK77" s="61"/>
      <c r="HL77" s="61"/>
      <c r="HM77" s="61"/>
      <c r="HN77" s="61"/>
      <c r="HO77" s="61"/>
      <c r="HP77" s="61"/>
    </row>
    <row r="78" spans="2:224" x14ac:dyDescent="0.2">
      <c r="B78" s="39" t="s">
        <v>311</v>
      </c>
      <c r="C78" s="39" t="s">
        <v>305</v>
      </c>
      <c r="D78" s="60" t="s">
        <v>320</v>
      </c>
      <c r="E78" s="60"/>
      <c r="F78" s="60"/>
      <c r="G78" s="60"/>
      <c r="H78" s="62"/>
      <c r="I78" s="34">
        <f t="shared" si="2"/>
        <v>0</v>
      </c>
      <c r="J78" s="34">
        <f t="shared" si="3"/>
        <v>0</v>
      </c>
      <c r="K78" s="37">
        <f>data_rotterdam_moerdijk!E240</f>
        <v>0</v>
      </c>
      <c r="L78" s="37">
        <f>data_rotterdam_moerdijk!F240</f>
        <v>0</v>
      </c>
      <c r="M78" s="121">
        <f>data_zeeland!E243</f>
        <v>0</v>
      </c>
      <c r="N78" s="121">
        <f>data_zeeland!F243</f>
        <v>0</v>
      </c>
      <c r="O78" s="7">
        <f>data_noordzeekanaalgebied!E180</f>
        <v>0</v>
      </c>
      <c r="P78" s="7">
        <f>data_noordzeekanaalgebied!F180</f>
        <v>0</v>
      </c>
      <c r="Q78" s="122">
        <f>data_noord_nederland!E189</f>
        <v>0</v>
      </c>
      <c r="R78" s="122">
        <f>data_noord_nederland!F189</f>
        <v>0</v>
      </c>
      <c r="S78" s="125">
        <v>0</v>
      </c>
      <c r="T78" s="125">
        <v>0</v>
      </c>
      <c r="U78" s="23"/>
      <c r="V78" s="23"/>
      <c r="X78" s="40"/>
      <c r="Y78" s="40"/>
      <c r="Z78" s="40"/>
      <c r="AA78" s="40"/>
      <c r="AB78" s="5"/>
      <c r="FF78" s="61"/>
      <c r="FG78" s="61"/>
      <c r="FH78" s="61"/>
      <c r="FI78" s="61"/>
      <c r="FJ78" s="61"/>
      <c r="FK78" s="61"/>
      <c r="FL78" s="61"/>
      <c r="FM78" s="61"/>
      <c r="FN78" s="61"/>
      <c r="FO78" s="61"/>
      <c r="FP78" s="61"/>
      <c r="FQ78" s="61"/>
      <c r="FR78" s="61"/>
      <c r="FS78" s="61"/>
      <c r="FT78" s="61"/>
      <c r="FU78" s="61"/>
      <c r="FV78" s="61"/>
      <c r="FW78" s="61"/>
      <c r="FX78" s="61"/>
      <c r="FY78" s="61"/>
      <c r="FZ78" s="61"/>
      <c r="GA78" s="61"/>
      <c r="GB78" s="61"/>
      <c r="GC78" s="61"/>
      <c r="GD78" s="61"/>
      <c r="GE78" s="61"/>
      <c r="GF78" s="61"/>
      <c r="GG78" s="61"/>
      <c r="GH78" s="61"/>
      <c r="GI78" s="61"/>
      <c r="GJ78" s="61"/>
      <c r="GK78" s="61"/>
      <c r="GL78" s="61"/>
      <c r="GM78" s="61"/>
      <c r="GN78" s="61"/>
      <c r="GO78" s="61"/>
      <c r="GP78" s="61"/>
      <c r="GQ78" s="61"/>
      <c r="GR78" s="61"/>
      <c r="GS78" s="61"/>
      <c r="GT78" s="61"/>
      <c r="GU78" s="61"/>
      <c r="GV78" s="61"/>
      <c r="GW78" s="61"/>
      <c r="GX78" s="61"/>
      <c r="GY78" s="61"/>
      <c r="GZ78" s="61"/>
      <c r="HA78" s="61"/>
      <c r="HB78" s="61"/>
      <c r="HC78" s="61"/>
      <c r="HD78" s="61"/>
      <c r="HE78" s="61"/>
      <c r="HF78" s="61"/>
      <c r="HG78" s="61"/>
      <c r="HH78" s="61"/>
      <c r="HI78" s="61"/>
      <c r="HJ78" s="61"/>
      <c r="HK78" s="61"/>
      <c r="HL78" s="61"/>
      <c r="HM78" s="61"/>
      <c r="HN78" s="61"/>
      <c r="HO78" s="61"/>
      <c r="HP78" s="61"/>
    </row>
    <row r="79" spans="2:224" x14ac:dyDescent="0.2">
      <c r="B79" s="39" t="s">
        <v>311</v>
      </c>
      <c r="C79" s="39" t="s">
        <v>306</v>
      </c>
      <c r="D79" s="60" t="s">
        <v>320</v>
      </c>
      <c r="E79" s="60"/>
      <c r="F79" s="60"/>
      <c r="G79" s="60"/>
      <c r="H79" s="62"/>
      <c r="I79" s="34">
        <f t="shared" si="2"/>
        <v>0</v>
      </c>
      <c r="J79" s="34">
        <f t="shared" si="3"/>
        <v>0</v>
      </c>
      <c r="K79" s="37">
        <f>data_rotterdam_moerdijk!E241</f>
        <v>0</v>
      </c>
      <c r="L79" s="37">
        <f>data_rotterdam_moerdijk!F241</f>
        <v>0</v>
      </c>
      <c r="M79" s="121">
        <f>data_zeeland!E244</f>
        <v>0</v>
      </c>
      <c r="N79" s="121">
        <f>data_zeeland!F244</f>
        <v>0</v>
      </c>
      <c r="O79" s="7">
        <f>data_noordzeekanaalgebied!E181</f>
        <v>0</v>
      </c>
      <c r="P79" s="7">
        <f>data_noordzeekanaalgebied!F181</f>
        <v>0</v>
      </c>
      <c r="Q79" s="122">
        <f>data_noord_nederland!E190</f>
        <v>0</v>
      </c>
      <c r="R79" s="122">
        <f>data_noord_nederland!F190</f>
        <v>0</v>
      </c>
      <c r="S79" s="125">
        <v>0</v>
      </c>
      <c r="T79" s="125">
        <v>0</v>
      </c>
      <c r="U79" s="23"/>
      <c r="V79" s="23"/>
      <c r="X79" s="40"/>
      <c r="Y79" s="40"/>
      <c r="Z79" s="40"/>
      <c r="AA79" s="40"/>
      <c r="AB79" s="5"/>
      <c r="DH79" s="61"/>
      <c r="FF79" s="61"/>
      <c r="FG79" s="61"/>
      <c r="FH79" s="61"/>
      <c r="FI79" s="61"/>
      <c r="FJ79" s="61"/>
      <c r="FK79" s="61"/>
      <c r="FL79" s="61"/>
      <c r="FM79" s="61"/>
      <c r="FN79" s="61"/>
      <c r="FO79" s="61"/>
      <c r="FP79" s="61"/>
      <c r="FQ79" s="61"/>
      <c r="FR79" s="61"/>
      <c r="FS79" s="61"/>
      <c r="FT79" s="61"/>
      <c r="FU79" s="61"/>
      <c r="FV79" s="61"/>
      <c r="FW79" s="61"/>
      <c r="FX79" s="61"/>
      <c r="FY79" s="61"/>
      <c r="FZ79" s="61"/>
      <c r="GA79" s="61"/>
      <c r="GB79" s="61"/>
      <c r="GC79" s="61"/>
      <c r="GD79" s="61"/>
      <c r="GE79" s="61"/>
      <c r="GF79" s="61"/>
      <c r="GG79" s="61"/>
      <c r="GH79" s="61"/>
      <c r="GI79" s="61"/>
      <c r="GJ79" s="61"/>
      <c r="GK79" s="61"/>
      <c r="GL79" s="61"/>
      <c r="GM79" s="61"/>
      <c r="GN79" s="61"/>
      <c r="GO79" s="61"/>
      <c r="GP79" s="61"/>
      <c r="GQ79" s="61"/>
      <c r="GR79" s="61"/>
      <c r="GS79" s="61"/>
      <c r="GT79" s="61"/>
      <c r="GU79" s="61"/>
      <c r="GV79" s="61"/>
      <c r="GW79" s="61"/>
      <c r="GX79" s="61"/>
      <c r="GY79" s="61"/>
      <c r="GZ79" s="61"/>
      <c r="HA79" s="61"/>
      <c r="HB79" s="61"/>
      <c r="HC79" s="61"/>
      <c r="HD79" s="61"/>
      <c r="HE79" s="61"/>
      <c r="HF79" s="61"/>
      <c r="HG79" s="61"/>
      <c r="HH79" s="61"/>
      <c r="HI79" s="61"/>
      <c r="HJ79" s="61"/>
      <c r="HK79" s="61"/>
      <c r="HL79" s="61"/>
      <c r="HM79" s="61"/>
      <c r="HN79" s="61"/>
      <c r="HO79" s="61"/>
      <c r="HP79" s="61"/>
    </row>
    <row r="80" spans="2:224" x14ac:dyDescent="0.2">
      <c r="C80" s="39"/>
      <c r="D80" s="60"/>
      <c r="E80" s="60"/>
      <c r="F80" s="60"/>
      <c r="G80" s="60"/>
      <c r="H80" s="62"/>
      <c r="I80" s="34"/>
      <c r="J80" s="34"/>
      <c r="K80" s="37"/>
      <c r="L80" s="37"/>
      <c r="M80" s="121"/>
      <c r="N80" s="121"/>
      <c r="O80" s="7"/>
      <c r="P80" s="7"/>
      <c r="Q80" s="122"/>
      <c r="R80" s="122"/>
      <c r="S80" s="125"/>
      <c r="T80" s="125"/>
      <c r="U80" s="23"/>
      <c r="V80" s="23"/>
      <c r="X80" s="40"/>
      <c r="Y80" s="40"/>
      <c r="Z80" s="40"/>
      <c r="AA80" s="40"/>
      <c r="AB80" s="5"/>
      <c r="DH80" s="61"/>
      <c r="FF80" s="61"/>
      <c r="FG80" s="61"/>
      <c r="FH80" s="61"/>
      <c r="FI80" s="61"/>
      <c r="FJ80" s="61"/>
      <c r="FK80" s="61"/>
      <c r="FL80" s="61"/>
      <c r="FM80" s="61"/>
      <c r="FN80" s="61"/>
      <c r="FO80" s="61"/>
      <c r="FP80" s="61"/>
      <c r="FQ80" s="61"/>
      <c r="FR80" s="61"/>
      <c r="FS80" s="61"/>
      <c r="FT80" s="61"/>
      <c r="FU80" s="61"/>
      <c r="FV80" s="61"/>
      <c r="FW80" s="61"/>
      <c r="FX80" s="61"/>
      <c r="FY80" s="61"/>
      <c r="FZ80" s="61"/>
      <c r="GA80" s="61"/>
      <c r="GB80" s="61"/>
      <c r="GC80" s="61"/>
      <c r="GD80" s="61"/>
      <c r="GE80" s="61"/>
      <c r="GF80" s="61"/>
      <c r="GG80" s="61"/>
      <c r="GH80" s="61"/>
      <c r="GI80" s="61"/>
      <c r="GJ80" s="61"/>
      <c r="GK80" s="61"/>
      <c r="GL80" s="61"/>
      <c r="GM80" s="61"/>
      <c r="GN80" s="61"/>
      <c r="GO80" s="61"/>
      <c r="GP80" s="61"/>
      <c r="GQ80" s="61"/>
      <c r="GR80" s="61"/>
      <c r="GS80" s="61"/>
      <c r="GT80" s="61"/>
      <c r="GU80" s="61"/>
      <c r="GV80" s="61"/>
      <c r="GW80" s="61"/>
      <c r="GX80" s="61"/>
      <c r="GY80" s="61"/>
      <c r="GZ80" s="61"/>
      <c r="HA80" s="61"/>
      <c r="HB80" s="61"/>
      <c r="HC80" s="61"/>
      <c r="HD80" s="61"/>
      <c r="HE80" s="61"/>
      <c r="HF80" s="61"/>
      <c r="HG80" s="61"/>
      <c r="HH80" s="61"/>
      <c r="HI80" s="61"/>
      <c r="HJ80" s="61"/>
      <c r="HK80" s="61"/>
      <c r="HL80" s="61"/>
      <c r="HM80" s="61"/>
      <c r="HN80" s="61"/>
      <c r="HO80" s="61"/>
      <c r="HP80" s="61"/>
    </row>
    <row r="81" spans="2:224" x14ac:dyDescent="0.2">
      <c r="B81" s="39" t="s">
        <v>294</v>
      </c>
      <c r="C81" s="39" t="s">
        <v>315</v>
      </c>
      <c r="D81" s="60" t="s">
        <v>320</v>
      </c>
      <c r="E81" s="60"/>
      <c r="F81" s="60"/>
      <c r="G81" s="60"/>
      <c r="H81" s="62"/>
      <c r="I81" s="34">
        <f t="shared" si="2"/>
        <v>0</v>
      </c>
      <c r="J81" s="34">
        <f t="shared" si="3"/>
        <v>6142.2252307692297</v>
      </c>
      <c r="K81" s="37">
        <f>data_rotterdam_moerdijk!E243</f>
        <v>0</v>
      </c>
      <c r="L81" s="37">
        <f>data_rotterdam_moerdijk!F243</f>
        <v>6189.6738461538453</v>
      </c>
      <c r="M81" s="121">
        <f>data_zeeland!E246</f>
        <v>0</v>
      </c>
      <c r="N81" s="121">
        <f>data_zeeland!F246</f>
        <v>-47.448615384615678</v>
      </c>
      <c r="O81" s="7">
        <f>data_noordzeekanaalgebied!E183</f>
        <v>0</v>
      </c>
      <c r="P81" s="7">
        <f>data_noordzeekanaalgebied!F183</f>
        <v>0</v>
      </c>
      <c r="Q81" s="122">
        <f>data_noord_nederland!E192</f>
        <v>0</v>
      </c>
      <c r="R81" s="122">
        <f>data_noord_nederland!F192</f>
        <v>0</v>
      </c>
      <c r="S81" s="125">
        <v>0</v>
      </c>
      <c r="T81" s="125">
        <v>0</v>
      </c>
      <c r="U81" s="23"/>
      <c r="V81" s="23"/>
      <c r="X81" s="40"/>
      <c r="Y81" s="40"/>
      <c r="Z81" s="40"/>
      <c r="AA81" s="40"/>
      <c r="AB81" s="5"/>
      <c r="DH81" s="61"/>
      <c r="FF81" s="61"/>
      <c r="FG81" s="61"/>
      <c r="FH81" s="61"/>
      <c r="FI81" s="61"/>
      <c r="FJ81" s="61"/>
      <c r="FK81" s="61"/>
      <c r="FL81" s="61"/>
      <c r="FM81" s="61"/>
      <c r="FN81" s="61"/>
      <c r="FO81" s="61"/>
      <c r="FP81" s="61"/>
      <c r="FQ81" s="61"/>
      <c r="FR81" s="61"/>
      <c r="FS81" s="61"/>
      <c r="FT81" s="61"/>
      <c r="FU81" s="61"/>
      <c r="FV81" s="61"/>
      <c r="FW81" s="61"/>
      <c r="FX81" s="61"/>
      <c r="FY81" s="61"/>
      <c r="FZ81" s="61"/>
      <c r="GA81" s="61"/>
      <c r="GB81" s="61"/>
      <c r="GC81" s="61"/>
      <c r="GD81" s="61"/>
      <c r="GE81" s="61"/>
      <c r="GF81" s="61"/>
      <c r="GG81" s="61"/>
      <c r="GH81" s="61"/>
      <c r="GI81" s="61"/>
      <c r="GJ81" s="61"/>
      <c r="GK81" s="61"/>
      <c r="GL81" s="61"/>
      <c r="GM81" s="61"/>
      <c r="GN81" s="61"/>
      <c r="GO81" s="61"/>
      <c r="GP81" s="61"/>
      <c r="GQ81" s="61"/>
      <c r="GR81" s="61"/>
      <c r="GS81" s="61"/>
      <c r="GT81" s="61"/>
      <c r="GU81" s="61"/>
      <c r="GV81" s="61"/>
      <c r="GW81" s="61"/>
      <c r="GX81" s="61"/>
      <c r="GY81" s="61"/>
      <c r="GZ81" s="61"/>
      <c r="HA81" s="61"/>
      <c r="HB81" s="61"/>
      <c r="HC81" s="61"/>
      <c r="HD81" s="61"/>
      <c r="HE81" s="61"/>
      <c r="HF81" s="61"/>
      <c r="HG81" s="61"/>
      <c r="HH81" s="61"/>
      <c r="HI81" s="61"/>
      <c r="HJ81" s="61"/>
      <c r="HK81" s="61"/>
      <c r="HL81" s="61"/>
      <c r="HM81" s="61"/>
      <c r="HN81" s="61"/>
      <c r="HO81" s="61"/>
      <c r="HP81" s="61"/>
    </row>
    <row r="82" spans="2:224" x14ac:dyDescent="0.2">
      <c r="B82" s="39" t="s">
        <v>295</v>
      </c>
      <c r="C82" s="39" t="s">
        <v>315</v>
      </c>
      <c r="D82" s="60" t="s">
        <v>320</v>
      </c>
      <c r="E82" s="60"/>
      <c r="F82" s="60"/>
      <c r="G82" s="60"/>
      <c r="H82" s="62"/>
      <c r="I82" s="34">
        <f t="shared" si="2"/>
        <v>0</v>
      </c>
      <c r="J82" s="34">
        <f t="shared" si="3"/>
        <v>13459.295999999998</v>
      </c>
      <c r="K82" s="37">
        <f>data_rotterdam_moerdijk!E244</f>
        <v>0</v>
      </c>
      <c r="L82" s="37">
        <f>data_rotterdam_moerdijk!F244</f>
        <v>5685.119999999999</v>
      </c>
      <c r="M82" s="121">
        <f>data_zeeland!E247</f>
        <v>0</v>
      </c>
      <c r="N82" s="121">
        <f>data_zeeland!F247</f>
        <v>5743.7759999999998</v>
      </c>
      <c r="O82" s="7">
        <f>data_noordzeekanaalgebied!E184</f>
        <v>0</v>
      </c>
      <c r="P82" s="7">
        <f>data_noordzeekanaalgebied!F184</f>
        <v>0</v>
      </c>
      <c r="Q82" s="122">
        <f>data_noord_nederland!E193</f>
        <v>0</v>
      </c>
      <c r="R82" s="122">
        <f>data_noord_nederland!F193</f>
        <v>2030.3999999999999</v>
      </c>
      <c r="S82" s="125">
        <v>0</v>
      </c>
      <c r="T82" s="125">
        <v>0</v>
      </c>
      <c r="U82" s="23"/>
      <c r="V82" s="23"/>
      <c r="X82" s="40"/>
      <c r="Y82" s="40"/>
      <c r="Z82" s="40"/>
      <c r="AA82" s="40"/>
      <c r="AB82" s="5"/>
      <c r="DH82" s="61"/>
      <c r="FF82" s="61"/>
      <c r="FG82" s="61"/>
      <c r="FH82" s="61"/>
      <c r="FI82" s="61"/>
      <c r="FJ82" s="61"/>
      <c r="FK82" s="61"/>
      <c r="FL82" s="61"/>
      <c r="FM82" s="61"/>
      <c r="FN82" s="61"/>
      <c r="FO82" s="61"/>
      <c r="FP82" s="61"/>
      <c r="FQ82" s="61"/>
      <c r="FR82" s="61"/>
      <c r="FS82" s="61"/>
      <c r="FT82" s="61"/>
      <c r="FU82" s="61"/>
      <c r="FV82" s="61"/>
      <c r="FW82" s="61"/>
      <c r="FX82" s="61"/>
      <c r="FY82" s="61"/>
      <c r="FZ82" s="61"/>
      <c r="GA82" s="61"/>
      <c r="GB82" s="61"/>
      <c r="GC82" s="61"/>
      <c r="GD82" s="61"/>
      <c r="GE82" s="61"/>
      <c r="GF82" s="61"/>
      <c r="GG82" s="61"/>
      <c r="GH82" s="61"/>
      <c r="GI82" s="61"/>
      <c r="GJ82" s="61"/>
      <c r="GK82" s="61"/>
      <c r="GL82" s="61"/>
      <c r="GM82" s="61"/>
      <c r="GN82" s="61"/>
      <c r="GO82" s="61"/>
      <c r="GP82" s="61"/>
      <c r="GQ82" s="61"/>
      <c r="GR82" s="61"/>
      <c r="GS82" s="61"/>
      <c r="GT82" s="61"/>
      <c r="GU82" s="61"/>
      <c r="GV82" s="61"/>
      <c r="GW82" s="61"/>
      <c r="GX82" s="61"/>
      <c r="GY82" s="61"/>
      <c r="GZ82" s="61"/>
      <c r="HA82" s="61"/>
      <c r="HB82" s="61"/>
      <c r="HC82" s="61"/>
      <c r="HD82" s="61"/>
      <c r="HE82" s="61"/>
      <c r="HF82" s="61"/>
      <c r="HG82" s="61"/>
      <c r="HH82" s="61"/>
      <c r="HI82" s="61"/>
      <c r="HJ82" s="61"/>
      <c r="HK82" s="61"/>
      <c r="HL82" s="61"/>
      <c r="HM82" s="61"/>
      <c r="HN82" s="61"/>
      <c r="HO82" s="61"/>
      <c r="HP82" s="61"/>
    </row>
    <row r="83" spans="2:224" x14ac:dyDescent="0.2">
      <c r="B83" s="39" t="s">
        <v>296</v>
      </c>
      <c r="C83" s="39" t="s">
        <v>315</v>
      </c>
      <c r="D83" s="60" t="s">
        <v>320</v>
      </c>
      <c r="E83" s="60"/>
      <c r="F83" s="60"/>
      <c r="G83" s="60"/>
      <c r="H83" s="62"/>
      <c r="I83" s="34">
        <f t="shared" si="2"/>
        <v>600</v>
      </c>
      <c r="J83" s="34">
        <f t="shared" si="3"/>
        <v>175</v>
      </c>
      <c r="K83" s="37">
        <f>data_rotterdam_moerdijk!E245</f>
        <v>600</v>
      </c>
      <c r="L83" s="37">
        <f>data_rotterdam_moerdijk!F245</f>
        <v>0</v>
      </c>
      <c r="M83" s="121">
        <f>data_zeeland!E248</f>
        <v>0</v>
      </c>
      <c r="N83" s="121">
        <f>data_zeeland!F248</f>
        <v>0</v>
      </c>
      <c r="O83" s="7">
        <f>data_noordzeekanaalgebied!E185</f>
        <v>0</v>
      </c>
      <c r="P83" s="7">
        <f>data_noordzeekanaalgebied!F185</f>
        <v>0</v>
      </c>
      <c r="Q83" s="122">
        <f>data_noord_nederland!E194</f>
        <v>0</v>
      </c>
      <c r="R83" s="122">
        <f>data_noord_nederland!F194</f>
        <v>175</v>
      </c>
      <c r="S83" s="125">
        <v>0</v>
      </c>
      <c r="T83" s="125">
        <v>0</v>
      </c>
      <c r="U83" s="23"/>
      <c r="V83" s="23"/>
      <c r="X83" s="40"/>
      <c r="Y83" s="40"/>
      <c r="Z83" s="40"/>
      <c r="AA83" s="40"/>
      <c r="AB83" s="5"/>
      <c r="DH83" s="61"/>
      <c r="FF83" s="61"/>
      <c r="FG83" s="61"/>
      <c r="FH83" s="61"/>
      <c r="FI83" s="61"/>
      <c r="FJ83" s="61"/>
      <c r="FK83" s="61"/>
      <c r="FL83" s="61"/>
      <c r="FM83" s="61"/>
      <c r="FN83" s="61"/>
      <c r="FO83" s="61"/>
      <c r="FP83" s="61"/>
      <c r="FQ83" s="61"/>
      <c r="FR83" s="61"/>
      <c r="FS83" s="61"/>
      <c r="FT83" s="61"/>
      <c r="FU83" s="61"/>
      <c r="FV83" s="61"/>
      <c r="FW83" s="61"/>
      <c r="FX83" s="61"/>
      <c r="FY83" s="61"/>
      <c r="FZ83" s="61"/>
      <c r="GA83" s="61"/>
      <c r="GB83" s="61"/>
      <c r="GC83" s="61"/>
      <c r="GD83" s="61"/>
      <c r="GE83" s="61"/>
      <c r="GF83" s="61"/>
      <c r="GG83" s="61"/>
      <c r="GH83" s="61"/>
      <c r="GI83" s="61"/>
      <c r="GJ83" s="61"/>
      <c r="GK83" s="61"/>
      <c r="GL83" s="61"/>
      <c r="GM83" s="61"/>
      <c r="GN83" s="61"/>
      <c r="GO83" s="61"/>
      <c r="GP83" s="61"/>
      <c r="GQ83" s="61"/>
      <c r="GR83" s="61"/>
      <c r="GS83" s="61"/>
      <c r="GT83" s="61"/>
      <c r="GU83" s="61"/>
      <c r="GV83" s="61"/>
      <c r="GW83" s="61"/>
      <c r="GX83" s="61"/>
      <c r="GY83" s="61"/>
      <c r="GZ83" s="61"/>
      <c r="HA83" s="61"/>
      <c r="HB83" s="61"/>
      <c r="HC83" s="61"/>
      <c r="HD83" s="61"/>
      <c r="HE83" s="61"/>
      <c r="HF83" s="61"/>
      <c r="HG83" s="61"/>
      <c r="HH83" s="61"/>
      <c r="HI83" s="61"/>
      <c r="HJ83" s="61"/>
      <c r="HK83" s="61"/>
      <c r="HL83" s="61"/>
      <c r="HM83" s="61"/>
      <c r="HN83" s="61"/>
      <c r="HO83" s="61"/>
      <c r="HP83" s="61"/>
    </row>
    <row r="84" spans="2:224" x14ac:dyDescent="0.2">
      <c r="B84" s="39" t="s">
        <v>302</v>
      </c>
      <c r="C84" s="39" t="s">
        <v>315</v>
      </c>
      <c r="D84" s="60" t="s">
        <v>320</v>
      </c>
      <c r="E84" s="60"/>
      <c r="F84" s="60"/>
      <c r="G84" s="60"/>
      <c r="H84" s="62"/>
      <c r="I84" s="34">
        <f t="shared" si="2"/>
        <v>0</v>
      </c>
      <c r="J84" s="34">
        <f t="shared" si="3"/>
        <v>600</v>
      </c>
      <c r="K84" s="37">
        <f>data_rotterdam_moerdijk!E246</f>
        <v>0</v>
      </c>
      <c r="L84" s="37">
        <f>data_rotterdam_moerdijk!F246</f>
        <v>0</v>
      </c>
      <c r="M84" s="121">
        <f>data_zeeland!E249</f>
        <v>0</v>
      </c>
      <c r="N84" s="121">
        <f>data_zeeland!F249</f>
        <v>0</v>
      </c>
      <c r="O84" s="7">
        <f>data_noordzeekanaalgebied!E186</f>
        <v>0</v>
      </c>
      <c r="P84" s="7">
        <f>data_noordzeekanaalgebied!F186</f>
        <v>600</v>
      </c>
      <c r="Q84" s="122">
        <f>data_noord_nederland!E195</f>
        <v>0</v>
      </c>
      <c r="R84" s="122">
        <f>data_noord_nederland!F195</f>
        <v>0</v>
      </c>
      <c r="S84" s="125">
        <v>0</v>
      </c>
      <c r="T84" s="125">
        <v>0</v>
      </c>
      <c r="U84" s="23"/>
      <c r="V84" s="23"/>
      <c r="X84" s="40"/>
      <c r="Y84" s="40"/>
      <c r="Z84" s="40"/>
      <c r="AA84" s="40"/>
      <c r="AB84" s="5"/>
      <c r="DH84" s="61"/>
      <c r="FF84" s="61"/>
      <c r="FG84" s="61"/>
      <c r="FH84" s="61"/>
      <c r="FI84" s="61"/>
      <c r="FJ84" s="61"/>
      <c r="FK84" s="61"/>
      <c r="FL84" s="61"/>
      <c r="FM84" s="61"/>
      <c r="FN84" s="61"/>
      <c r="FO84" s="61"/>
      <c r="FP84" s="61"/>
      <c r="FQ84" s="61"/>
      <c r="FR84" s="61"/>
      <c r="FS84" s="61"/>
      <c r="FT84" s="61"/>
      <c r="FU84" s="61"/>
      <c r="FV84" s="61"/>
      <c r="FW84" s="61"/>
      <c r="FX84" s="61"/>
      <c r="FY84" s="61"/>
      <c r="FZ84" s="61"/>
      <c r="GA84" s="61"/>
      <c r="GB84" s="61"/>
      <c r="GC84" s="61"/>
      <c r="GD84" s="61"/>
      <c r="GE84" s="61"/>
      <c r="GF84" s="61"/>
      <c r="GG84" s="61"/>
      <c r="GH84" s="61"/>
      <c r="GI84" s="61"/>
      <c r="GJ84" s="61"/>
      <c r="GK84" s="61"/>
      <c r="GL84" s="61"/>
      <c r="GM84" s="61"/>
      <c r="GN84" s="61"/>
      <c r="GO84" s="61"/>
      <c r="GP84" s="61"/>
      <c r="GQ84" s="61"/>
      <c r="GR84" s="61"/>
      <c r="GS84" s="61"/>
      <c r="GT84" s="61"/>
      <c r="GU84" s="61"/>
      <c r="GV84" s="61"/>
      <c r="GW84" s="61"/>
      <c r="GX84" s="61"/>
      <c r="GY84" s="61"/>
      <c r="GZ84" s="61"/>
      <c r="HA84" s="61"/>
      <c r="HB84" s="61"/>
      <c r="HC84" s="61"/>
      <c r="HD84" s="61"/>
      <c r="HE84" s="61"/>
      <c r="HF84" s="61"/>
      <c r="HG84" s="61"/>
      <c r="HH84" s="61"/>
      <c r="HI84" s="61"/>
      <c r="HJ84" s="61"/>
      <c r="HK84" s="61"/>
      <c r="HL84" s="61"/>
      <c r="HM84" s="61"/>
      <c r="HN84" s="61"/>
      <c r="HO84" s="61"/>
      <c r="HP84" s="61"/>
    </row>
    <row r="85" spans="2:224" x14ac:dyDescent="0.2">
      <c r="B85" s="39" t="s">
        <v>303</v>
      </c>
      <c r="C85" s="39" t="s">
        <v>315</v>
      </c>
      <c r="D85" s="60" t="s">
        <v>320</v>
      </c>
      <c r="E85" s="23"/>
      <c r="F85" s="60"/>
      <c r="G85" s="23"/>
      <c r="H85" s="62"/>
      <c r="I85" s="34">
        <f t="shared" si="2"/>
        <v>0</v>
      </c>
      <c r="J85" s="34">
        <f t="shared" si="3"/>
        <v>500</v>
      </c>
      <c r="K85" s="37">
        <f>data_rotterdam_moerdijk!E247</f>
        <v>0</v>
      </c>
      <c r="L85" s="37">
        <f>data_rotterdam_moerdijk!F247</f>
        <v>0</v>
      </c>
      <c r="M85" s="121">
        <f>data_zeeland!E250</f>
        <v>0</v>
      </c>
      <c r="N85" s="121">
        <f>data_zeeland!F250</f>
        <v>0</v>
      </c>
      <c r="O85" s="7">
        <f>data_noordzeekanaalgebied!E187</f>
        <v>0</v>
      </c>
      <c r="P85" s="7">
        <f>data_noordzeekanaalgebied!F187</f>
        <v>500</v>
      </c>
      <c r="Q85" s="122">
        <f>data_noord_nederland!E196</f>
        <v>0</v>
      </c>
      <c r="R85" s="122">
        <f>data_noord_nederland!F196</f>
        <v>0</v>
      </c>
      <c r="S85" s="125">
        <v>0</v>
      </c>
      <c r="T85" s="125">
        <v>0</v>
      </c>
      <c r="U85" s="23"/>
      <c r="V85" s="23"/>
      <c r="X85" s="40"/>
      <c r="Y85" s="40"/>
      <c r="Z85" s="40"/>
      <c r="AA85" s="40"/>
      <c r="AB85" s="5"/>
      <c r="DH85" s="61"/>
      <c r="FF85" s="61"/>
      <c r="FG85" s="61"/>
      <c r="FH85" s="61"/>
      <c r="FI85" s="61"/>
      <c r="FJ85" s="61"/>
      <c r="FK85" s="61"/>
      <c r="FL85" s="61"/>
      <c r="FM85" s="61"/>
      <c r="FN85" s="61"/>
      <c r="FO85" s="61"/>
      <c r="FP85" s="61"/>
      <c r="FQ85" s="61"/>
      <c r="FR85" s="61"/>
      <c r="FS85" s="61"/>
      <c r="FT85" s="61"/>
      <c r="FU85" s="61"/>
      <c r="FV85" s="61"/>
      <c r="FW85" s="61"/>
      <c r="FX85" s="61"/>
      <c r="FY85" s="61"/>
      <c r="FZ85" s="61"/>
      <c r="GA85" s="61"/>
      <c r="GB85" s="61"/>
      <c r="GC85" s="61"/>
      <c r="GD85" s="61"/>
      <c r="GE85" s="61"/>
      <c r="GF85" s="61"/>
      <c r="GG85" s="61"/>
      <c r="GH85" s="61"/>
      <c r="GI85" s="61"/>
      <c r="GJ85" s="61"/>
      <c r="GK85" s="61"/>
      <c r="GL85" s="61"/>
      <c r="GM85" s="61"/>
      <c r="GN85" s="61"/>
      <c r="GO85" s="61"/>
      <c r="GP85" s="61"/>
      <c r="GQ85" s="61"/>
      <c r="GR85" s="61"/>
      <c r="GS85" s="61"/>
      <c r="GT85" s="61"/>
      <c r="GU85" s="61"/>
      <c r="GV85" s="61"/>
      <c r="GW85" s="61"/>
      <c r="GX85" s="61"/>
      <c r="GY85" s="61"/>
      <c r="GZ85" s="61"/>
      <c r="HA85" s="61"/>
      <c r="HB85" s="61"/>
      <c r="HC85" s="61"/>
      <c r="HD85" s="61"/>
      <c r="HE85" s="61"/>
      <c r="HF85" s="61"/>
      <c r="HG85" s="61"/>
      <c r="HH85" s="61"/>
      <c r="HI85" s="61"/>
      <c r="HJ85" s="61"/>
      <c r="HK85" s="61"/>
      <c r="HL85" s="61"/>
      <c r="HM85" s="61"/>
      <c r="HN85" s="61"/>
      <c r="HO85" s="61"/>
      <c r="HP85" s="61"/>
    </row>
    <row r="86" spans="2:224" x14ac:dyDescent="0.2">
      <c r="B86" s="39" t="s">
        <v>304</v>
      </c>
      <c r="C86" s="39" t="s">
        <v>315</v>
      </c>
      <c r="D86" s="60" t="s">
        <v>320</v>
      </c>
      <c r="E86" s="23"/>
      <c r="F86" s="60"/>
      <c r="G86" s="23"/>
      <c r="H86" s="62"/>
      <c r="I86" s="34">
        <f t="shared" si="2"/>
        <v>0</v>
      </c>
      <c r="J86" s="34">
        <f t="shared" si="3"/>
        <v>0</v>
      </c>
      <c r="K86" s="37">
        <f>data_rotterdam_moerdijk!E248</f>
        <v>0</v>
      </c>
      <c r="L86" s="37">
        <f>data_rotterdam_moerdijk!F248</f>
        <v>0</v>
      </c>
      <c r="M86" s="121">
        <f>data_zeeland!E251</f>
        <v>0</v>
      </c>
      <c r="N86" s="121">
        <f>data_zeeland!F251</f>
        <v>0</v>
      </c>
      <c r="O86" s="7">
        <f>data_noordzeekanaalgebied!E188</f>
        <v>0</v>
      </c>
      <c r="P86" s="7">
        <f>data_noordzeekanaalgebied!F188</f>
        <v>0</v>
      </c>
      <c r="Q86" s="122">
        <f>data_noord_nederland!E197</f>
        <v>0</v>
      </c>
      <c r="R86" s="122">
        <f>data_noord_nederland!F197</f>
        <v>0</v>
      </c>
      <c r="S86" s="125">
        <v>0</v>
      </c>
      <c r="T86" s="125">
        <v>0</v>
      </c>
      <c r="U86" s="23"/>
      <c r="V86" s="23"/>
      <c r="X86" s="40"/>
      <c r="Y86" s="40"/>
      <c r="Z86" s="40"/>
      <c r="AA86" s="40"/>
      <c r="AB86" s="5"/>
      <c r="DH86" s="61"/>
      <c r="FF86" s="61"/>
      <c r="FG86" s="61"/>
      <c r="FH86" s="61"/>
      <c r="FI86" s="61"/>
      <c r="FJ86" s="61"/>
      <c r="FK86" s="61"/>
      <c r="FL86" s="61"/>
      <c r="FM86" s="61"/>
      <c r="FN86" s="61"/>
      <c r="FO86" s="61"/>
      <c r="FP86" s="61"/>
      <c r="FQ86" s="61"/>
      <c r="FR86" s="61"/>
      <c r="FS86" s="61"/>
      <c r="FT86" s="61"/>
      <c r="FU86" s="61"/>
      <c r="FV86" s="61"/>
      <c r="FW86" s="61"/>
      <c r="FX86" s="61"/>
      <c r="FY86" s="61"/>
      <c r="FZ86" s="61"/>
      <c r="GA86" s="61"/>
      <c r="GB86" s="61"/>
      <c r="GC86" s="61"/>
      <c r="GD86" s="61"/>
      <c r="GE86" s="61"/>
      <c r="GF86" s="61"/>
      <c r="GG86" s="61"/>
      <c r="GH86" s="61"/>
      <c r="GI86" s="61"/>
      <c r="GJ86" s="61"/>
      <c r="GK86" s="61"/>
      <c r="GL86" s="61"/>
      <c r="GM86" s="61"/>
      <c r="GN86" s="61"/>
      <c r="GO86" s="61"/>
      <c r="GP86" s="61"/>
      <c r="GQ86" s="61"/>
      <c r="GR86" s="61"/>
      <c r="GS86" s="61"/>
      <c r="GT86" s="61"/>
      <c r="GU86" s="61"/>
      <c r="GV86" s="61"/>
      <c r="GW86" s="61"/>
      <c r="GX86" s="61"/>
      <c r="GY86" s="61"/>
      <c r="GZ86" s="61"/>
      <c r="HA86" s="61"/>
      <c r="HB86" s="61"/>
      <c r="HC86" s="61"/>
      <c r="HD86" s="61"/>
      <c r="HE86" s="61"/>
      <c r="HF86" s="61"/>
      <c r="HG86" s="61"/>
      <c r="HH86" s="61"/>
      <c r="HI86" s="61"/>
      <c r="HJ86" s="61"/>
      <c r="HK86" s="61"/>
      <c r="HL86" s="61"/>
      <c r="HM86" s="61"/>
      <c r="HN86" s="61"/>
      <c r="HO86" s="61"/>
      <c r="HP86" s="61"/>
    </row>
    <row r="87" spans="2:224" x14ac:dyDescent="0.2">
      <c r="B87" s="39" t="s">
        <v>305</v>
      </c>
      <c r="C87" s="39" t="s">
        <v>315</v>
      </c>
      <c r="D87" s="60" t="s">
        <v>320</v>
      </c>
      <c r="E87" s="23"/>
      <c r="F87" s="60"/>
      <c r="G87" s="23"/>
      <c r="H87" s="62"/>
      <c r="I87" s="34">
        <f t="shared" si="2"/>
        <v>0</v>
      </c>
      <c r="J87" s="34">
        <f t="shared" si="3"/>
        <v>0</v>
      </c>
      <c r="K87" s="37">
        <f>data_rotterdam_moerdijk!E249</f>
        <v>0</v>
      </c>
      <c r="L87" s="37">
        <f>data_rotterdam_moerdijk!F249</f>
        <v>0</v>
      </c>
      <c r="M87" s="121">
        <f>data_zeeland!E252</f>
        <v>0</v>
      </c>
      <c r="N87" s="121">
        <f>data_zeeland!F252</f>
        <v>0</v>
      </c>
      <c r="O87" s="7">
        <f>data_noordzeekanaalgebied!E189</f>
        <v>0</v>
      </c>
      <c r="P87" s="7">
        <f>data_noordzeekanaalgebied!F189</f>
        <v>0</v>
      </c>
      <c r="Q87" s="122">
        <f>data_noord_nederland!E198</f>
        <v>0</v>
      </c>
      <c r="R87" s="122">
        <f>data_noord_nederland!F198</f>
        <v>0</v>
      </c>
      <c r="S87" s="125">
        <v>0</v>
      </c>
      <c r="T87" s="125">
        <v>0</v>
      </c>
      <c r="U87" s="23"/>
      <c r="V87" s="23"/>
      <c r="X87" s="40"/>
      <c r="Y87" s="40"/>
      <c r="Z87" s="40"/>
      <c r="AA87" s="40"/>
      <c r="AB87" s="5"/>
      <c r="DH87" s="61"/>
      <c r="FF87" s="61"/>
      <c r="FG87" s="61"/>
      <c r="FH87" s="61"/>
      <c r="FI87" s="61"/>
      <c r="FJ87" s="61"/>
      <c r="FK87" s="61"/>
      <c r="FL87" s="61"/>
      <c r="FM87" s="61"/>
      <c r="FN87" s="61"/>
      <c r="FO87" s="61"/>
      <c r="FP87" s="61"/>
      <c r="FQ87" s="61"/>
      <c r="FR87" s="61"/>
      <c r="FS87" s="61"/>
      <c r="FT87" s="61"/>
      <c r="FU87" s="61"/>
      <c r="FV87" s="61"/>
      <c r="FW87" s="61"/>
      <c r="FX87" s="61"/>
      <c r="FY87" s="61"/>
      <c r="FZ87" s="61"/>
      <c r="GA87" s="61"/>
      <c r="GB87" s="61"/>
      <c r="GC87" s="61"/>
      <c r="GD87" s="61"/>
      <c r="GE87" s="61"/>
      <c r="GF87" s="61"/>
      <c r="GG87" s="61"/>
      <c r="GH87" s="61"/>
      <c r="GI87" s="61"/>
      <c r="GJ87" s="61"/>
      <c r="GK87" s="61"/>
      <c r="GL87" s="61"/>
      <c r="GM87" s="61"/>
      <c r="GN87" s="61"/>
      <c r="GO87" s="61"/>
      <c r="GP87" s="61"/>
      <c r="GQ87" s="61"/>
      <c r="GR87" s="61"/>
      <c r="GS87" s="61"/>
      <c r="GT87" s="61"/>
      <c r="GU87" s="61"/>
      <c r="GV87" s="61"/>
      <c r="GW87" s="61"/>
      <c r="GX87" s="61"/>
      <c r="GY87" s="61"/>
      <c r="GZ87" s="61"/>
      <c r="HA87" s="61"/>
      <c r="HB87" s="61"/>
      <c r="HC87" s="61"/>
      <c r="HD87" s="61"/>
      <c r="HE87" s="61"/>
      <c r="HF87" s="61"/>
      <c r="HG87" s="61"/>
      <c r="HH87" s="61"/>
      <c r="HI87" s="61"/>
      <c r="HJ87" s="61"/>
      <c r="HK87" s="61"/>
      <c r="HL87" s="61"/>
      <c r="HM87" s="61"/>
      <c r="HN87" s="61"/>
      <c r="HO87" s="61"/>
      <c r="HP87" s="61"/>
    </row>
    <row r="88" spans="2:224" x14ac:dyDescent="0.2">
      <c r="B88" s="39" t="s">
        <v>306</v>
      </c>
      <c r="C88" s="39" t="s">
        <v>315</v>
      </c>
      <c r="D88" s="60" t="s">
        <v>320</v>
      </c>
      <c r="E88" s="23"/>
      <c r="F88" s="60"/>
      <c r="G88" s="23"/>
      <c r="H88" s="62"/>
      <c r="I88" s="34">
        <f t="shared" si="2"/>
        <v>0</v>
      </c>
      <c r="J88" s="34">
        <f t="shared" si="3"/>
        <v>0</v>
      </c>
      <c r="K88" s="37">
        <f>data_rotterdam_moerdijk!E250</f>
        <v>0</v>
      </c>
      <c r="L88" s="37">
        <f>data_rotterdam_moerdijk!F250</f>
        <v>0</v>
      </c>
      <c r="M88" s="121">
        <f>data_zeeland!E253</f>
        <v>0</v>
      </c>
      <c r="N88" s="121">
        <f>data_zeeland!F253</f>
        <v>0</v>
      </c>
      <c r="O88" s="7">
        <f>data_noordzeekanaalgebied!E190</f>
        <v>0</v>
      </c>
      <c r="P88" s="7">
        <f>data_noordzeekanaalgebied!F190</f>
        <v>0</v>
      </c>
      <c r="Q88" s="122">
        <f>data_noord_nederland!E199</f>
        <v>0</v>
      </c>
      <c r="R88" s="122">
        <f>data_noord_nederland!F199</f>
        <v>0</v>
      </c>
      <c r="S88" s="125">
        <v>0</v>
      </c>
      <c r="T88" s="125">
        <v>0</v>
      </c>
      <c r="U88" s="23"/>
      <c r="V88" s="23"/>
      <c r="X88" s="40"/>
      <c r="Y88" s="40"/>
      <c r="Z88" s="40"/>
      <c r="AA88" s="40"/>
      <c r="AB88" s="5"/>
      <c r="FF88" s="61"/>
      <c r="FG88" s="61"/>
      <c r="FH88" s="61"/>
      <c r="FI88" s="61"/>
      <c r="FJ88" s="61"/>
      <c r="FK88" s="61"/>
      <c r="FL88" s="61"/>
      <c r="FM88" s="61"/>
      <c r="FN88" s="61"/>
      <c r="FO88" s="61"/>
      <c r="FP88" s="61"/>
      <c r="FQ88" s="61"/>
      <c r="FR88" s="61"/>
      <c r="FS88" s="61"/>
      <c r="FT88" s="61"/>
      <c r="FU88" s="61"/>
      <c r="FV88" s="61"/>
      <c r="FW88" s="61"/>
      <c r="FX88" s="61"/>
      <c r="FY88" s="61"/>
      <c r="FZ88" s="61"/>
      <c r="GA88" s="61"/>
      <c r="GB88" s="61"/>
      <c r="GC88" s="61"/>
      <c r="GD88" s="61"/>
      <c r="GE88" s="61"/>
      <c r="GF88" s="61"/>
      <c r="GG88" s="61"/>
      <c r="GH88" s="61"/>
      <c r="GI88" s="61"/>
      <c r="GJ88" s="61"/>
      <c r="GK88" s="61"/>
      <c r="GL88" s="61"/>
      <c r="GM88" s="61"/>
      <c r="GN88" s="61"/>
      <c r="GO88" s="61"/>
      <c r="GP88" s="61"/>
      <c r="GQ88" s="61"/>
      <c r="GR88" s="61"/>
      <c r="GS88" s="61"/>
      <c r="GT88" s="61"/>
      <c r="GU88" s="61"/>
      <c r="GV88" s="61"/>
      <c r="GW88" s="61"/>
      <c r="GX88" s="61"/>
      <c r="GY88" s="61"/>
      <c r="GZ88" s="61"/>
      <c r="HA88" s="61"/>
      <c r="HB88" s="61"/>
      <c r="HC88" s="61"/>
      <c r="HD88" s="61"/>
      <c r="HE88" s="61"/>
      <c r="HF88" s="61"/>
      <c r="HG88" s="61"/>
      <c r="HH88" s="61"/>
      <c r="HI88" s="61"/>
      <c r="HJ88" s="61"/>
      <c r="HK88" s="61"/>
      <c r="HL88" s="61"/>
      <c r="HM88" s="61"/>
      <c r="HN88" s="61"/>
      <c r="HO88" s="61"/>
      <c r="HP88" s="61"/>
    </row>
    <row r="89" spans="2:224" x14ac:dyDescent="0.2">
      <c r="C89" s="60"/>
      <c r="D89" s="60"/>
      <c r="E89" s="23"/>
      <c r="F89" s="60"/>
      <c r="G89" s="23"/>
      <c r="H89" s="62"/>
      <c r="I89" s="34"/>
      <c r="J89" s="34"/>
      <c r="K89" s="37"/>
      <c r="L89" s="37"/>
      <c r="M89" s="121"/>
      <c r="N89" s="121"/>
      <c r="O89" s="7"/>
      <c r="P89" s="7"/>
      <c r="Q89" s="122"/>
      <c r="R89" s="122"/>
      <c r="S89" s="125"/>
      <c r="T89" s="125"/>
      <c r="U89" s="23"/>
      <c r="V89" s="23"/>
      <c r="X89" s="40"/>
      <c r="Y89" s="40"/>
      <c r="Z89" s="40"/>
      <c r="AA89" s="40"/>
      <c r="AB89" s="5"/>
      <c r="FF89" s="61"/>
      <c r="FG89" s="61"/>
      <c r="FH89" s="61"/>
      <c r="FI89" s="61"/>
      <c r="FJ89" s="61"/>
      <c r="FK89" s="61"/>
      <c r="FL89" s="61"/>
      <c r="FM89" s="61"/>
      <c r="FN89" s="61"/>
      <c r="FO89" s="61"/>
      <c r="FP89" s="61"/>
      <c r="FQ89" s="61"/>
      <c r="FR89" s="61"/>
      <c r="FS89" s="61"/>
      <c r="FT89" s="61"/>
      <c r="FU89" s="61"/>
      <c r="FV89" s="61"/>
      <c r="FW89" s="61"/>
      <c r="FX89" s="61"/>
      <c r="FY89" s="61"/>
      <c r="FZ89" s="61"/>
      <c r="GA89" s="61"/>
      <c r="GB89" s="61"/>
      <c r="GC89" s="61"/>
      <c r="GD89" s="61"/>
      <c r="GE89" s="61"/>
      <c r="GF89" s="61"/>
      <c r="GG89" s="61"/>
      <c r="GH89" s="61"/>
      <c r="GI89" s="61"/>
      <c r="GJ89" s="61"/>
      <c r="GK89" s="61"/>
      <c r="GL89" s="61"/>
      <c r="GM89" s="61"/>
      <c r="GN89" s="61"/>
      <c r="GO89" s="61"/>
      <c r="GP89" s="61"/>
      <c r="GQ89" s="61"/>
      <c r="GR89" s="61"/>
      <c r="GS89" s="61"/>
      <c r="GT89" s="61"/>
      <c r="GU89" s="61"/>
      <c r="GV89" s="61"/>
      <c r="GW89" s="61"/>
      <c r="GX89" s="61"/>
      <c r="GY89" s="61"/>
      <c r="GZ89" s="61"/>
      <c r="HA89" s="61"/>
      <c r="HB89" s="61"/>
      <c r="HC89" s="61"/>
      <c r="HD89" s="61"/>
      <c r="HE89" s="61"/>
      <c r="HF89" s="61"/>
      <c r="HG89" s="61"/>
      <c r="HH89" s="61"/>
      <c r="HI89" s="61"/>
      <c r="HJ89" s="61"/>
      <c r="HK89" s="61"/>
      <c r="HL89" s="61"/>
      <c r="HM89" s="61"/>
      <c r="HN89" s="61"/>
      <c r="HO89" s="61"/>
      <c r="HP89" s="61"/>
    </row>
    <row r="90" spans="2:224" x14ac:dyDescent="0.2">
      <c r="B90" s="39" t="s">
        <v>315</v>
      </c>
      <c r="C90" t="s">
        <v>313</v>
      </c>
      <c r="D90" s="60" t="s">
        <v>320</v>
      </c>
      <c r="E90" s="23"/>
      <c r="F90" s="60"/>
      <c r="G90" s="23"/>
      <c r="H90" s="62"/>
      <c r="I90" s="34">
        <f t="shared" si="2"/>
        <v>0</v>
      </c>
      <c r="J90" s="34">
        <f t="shared" si="3"/>
        <v>3736.5437675213661</v>
      </c>
      <c r="K90" s="37">
        <f>data_rotterdam_moerdijk!E252</f>
        <v>0</v>
      </c>
      <c r="L90" s="37">
        <f>data_rotterdam_moerdijk!F252</f>
        <v>2374.7938461538452</v>
      </c>
      <c r="M90" s="121">
        <f>data_zeeland!E255</f>
        <v>0</v>
      </c>
      <c r="N90" s="121">
        <f>data_zeeland!F255</f>
        <v>1139.2654769230767</v>
      </c>
      <c r="O90" s="7">
        <f>data_noordzeekanaalgebied!E192</f>
        <v>0</v>
      </c>
      <c r="P90" s="7">
        <f>data_noordzeekanaalgebied!F192</f>
        <v>0</v>
      </c>
      <c r="Q90" s="122">
        <f>data_noord_nederland!E201</f>
        <v>0</v>
      </c>
      <c r="R90" s="122">
        <f>data_noord_nederland!F201</f>
        <v>222.48444444444439</v>
      </c>
      <c r="S90" s="125">
        <v>0</v>
      </c>
      <c r="T90" s="125">
        <v>0</v>
      </c>
      <c r="U90" s="23"/>
      <c r="V90" s="23"/>
      <c r="X90" s="40"/>
      <c r="Y90" s="40"/>
      <c r="Z90" s="40"/>
      <c r="AA90" s="40"/>
      <c r="AB90" s="5"/>
      <c r="FF90" s="61"/>
      <c r="FG90" s="61"/>
      <c r="FH90" s="61"/>
      <c r="FI90" s="61"/>
      <c r="FJ90" s="61"/>
      <c r="FK90" s="61"/>
      <c r="FL90" s="61"/>
      <c r="FM90" s="61"/>
      <c r="FN90" s="61"/>
      <c r="FO90" s="61"/>
      <c r="FP90" s="61"/>
      <c r="FQ90" s="61"/>
      <c r="FR90" s="61"/>
      <c r="FS90" s="61"/>
      <c r="FT90" s="61"/>
      <c r="FU90" s="61"/>
      <c r="FV90" s="61"/>
      <c r="FW90" s="61"/>
      <c r="FX90" s="61"/>
      <c r="FY90" s="61"/>
      <c r="FZ90" s="61"/>
      <c r="GA90" s="61"/>
      <c r="GB90" s="61"/>
      <c r="GC90" s="61"/>
      <c r="GD90" s="61"/>
      <c r="GE90" s="61"/>
      <c r="GF90" s="61"/>
      <c r="GG90" s="61"/>
      <c r="GH90" s="61"/>
      <c r="GI90" s="61"/>
      <c r="GJ90" s="61"/>
      <c r="GK90" s="61"/>
      <c r="GL90" s="61"/>
      <c r="GM90" s="61"/>
      <c r="GN90" s="61"/>
      <c r="GO90" s="61"/>
      <c r="GP90" s="61"/>
      <c r="GQ90" s="61"/>
      <c r="GR90" s="61"/>
      <c r="GS90" s="61"/>
      <c r="GT90" s="61"/>
      <c r="GU90" s="61"/>
      <c r="GV90" s="61"/>
      <c r="GW90" s="61"/>
      <c r="GX90" s="61"/>
      <c r="GY90" s="61"/>
      <c r="GZ90" s="61"/>
      <c r="HA90" s="61"/>
      <c r="HB90" s="61"/>
      <c r="HC90" s="61"/>
      <c r="HD90" s="61"/>
      <c r="HE90" s="61"/>
      <c r="HF90" s="61"/>
      <c r="HG90" s="61"/>
      <c r="HH90" s="61"/>
      <c r="HI90" s="61"/>
      <c r="HJ90" s="61"/>
      <c r="HK90" s="61"/>
      <c r="HL90" s="61"/>
      <c r="HM90" s="61"/>
      <c r="HN90" s="61"/>
      <c r="HO90" s="61"/>
      <c r="HP90" s="61"/>
    </row>
    <row r="91" spans="2:224" x14ac:dyDescent="0.2">
      <c r="B91" s="39" t="s">
        <v>315</v>
      </c>
      <c r="C91" t="s">
        <v>318</v>
      </c>
      <c r="D91" s="60" t="s">
        <v>320</v>
      </c>
      <c r="E91" s="23"/>
      <c r="F91" s="60"/>
      <c r="G91" s="23"/>
      <c r="H91" s="62"/>
      <c r="I91" s="34">
        <f t="shared" si="2"/>
        <v>600</v>
      </c>
      <c r="J91" s="34">
        <f t="shared" si="3"/>
        <v>17362.461907692305</v>
      </c>
      <c r="K91" s="37">
        <f>data_rotterdam_moerdijk!E253</f>
        <v>600</v>
      </c>
      <c r="L91" s="37">
        <f>data_rotterdam_moerdijk!F253</f>
        <v>9499.9999999999982</v>
      </c>
      <c r="M91" s="121">
        <f>data_zeeland!E256</f>
        <v>0</v>
      </c>
      <c r="N91" s="121">
        <f>data_zeeland!F256</f>
        <v>4557.0619076923076</v>
      </c>
      <c r="O91" s="7">
        <f>data_noordzeekanaalgebied!E193</f>
        <v>0</v>
      </c>
      <c r="P91" s="7">
        <f>data_noordzeekanaalgebied!F193</f>
        <v>1100</v>
      </c>
      <c r="Q91" s="122">
        <f>data_noord_nederland!E202</f>
        <v>0</v>
      </c>
      <c r="R91" s="122">
        <f>data_noord_nederland!F202</f>
        <v>2205.3999999999996</v>
      </c>
      <c r="S91" s="125">
        <v>0</v>
      </c>
      <c r="T91" s="125">
        <v>0</v>
      </c>
      <c r="U91" s="23"/>
      <c r="V91" s="23"/>
      <c r="X91" s="40"/>
      <c r="Y91" s="40"/>
      <c r="Z91" s="40"/>
      <c r="AA91" s="40"/>
      <c r="AB91" s="5"/>
      <c r="FF91" s="61"/>
      <c r="FG91" s="61"/>
      <c r="FH91" s="61"/>
      <c r="FI91" s="61"/>
      <c r="FJ91" s="61"/>
      <c r="FK91" s="61"/>
      <c r="FL91" s="61"/>
      <c r="FM91" s="61"/>
      <c r="FN91" s="61"/>
      <c r="FO91" s="61"/>
      <c r="FP91" s="61"/>
      <c r="FQ91" s="61"/>
      <c r="FR91" s="61"/>
      <c r="FS91" s="61"/>
      <c r="FT91" s="61"/>
      <c r="FU91" s="61"/>
      <c r="FV91" s="61"/>
      <c r="FW91" s="61"/>
      <c r="FX91" s="61"/>
      <c r="FY91" s="61"/>
      <c r="FZ91" s="61"/>
      <c r="GA91" s="61"/>
      <c r="GB91" s="61"/>
      <c r="GC91" s="61"/>
      <c r="GD91" s="61"/>
      <c r="GE91" s="61"/>
      <c r="GF91" s="61"/>
      <c r="GG91" s="61"/>
    </row>
    <row r="92" spans="2:224" x14ac:dyDescent="0.2">
      <c r="B92" s="39" t="s">
        <v>311</v>
      </c>
      <c r="C92" t="s">
        <v>313</v>
      </c>
      <c r="D92" s="60" t="s">
        <v>320</v>
      </c>
      <c r="E92" s="23"/>
      <c r="F92" s="60"/>
      <c r="G92" s="23"/>
      <c r="H92" s="62"/>
      <c r="I92" s="34">
        <f t="shared" si="2"/>
        <v>39791.102879791404</v>
      </c>
      <c r="J92" s="34">
        <f t="shared" si="3"/>
        <v>14683.867386179934</v>
      </c>
      <c r="K92" s="37">
        <f>data_rotterdam_moerdijk!E254</f>
        <v>16000.000000000007</v>
      </c>
      <c r="L92" s="37">
        <f>data_rotterdam_moerdijk!F254</f>
        <v>5676.370461538474</v>
      </c>
      <c r="M92" s="121">
        <f>data_zeeland!E257</f>
        <v>9552.8484797913952</v>
      </c>
      <c r="N92" s="121">
        <f>data_zeeland!F257</f>
        <v>2104.2013246414599</v>
      </c>
      <c r="O92" s="7">
        <f>data_noordzeekanaalgebied!E194</f>
        <v>12972.710400000002</v>
      </c>
      <c r="P92" s="7">
        <f>data_noordzeekanaalgebied!F194</f>
        <v>6125.0476000000008</v>
      </c>
      <c r="Q92" s="122">
        <f>data_noord_nederland!E203</f>
        <v>1265.5439999999999</v>
      </c>
      <c r="R92" s="122">
        <f>data_noord_nederland!F203</f>
        <v>778.24800000000005</v>
      </c>
      <c r="S92" s="125">
        <v>0</v>
      </c>
      <c r="T92" s="125">
        <v>0</v>
      </c>
      <c r="U92" s="23"/>
      <c r="V92" s="23"/>
      <c r="X92" s="40"/>
      <c r="Y92" s="40"/>
      <c r="Z92" s="40"/>
      <c r="AA92" s="40"/>
      <c r="AB92" s="5"/>
      <c r="FF92" s="61"/>
      <c r="FG92" s="61"/>
      <c r="FH92" s="61"/>
      <c r="FI92" s="61"/>
      <c r="FJ92" s="61"/>
      <c r="FK92" s="61"/>
      <c r="FL92" s="61"/>
      <c r="FM92" s="61"/>
      <c r="FN92" s="61"/>
      <c r="FO92" s="61"/>
      <c r="FP92" s="61"/>
      <c r="FQ92" s="61"/>
      <c r="FR92" s="61"/>
      <c r="FS92" s="61"/>
      <c r="FT92" s="61"/>
      <c r="FU92" s="61"/>
      <c r="FV92" s="61"/>
      <c r="FW92" s="61"/>
      <c r="FX92" s="61"/>
      <c r="FY92" s="61"/>
      <c r="FZ92" s="61"/>
      <c r="GA92" s="61"/>
      <c r="GB92" s="61"/>
      <c r="GC92" s="61"/>
      <c r="GD92" s="61"/>
      <c r="GE92" s="61"/>
      <c r="GF92" s="61"/>
      <c r="GG92" s="61"/>
    </row>
    <row r="93" spans="2:224" x14ac:dyDescent="0.2">
      <c r="J93" s="23"/>
      <c r="K93" s="23"/>
      <c r="L93" s="23"/>
      <c r="M93" s="23"/>
      <c r="N93" s="23"/>
      <c r="O93" s="23"/>
      <c r="P93" s="23"/>
      <c r="Q93" s="23"/>
      <c r="R93" s="23"/>
      <c r="S93" s="23"/>
      <c r="T93" s="23"/>
      <c r="U93" s="23"/>
      <c r="V93" s="23"/>
      <c r="X93" s="40"/>
      <c r="Y93" s="40"/>
      <c r="Z93" s="40"/>
      <c r="AA93" s="40"/>
      <c r="AB93" s="5"/>
      <c r="EZ93" s="61"/>
      <c r="FA93" s="61"/>
      <c r="FB93" s="61"/>
      <c r="FC93" s="61"/>
      <c r="FD93" s="61"/>
      <c r="FE93" s="61"/>
      <c r="FF93" s="61"/>
      <c r="FG93" s="61"/>
      <c r="FH93" s="61"/>
      <c r="FI93" s="61"/>
      <c r="FJ93" s="61"/>
      <c r="FK93" s="61"/>
      <c r="FL93" s="61"/>
      <c r="FM93" s="61"/>
      <c r="FN93" s="61"/>
      <c r="FO93" s="61"/>
      <c r="FP93" s="61"/>
      <c r="FQ93" s="61"/>
      <c r="FR93" s="61"/>
      <c r="FS93" s="61"/>
      <c r="FT93" s="61"/>
      <c r="FU93" s="61"/>
      <c r="FV93" s="61"/>
      <c r="FW93" s="61"/>
      <c r="FX93" s="61"/>
      <c r="FY93" s="61"/>
      <c r="FZ93" s="61"/>
      <c r="GA93" s="61"/>
      <c r="GB93" s="61"/>
      <c r="GC93" s="61"/>
      <c r="GD93" s="61"/>
      <c r="GE93" s="61"/>
      <c r="GF93" s="61"/>
      <c r="GG93" s="61"/>
    </row>
    <row r="94" spans="2:224" x14ac:dyDescent="0.2">
      <c r="D94" s="60"/>
      <c r="E94" s="23"/>
      <c r="F94" s="60"/>
      <c r="G94" s="23"/>
      <c r="H94" s="62"/>
      <c r="I94" s="23"/>
      <c r="J94" s="5"/>
      <c r="K94" s="23"/>
      <c r="L94" s="23"/>
      <c r="M94" s="23"/>
      <c r="N94" s="23"/>
      <c r="O94" s="23"/>
      <c r="P94" s="23"/>
      <c r="Q94" s="23"/>
      <c r="R94" s="23"/>
      <c r="S94" s="23"/>
      <c r="T94" s="23"/>
      <c r="U94" s="23"/>
      <c r="V94" s="23"/>
      <c r="X94" s="40"/>
      <c r="Y94" s="40"/>
      <c r="Z94" s="40"/>
      <c r="AA94" s="40"/>
      <c r="AB94" s="5"/>
    </row>
    <row r="95" spans="2:224" x14ac:dyDescent="0.2">
      <c r="D95" s="60"/>
      <c r="E95" s="23"/>
      <c r="F95" s="60"/>
      <c r="G95" s="23"/>
      <c r="H95" s="62"/>
      <c r="I95" s="23"/>
      <c r="J95" s="5"/>
      <c r="K95" s="23"/>
      <c r="L95" s="23"/>
      <c r="M95" s="23"/>
      <c r="N95" s="23"/>
      <c r="O95" s="23"/>
      <c r="P95" s="23"/>
      <c r="Q95" s="23"/>
      <c r="R95" s="23"/>
      <c r="S95" s="23"/>
      <c r="T95" s="23"/>
      <c r="U95" s="23"/>
      <c r="V95" s="23"/>
      <c r="X95" s="40"/>
      <c r="Y95" s="40"/>
      <c r="Z95" s="40"/>
      <c r="AA95" s="40"/>
      <c r="AB95" s="5"/>
    </row>
    <row r="96" spans="2:224" x14ac:dyDescent="0.2">
      <c r="C96" s="60"/>
      <c r="D96" s="60"/>
      <c r="E96" s="23"/>
      <c r="F96" s="60"/>
      <c r="G96" s="23"/>
      <c r="H96" s="62"/>
      <c r="I96" s="23"/>
      <c r="J96" s="5"/>
      <c r="K96" s="23"/>
      <c r="L96" s="23"/>
      <c r="M96" s="23"/>
      <c r="N96" s="23"/>
      <c r="O96" s="23"/>
      <c r="P96" s="23"/>
      <c r="Q96" s="23"/>
      <c r="R96" s="23"/>
      <c r="S96" s="23"/>
      <c r="T96" s="23"/>
      <c r="U96" s="23"/>
      <c r="V96" s="23"/>
      <c r="X96" s="40"/>
      <c r="Y96" s="40"/>
      <c r="Z96" s="40"/>
      <c r="AA96" s="40"/>
      <c r="AB96" s="5"/>
    </row>
    <row r="97" spans="1:28" x14ac:dyDescent="0.2">
      <c r="C97" s="60"/>
      <c r="D97" s="60"/>
      <c r="E97" s="23"/>
      <c r="F97" s="60"/>
      <c r="G97" s="23"/>
      <c r="H97" s="62"/>
      <c r="I97" s="23"/>
      <c r="J97" s="5"/>
      <c r="K97" s="23"/>
      <c r="L97" s="23"/>
      <c r="M97" s="23"/>
      <c r="N97" s="23"/>
      <c r="O97" s="23"/>
      <c r="P97" s="23"/>
      <c r="Q97" s="23"/>
      <c r="R97" s="23"/>
      <c r="S97" s="23"/>
      <c r="T97" s="23"/>
      <c r="U97" s="23"/>
      <c r="V97" s="23"/>
      <c r="X97" s="40"/>
      <c r="Y97" s="40"/>
      <c r="Z97" s="40"/>
      <c r="AA97" s="40"/>
      <c r="AB97" s="5"/>
    </row>
    <row r="98" spans="1:28" x14ac:dyDescent="0.2">
      <c r="C98" s="60"/>
      <c r="D98" s="60"/>
      <c r="E98" s="23"/>
      <c r="F98" s="60"/>
      <c r="G98" s="23"/>
      <c r="H98" s="62"/>
      <c r="I98" s="23"/>
      <c r="J98" s="5"/>
      <c r="K98" s="23"/>
      <c r="L98" s="23"/>
      <c r="M98" s="23"/>
      <c r="N98" s="23"/>
      <c r="O98" s="23"/>
      <c r="P98" s="23"/>
      <c r="Q98" s="23"/>
      <c r="R98" s="23"/>
      <c r="S98" s="23"/>
      <c r="T98" s="23"/>
      <c r="U98" s="23"/>
      <c r="V98" s="23"/>
      <c r="X98" s="40"/>
      <c r="Y98" s="40"/>
      <c r="Z98" s="40"/>
      <c r="AA98" s="40"/>
      <c r="AB98" s="5"/>
    </row>
    <row r="99" spans="1:28" x14ac:dyDescent="0.2">
      <c r="B99" s="60"/>
      <c r="C99" s="60"/>
      <c r="D99" s="60"/>
      <c r="E99" s="23"/>
      <c r="F99" s="60"/>
      <c r="G99" s="23"/>
      <c r="H99" s="62"/>
      <c r="I99" s="23"/>
      <c r="J99" s="5"/>
      <c r="K99" s="23"/>
      <c r="L99" s="23"/>
      <c r="M99" s="23"/>
      <c r="N99" s="23"/>
      <c r="O99" s="23"/>
      <c r="P99" s="23"/>
      <c r="Q99" s="23"/>
      <c r="R99" s="23"/>
      <c r="S99" s="23"/>
      <c r="T99" s="23"/>
      <c r="U99" s="23"/>
      <c r="V99" s="23"/>
      <c r="X99" s="40"/>
      <c r="Y99" s="40"/>
      <c r="Z99" s="40"/>
      <c r="AA99" s="40"/>
      <c r="AB99" s="5"/>
    </row>
    <row r="100" spans="1:28" x14ac:dyDescent="0.2">
      <c r="B100" s="60"/>
      <c r="C100" s="60"/>
      <c r="D100" s="60"/>
      <c r="E100" s="23"/>
      <c r="F100" s="60"/>
      <c r="G100" s="23"/>
      <c r="H100" s="62"/>
      <c r="I100" s="23"/>
      <c r="J100" s="23"/>
      <c r="K100" s="23"/>
      <c r="L100" s="23"/>
      <c r="M100" s="23"/>
      <c r="N100" s="23"/>
      <c r="O100" s="23"/>
      <c r="P100" s="23"/>
      <c r="Q100" s="23"/>
      <c r="R100" s="23"/>
      <c r="S100" s="23"/>
      <c r="T100" s="23"/>
      <c r="U100" s="23"/>
      <c r="V100" s="23"/>
      <c r="X100" s="40"/>
      <c r="Y100" s="40"/>
      <c r="Z100" s="40"/>
      <c r="AA100" s="40"/>
      <c r="AB100" s="5"/>
    </row>
    <row r="101" spans="1:28" x14ac:dyDescent="0.2">
      <c r="B101" s="60"/>
      <c r="C101" s="60"/>
      <c r="D101" s="60"/>
      <c r="E101" s="23"/>
      <c r="F101" s="60"/>
      <c r="G101" s="23"/>
      <c r="H101" s="62"/>
      <c r="I101" s="23"/>
      <c r="J101" s="5"/>
      <c r="K101" s="23"/>
      <c r="L101" s="23"/>
      <c r="M101" s="23"/>
      <c r="N101" s="23"/>
      <c r="O101" s="23"/>
      <c r="P101" s="23"/>
      <c r="Q101" s="23"/>
      <c r="R101" s="23"/>
      <c r="S101" s="23"/>
      <c r="T101" s="23"/>
      <c r="U101" s="23"/>
      <c r="V101" s="23"/>
      <c r="X101" s="40"/>
      <c r="Y101" s="40"/>
      <c r="Z101" s="40"/>
      <c r="AA101" s="40"/>
      <c r="AB101" s="5"/>
    </row>
    <row r="102" spans="1:28" x14ac:dyDescent="0.2">
      <c r="B102" s="60"/>
      <c r="C102" s="60"/>
      <c r="D102" s="60"/>
      <c r="E102" s="23"/>
      <c r="F102" s="60"/>
      <c r="G102" s="23"/>
      <c r="H102" s="62"/>
      <c r="I102" s="23"/>
      <c r="J102" s="5"/>
      <c r="K102" s="23"/>
      <c r="L102" s="23"/>
      <c r="M102" s="23"/>
      <c r="N102" s="23"/>
      <c r="O102" s="23"/>
      <c r="P102" s="23"/>
      <c r="Q102" s="23"/>
      <c r="R102" s="23"/>
      <c r="S102" s="23"/>
      <c r="T102" s="23"/>
      <c r="U102" s="23"/>
      <c r="V102" s="23"/>
      <c r="X102" s="40"/>
      <c r="Y102" s="40"/>
      <c r="Z102" s="40"/>
      <c r="AA102" s="40"/>
      <c r="AB102" s="5"/>
    </row>
    <row r="103" spans="1:28" x14ac:dyDescent="0.2">
      <c r="B103" s="60"/>
      <c r="C103" s="60"/>
      <c r="D103" s="60"/>
      <c r="E103" s="23"/>
      <c r="F103" s="60"/>
      <c r="G103" s="23"/>
      <c r="H103" s="62"/>
      <c r="I103" s="23"/>
      <c r="J103" s="5"/>
      <c r="K103" s="23"/>
      <c r="L103" s="23"/>
      <c r="M103" s="23"/>
      <c r="N103" s="23"/>
      <c r="O103" s="23"/>
      <c r="P103" s="23"/>
      <c r="Q103" s="23"/>
      <c r="R103" s="23"/>
      <c r="S103" s="23"/>
      <c r="T103" s="23"/>
      <c r="U103" s="23"/>
      <c r="V103" s="23"/>
      <c r="X103" s="40"/>
      <c r="Y103" s="40"/>
      <c r="Z103" s="40"/>
      <c r="AA103" s="40"/>
      <c r="AB103" s="5"/>
    </row>
    <row r="104" spans="1:28" x14ac:dyDescent="0.2">
      <c r="B104" s="60"/>
      <c r="C104" s="60"/>
      <c r="D104" s="60"/>
      <c r="E104" s="23"/>
      <c r="F104" s="60"/>
      <c r="G104" s="23"/>
      <c r="H104" s="62"/>
      <c r="I104" s="23"/>
      <c r="J104" s="23"/>
      <c r="K104" s="23"/>
      <c r="L104" s="23"/>
      <c r="M104" s="23"/>
      <c r="N104" s="23"/>
      <c r="O104" s="23"/>
      <c r="P104" s="23"/>
      <c r="Q104" s="23"/>
      <c r="R104" s="23"/>
      <c r="S104" s="23"/>
      <c r="T104" s="23"/>
      <c r="U104" s="23"/>
      <c r="V104" s="23"/>
      <c r="X104" s="40"/>
      <c r="Y104" s="40"/>
      <c r="Z104" s="40"/>
      <c r="AA104" s="40"/>
      <c r="AB104" s="5"/>
    </row>
    <row r="105" spans="1:28" x14ac:dyDescent="0.2">
      <c r="B105" s="60"/>
      <c r="C105" s="60"/>
      <c r="D105" s="60"/>
      <c r="E105" s="23"/>
      <c r="F105" s="60"/>
      <c r="G105" s="23"/>
      <c r="H105" s="62"/>
      <c r="I105" s="23"/>
      <c r="J105" s="5"/>
      <c r="K105" s="23"/>
      <c r="L105" s="23"/>
      <c r="M105" s="23"/>
      <c r="N105" s="23"/>
      <c r="O105" s="23"/>
      <c r="P105" s="23"/>
      <c r="Q105" s="23"/>
      <c r="R105" s="23"/>
      <c r="S105" s="23"/>
      <c r="T105" s="23"/>
      <c r="U105" s="23"/>
      <c r="V105" s="23"/>
      <c r="X105" s="40"/>
      <c r="Y105" s="40"/>
      <c r="Z105" s="40"/>
      <c r="AA105" s="40"/>
      <c r="AB105" s="5"/>
    </row>
    <row r="106" spans="1:28" x14ac:dyDescent="0.2">
      <c r="B106" s="60"/>
      <c r="C106" s="60"/>
      <c r="D106" s="60"/>
      <c r="E106" s="23"/>
      <c r="F106" s="60"/>
      <c r="G106" s="23"/>
      <c r="H106" s="62"/>
      <c r="I106" s="23"/>
      <c r="J106" s="5"/>
      <c r="K106" s="23"/>
      <c r="L106" s="23"/>
      <c r="M106" s="23"/>
      <c r="N106" s="23"/>
      <c r="O106" s="23"/>
      <c r="P106" s="23"/>
      <c r="Q106" s="23"/>
      <c r="R106" s="23"/>
      <c r="S106" s="23"/>
      <c r="T106" s="23"/>
      <c r="U106" s="23"/>
      <c r="V106" s="23"/>
      <c r="X106" s="40"/>
      <c r="Y106" s="40"/>
      <c r="Z106" s="40"/>
      <c r="AA106" s="40"/>
      <c r="AB106" s="5"/>
    </row>
    <row r="107" spans="1:28" x14ac:dyDescent="0.2">
      <c r="B107" s="60"/>
      <c r="C107" s="60"/>
      <c r="D107" s="60"/>
      <c r="E107" s="23"/>
      <c r="F107" s="60"/>
      <c r="G107" s="23"/>
      <c r="H107" s="62"/>
      <c r="I107" s="23"/>
      <c r="J107" s="5"/>
      <c r="K107" s="23"/>
      <c r="L107" s="23"/>
      <c r="M107" s="23"/>
      <c r="N107" s="23"/>
      <c r="O107" s="23"/>
      <c r="P107" s="23"/>
      <c r="Q107" s="23"/>
      <c r="R107" s="23"/>
      <c r="S107" s="23"/>
      <c r="T107" s="23"/>
      <c r="U107" s="23"/>
      <c r="V107" s="23"/>
      <c r="X107" s="40"/>
      <c r="Y107" s="40"/>
      <c r="Z107" s="40"/>
      <c r="AA107" s="40"/>
      <c r="AB107" s="5"/>
    </row>
    <row r="108" spans="1:28" x14ac:dyDescent="0.2">
      <c r="B108" s="60"/>
      <c r="C108" s="60"/>
      <c r="D108" s="60"/>
      <c r="E108" s="23"/>
      <c r="F108" s="60"/>
      <c r="G108" s="23"/>
      <c r="H108" s="62"/>
      <c r="I108" s="23"/>
      <c r="J108" s="5"/>
      <c r="K108" s="23"/>
      <c r="L108" s="23"/>
      <c r="M108" s="23"/>
      <c r="N108" s="23"/>
      <c r="O108" s="23"/>
      <c r="P108" s="23"/>
      <c r="Q108" s="23"/>
      <c r="R108" s="23"/>
      <c r="S108" s="23"/>
      <c r="T108" s="23"/>
      <c r="U108" s="23"/>
      <c r="V108" s="23"/>
      <c r="X108" s="40"/>
      <c r="Y108" s="40"/>
      <c r="Z108" s="40"/>
      <c r="AA108" s="40"/>
      <c r="AB108" s="5"/>
    </row>
    <row r="109" spans="1:28" x14ac:dyDescent="0.2">
      <c r="B109" s="60"/>
      <c r="C109" s="60"/>
      <c r="D109" s="60"/>
      <c r="E109" s="23"/>
      <c r="F109" s="60"/>
      <c r="G109" s="23"/>
      <c r="H109" s="62"/>
      <c r="I109" s="23"/>
      <c r="J109" s="5"/>
      <c r="K109" s="23"/>
      <c r="L109" s="23"/>
      <c r="M109" s="23"/>
      <c r="N109" s="23"/>
      <c r="O109" s="23"/>
      <c r="P109" s="23"/>
      <c r="Q109" s="23"/>
      <c r="R109" s="23"/>
      <c r="S109" s="23"/>
      <c r="T109" s="23"/>
      <c r="U109" s="23"/>
      <c r="V109" s="23"/>
      <c r="X109" s="40"/>
      <c r="Y109" s="40"/>
      <c r="Z109" s="40"/>
      <c r="AA109" s="40"/>
      <c r="AB109" s="5"/>
    </row>
    <row r="110" spans="1:28" x14ac:dyDescent="0.2">
      <c r="B110" s="60"/>
      <c r="C110" s="60"/>
      <c r="D110" s="60"/>
      <c r="E110" s="23"/>
      <c r="F110" s="60"/>
      <c r="G110" s="23"/>
      <c r="H110" s="62"/>
      <c r="I110" s="23"/>
      <c r="J110" s="23"/>
      <c r="K110" s="23"/>
      <c r="L110" s="23"/>
      <c r="M110" s="23"/>
      <c r="N110" s="23"/>
      <c r="O110" s="23"/>
      <c r="P110" s="23"/>
      <c r="Q110" s="23"/>
      <c r="R110" s="23"/>
      <c r="S110" s="23"/>
      <c r="T110" s="23"/>
      <c r="U110" s="23"/>
      <c r="V110" s="23"/>
      <c r="X110" s="40"/>
      <c r="Y110" s="40"/>
      <c r="Z110" s="40"/>
      <c r="AA110" s="40"/>
      <c r="AB110" s="5"/>
    </row>
    <row r="111" spans="1:28" x14ac:dyDescent="0.2">
      <c r="A111" s="63"/>
      <c r="B111" s="60"/>
      <c r="C111" s="60"/>
      <c r="D111" s="60"/>
      <c r="E111" s="23"/>
      <c r="F111" s="60"/>
      <c r="G111" s="23"/>
      <c r="H111" s="62"/>
      <c r="I111" s="23"/>
      <c r="J111" s="5"/>
      <c r="K111" s="23"/>
      <c r="L111" s="23"/>
      <c r="M111" s="23"/>
      <c r="N111" s="23"/>
      <c r="O111" s="23"/>
      <c r="P111" s="23"/>
      <c r="Q111" s="23"/>
      <c r="R111" s="23"/>
      <c r="S111" s="23"/>
      <c r="T111" s="23"/>
      <c r="U111" s="23"/>
      <c r="V111" s="23"/>
      <c r="X111" s="40"/>
      <c r="Y111" s="40"/>
      <c r="Z111" s="40"/>
      <c r="AA111" s="40"/>
      <c r="AB111" s="5"/>
    </row>
    <row r="112" spans="1:28" x14ac:dyDescent="0.2">
      <c r="B112" s="60"/>
      <c r="C112" s="60"/>
      <c r="D112" s="60"/>
      <c r="E112" s="23"/>
      <c r="F112" s="60"/>
      <c r="G112" s="23"/>
      <c r="H112" s="62"/>
      <c r="I112" s="23"/>
      <c r="J112" s="23"/>
      <c r="K112" s="23"/>
      <c r="L112" s="23"/>
      <c r="M112" s="23"/>
      <c r="N112" s="23"/>
      <c r="O112" s="23"/>
      <c r="P112" s="23"/>
      <c r="Q112" s="23"/>
      <c r="R112" s="23"/>
      <c r="S112" s="23"/>
      <c r="T112" s="23"/>
      <c r="U112" s="23"/>
      <c r="V112" s="23"/>
      <c r="X112" s="40"/>
      <c r="Y112" s="40"/>
      <c r="Z112" s="40"/>
      <c r="AA112" s="40"/>
      <c r="AB112" s="5"/>
    </row>
    <row r="113" spans="2:28" x14ac:dyDescent="0.2">
      <c r="B113" s="60"/>
      <c r="C113" s="60"/>
      <c r="D113" s="60"/>
      <c r="E113" s="23"/>
      <c r="F113" s="60"/>
      <c r="G113" s="23"/>
      <c r="H113" s="62"/>
      <c r="I113" s="23"/>
      <c r="J113" s="5"/>
      <c r="K113" s="23"/>
      <c r="L113" s="23"/>
      <c r="M113" s="23"/>
      <c r="N113" s="23"/>
      <c r="O113" s="23"/>
      <c r="P113" s="23"/>
      <c r="Q113" s="23"/>
      <c r="R113" s="23"/>
      <c r="S113" s="23"/>
      <c r="T113" s="23"/>
      <c r="U113" s="23"/>
      <c r="V113" s="23"/>
      <c r="X113" s="40"/>
      <c r="Y113" s="40"/>
      <c r="Z113" s="40"/>
      <c r="AA113" s="40"/>
      <c r="AB113" s="5"/>
    </row>
    <row r="114" spans="2:28" x14ac:dyDescent="0.2">
      <c r="B114" s="60"/>
      <c r="C114" s="60"/>
      <c r="D114" s="60"/>
      <c r="E114" s="23"/>
      <c r="F114" s="60"/>
      <c r="G114" s="23"/>
      <c r="H114" s="62"/>
      <c r="I114" s="23"/>
      <c r="J114" s="5"/>
      <c r="K114" s="23"/>
      <c r="L114" s="23"/>
      <c r="M114" s="23"/>
      <c r="N114" s="23"/>
      <c r="O114" s="23"/>
      <c r="P114" s="23"/>
      <c r="Q114" s="23"/>
      <c r="R114" s="23"/>
      <c r="S114" s="23"/>
      <c r="T114" s="23"/>
      <c r="U114" s="23"/>
      <c r="V114" s="23"/>
      <c r="X114" s="40"/>
      <c r="Y114" s="40"/>
      <c r="Z114" s="40"/>
      <c r="AA114" s="40"/>
      <c r="AB114" s="5"/>
    </row>
    <row r="115" spans="2:28" x14ac:dyDescent="0.2">
      <c r="B115" s="60"/>
      <c r="C115" s="60"/>
      <c r="D115" s="60"/>
      <c r="E115" s="23"/>
      <c r="F115" s="60"/>
      <c r="G115" s="23"/>
      <c r="H115" s="62"/>
      <c r="I115" s="23"/>
      <c r="J115" s="5"/>
      <c r="K115" s="23"/>
      <c r="L115" s="23"/>
      <c r="M115" s="23"/>
      <c r="N115" s="23"/>
      <c r="O115" s="23"/>
      <c r="P115" s="23"/>
      <c r="Q115" s="23"/>
      <c r="R115" s="23"/>
      <c r="S115" s="23"/>
      <c r="T115" s="23"/>
      <c r="U115" s="23"/>
      <c r="V115" s="23"/>
      <c r="X115" s="40"/>
      <c r="Y115" s="40"/>
      <c r="Z115" s="40"/>
      <c r="AA115" s="40"/>
      <c r="AB115" s="5"/>
    </row>
    <row r="116" spans="2:28" x14ac:dyDescent="0.2">
      <c r="B116" s="60"/>
      <c r="C116" s="60"/>
      <c r="D116" s="60"/>
      <c r="E116" s="23"/>
      <c r="F116" s="60"/>
      <c r="G116" s="23"/>
      <c r="H116" s="62"/>
      <c r="I116" s="23"/>
      <c r="J116" s="5"/>
      <c r="K116" s="23"/>
      <c r="L116" s="23"/>
      <c r="M116" s="23"/>
      <c r="N116" s="23"/>
      <c r="O116" s="23"/>
      <c r="P116" s="23"/>
      <c r="Q116" s="23"/>
      <c r="R116" s="23"/>
      <c r="S116" s="23"/>
      <c r="T116" s="23"/>
      <c r="U116" s="23"/>
      <c r="V116" s="23"/>
      <c r="X116" s="40"/>
      <c r="Y116" s="40"/>
      <c r="Z116" s="40"/>
      <c r="AA116" s="40"/>
      <c r="AB116" s="5"/>
    </row>
    <row r="117" spans="2:28" x14ac:dyDescent="0.2">
      <c r="B117" s="60"/>
      <c r="C117" s="60"/>
      <c r="D117" s="60"/>
      <c r="E117" s="23"/>
      <c r="F117" s="60"/>
      <c r="G117" s="23"/>
      <c r="H117" s="62"/>
      <c r="I117" s="23"/>
      <c r="J117" s="5"/>
      <c r="K117" s="23"/>
      <c r="L117" s="23"/>
      <c r="M117" s="23"/>
      <c r="N117" s="23"/>
      <c r="O117" s="23"/>
      <c r="P117" s="23"/>
      <c r="Q117" s="23"/>
      <c r="R117" s="23"/>
      <c r="S117" s="23"/>
      <c r="T117" s="23"/>
      <c r="U117" s="23"/>
      <c r="V117" s="23"/>
      <c r="X117" s="40"/>
      <c r="Y117" s="40"/>
      <c r="Z117" s="40"/>
      <c r="AA117" s="40"/>
      <c r="AB117" s="5"/>
    </row>
    <row r="118" spans="2:28" x14ac:dyDescent="0.2">
      <c r="B118" s="60"/>
      <c r="C118" s="60"/>
      <c r="D118" s="60"/>
      <c r="E118" s="23"/>
      <c r="F118" s="60"/>
      <c r="G118" s="23"/>
      <c r="H118" s="62"/>
      <c r="I118" s="23"/>
      <c r="J118" s="5"/>
      <c r="K118" s="23"/>
      <c r="L118" s="23"/>
      <c r="M118" s="23"/>
      <c r="N118" s="23"/>
      <c r="O118" s="23"/>
      <c r="P118" s="23"/>
      <c r="Q118" s="23"/>
      <c r="R118" s="23"/>
      <c r="S118" s="23"/>
      <c r="T118" s="23"/>
      <c r="U118" s="23"/>
      <c r="V118" s="23"/>
      <c r="X118" s="40"/>
      <c r="Y118" s="40"/>
      <c r="Z118" s="40"/>
      <c r="AA118" s="40"/>
      <c r="AB118" s="5"/>
    </row>
    <row r="119" spans="2:28" x14ac:dyDescent="0.2">
      <c r="B119" s="60"/>
      <c r="C119" s="60"/>
      <c r="D119" s="60"/>
      <c r="E119" s="23"/>
      <c r="F119" s="60"/>
      <c r="G119" s="23"/>
      <c r="H119" s="62"/>
      <c r="I119" s="23"/>
      <c r="J119" s="5"/>
      <c r="K119" s="23"/>
      <c r="L119" s="23"/>
      <c r="M119" s="23"/>
      <c r="N119" s="23"/>
      <c r="O119" s="23"/>
      <c r="P119" s="23"/>
      <c r="Q119" s="23"/>
      <c r="R119" s="23"/>
      <c r="S119" s="23"/>
      <c r="T119" s="23"/>
      <c r="U119" s="23"/>
      <c r="V119" s="23"/>
      <c r="X119" s="40"/>
      <c r="Y119" s="40"/>
      <c r="Z119" s="40"/>
      <c r="AA119" s="40"/>
      <c r="AB119" s="5"/>
    </row>
    <row r="120" spans="2:28" x14ac:dyDescent="0.2">
      <c r="B120" s="60"/>
      <c r="C120" s="60"/>
      <c r="D120" s="60"/>
      <c r="E120" s="23"/>
      <c r="F120" s="60"/>
      <c r="G120" s="23"/>
      <c r="H120" s="62"/>
      <c r="I120" s="23"/>
      <c r="J120" s="5"/>
      <c r="K120" s="23"/>
      <c r="L120" s="23"/>
      <c r="M120" s="23"/>
      <c r="N120" s="23"/>
      <c r="O120" s="23"/>
      <c r="P120" s="23"/>
      <c r="Q120" s="23"/>
      <c r="R120" s="23"/>
      <c r="S120" s="23"/>
      <c r="T120" s="23"/>
      <c r="U120" s="23"/>
      <c r="V120" s="23"/>
      <c r="X120" s="40"/>
      <c r="Y120" s="40"/>
      <c r="Z120" s="40"/>
      <c r="AA120" s="40"/>
      <c r="AB120" s="5"/>
    </row>
    <row r="121" spans="2:28" x14ac:dyDescent="0.2">
      <c r="B121" s="60"/>
      <c r="C121" s="60"/>
      <c r="D121" s="60"/>
      <c r="E121" s="23"/>
      <c r="F121" s="60"/>
      <c r="G121" s="23"/>
      <c r="H121" s="62"/>
      <c r="I121" s="23"/>
      <c r="J121" s="23"/>
      <c r="K121" s="23"/>
      <c r="L121" s="23"/>
      <c r="M121" s="23"/>
      <c r="N121" s="23"/>
      <c r="O121" s="23"/>
      <c r="P121" s="23"/>
      <c r="Q121" s="23"/>
      <c r="R121" s="23"/>
      <c r="S121" s="23"/>
      <c r="T121" s="23"/>
      <c r="U121" s="23"/>
      <c r="V121" s="23"/>
      <c r="X121" s="40"/>
      <c r="Y121" s="40"/>
      <c r="Z121" s="40"/>
      <c r="AA121" s="40"/>
      <c r="AB121" s="5"/>
    </row>
    <row r="122" spans="2:28" x14ac:dyDescent="0.2">
      <c r="B122" s="60"/>
      <c r="C122" s="60"/>
      <c r="D122" s="60"/>
      <c r="E122" s="23"/>
      <c r="F122" s="60"/>
      <c r="G122" s="23"/>
      <c r="H122" s="62"/>
      <c r="I122" s="23"/>
      <c r="J122" s="5"/>
      <c r="K122" s="23"/>
      <c r="L122" s="23"/>
      <c r="M122" s="23"/>
      <c r="N122" s="23"/>
      <c r="O122" s="23"/>
      <c r="P122" s="23"/>
      <c r="Q122" s="23"/>
      <c r="R122" s="23"/>
      <c r="S122" s="23"/>
      <c r="T122" s="23"/>
      <c r="U122" s="23"/>
      <c r="V122" s="23"/>
      <c r="X122" s="40"/>
      <c r="Y122" s="40"/>
      <c r="Z122" s="40"/>
      <c r="AA122" s="40"/>
      <c r="AB122" s="5"/>
    </row>
    <row r="123" spans="2:28" x14ac:dyDescent="0.2">
      <c r="B123" s="60"/>
      <c r="C123" s="60"/>
      <c r="D123" s="60"/>
      <c r="E123" s="23"/>
      <c r="F123" s="60"/>
      <c r="G123" s="23"/>
      <c r="H123" s="62"/>
      <c r="I123" s="23"/>
      <c r="J123" s="5"/>
      <c r="K123" s="23"/>
      <c r="L123" s="23"/>
      <c r="M123" s="23"/>
      <c r="N123" s="23"/>
      <c r="O123" s="23"/>
      <c r="P123" s="23"/>
      <c r="Q123" s="23"/>
      <c r="R123" s="23"/>
      <c r="S123" s="23"/>
      <c r="T123" s="23"/>
      <c r="U123" s="23"/>
      <c r="V123" s="23"/>
      <c r="X123" s="40"/>
      <c r="Y123" s="40"/>
      <c r="Z123" s="40"/>
      <c r="AA123" s="40"/>
      <c r="AB123" s="5"/>
    </row>
    <row r="124" spans="2:28" x14ac:dyDescent="0.2">
      <c r="B124" s="60"/>
      <c r="C124" s="60"/>
      <c r="D124" s="60"/>
      <c r="E124" s="23"/>
      <c r="F124" s="60"/>
      <c r="G124" s="23"/>
      <c r="H124" s="62"/>
      <c r="I124" s="23"/>
      <c r="J124" s="5"/>
      <c r="K124" s="23"/>
      <c r="L124" s="23"/>
      <c r="M124" s="23"/>
      <c r="N124" s="23"/>
      <c r="O124" s="23"/>
      <c r="P124" s="23"/>
      <c r="Q124" s="23"/>
      <c r="R124" s="23"/>
      <c r="S124" s="23"/>
      <c r="T124" s="23"/>
      <c r="U124" s="23"/>
      <c r="V124" s="23"/>
      <c r="X124" s="40"/>
      <c r="Y124" s="40"/>
      <c r="Z124" s="40"/>
      <c r="AA124" s="40"/>
      <c r="AB124" s="5"/>
    </row>
    <row r="125" spans="2:28" x14ac:dyDescent="0.2">
      <c r="B125" s="60"/>
      <c r="C125" s="60"/>
      <c r="D125" s="60"/>
      <c r="E125" s="23"/>
      <c r="F125" s="60"/>
      <c r="G125" s="23"/>
      <c r="H125" s="62"/>
      <c r="I125" s="23"/>
      <c r="J125" s="5"/>
      <c r="K125" s="23"/>
      <c r="L125" s="23"/>
      <c r="M125" s="23"/>
      <c r="N125" s="23"/>
      <c r="O125" s="23"/>
      <c r="P125" s="23"/>
      <c r="Q125" s="23"/>
      <c r="R125" s="23"/>
      <c r="S125" s="23"/>
      <c r="T125" s="23"/>
      <c r="U125" s="23"/>
      <c r="V125" s="23"/>
      <c r="X125" s="40"/>
      <c r="Y125" s="40"/>
      <c r="Z125" s="40"/>
      <c r="AA125" s="40"/>
      <c r="AB125" s="5"/>
    </row>
    <row r="126" spans="2:28" x14ac:dyDescent="0.2">
      <c r="B126" s="60"/>
      <c r="C126" s="60"/>
      <c r="D126" s="60"/>
      <c r="E126" s="23"/>
      <c r="F126" s="60"/>
      <c r="G126" s="23"/>
      <c r="H126" s="62"/>
      <c r="I126" s="23"/>
      <c r="J126" s="5"/>
      <c r="K126" s="23"/>
      <c r="L126" s="23"/>
      <c r="M126" s="23"/>
      <c r="N126" s="23"/>
      <c r="O126" s="23"/>
      <c r="P126" s="23"/>
      <c r="Q126" s="23"/>
      <c r="R126" s="23"/>
      <c r="S126" s="23"/>
      <c r="T126" s="23"/>
      <c r="U126" s="23"/>
      <c r="V126" s="23"/>
      <c r="X126" s="40"/>
      <c r="Y126" s="40"/>
      <c r="Z126" s="40"/>
      <c r="AA126" s="40"/>
      <c r="AB126" s="5"/>
    </row>
    <row r="127" spans="2:28" x14ac:dyDescent="0.2">
      <c r="B127" s="60"/>
      <c r="C127" s="60"/>
      <c r="D127" s="60"/>
      <c r="E127" s="23"/>
      <c r="F127" s="60"/>
      <c r="G127" s="23"/>
      <c r="H127" s="62"/>
      <c r="I127" s="23"/>
      <c r="J127" s="5"/>
      <c r="K127" s="23"/>
      <c r="L127" s="23"/>
      <c r="M127" s="23"/>
      <c r="N127" s="23"/>
      <c r="O127" s="23"/>
      <c r="P127" s="23"/>
      <c r="Q127" s="23"/>
      <c r="R127" s="23"/>
      <c r="S127" s="23"/>
      <c r="T127" s="23"/>
      <c r="U127" s="23"/>
      <c r="V127" s="23"/>
      <c r="X127" s="40"/>
      <c r="Y127" s="40"/>
      <c r="Z127" s="40"/>
      <c r="AA127" s="40"/>
      <c r="AB127" s="5"/>
    </row>
    <row r="128" spans="2:28" x14ac:dyDescent="0.2">
      <c r="B128" s="60"/>
      <c r="C128" s="60"/>
      <c r="D128" s="60"/>
      <c r="E128" s="23"/>
      <c r="F128" s="60"/>
      <c r="G128" s="23"/>
      <c r="H128" s="62"/>
      <c r="I128" s="23"/>
      <c r="J128" s="5"/>
      <c r="K128" s="23"/>
      <c r="L128" s="23"/>
      <c r="M128" s="23"/>
      <c r="N128" s="23"/>
      <c r="O128" s="23"/>
      <c r="P128" s="23"/>
      <c r="Q128" s="23"/>
      <c r="R128" s="23"/>
      <c r="S128" s="23"/>
      <c r="T128" s="23"/>
      <c r="U128" s="23"/>
      <c r="V128" s="23"/>
      <c r="X128" s="40"/>
      <c r="Y128" s="40"/>
      <c r="Z128" s="40"/>
      <c r="AA128" s="40"/>
      <c r="AB128" s="5"/>
    </row>
    <row r="129" spans="2:32" x14ac:dyDescent="0.2">
      <c r="B129" s="60"/>
      <c r="C129" s="60"/>
      <c r="D129" s="60"/>
      <c r="E129" s="23"/>
      <c r="F129" s="60"/>
      <c r="G129" s="23"/>
      <c r="H129" s="62"/>
      <c r="I129" s="23"/>
      <c r="J129" s="5"/>
      <c r="K129" s="23"/>
      <c r="L129" s="23"/>
      <c r="M129" s="23"/>
      <c r="N129" s="23"/>
      <c r="O129" s="23"/>
      <c r="P129" s="23"/>
      <c r="Q129" s="23"/>
      <c r="R129" s="23"/>
      <c r="S129" s="23"/>
      <c r="T129" s="23"/>
      <c r="U129" s="23"/>
      <c r="V129" s="23"/>
      <c r="X129" s="40"/>
      <c r="Y129" s="40"/>
      <c r="Z129" s="40"/>
      <c r="AA129" s="40"/>
      <c r="AB129" s="5"/>
    </row>
    <row r="130" spans="2:32" x14ac:dyDescent="0.2">
      <c r="B130" s="60"/>
      <c r="C130" s="60"/>
      <c r="D130" s="60"/>
      <c r="E130" s="23"/>
      <c r="F130" s="60"/>
      <c r="G130" s="23"/>
      <c r="H130" s="62"/>
      <c r="I130" s="23"/>
      <c r="J130" s="5"/>
      <c r="K130" s="23"/>
      <c r="L130" s="23"/>
      <c r="M130" s="23"/>
      <c r="N130" s="23"/>
      <c r="O130" s="23"/>
      <c r="P130" s="23"/>
      <c r="Q130" s="23"/>
      <c r="R130" s="23"/>
      <c r="S130" s="23"/>
      <c r="T130" s="23"/>
      <c r="U130" s="23"/>
      <c r="V130" s="23"/>
      <c r="X130" s="40"/>
      <c r="Y130" s="40"/>
      <c r="Z130" s="40"/>
      <c r="AA130" s="40"/>
      <c r="AB130" s="5"/>
    </row>
    <row r="131" spans="2:32" x14ac:dyDescent="0.2">
      <c r="B131" s="60"/>
      <c r="C131" s="60"/>
      <c r="D131" s="60"/>
      <c r="E131" s="23"/>
      <c r="F131" s="60"/>
      <c r="G131" s="23"/>
      <c r="H131" s="62"/>
      <c r="I131" s="23"/>
      <c r="J131" s="5"/>
      <c r="K131" s="23"/>
      <c r="L131" s="23"/>
      <c r="M131" s="23"/>
      <c r="N131" s="23"/>
      <c r="O131" s="23"/>
      <c r="P131" s="23"/>
      <c r="Q131" s="23"/>
      <c r="R131" s="23"/>
      <c r="S131" s="23"/>
      <c r="T131" s="23"/>
      <c r="U131" s="23"/>
      <c r="V131" s="23"/>
      <c r="W131" s="23"/>
      <c r="X131" s="23"/>
      <c r="Y131" s="23"/>
      <c r="Z131" s="23"/>
      <c r="AB131" s="40"/>
      <c r="AC131" s="40"/>
      <c r="AD131" s="40"/>
      <c r="AE131" s="40"/>
      <c r="AF131" s="5"/>
    </row>
    <row r="132" spans="2:32" x14ac:dyDescent="0.2">
      <c r="B132" s="60"/>
      <c r="C132" s="60"/>
      <c r="D132" s="60"/>
      <c r="E132" s="23"/>
      <c r="F132" s="60"/>
      <c r="G132" s="23"/>
      <c r="H132" s="62"/>
      <c r="I132" s="23"/>
      <c r="J132" s="23"/>
      <c r="K132" s="23"/>
      <c r="L132" s="23"/>
      <c r="M132" s="23"/>
      <c r="N132" s="23"/>
      <c r="O132" s="23"/>
      <c r="P132" s="23"/>
      <c r="Q132" s="23"/>
      <c r="R132" s="23"/>
      <c r="S132" s="23"/>
      <c r="T132" s="23"/>
      <c r="U132" s="23"/>
      <c r="V132" s="23"/>
      <c r="W132" s="23"/>
      <c r="X132" s="23"/>
      <c r="Y132" s="23"/>
      <c r="Z132" s="23"/>
      <c r="AB132" s="40"/>
      <c r="AC132" s="40"/>
      <c r="AD132" s="40"/>
      <c r="AE132" s="40"/>
      <c r="AF132" s="5"/>
    </row>
    <row r="133" spans="2:32" x14ac:dyDescent="0.2">
      <c r="B133" s="60"/>
      <c r="C133" s="60"/>
      <c r="D133" s="60"/>
      <c r="E133" s="23"/>
      <c r="F133" s="60"/>
      <c r="G133" s="23"/>
      <c r="H133" s="62"/>
      <c r="I133" s="23"/>
      <c r="J133" s="5"/>
      <c r="K133" s="23"/>
      <c r="L133" s="23"/>
      <c r="M133" s="23"/>
      <c r="N133" s="23"/>
      <c r="O133" s="23"/>
      <c r="P133" s="23"/>
      <c r="Q133" s="23"/>
      <c r="R133" s="23"/>
      <c r="S133" s="23"/>
      <c r="T133" s="23"/>
      <c r="U133" s="23"/>
      <c r="V133" s="23"/>
      <c r="W133" s="23"/>
      <c r="X133" s="23"/>
      <c r="Y133" s="23"/>
      <c r="Z133" s="23"/>
      <c r="AB133" s="40"/>
      <c r="AC133" s="40"/>
      <c r="AD133" s="40"/>
      <c r="AE133" s="40"/>
      <c r="AF133" s="5"/>
    </row>
    <row r="134" spans="2:32" x14ac:dyDescent="0.2">
      <c r="B134" s="60"/>
      <c r="C134" s="60"/>
      <c r="D134" s="60"/>
      <c r="E134" s="23"/>
      <c r="F134" s="60"/>
      <c r="G134" s="23"/>
      <c r="H134" s="62"/>
      <c r="I134" s="23"/>
      <c r="J134" s="5"/>
      <c r="K134" s="23"/>
      <c r="L134" s="23"/>
      <c r="M134" s="23"/>
      <c r="N134" s="23"/>
      <c r="O134" s="23"/>
      <c r="P134" s="23"/>
      <c r="Q134" s="23"/>
      <c r="R134" s="23"/>
      <c r="S134" s="23"/>
      <c r="T134" s="23"/>
      <c r="U134" s="23"/>
      <c r="V134" s="23"/>
      <c r="W134" s="23"/>
      <c r="X134" s="23"/>
      <c r="Y134" s="23"/>
      <c r="Z134" s="23"/>
      <c r="AB134" s="40"/>
      <c r="AC134" s="40"/>
      <c r="AD134" s="40"/>
      <c r="AE134" s="40"/>
      <c r="AF134" s="5"/>
    </row>
    <row r="135" spans="2:32" x14ac:dyDescent="0.2">
      <c r="B135" s="60"/>
      <c r="C135" s="60"/>
      <c r="D135" s="60"/>
      <c r="E135" s="23"/>
      <c r="F135" s="60"/>
      <c r="G135" s="23"/>
      <c r="H135" s="62"/>
      <c r="I135" s="23"/>
      <c r="J135" s="5"/>
      <c r="K135" s="23"/>
      <c r="L135" s="23"/>
      <c r="M135" s="23"/>
      <c r="N135" s="23"/>
      <c r="O135" s="23"/>
      <c r="P135" s="23"/>
      <c r="Q135" s="23"/>
      <c r="R135" s="23"/>
      <c r="S135" s="23"/>
      <c r="T135" s="23"/>
      <c r="U135" s="23"/>
      <c r="V135" s="23"/>
      <c r="W135" s="23"/>
      <c r="X135" s="23"/>
      <c r="Y135" s="23"/>
      <c r="Z135" s="23"/>
      <c r="AB135" s="40"/>
      <c r="AC135" s="40"/>
      <c r="AD135" s="40"/>
      <c r="AE135" s="40"/>
      <c r="AF135" s="5"/>
    </row>
    <row r="136" spans="2:32" x14ac:dyDescent="0.2">
      <c r="B136" s="60"/>
      <c r="C136" s="60"/>
      <c r="D136" s="60"/>
      <c r="E136" s="23"/>
      <c r="F136" s="60"/>
      <c r="G136" s="23"/>
      <c r="H136" s="62"/>
      <c r="I136" s="23"/>
      <c r="J136" s="5"/>
      <c r="K136" s="23"/>
      <c r="L136" s="23"/>
      <c r="M136" s="23"/>
      <c r="N136" s="23"/>
      <c r="O136" s="23"/>
      <c r="P136" s="23"/>
      <c r="Q136" s="23"/>
      <c r="R136" s="23"/>
      <c r="S136" s="23"/>
      <c r="T136" s="23"/>
      <c r="U136" s="23"/>
      <c r="V136" s="23"/>
      <c r="W136" s="23"/>
      <c r="X136" s="23"/>
      <c r="Y136" s="23"/>
      <c r="Z136" s="23"/>
      <c r="AB136" s="40"/>
      <c r="AC136" s="40"/>
      <c r="AD136" s="40"/>
      <c r="AE136" s="40"/>
      <c r="AF136" s="5"/>
    </row>
    <row r="137" spans="2:32" x14ac:dyDescent="0.2">
      <c r="B137" s="60"/>
      <c r="C137" s="60"/>
      <c r="D137" s="60"/>
      <c r="E137" s="23"/>
      <c r="F137" s="60"/>
      <c r="G137" s="23"/>
      <c r="H137" s="62"/>
      <c r="I137" s="23"/>
      <c r="J137" s="23"/>
      <c r="K137" s="23"/>
      <c r="L137" s="23"/>
      <c r="M137" s="23"/>
      <c r="N137" s="23"/>
      <c r="O137" s="23"/>
      <c r="P137" s="23"/>
      <c r="Q137" s="23"/>
      <c r="R137" s="23"/>
      <c r="S137" s="23"/>
      <c r="T137" s="23"/>
      <c r="U137" s="23"/>
      <c r="V137" s="23"/>
      <c r="W137" s="23"/>
      <c r="X137" s="23"/>
      <c r="Y137" s="23"/>
      <c r="Z137" s="23"/>
      <c r="AB137" s="40"/>
      <c r="AC137" s="40"/>
      <c r="AD137" s="40"/>
      <c r="AE137" s="40"/>
      <c r="AF137" s="5"/>
    </row>
    <row r="138" spans="2:32" x14ac:dyDescent="0.2">
      <c r="B138" s="60"/>
      <c r="C138" s="60"/>
      <c r="D138" s="60"/>
      <c r="E138" s="23"/>
      <c r="F138" s="60"/>
      <c r="G138" s="23"/>
      <c r="H138" s="62"/>
      <c r="I138" s="23"/>
      <c r="J138" s="5"/>
      <c r="K138" s="23"/>
      <c r="L138" s="23"/>
      <c r="M138" s="23"/>
      <c r="N138" s="23"/>
      <c r="O138" s="23"/>
      <c r="P138" s="23"/>
      <c r="Q138" s="23"/>
      <c r="R138" s="23"/>
      <c r="S138" s="23"/>
      <c r="T138" s="23"/>
      <c r="U138" s="23"/>
      <c r="V138" s="23"/>
      <c r="W138" s="23"/>
      <c r="X138" s="23"/>
      <c r="Y138" s="23"/>
      <c r="Z138" s="23"/>
      <c r="AB138" s="40"/>
      <c r="AC138" s="40"/>
      <c r="AD138" s="40"/>
      <c r="AE138" s="40"/>
      <c r="AF138" s="5"/>
    </row>
    <row r="139" spans="2:32" x14ac:dyDescent="0.2">
      <c r="B139" s="60"/>
      <c r="C139" s="60"/>
      <c r="D139" s="60"/>
      <c r="E139" s="23"/>
      <c r="F139" s="60"/>
      <c r="G139" s="23"/>
      <c r="H139" s="62"/>
      <c r="I139" s="23"/>
      <c r="J139" s="5"/>
      <c r="K139" s="23"/>
      <c r="L139" s="23"/>
      <c r="M139" s="23"/>
      <c r="N139" s="23"/>
      <c r="O139" s="23"/>
      <c r="P139" s="23"/>
      <c r="Q139" s="23"/>
      <c r="R139" s="23"/>
      <c r="S139" s="23"/>
      <c r="T139" s="23"/>
      <c r="U139" s="23"/>
      <c r="V139" s="23"/>
      <c r="W139" s="23"/>
      <c r="X139" s="23"/>
      <c r="Y139" s="23"/>
      <c r="Z139" s="23"/>
      <c r="AB139" s="40"/>
      <c r="AC139" s="40"/>
      <c r="AD139" s="40"/>
      <c r="AE139" s="40"/>
      <c r="AF139" s="5"/>
    </row>
    <row r="140" spans="2:32" x14ac:dyDescent="0.2">
      <c r="B140" s="60"/>
      <c r="C140" s="60"/>
      <c r="D140" s="60"/>
      <c r="E140" s="23"/>
      <c r="F140" s="60"/>
      <c r="G140" s="23"/>
      <c r="H140" s="62"/>
      <c r="I140" s="23"/>
      <c r="J140" s="5"/>
      <c r="K140" s="23"/>
      <c r="L140" s="23"/>
      <c r="M140" s="23"/>
      <c r="N140" s="23"/>
      <c r="O140" s="23"/>
      <c r="P140" s="23"/>
      <c r="Q140" s="23"/>
      <c r="R140" s="23"/>
      <c r="S140" s="23"/>
      <c r="T140" s="23"/>
      <c r="U140" s="23"/>
      <c r="V140" s="23"/>
      <c r="W140" s="23"/>
      <c r="X140" s="23"/>
      <c r="Y140" s="23"/>
      <c r="Z140" s="23"/>
      <c r="AB140" s="40"/>
      <c r="AC140" s="40"/>
      <c r="AD140" s="40"/>
      <c r="AE140" s="40"/>
      <c r="AF140" s="5"/>
    </row>
    <row r="141" spans="2:32" x14ac:dyDescent="0.2">
      <c r="B141" s="60"/>
      <c r="C141" s="60"/>
      <c r="D141" s="60"/>
      <c r="E141" s="23"/>
      <c r="F141" s="60"/>
      <c r="G141" s="23"/>
      <c r="H141" s="62"/>
      <c r="I141" s="23"/>
      <c r="J141" s="5"/>
      <c r="K141" s="23"/>
      <c r="L141" s="23"/>
      <c r="M141" s="23"/>
      <c r="N141" s="23"/>
      <c r="O141" s="23"/>
      <c r="P141" s="23"/>
      <c r="Q141" s="23"/>
      <c r="R141" s="23"/>
      <c r="S141" s="23"/>
      <c r="T141" s="23"/>
      <c r="U141" s="23"/>
      <c r="V141" s="23"/>
      <c r="W141" s="23"/>
      <c r="X141" s="23"/>
      <c r="Y141" s="23"/>
      <c r="Z141" s="23"/>
      <c r="AB141" s="40"/>
      <c r="AC141" s="40"/>
      <c r="AD141" s="40"/>
      <c r="AE141" s="40"/>
      <c r="AF141" s="5"/>
    </row>
    <row r="142" spans="2:32" x14ac:dyDescent="0.2">
      <c r="B142" s="60"/>
      <c r="C142" s="60"/>
      <c r="D142" s="60"/>
      <c r="E142" s="23"/>
      <c r="F142" s="60"/>
      <c r="G142" s="23"/>
      <c r="H142" s="62"/>
      <c r="I142" s="23"/>
      <c r="J142" s="23"/>
      <c r="K142" s="23"/>
      <c r="L142" s="23"/>
      <c r="M142" s="23"/>
      <c r="N142" s="23"/>
      <c r="O142" s="23"/>
      <c r="P142" s="23"/>
      <c r="Q142" s="23"/>
      <c r="R142" s="23"/>
      <c r="S142" s="23"/>
      <c r="T142" s="23"/>
      <c r="U142" s="23"/>
      <c r="V142" s="23"/>
      <c r="W142" s="23"/>
      <c r="X142" s="23"/>
      <c r="Y142" s="23"/>
      <c r="Z142" s="23"/>
      <c r="AB142" s="40"/>
      <c r="AC142" s="40"/>
      <c r="AD142" s="40"/>
      <c r="AE142" s="40"/>
      <c r="AF142" s="5"/>
    </row>
    <row r="143" spans="2:32" x14ac:dyDescent="0.2">
      <c r="B143" s="60"/>
      <c r="C143" s="60"/>
      <c r="D143" s="60"/>
      <c r="E143" s="23"/>
      <c r="F143" s="60"/>
      <c r="G143" s="23"/>
      <c r="H143" s="62"/>
      <c r="I143" s="23"/>
      <c r="J143" s="5"/>
      <c r="K143" s="23"/>
      <c r="L143" s="23"/>
      <c r="M143" s="23"/>
      <c r="N143" s="23"/>
      <c r="O143" s="23"/>
      <c r="P143" s="23"/>
      <c r="Q143" s="23"/>
      <c r="R143" s="23"/>
      <c r="S143" s="23"/>
      <c r="T143" s="23"/>
      <c r="U143" s="23"/>
      <c r="V143" s="23"/>
      <c r="W143" s="23"/>
      <c r="X143" s="23"/>
      <c r="Y143" s="23"/>
      <c r="Z143" s="23"/>
      <c r="AB143" s="40"/>
      <c r="AC143" s="40"/>
      <c r="AD143" s="40"/>
      <c r="AE143" s="40"/>
      <c r="AF143" s="5"/>
    </row>
    <row r="144" spans="2:32" x14ac:dyDescent="0.2">
      <c r="B144" s="60"/>
      <c r="C144" s="60"/>
      <c r="D144" s="60"/>
      <c r="E144" s="23"/>
      <c r="F144" s="60"/>
      <c r="G144" s="23"/>
      <c r="H144" s="62"/>
      <c r="I144" s="23"/>
      <c r="J144" s="5"/>
      <c r="K144" s="23"/>
      <c r="L144" s="23"/>
      <c r="M144" s="23"/>
      <c r="N144" s="23"/>
      <c r="O144" s="23"/>
      <c r="P144" s="23"/>
      <c r="Q144" s="23"/>
      <c r="R144" s="23"/>
      <c r="S144" s="23"/>
      <c r="T144" s="23"/>
      <c r="U144" s="23"/>
      <c r="V144" s="23"/>
      <c r="W144" s="23"/>
      <c r="X144" s="23"/>
      <c r="Y144" s="23"/>
      <c r="Z144" s="23"/>
      <c r="AB144" s="40"/>
      <c r="AC144" s="40"/>
      <c r="AD144" s="40"/>
      <c r="AE144" s="40"/>
      <c r="AF144" s="5"/>
    </row>
    <row r="145" spans="2:32" x14ac:dyDescent="0.2">
      <c r="B145" s="60"/>
      <c r="C145" s="60"/>
      <c r="D145" s="60"/>
      <c r="E145" s="23"/>
      <c r="F145" s="23"/>
      <c r="G145" s="23"/>
      <c r="H145" s="62"/>
      <c r="I145" s="23"/>
      <c r="J145" s="23"/>
      <c r="K145" s="23"/>
      <c r="L145" s="23"/>
      <c r="M145" s="23"/>
      <c r="N145" s="23"/>
      <c r="O145" s="23"/>
      <c r="P145" s="23"/>
      <c r="Q145" s="23"/>
      <c r="R145" s="23"/>
      <c r="S145" s="23"/>
      <c r="T145" s="23"/>
      <c r="U145" s="23"/>
      <c r="V145" s="23"/>
      <c r="W145" s="23"/>
      <c r="X145" s="23"/>
      <c r="Y145" s="23"/>
      <c r="Z145" s="23"/>
      <c r="AB145" s="40"/>
      <c r="AC145" s="40"/>
      <c r="AD145" s="40"/>
      <c r="AE145" s="40"/>
      <c r="AF145" s="5"/>
    </row>
    <row r="146" spans="2:32" x14ac:dyDescent="0.2">
      <c r="B146" s="60"/>
      <c r="C146" s="60"/>
      <c r="D146" s="60"/>
      <c r="E146" s="23"/>
      <c r="F146" s="23"/>
      <c r="G146" s="23"/>
      <c r="H146" s="62"/>
      <c r="I146" s="23"/>
      <c r="J146" s="23"/>
      <c r="K146" s="23"/>
      <c r="L146" s="23"/>
      <c r="M146" s="23"/>
      <c r="N146" s="23"/>
      <c r="O146" s="23"/>
      <c r="P146" s="23"/>
      <c r="Q146" s="23"/>
      <c r="R146" s="23"/>
      <c r="S146" s="23"/>
      <c r="T146" s="23"/>
      <c r="U146" s="23"/>
      <c r="V146" s="23"/>
      <c r="W146" s="23"/>
      <c r="X146" s="23"/>
      <c r="Y146" s="23"/>
      <c r="Z146" s="23"/>
      <c r="AB146" s="40"/>
      <c r="AC146" s="40"/>
      <c r="AD146" s="40"/>
      <c r="AE146" s="40"/>
      <c r="AF146" s="5"/>
    </row>
    <row r="147" spans="2:32" x14ac:dyDescent="0.2">
      <c r="B147" s="60"/>
      <c r="C147" s="60"/>
      <c r="D147" s="60"/>
      <c r="E147" s="23"/>
      <c r="F147" s="23"/>
      <c r="G147" s="23"/>
      <c r="H147" s="62"/>
      <c r="I147" s="23"/>
      <c r="J147" s="23"/>
      <c r="K147" s="23"/>
      <c r="L147" s="23"/>
      <c r="M147" s="23"/>
      <c r="N147" s="23"/>
      <c r="O147" s="23"/>
      <c r="P147" s="23"/>
      <c r="Q147" s="23"/>
      <c r="R147" s="23"/>
      <c r="S147" s="23"/>
      <c r="T147" s="23"/>
      <c r="U147" s="23"/>
      <c r="V147" s="23"/>
      <c r="W147" s="23"/>
      <c r="X147" s="23"/>
      <c r="Y147" s="23"/>
      <c r="Z147" s="23"/>
      <c r="AB147" s="40"/>
      <c r="AC147" s="40"/>
      <c r="AD147" s="40"/>
      <c r="AE147" s="40"/>
      <c r="AF147" s="5"/>
    </row>
    <row r="148" spans="2:32" x14ac:dyDescent="0.2">
      <c r="B148" s="60"/>
      <c r="C148" s="60"/>
      <c r="D148" s="60"/>
      <c r="E148" s="23"/>
      <c r="F148" s="23"/>
      <c r="G148" s="23"/>
      <c r="H148" s="62"/>
      <c r="I148" s="23"/>
      <c r="J148" s="23"/>
      <c r="K148" s="23"/>
      <c r="L148" s="23"/>
      <c r="M148" s="23"/>
      <c r="N148" s="23"/>
      <c r="O148" s="23"/>
      <c r="P148" s="23"/>
      <c r="Q148" s="23"/>
      <c r="R148" s="23"/>
      <c r="S148" s="23"/>
      <c r="T148" s="23"/>
      <c r="U148" s="23"/>
      <c r="V148" s="23"/>
      <c r="W148" s="23"/>
      <c r="X148" s="23"/>
      <c r="Y148" s="23"/>
      <c r="Z148" s="23"/>
      <c r="AB148" s="40"/>
      <c r="AC148" s="40"/>
      <c r="AD148" s="40"/>
      <c r="AE148" s="40"/>
      <c r="AF148" s="5"/>
    </row>
    <row r="149" spans="2:32" x14ac:dyDescent="0.2">
      <c r="B149" s="60"/>
      <c r="C149" s="60"/>
      <c r="D149" s="60"/>
      <c r="E149" s="23"/>
      <c r="F149" s="23"/>
      <c r="G149" s="23"/>
      <c r="H149" s="62"/>
      <c r="I149" s="23"/>
      <c r="J149" s="23"/>
      <c r="K149" s="23"/>
      <c r="L149" s="23"/>
      <c r="M149" s="23"/>
      <c r="N149" s="23"/>
      <c r="O149" s="23"/>
      <c r="P149" s="23"/>
      <c r="Q149" s="23"/>
      <c r="R149" s="23"/>
      <c r="S149" s="23"/>
      <c r="T149" s="23"/>
      <c r="U149" s="23"/>
      <c r="V149" s="23"/>
      <c r="W149" s="23"/>
      <c r="X149" s="23"/>
      <c r="Y149" s="23"/>
      <c r="Z149" s="23"/>
      <c r="AB149" s="40"/>
      <c r="AC149" s="40"/>
      <c r="AD149" s="40"/>
      <c r="AE149" s="40"/>
      <c r="AF149" s="5"/>
    </row>
    <row r="150" spans="2:32" x14ac:dyDescent="0.2">
      <c r="B150" s="60"/>
      <c r="C150" s="60"/>
      <c r="D150" s="60"/>
      <c r="E150" s="23"/>
      <c r="F150" s="23"/>
      <c r="G150" s="23"/>
      <c r="H150" s="62"/>
      <c r="I150" s="23"/>
      <c r="J150" s="23"/>
      <c r="K150" s="23"/>
      <c r="L150" s="23"/>
      <c r="M150" s="23"/>
      <c r="N150" s="23"/>
      <c r="O150" s="23"/>
      <c r="P150" s="23"/>
      <c r="Q150" s="23"/>
      <c r="R150" s="23"/>
      <c r="S150" s="23"/>
      <c r="T150" s="23"/>
      <c r="U150" s="23"/>
      <c r="V150" s="23"/>
      <c r="W150" s="23"/>
      <c r="X150" s="23"/>
      <c r="Y150" s="23"/>
      <c r="Z150" s="23"/>
      <c r="AB150" s="40"/>
      <c r="AC150" s="40"/>
      <c r="AD150" s="40"/>
      <c r="AE150" s="40"/>
      <c r="AF150" s="5"/>
    </row>
    <row r="151" spans="2:32" x14ac:dyDescent="0.2">
      <c r="B151" s="60"/>
      <c r="C151" s="60"/>
      <c r="D151" s="60"/>
      <c r="E151" s="23"/>
      <c r="F151" s="23"/>
      <c r="G151" s="23"/>
      <c r="H151" s="62"/>
      <c r="I151" s="23"/>
      <c r="J151" s="23"/>
      <c r="K151" s="23"/>
      <c r="L151" s="23"/>
      <c r="M151" s="23"/>
      <c r="N151" s="23"/>
      <c r="O151" s="23"/>
      <c r="P151" s="23"/>
      <c r="Q151" s="23"/>
      <c r="R151" s="23"/>
      <c r="S151" s="23"/>
      <c r="T151" s="23"/>
      <c r="U151" s="23"/>
      <c r="V151" s="23"/>
      <c r="W151" s="23"/>
      <c r="X151" s="23"/>
      <c r="Y151" s="23"/>
      <c r="Z151" s="23"/>
      <c r="AB151" s="40"/>
      <c r="AC151" s="40"/>
      <c r="AD151" s="40"/>
      <c r="AE151" s="40"/>
      <c r="AF151" s="5"/>
    </row>
    <row r="152" spans="2:32" x14ac:dyDescent="0.2">
      <c r="B152" s="60"/>
      <c r="C152" s="60"/>
      <c r="D152" s="60"/>
      <c r="E152" s="23"/>
      <c r="F152" s="23"/>
      <c r="G152" s="23"/>
      <c r="H152" s="62"/>
      <c r="I152" s="23"/>
      <c r="J152" s="23"/>
      <c r="K152" s="23"/>
      <c r="L152" s="23"/>
      <c r="M152" s="23"/>
      <c r="N152" s="23"/>
      <c r="O152" s="23"/>
      <c r="P152" s="23"/>
      <c r="Q152" s="23"/>
      <c r="R152" s="23"/>
      <c r="S152" s="23"/>
      <c r="T152" s="23"/>
      <c r="U152" s="23"/>
      <c r="V152" s="23"/>
      <c r="W152" s="23"/>
      <c r="X152" s="23"/>
      <c r="Y152" s="23"/>
      <c r="Z152" s="23"/>
      <c r="AB152" s="40"/>
      <c r="AC152" s="40"/>
      <c r="AD152" s="40"/>
      <c r="AE152" s="40"/>
      <c r="AF152" s="5"/>
    </row>
    <row r="153" spans="2:32" x14ac:dyDescent="0.2">
      <c r="B153" s="60"/>
      <c r="C153" s="60"/>
      <c r="D153" s="60"/>
      <c r="E153" s="23"/>
      <c r="F153" s="23"/>
      <c r="G153" s="23"/>
      <c r="H153" s="62"/>
      <c r="I153" s="23"/>
      <c r="J153" s="23"/>
      <c r="K153" s="23"/>
      <c r="L153" s="23"/>
      <c r="M153" s="23"/>
      <c r="N153" s="23"/>
      <c r="O153" s="23"/>
      <c r="P153" s="23"/>
      <c r="Q153" s="23"/>
      <c r="R153" s="23"/>
      <c r="S153" s="23"/>
      <c r="T153" s="23"/>
      <c r="U153" s="23"/>
      <c r="V153" s="23"/>
      <c r="W153" s="23"/>
      <c r="X153" s="23"/>
      <c r="Y153" s="23"/>
      <c r="Z153" s="23"/>
      <c r="AB153" s="40"/>
      <c r="AC153" s="40"/>
      <c r="AD153" s="40"/>
      <c r="AE153" s="40"/>
      <c r="AF153" s="5"/>
    </row>
    <row r="154" spans="2:32" x14ac:dyDescent="0.2">
      <c r="B154" s="60"/>
      <c r="C154" s="60"/>
      <c r="D154" s="60"/>
      <c r="E154" s="23"/>
      <c r="F154" s="23"/>
      <c r="G154" s="23"/>
      <c r="H154" s="62"/>
      <c r="I154" s="23"/>
      <c r="J154" s="23"/>
      <c r="K154" s="23"/>
      <c r="L154" s="23"/>
      <c r="M154" s="23"/>
      <c r="N154" s="23"/>
      <c r="O154" s="23"/>
      <c r="P154" s="23"/>
      <c r="Q154" s="23"/>
      <c r="R154" s="23"/>
      <c r="S154" s="23"/>
      <c r="T154" s="23"/>
      <c r="U154" s="23"/>
      <c r="V154" s="23"/>
      <c r="W154" s="23"/>
      <c r="X154" s="23"/>
      <c r="Y154" s="23"/>
      <c r="Z154" s="23"/>
      <c r="AB154" s="40"/>
      <c r="AC154" s="40"/>
      <c r="AD154" s="40"/>
      <c r="AE154" s="40"/>
      <c r="AF154" s="5"/>
    </row>
    <row r="155" spans="2:32" x14ac:dyDescent="0.2">
      <c r="B155" s="60"/>
      <c r="C155" s="60"/>
      <c r="D155" s="60"/>
      <c r="E155" s="23"/>
      <c r="F155" s="23"/>
      <c r="G155" s="23"/>
      <c r="H155" s="62"/>
      <c r="I155" s="23"/>
      <c r="J155" s="23"/>
      <c r="K155" s="23"/>
      <c r="L155" s="23"/>
      <c r="M155" s="23"/>
      <c r="N155" s="23"/>
      <c r="O155" s="23"/>
      <c r="P155" s="23"/>
      <c r="Q155" s="23"/>
      <c r="R155" s="23"/>
      <c r="S155" s="23"/>
      <c r="T155" s="23"/>
      <c r="U155" s="23"/>
      <c r="V155" s="23"/>
      <c r="W155" s="23"/>
      <c r="X155" s="23"/>
      <c r="Y155" s="23"/>
      <c r="Z155" s="23"/>
      <c r="AB155" s="40"/>
      <c r="AC155" s="40"/>
      <c r="AD155" s="40"/>
      <c r="AE155" s="40"/>
      <c r="AF155" s="5"/>
    </row>
    <row r="156" spans="2:32" x14ac:dyDescent="0.2">
      <c r="B156" s="60"/>
      <c r="C156" s="60"/>
      <c r="D156" s="60"/>
      <c r="E156" s="23"/>
      <c r="F156" s="23"/>
      <c r="G156" s="23"/>
      <c r="H156" s="62"/>
      <c r="I156" s="23"/>
      <c r="J156" s="23"/>
      <c r="K156" s="23"/>
      <c r="L156" s="23"/>
      <c r="M156" s="23"/>
      <c r="N156" s="23"/>
      <c r="O156" s="23"/>
      <c r="P156" s="23"/>
      <c r="Q156" s="23"/>
      <c r="R156" s="23"/>
      <c r="S156" s="23"/>
      <c r="T156" s="23"/>
      <c r="U156" s="23"/>
      <c r="V156" s="23"/>
      <c r="W156" s="23"/>
      <c r="X156" s="23"/>
      <c r="Y156" s="23"/>
      <c r="Z156" s="23"/>
      <c r="AB156" s="40"/>
      <c r="AC156" s="40"/>
      <c r="AD156" s="40"/>
      <c r="AE156" s="40"/>
      <c r="AF156" s="5"/>
    </row>
    <row r="157" spans="2:32" x14ac:dyDescent="0.2">
      <c r="B157" s="60"/>
      <c r="C157" s="60"/>
      <c r="D157" s="60"/>
      <c r="E157" s="23"/>
      <c r="F157" s="23"/>
      <c r="G157" s="23"/>
      <c r="H157" s="62"/>
      <c r="I157" s="23"/>
      <c r="J157" s="23"/>
      <c r="K157" s="23"/>
      <c r="L157" s="23"/>
      <c r="M157" s="23"/>
      <c r="N157" s="23"/>
      <c r="O157" s="23"/>
      <c r="P157" s="23"/>
      <c r="Q157" s="23"/>
      <c r="R157" s="23"/>
      <c r="S157" s="23"/>
      <c r="T157" s="23"/>
      <c r="U157" s="23"/>
      <c r="V157" s="23"/>
      <c r="W157" s="23"/>
      <c r="X157" s="23"/>
      <c r="Y157" s="23"/>
      <c r="Z157" s="23"/>
      <c r="AB157" s="40"/>
      <c r="AC157" s="40"/>
      <c r="AD157" s="40"/>
      <c r="AE157" s="40"/>
      <c r="AF157" s="5"/>
    </row>
    <row r="158" spans="2:32" x14ac:dyDescent="0.2">
      <c r="B158" s="60"/>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B158" s="40"/>
      <c r="AC158" s="40"/>
      <c r="AD158" s="40"/>
      <c r="AE158" s="40"/>
      <c r="AF158" s="5"/>
    </row>
    <row r="159" spans="2:32" x14ac:dyDescent="0.2">
      <c r="B159" s="60"/>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B159" s="40"/>
      <c r="AC159" s="40"/>
      <c r="AD159" s="40"/>
      <c r="AE159" s="40"/>
      <c r="AF159" s="5"/>
    </row>
    <row r="160" spans="2:32" x14ac:dyDescent="0.2">
      <c r="B160" s="60"/>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B160" s="40"/>
      <c r="AC160" s="40"/>
      <c r="AD160" s="40"/>
      <c r="AE160" s="40"/>
      <c r="AF160" s="5"/>
    </row>
    <row r="161" spans="2:32" x14ac:dyDescent="0.2">
      <c r="B161" s="60"/>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B161" s="40"/>
      <c r="AC161" s="40"/>
      <c r="AD161" s="40"/>
      <c r="AE161" s="40"/>
      <c r="AF161" s="5"/>
    </row>
    <row r="162" spans="2:32" x14ac:dyDescent="0.2">
      <c r="B162" s="60"/>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B162" s="40"/>
      <c r="AC162" s="40"/>
      <c r="AD162" s="40"/>
      <c r="AE162" s="40"/>
      <c r="AF162" s="5"/>
    </row>
    <row r="163" spans="2:32" x14ac:dyDescent="0.2">
      <c r="B163" s="60"/>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B163" s="40"/>
      <c r="AC163" s="40"/>
      <c r="AD163" s="40"/>
      <c r="AE163" s="40"/>
      <c r="AF163" s="5"/>
    </row>
    <row r="164" spans="2:32" x14ac:dyDescent="0.2">
      <c r="B164" s="60"/>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B164" s="40"/>
      <c r="AC164" s="40"/>
      <c r="AD164" s="40"/>
      <c r="AE164" s="40"/>
      <c r="AF164" s="5"/>
    </row>
    <row r="165" spans="2:32" x14ac:dyDescent="0.2">
      <c r="B165" s="60"/>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B165" s="40"/>
      <c r="AC165" s="40"/>
      <c r="AD165" s="40"/>
      <c r="AE165" s="40"/>
      <c r="AF165" s="5"/>
    </row>
    <row r="166" spans="2:32" x14ac:dyDescent="0.2">
      <c r="B166" s="60"/>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B166" s="40"/>
      <c r="AC166" s="40"/>
      <c r="AD166" s="40"/>
      <c r="AE166" s="40"/>
      <c r="AF166" s="5"/>
    </row>
    <row r="167" spans="2:32" x14ac:dyDescent="0.2">
      <c r="B167" s="60"/>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B167" s="40"/>
      <c r="AC167" s="40"/>
      <c r="AD167" s="40"/>
      <c r="AE167" s="40"/>
      <c r="AF167" s="5"/>
    </row>
    <row r="168" spans="2:32" x14ac:dyDescent="0.2">
      <c r="B168" s="60"/>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B168" s="40"/>
      <c r="AC168" s="40"/>
      <c r="AD168" s="40"/>
      <c r="AE168" s="40"/>
      <c r="AF168" s="5"/>
    </row>
    <row r="169" spans="2:32" x14ac:dyDescent="0.2">
      <c r="B169" s="60"/>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B169" s="40"/>
      <c r="AC169" s="40"/>
      <c r="AD169" s="40"/>
      <c r="AE169" s="40"/>
      <c r="AF169" s="5"/>
    </row>
    <row r="170" spans="2:32" x14ac:dyDescent="0.2">
      <c r="B170" s="60"/>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B170" s="40"/>
      <c r="AC170" s="40"/>
      <c r="AD170" s="40"/>
      <c r="AE170" s="40"/>
      <c r="AF170" s="5"/>
    </row>
    <row r="171" spans="2:32" x14ac:dyDescent="0.2">
      <c r="B171" s="60"/>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B171" s="40"/>
      <c r="AC171" s="40"/>
      <c r="AD171" s="40"/>
      <c r="AE171" s="40"/>
      <c r="AF171" s="5"/>
    </row>
    <row r="172" spans="2:32" x14ac:dyDescent="0.2">
      <c r="B172" s="60"/>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B172" s="40"/>
      <c r="AC172" s="40"/>
      <c r="AD172" s="40"/>
      <c r="AE172" s="40"/>
      <c r="AF172" s="5"/>
    </row>
    <row r="173" spans="2:32" x14ac:dyDescent="0.2">
      <c r="B173" s="60"/>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B173" s="40"/>
      <c r="AC173" s="40"/>
      <c r="AD173" s="40"/>
      <c r="AE173" s="40"/>
      <c r="AF173" s="5"/>
    </row>
    <row r="174" spans="2:32" x14ac:dyDescent="0.2">
      <c r="B174" s="60"/>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B174" s="40"/>
      <c r="AC174" s="40"/>
      <c r="AD174" s="40"/>
      <c r="AE174" s="40"/>
      <c r="AF174" s="5"/>
    </row>
    <row r="175" spans="2:32" x14ac:dyDescent="0.2">
      <c r="B175" s="60"/>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B175" s="40"/>
      <c r="AC175" s="40"/>
      <c r="AD175" s="40"/>
      <c r="AE175" s="40"/>
      <c r="AF175" s="5"/>
    </row>
    <row r="176" spans="2:32" x14ac:dyDescent="0.2">
      <c r="B176" s="60"/>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B176" s="40"/>
      <c r="AC176" s="40"/>
      <c r="AD176" s="40"/>
      <c r="AE176" s="40"/>
      <c r="AF176" s="5"/>
    </row>
    <row r="177" spans="2:32" x14ac:dyDescent="0.2">
      <c r="B177" s="60"/>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B177" s="40"/>
      <c r="AC177" s="40"/>
      <c r="AD177" s="40"/>
      <c r="AE177" s="40"/>
      <c r="AF177" s="5"/>
    </row>
    <row r="178" spans="2:32" x14ac:dyDescent="0.2">
      <c r="B178" s="60"/>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B178" s="40"/>
      <c r="AC178" s="40"/>
      <c r="AD178" s="40"/>
      <c r="AE178" s="40"/>
      <c r="AF178" s="5"/>
    </row>
    <row r="179" spans="2:32" x14ac:dyDescent="0.2">
      <c r="B179" s="60"/>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B179" s="40"/>
      <c r="AC179" s="40"/>
      <c r="AD179" s="40"/>
      <c r="AE179" s="40"/>
      <c r="AF179" s="5"/>
    </row>
    <row r="180" spans="2:32" x14ac:dyDescent="0.2">
      <c r="B180" s="60"/>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B180" s="40"/>
      <c r="AC180" s="40"/>
      <c r="AD180" s="40"/>
      <c r="AE180" s="40"/>
      <c r="AF180" s="5"/>
    </row>
    <row r="181" spans="2:32" x14ac:dyDescent="0.2">
      <c r="B181" s="60"/>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B181" s="40"/>
      <c r="AC181" s="40"/>
      <c r="AD181" s="40"/>
      <c r="AE181" s="40"/>
      <c r="AF181" s="5"/>
    </row>
    <row r="182" spans="2:32" x14ac:dyDescent="0.2">
      <c r="B182" s="60"/>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B182" s="40"/>
      <c r="AC182" s="40"/>
      <c r="AD182" s="40"/>
      <c r="AE182" s="40"/>
      <c r="AF182" s="5"/>
    </row>
    <row r="183" spans="2:32" x14ac:dyDescent="0.2">
      <c r="B183" s="60"/>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B183" s="40"/>
      <c r="AC183" s="40"/>
      <c r="AD183" s="40"/>
      <c r="AE183" s="40"/>
      <c r="AF183" s="5"/>
    </row>
    <row r="184" spans="2:32" x14ac:dyDescent="0.2">
      <c r="B184" s="60"/>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B184" s="40"/>
      <c r="AC184" s="40"/>
      <c r="AD184" s="40"/>
      <c r="AE184" s="40"/>
      <c r="AF184" s="5"/>
    </row>
    <row r="185" spans="2:32" x14ac:dyDescent="0.2">
      <c r="B185" s="60"/>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B185" s="40"/>
      <c r="AC185" s="40"/>
      <c r="AD185" s="40"/>
      <c r="AE185" s="40"/>
      <c r="AF185" s="5"/>
    </row>
    <row r="186" spans="2:32" x14ac:dyDescent="0.2">
      <c r="B186" s="60"/>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B186" s="40"/>
      <c r="AC186" s="40"/>
      <c r="AD186" s="40"/>
      <c r="AE186" s="40"/>
      <c r="AF186" s="5"/>
    </row>
    <row r="187" spans="2:32" x14ac:dyDescent="0.2">
      <c r="B187" s="60"/>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B187" s="40"/>
      <c r="AC187" s="40"/>
      <c r="AD187" s="40"/>
      <c r="AE187" s="40"/>
      <c r="AF187" s="5"/>
    </row>
    <row r="188" spans="2:32" x14ac:dyDescent="0.2">
      <c r="B188" s="60"/>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B188" s="40"/>
      <c r="AC188" s="40"/>
      <c r="AD188" s="40"/>
      <c r="AE188" s="40"/>
      <c r="AF188" s="5"/>
    </row>
    <row r="189" spans="2:32" x14ac:dyDescent="0.2">
      <c r="B189" s="60"/>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B189" s="40"/>
      <c r="AC189" s="40"/>
      <c r="AD189" s="40"/>
      <c r="AE189" s="40"/>
      <c r="AF189" s="5"/>
    </row>
    <row r="190" spans="2:32" x14ac:dyDescent="0.2">
      <c r="B190" s="60"/>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B190" s="40"/>
      <c r="AC190" s="40"/>
      <c r="AD190" s="40"/>
      <c r="AE190" s="40"/>
      <c r="AF190" s="5"/>
    </row>
    <row r="191" spans="2:32" x14ac:dyDescent="0.2">
      <c r="B191" s="60"/>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B191" s="40"/>
      <c r="AC191" s="40"/>
      <c r="AD191" s="40"/>
      <c r="AE191" s="40"/>
      <c r="AF191" s="5"/>
    </row>
    <row r="192" spans="2:32" x14ac:dyDescent="0.2">
      <c r="B192" s="60"/>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B192" s="40"/>
      <c r="AC192" s="40"/>
      <c r="AD192" s="40"/>
      <c r="AE192" s="40"/>
      <c r="AF192" s="5"/>
    </row>
    <row r="193" spans="2:32" x14ac:dyDescent="0.2">
      <c r="B193" s="60"/>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B193" s="40"/>
      <c r="AC193" s="40"/>
      <c r="AD193" s="40"/>
      <c r="AE193" s="40"/>
      <c r="AF193" s="5"/>
    </row>
    <row r="194" spans="2:32" x14ac:dyDescent="0.2">
      <c r="B194" s="60"/>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B194" s="40"/>
      <c r="AC194" s="40"/>
      <c r="AD194" s="40"/>
      <c r="AE194" s="40"/>
      <c r="AF194" s="5"/>
    </row>
    <row r="195" spans="2:32" x14ac:dyDescent="0.2">
      <c r="B195" s="60"/>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B195" s="40"/>
      <c r="AC195" s="40"/>
      <c r="AD195" s="40"/>
      <c r="AE195" s="40"/>
      <c r="AF195" s="5"/>
    </row>
    <row r="196" spans="2:32" x14ac:dyDescent="0.2">
      <c r="B196" s="60"/>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B196" s="40"/>
      <c r="AC196" s="40"/>
      <c r="AD196" s="40"/>
      <c r="AE196" s="40"/>
      <c r="AF196" s="5"/>
    </row>
    <row r="197" spans="2:32" x14ac:dyDescent="0.2">
      <c r="B197" s="60"/>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B197" s="40"/>
      <c r="AC197" s="40"/>
      <c r="AD197" s="40"/>
      <c r="AE197" s="40"/>
      <c r="AF197" s="5"/>
    </row>
    <row r="198" spans="2:32" x14ac:dyDescent="0.2">
      <c r="B198" s="60"/>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B198" s="40"/>
      <c r="AC198" s="40"/>
      <c r="AD198" s="40"/>
      <c r="AE198" s="40"/>
      <c r="AF198" s="5"/>
    </row>
    <row r="199" spans="2:32" x14ac:dyDescent="0.2">
      <c r="B199" s="60"/>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B199" s="40"/>
      <c r="AC199" s="40"/>
      <c r="AD199" s="40"/>
      <c r="AE199" s="40"/>
      <c r="AF199" s="5"/>
    </row>
    <row r="200" spans="2:32" x14ac:dyDescent="0.2">
      <c r="B200" s="60"/>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B200" s="40"/>
      <c r="AC200" s="40"/>
      <c r="AD200" s="40"/>
      <c r="AE200" s="40"/>
      <c r="AF200" s="5"/>
    </row>
    <row r="201" spans="2:32" x14ac:dyDescent="0.2">
      <c r="B201" s="60"/>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B201" s="40"/>
      <c r="AC201" s="40"/>
      <c r="AD201" s="40"/>
      <c r="AE201" s="40"/>
      <c r="AF201" s="5"/>
    </row>
    <row r="202" spans="2:32" x14ac:dyDescent="0.2">
      <c r="B202" s="60"/>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B202" s="40"/>
      <c r="AC202" s="40"/>
      <c r="AD202" s="40"/>
      <c r="AE202" s="40"/>
      <c r="AF202" s="5"/>
    </row>
    <row r="203" spans="2:32" x14ac:dyDescent="0.2">
      <c r="B203" s="60"/>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B203" s="40"/>
      <c r="AC203" s="40"/>
      <c r="AD203" s="40"/>
      <c r="AE203" s="40"/>
      <c r="AF203" s="5"/>
    </row>
    <row r="204" spans="2:32" x14ac:dyDescent="0.2">
      <c r="B204" s="60"/>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B204" s="40"/>
      <c r="AC204" s="40"/>
      <c r="AD204" s="40"/>
      <c r="AE204" s="40"/>
      <c r="AF204" s="5"/>
    </row>
    <row r="205" spans="2:32" x14ac:dyDescent="0.2">
      <c r="B205" s="60"/>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B205" s="40"/>
      <c r="AC205" s="40"/>
      <c r="AD205" s="40"/>
      <c r="AE205" s="40"/>
      <c r="AF205" s="5"/>
    </row>
    <row r="206" spans="2:32" x14ac:dyDescent="0.2">
      <c r="B206" s="60"/>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B206" s="40"/>
      <c r="AC206" s="40"/>
      <c r="AD206" s="40"/>
      <c r="AE206" s="40"/>
      <c r="AF206" s="5"/>
    </row>
    <row r="207" spans="2:32" x14ac:dyDescent="0.2">
      <c r="B207" s="60"/>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B207" s="40"/>
      <c r="AC207" s="40"/>
      <c r="AD207" s="40"/>
      <c r="AE207" s="40"/>
      <c r="AF207" s="5"/>
    </row>
    <row r="208" spans="2:32" x14ac:dyDescent="0.2">
      <c r="B208" s="60"/>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B208" s="40"/>
      <c r="AC208" s="40"/>
      <c r="AD208" s="40"/>
      <c r="AE208" s="40"/>
      <c r="AF208" s="5"/>
    </row>
    <row r="209" spans="2:32" x14ac:dyDescent="0.2">
      <c r="B209" s="60"/>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B209" s="40"/>
      <c r="AC209" s="40"/>
      <c r="AD209" s="40"/>
      <c r="AE209" s="40"/>
      <c r="AF209" s="5"/>
    </row>
    <row r="210" spans="2:32" x14ac:dyDescent="0.2">
      <c r="B210" s="60"/>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B210" s="40"/>
      <c r="AC210" s="40"/>
      <c r="AD210" s="40"/>
      <c r="AE210" s="40"/>
      <c r="AF210" s="5"/>
    </row>
    <row r="211" spans="2:32" x14ac:dyDescent="0.2">
      <c r="B211" s="60"/>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B211" s="40"/>
      <c r="AC211" s="40"/>
      <c r="AD211" s="40"/>
      <c r="AE211" s="40"/>
      <c r="AF211" s="5"/>
    </row>
    <row r="212" spans="2:32" x14ac:dyDescent="0.2">
      <c r="B212" s="60"/>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B212" s="40"/>
      <c r="AC212" s="40"/>
      <c r="AD212" s="40"/>
      <c r="AE212" s="40"/>
      <c r="AF212" s="5"/>
    </row>
    <row r="213" spans="2:32" x14ac:dyDescent="0.2">
      <c r="B213" s="60"/>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B213" s="40"/>
      <c r="AC213" s="40"/>
      <c r="AD213" s="40"/>
      <c r="AE213" s="40"/>
      <c r="AF213" s="5"/>
    </row>
    <row r="214" spans="2:32" x14ac:dyDescent="0.2">
      <c r="B214" s="60"/>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B214" s="40"/>
      <c r="AC214" s="40"/>
      <c r="AD214" s="40"/>
      <c r="AE214" s="40"/>
      <c r="AF214" s="5"/>
    </row>
    <row r="215" spans="2:32" x14ac:dyDescent="0.2">
      <c r="B215" s="60"/>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B215" s="40"/>
      <c r="AC215" s="40"/>
      <c r="AD215" s="40"/>
      <c r="AE215" s="40"/>
      <c r="AF215" s="5"/>
    </row>
    <row r="216" spans="2:32" x14ac:dyDescent="0.2">
      <c r="B216" s="60"/>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B216" s="40"/>
      <c r="AC216" s="40"/>
      <c r="AD216" s="40"/>
      <c r="AE216" s="40"/>
      <c r="AF216" s="5"/>
    </row>
    <row r="217" spans="2:32" x14ac:dyDescent="0.2">
      <c r="B217" s="60"/>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B217" s="40"/>
      <c r="AC217" s="40"/>
      <c r="AD217" s="40"/>
      <c r="AE217" s="40"/>
      <c r="AF217" s="5"/>
    </row>
    <row r="218" spans="2:32" x14ac:dyDescent="0.2">
      <c r="B218" s="60"/>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B218" s="40"/>
      <c r="AC218" s="40"/>
      <c r="AD218" s="40"/>
      <c r="AE218" s="40"/>
      <c r="AF218" s="5"/>
    </row>
    <row r="219" spans="2:32" x14ac:dyDescent="0.2">
      <c r="B219" s="60"/>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B219" s="40"/>
      <c r="AC219" s="40"/>
      <c r="AD219" s="40"/>
      <c r="AE219" s="40"/>
      <c r="AF219" s="5"/>
    </row>
    <row r="220" spans="2:32" x14ac:dyDescent="0.2">
      <c r="B220" s="60"/>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B220" s="40"/>
      <c r="AC220" s="40"/>
      <c r="AD220" s="40"/>
      <c r="AE220" s="40"/>
      <c r="AF220" s="5"/>
    </row>
    <row r="221" spans="2:32" x14ac:dyDescent="0.2">
      <c r="B221" s="60"/>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B221" s="40"/>
      <c r="AC221" s="40"/>
      <c r="AD221" s="40"/>
      <c r="AE221" s="40"/>
      <c r="AF221" s="5"/>
    </row>
    <row r="222" spans="2:32" x14ac:dyDescent="0.2">
      <c r="B222" s="60"/>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B222" s="40"/>
      <c r="AC222" s="40"/>
      <c r="AD222" s="40"/>
      <c r="AE222" s="40"/>
      <c r="AF222" s="5"/>
    </row>
    <row r="223" spans="2:32" x14ac:dyDescent="0.2">
      <c r="B223" s="60"/>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B223" s="40"/>
      <c r="AC223" s="40"/>
      <c r="AD223" s="40"/>
      <c r="AE223" s="40"/>
      <c r="AF223" s="5"/>
    </row>
    <row r="224" spans="2:32" x14ac:dyDescent="0.2">
      <c r="B224" s="60"/>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B224" s="40"/>
      <c r="AC224" s="40"/>
      <c r="AD224" s="40"/>
      <c r="AE224" s="40"/>
      <c r="AF224" s="5"/>
    </row>
    <row r="225" spans="2:32" x14ac:dyDescent="0.2">
      <c r="B225" s="60"/>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B225" s="40"/>
      <c r="AC225" s="40"/>
      <c r="AD225" s="40"/>
      <c r="AE225" s="40"/>
      <c r="AF225" s="5"/>
    </row>
    <row r="226" spans="2:32" x14ac:dyDescent="0.2">
      <c r="B226" s="60"/>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B226" s="40"/>
      <c r="AC226" s="40"/>
      <c r="AD226" s="40"/>
      <c r="AE226" s="40"/>
      <c r="AF226" s="5"/>
    </row>
    <row r="227" spans="2:32" x14ac:dyDescent="0.2">
      <c r="B227" s="60"/>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B227" s="40"/>
      <c r="AC227" s="40"/>
      <c r="AD227" s="40"/>
      <c r="AE227" s="40"/>
      <c r="AF227" s="5"/>
    </row>
    <row r="228" spans="2:32" x14ac:dyDescent="0.2">
      <c r="B228" s="60"/>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B228" s="40"/>
      <c r="AC228" s="40"/>
      <c r="AD228" s="40"/>
      <c r="AE228" s="40"/>
      <c r="AF228" s="5"/>
    </row>
    <row r="229" spans="2:32" x14ac:dyDescent="0.2">
      <c r="B229" s="60"/>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B229" s="40"/>
      <c r="AC229" s="40"/>
      <c r="AD229" s="40"/>
      <c r="AE229" s="40"/>
      <c r="AF229" s="5"/>
    </row>
    <row r="230" spans="2:32" x14ac:dyDescent="0.2">
      <c r="B230" s="60"/>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B230" s="40"/>
      <c r="AC230" s="40"/>
      <c r="AD230" s="40"/>
      <c r="AE230" s="40"/>
      <c r="AF230" s="5"/>
    </row>
    <row r="231" spans="2:32" x14ac:dyDescent="0.2">
      <c r="B231" s="60"/>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B231" s="40"/>
      <c r="AC231" s="40"/>
      <c r="AD231" s="40"/>
      <c r="AE231" s="40"/>
      <c r="AF231" s="5"/>
    </row>
    <row r="232" spans="2:32" x14ac:dyDescent="0.2">
      <c r="B232" s="60"/>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B232" s="40"/>
      <c r="AC232" s="40"/>
      <c r="AD232" s="40"/>
      <c r="AE232" s="40"/>
      <c r="AF232" s="5"/>
    </row>
    <row r="233" spans="2:32" x14ac:dyDescent="0.2">
      <c r="B233" s="60"/>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B233" s="40"/>
      <c r="AC233" s="40"/>
      <c r="AD233" s="40"/>
      <c r="AE233" s="40"/>
      <c r="AF233" s="5"/>
    </row>
    <row r="234" spans="2:32" x14ac:dyDescent="0.2">
      <c r="B234" s="60"/>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B234" s="40"/>
      <c r="AC234" s="40"/>
      <c r="AD234" s="40"/>
      <c r="AE234" s="40"/>
      <c r="AF234" s="5"/>
    </row>
    <row r="235" spans="2:32" x14ac:dyDescent="0.2">
      <c r="B235" s="60"/>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B235" s="40"/>
      <c r="AC235" s="40"/>
      <c r="AD235" s="40"/>
      <c r="AE235" s="40"/>
      <c r="AF235" s="5"/>
    </row>
    <row r="236" spans="2:32" x14ac:dyDescent="0.2">
      <c r="B236" s="60"/>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B236" s="40"/>
      <c r="AC236" s="40"/>
      <c r="AD236" s="40"/>
      <c r="AE236" s="40"/>
      <c r="AF236" s="5"/>
    </row>
    <row r="237" spans="2:32" x14ac:dyDescent="0.2">
      <c r="B237" s="60"/>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B237" s="40"/>
      <c r="AC237" s="40"/>
      <c r="AD237" s="40"/>
      <c r="AE237" s="40"/>
      <c r="AF237" s="5"/>
    </row>
    <row r="238" spans="2:32" x14ac:dyDescent="0.2">
      <c r="B238" s="60"/>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B238" s="40"/>
      <c r="AC238" s="40"/>
      <c r="AD238" s="40"/>
      <c r="AE238" s="40"/>
      <c r="AF238" s="5"/>
    </row>
    <row r="239" spans="2:32" x14ac:dyDescent="0.2">
      <c r="B239" s="60"/>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B239" s="40"/>
      <c r="AC239" s="40"/>
      <c r="AD239" s="40"/>
      <c r="AE239" s="40"/>
      <c r="AF239" s="5"/>
    </row>
    <row r="240" spans="2:32" x14ac:dyDescent="0.2">
      <c r="B240" s="60"/>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B240" s="40"/>
      <c r="AC240" s="40"/>
      <c r="AD240" s="40"/>
      <c r="AE240" s="40"/>
      <c r="AF240" s="5"/>
    </row>
    <row r="241" spans="2:32" x14ac:dyDescent="0.2">
      <c r="B241" s="60"/>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B241" s="40"/>
      <c r="AC241" s="40"/>
      <c r="AD241" s="40"/>
      <c r="AE241" s="40"/>
      <c r="AF241" s="5"/>
    </row>
    <row r="242" spans="2:32" x14ac:dyDescent="0.2">
      <c r="B242" s="60"/>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B242" s="40"/>
      <c r="AC242" s="40"/>
      <c r="AD242" s="40"/>
      <c r="AE242" s="40"/>
      <c r="AF242" s="5"/>
    </row>
    <row r="243" spans="2:32" x14ac:dyDescent="0.2">
      <c r="B243" s="60"/>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B243" s="40"/>
      <c r="AC243" s="40"/>
      <c r="AD243" s="40"/>
      <c r="AE243" s="40"/>
      <c r="AF243" s="5"/>
    </row>
    <row r="244" spans="2:32" x14ac:dyDescent="0.2">
      <c r="B244" s="60"/>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B244" s="40"/>
      <c r="AC244" s="40"/>
      <c r="AD244" s="40"/>
      <c r="AE244" s="40"/>
      <c r="AF244" s="5"/>
    </row>
    <row r="245" spans="2:32" x14ac:dyDescent="0.2">
      <c r="B245" s="60"/>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B245" s="40"/>
      <c r="AC245" s="40"/>
      <c r="AD245" s="40"/>
      <c r="AE245" s="40"/>
      <c r="AF245" s="5"/>
    </row>
    <row r="246" spans="2:32" x14ac:dyDescent="0.2">
      <c r="B246" s="60"/>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B246" s="40"/>
      <c r="AC246" s="40"/>
      <c r="AD246" s="40"/>
      <c r="AE246" s="40"/>
      <c r="AF246" s="5"/>
    </row>
    <row r="247" spans="2:32" x14ac:dyDescent="0.2">
      <c r="B247" s="60"/>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B247" s="40"/>
      <c r="AC247" s="40"/>
      <c r="AD247" s="40"/>
      <c r="AE247" s="40"/>
      <c r="AF247" s="5"/>
    </row>
    <row r="248" spans="2:32" x14ac:dyDescent="0.2">
      <c r="B248" s="60"/>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B248" s="40"/>
      <c r="AC248" s="40"/>
      <c r="AD248" s="40"/>
      <c r="AE248" s="40"/>
      <c r="AF248" s="5"/>
    </row>
    <row r="249" spans="2:32" x14ac:dyDescent="0.2">
      <c r="B249" s="60"/>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B249" s="40"/>
      <c r="AC249" s="40"/>
      <c r="AD249" s="40"/>
      <c r="AE249" s="40"/>
      <c r="AF249" s="5"/>
    </row>
    <row r="250" spans="2:32" x14ac:dyDescent="0.2">
      <c r="B250" s="60"/>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B250" s="40"/>
      <c r="AC250" s="40"/>
      <c r="AD250" s="40"/>
      <c r="AE250" s="40"/>
      <c r="AF250" s="5"/>
    </row>
    <row r="251" spans="2:32" x14ac:dyDescent="0.2">
      <c r="B251" s="60"/>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B251" s="40"/>
      <c r="AC251" s="40"/>
      <c r="AD251" s="40"/>
      <c r="AE251" s="40"/>
      <c r="AF251" s="5"/>
    </row>
    <row r="252" spans="2:32" x14ac:dyDescent="0.2">
      <c r="B252" s="60"/>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B252" s="40"/>
      <c r="AC252" s="40"/>
      <c r="AD252" s="40"/>
      <c r="AE252" s="40"/>
      <c r="AF252" s="5"/>
    </row>
    <row r="253" spans="2:32" x14ac:dyDescent="0.2">
      <c r="B253" s="60"/>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B253" s="40"/>
      <c r="AC253" s="40"/>
      <c r="AD253" s="40"/>
      <c r="AE253" s="40"/>
      <c r="AF253" s="5"/>
    </row>
    <row r="254" spans="2:32" x14ac:dyDescent="0.2">
      <c r="B254" s="60"/>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B254" s="40"/>
      <c r="AC254" s="40"/>
      <c r="AD254" s="40"/>
      <c r="AE254" s="40"/>
      <c r="AF254" s="5"/>
    </row>
    <row r="255" spans="2:32" x14ac:dyDescent="0.2">
      <c r="B255" s="60"/>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B255" s="40"/>
      <c r="AC255" s="40"/>
      <c r="AD255" s="40"/>
      <c r="AE255" s="40"/>
      <c r="AF255" s="5"/>
    </row>
    <row r="256" spans="2:32" x14ac:dyDescent="0.2">
      <c r="B256" s="60"/>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B256" s="40"/>
      <c r="AC256" s="40"/>
      <c r="AD256" s="40"/>
      <c r="AE256" s="40"/>
      <c r="AF256" s="5"/>
    </row>
    <row r="257" spans="2:32" x14ac:dyDescent="0.2">
      <c r="B257" s="60"/>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B257" s="40"/>
      <c r="AC257" s="40"/>
      <c r="AD257" s="40"/>
      <c r="AE257" s="40"/>
      <c r="AF257" s="5"/>
    </row>
    <row r="258" spans="2:32" x14ac:dyDescent="0.2">
      <c r="B258" s="60"/>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B258" s="40"/>
      <c r="AC258" s="40"/>
      <c r="AD258" s="40"/>
      <c r="AE258" s="40"/>
      <c r="AF258" s="5"/>
    </row>
    <row r="259" spans="2:32" x14ac:dyDescent="0.2">
      <c r="B259" s="60"/>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B259" s="40"/>
      <c r="AC259" s="40"/>
      <c r="AD259" s="40"/>
      <c r="AE259" s="40"/>
      <c r="AF259" s="5"/>
    </row>
    <row r="260" spans="2:32" x14ac:dyDescent="0.2">
      <c r="B260" s="60"/>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B260" s="40"/>
      <c r="AC260" s="40"/>
      <c r="AD260" s="40"/>
      <c r="AE260" s="40"/>
      <c r="AF260" s="5"/>
    </row>
    <row r="261" spans="2:32" x14ac:dyDescent="0.2">
      <c r="B261" s="60"/>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B261" s="40"/>
      <c r="AC261" s="40"/>
      <c r="AD261" s="40"/>
      <c r="AE261" s="40"/>
      <c r="AF261" s="5"/>
    </row>
    <row r="262" spans="2:32" x14ac:dyDescent="0.2">
      <c r="B262" s="60"/>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B262" s="40"/>
      <c r="AC262" s="40"/>
      <c r="AD262" s="40"/>
      <c r="AE262" s="40"/>
      <c r="AF262" s="5"/>
    </row>
    <row r="263" spans="2:32" x14ac:dyDescent="0.2">
      <c r="B263" s="60"/>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B263" s="40"/>
      <c r="AC263" s="40"/>
      <c r="AD263" s="40"/>
      <c r="AE263" s="40"/>
      <c r="AF263" s="5"/>
    </row>
    <row r="264" spans="2:32" x14ac:dyDescent="0.2">
      <c r="B264" s="60"/>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B264" s="40"/>
      <c r="AC264" s="40"/>
      <c r="AD264" s="40"/>
      <c r="AE264" s="40"/>
      <c r="AF264" s="5"/>
    </row>
    <row r="265" spans="2:32" x14ac:dyDescent="0.2">
      <c r="B265" s="60"/>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B265" s="40"/>
      <c r="AC265" s="40"/>
      <c r="AD265" s="40"/>
      <c r="AE265" s="40"/>
      <c r="AF265" s="5"/>
    </row>
    <row r="266" spans="2:32" x14ac:dyDescent="0.2">
      <c r="B266" s="60"/>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B266" s="40"/>
      <c r="AC266" s="40"/>
      <c r="AD266" s="40"/>
      <c r="AE266" s="40"/>
      <c r="AF266" s="5"/>
    </row>
    <row r="267" spans="2:32" x14ac:dyDescent="0.2">
      <c r="B267" s="60"/>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B267" s="40"/>
      <c r="AC267" s="40"/>
      <c r="AD267" s="40"/>
      <c r="AE267" s="40"/>
      <c r="AF267" s="5"/>
    </row>
    <row r="268" spans="2:32" x14ac:dyDescent="0.2">
      <c r="B268" s="60"/>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B268" s="40"/>
      <c r="AC268" s="40"/>
      <c r="AD268" s="40"/>
      <c r="AE268" s="40"/>
      <c r="AF268" s="5"/>
    </row>
    <row r="269" spans="2:32" x14ac:dyDescent="0.2">
      <c r="B269" s="60"/>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B269" s="40"/>
      <c r="AC269" s="40"/>
      <c r="AD269" s="40"/>
      <c r="AE269" s="40"/>
      <c r="AF269" s="5"/>
    </row>
    <row r="270" spans="2:32" x14ac:dyDescent="0.2">
      <c r="B270" s="60"/>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B270" s="40"/>
      <c r="AC270" s="40"/>
      <c r="AD270" s="40"/>
      <c r="AE270" s="40"/>
      <c r="AF270" s="5"/>
    </row>
    <row r="271" spans="2:32" x14ac:dyDescent="0.2">
      <c r="B271" s="60"/>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B271" s="40"/>
      <c r="AC271" s="40"/>
      <c r="AD271" s="40"/>
      <c r="AE271" s="40"/>
      <c r="AF271" s="5"/>
    </row>
    <row r="272" spans="2:32" x14ac:dyDescent="0.2">
      <c r="B272" s="60"/>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B272" s="40"/>
      <c r="AC272" s="40"/>
      <c r="AD272" s="40"/>
      <c r="AE272" s="40"/>
      <c r="AF272" s="5"/>
    </row>
    <row r="273" spans="2:32" x14ac:dyDescent="0.2">
      <c r="B273" s="60"/>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B273" s="40"/>
      <c r="AC273" s="40"/>
      <c r="AD273" s="40"/>
      <c r="AE273" s="40"/>
      <c r="AF273" s="5"/>
    </row>
    <row r="274" spans="2:32" x14ac:dyDescent="0.2">
      <c r="B274" s="60"/>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B274" s="40"/>
      <c r="AC274" s="40"/>
      <c r="AD274" s="40"/>
      <c r="AE274" s="40"/>
      <c r="AF274" s="5"/>
    </row>
    <row r="275" spans="2:32" x14ac:dyDescent="0.2">
      <c r="B275" s="60"/>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B275" s="40"/>
      <c r="AC275" s="40"/>
      <c r="AD275" s="40"/>
      <c r="AE275" s="40"/>
      <c r="AF275" s="5"/>
    </row>
    <row r="276" spans="2:32" x14ac:dyDescent="0.2">
      <c r="B276" s="60"/>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B276" s="40"/>
      <c r="AC276" s="40"/>
      <c r="AD276" s="40"/>
      <c r="AE276" s="40"/>
      <c r="AF276" s="5"/>
    </row>
    <row r="277" spans="2:32" x14ac:dyDescent="0.2">
      <c r="B277" s="60"/>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B277" s="40"/>
      <c r="AC277" s="40"/>
      <c r="AD277" s="40"/>
      <c r="AE277" s="40"/>
      <c r="AF277" s="5"/>
    </row>
    <row r="278" spans="2:32" x14ac:dyDescent="0.2">
      <c r="B278" s="60"/>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B278" s="40"/>
      <c r="AC278" s="40"/>
      <c r="AD278" s="40"/>
      <c r="AE278" s="40"/>
      <c r="AF278" s="5"/>
    </row>
    <row r="279" spans="2:32" x14ac:dyDescent="0.2">
      <c r="B279" s="60"/>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B279" s="40"/>
      <c r="AC279" s="40"/>
      <c r="AD279" s="40"/>
      <c r="AE279" s="40"/>
      <c r="AF279" s="5"/>
    </row>
    <row r="280" spans="2:32" x14ac:dyDescent="0.2">
      <c r="B280" s="60"/>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B280" s="40"/>
      <c r="AC280" s="40"/>
      <c r="AD280" s="40"/>
      <c r="AE280" s="40"/>
      <c r="AF280" s="5"/>
    </row>
    <row r="281" spans="2:32" x14ac:dyDescent="0.2">
      <c r="B281" s="60"/>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B281" s="40"/>
      <c r="AC281" s="40"/>
      <c r="AD281" s="40"/>
      <c r="AE281" s="40"/>
      <c r="AF281" s="5"/>
    </row>
    <row r="282" spans="2:32" x14ac:dyDescent="0.2">
      <c r="B282" s="60"/>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B282" s="40"/>
      <c r="AC282" s="40"/>
      <c r="AD282" s="40"/>
      <c r="AE282" s="40"/>
      <c r="AF282" s="5"/>
    </row>
    <row r="283" spans="2:32" x14ac:dyDescent="0.2">
      <c r="B283" s="60"/>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B283" s="40"/>
      <c r="AC283" s="40"/>
      <c r="AD283" s="40"/>
      <c r="AE283" s="40"/>
      <c r="AF283" s="5"/>
    </row>
    <row r="284" spans="2:32" x14ac:dyDescent="0.2">
      <c r="B284" s="60"/>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B284" s="40"/>
      <c r="AC284" s="40"/>
      <c r="AD284" s="40"/>
      <c r="AE284" s="40"/>
      <c r="AF284" s="5"/>
    </row>
    <row r="285" spans="2:32" x14ac:dyDescent="0.2">
      <c r="B285" s="60"/>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B285" s="40"/>
      <c r="AC285" s="40"/>
      <c r="AD285" s="40"/>
      <c r="AE285" s="40"/>
      <c r="AF285" s="5"/>
    </row>
    <row r="286" spans="2:32" x14ac:dyDescent="0.2">
      <c r="B286" s="60"/>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B286" s="40"/>
      <c r="AC286" s="40"/>
      <c r="AD286" s="40"/>
      <c r="AE286" s="40"/>
      <c r="AF286" s="5"/>
    </row>
    <row r="287" spans="2:32" x14ac:dyDescent="0.2">
      <c r="B287" s="60"/>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B287" s="40"/>
      <c r="AC287" s="40"/>
      <c r="AD287" s="40"/>
      <c r="AE287" s="40"/>
      <c r="AF287" s="5"/>
    </row>
    <row r="288" spans="2:32" x14ac:dyDescent="0.2">
      <c r="B288" s="60"/>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B288" s="40"/>
      <c r="AC288" s="40"/>
      <c r="AD288" s="40"/>
      <c r="AE288" s="40"/>
      <c r="AF288" s="5"/>
    </row>
    <row r="289" spans="2:32" x14ac:dyDescent="0.2">
      <c r="B289" s="60"/>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B289" s="40"/>
      <c r="AC289" s="40"/>
      <c r="AD289" s="40"/>
      <c r="AE289" s="40"/>
      <c r="AF289" s="5"/>
    </row>
    <row r="290" spans="2:32" x14ac:dyDescent="0.2">
      <c r="B290" s="60"/>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B290" s="40"/>
      <c r="AC290" s="40"/>
      <c r="AD290" s="40"/>
      <c r="AE290" s="40"/>
      <c r="AF290" s="5"/>
    </row>
    <row r="291" spans="2:32" x14ac:dyDescent="0.2">
      <c r="B291" s="60"/>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B291" s="40"/>
      <c r="AC291" s="40"/>
      <c r="AD291" s="40"/>
      <c r="AE291" s="40"/>
      <c r="AF291" s="5"/>
    </row>
    <row r="292" spans="2:32" x14ac:dyDescent="0.2">
      <c r="B292" s="60"/>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B292" s="40"/>
      <c r="AC292" s="40"/>
      <c r="AD292" s="40"/>
      <c r="AE292" s="40"/>
      <c r="AF292" s="5"/>
    </row>
    <row r="293" spans="2:32" x14ac:dyDescent="0.2">
      <c r="B293" s="60"/>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B293" s="40"/>
      <c r="AC293" s="40"/>
      <c r="AD293" s="40"/>
      <c r="AE293" s="40"/>
      <c r="AF293" s="5"/>
    </row>
    <row r="294" spans="2:32" x14ac:dyDescent="0.2">
      <c r="B294" s="60"/>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B294" s="40"/>
      <c r="AC294" s="40"/>
      <c r="AD294" s="40"/>
      <c r="AE294" s="40"/>
      <c r="AF294" s="5"/>
    </row>
    <row r="295" spans="2:32" x14ac:dyDescent="0.2">
      <c r="B295" s="60"/>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B295" s="40"/>
      <c r="AC295" s="40"/>
      <c r="AD295" s="40"/>
      <c r="AE295" s="40"/>
      <c r="AF295" s="5"/>
    </row>
    <row r="296" spans="2:32" x14ac:dyDescent="0.2">
      <c r="B296" s="60"/>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B296" s="40"/>
      <c r="AC296" s="40"/>
      <c r="AD296" s="40"/>
      <c r="AE296" s="40"/>
      <c r="AF296" s="5"/>
    </row>
    <row r="297" spans="2:32" x14ac:dyDescent="0.2">
      <c r="B297" s="60"/>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B297" s="40"/>
      <c r="AC297" s="40"/>
      <c r="AD297" s="40"/>
      <c r="AE297" s="40"/>
      <c r="AF297" s="5"/>
    </row>
    <row r="298" spans="2:32" x14ac:dyDescent="0.2">
      <c r="B298" s="60"/>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B298" s="40"/>
      <c r="AC298" s="40"/>
      <c r="AD298" s="40"/>
      <c r="AE298" s="40"/>
      <c r="AF298" s="5"/>
    </row>
    <row r="299" spans="2:32" x14ac:dyDescent="0.2">
      <c r="B299" s="60"/>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B299" s="40"/>
      <c r="AC299" s="40"/>
      <c r="AD299" s="40"/>
      <c r="AE299" s="40"/>
      <c r="AF299" s="5"/>
    </row>
    <row r="300" spans="2:32" x14ac:dyDescent="0.2">
      <c r="H300"/>
      <c r="AB300" s="40"/>
      <c r="AC300" s="40"/>
      <c r="AD300" s="40"/>
      <c r="AE300" s="40"/>
      <c r="AF300" s="5"/>
    </row>
    <row r="301" spans="2:32" x14ac:dyDescent="0.2">
      <c r="B301" s="60"/>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B301" s="40"/>
      <c r="AC301" s="40"/>
      <c r="AD301" s="40"/>
      <c r="AE301" s="40"/>
      <c r="AF301" s="5"/>
    </row>
    <row r="302" spans="2:32" x14ac:dyDescent="0.2">
      <c r="B302" s="60"/>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B302" s="40"/>
      <c r="AC302" s="40"/>
      <c r="AD302" s="40"/>
      <c r="AE302" s="40"/>
      <c r="AF302" s="5"/>
    </row>
    <row r="303" spans="2:32" x14ac:dyDescent="0.2">
      <c r="H303" s="13"/>
      <c r="I303" s="13"/>
      <c r="J303" s="13"/>
      <c r="K303" s="13"/>
      <c r="L303" s="13"/>
      <c r="M303" s="13"/>
      <c r="N303" s="13"/>
      <c r="O303" s="13"/>
      <c r="P303" s="13"/>
      <c r="Q303" s="13"/>
      <c r="R303" s="13"/>
      <c r="S303" s="13"/>
      <c r="T303" s="13"/>
      <c r="U303" s="13"/>
      <c r="V303" s="13"/>
      <c r="W303" s="13"/>
      <c r="X303" s="13"/>
      <c r="Y303" s="13"/>
      <c r="Z303" s="13"/>
      <c r="AB303" s="40"/>
      <c r="AC303" s="40"/>
      <c r="AD303" s="40"/>
      <c r="AE303" s="40"/>
      <c r="AF303" s="5"/>
    </row>
    <row r="304" spans="2:32" x14ac:dyDescent="0.2">
      <c r="H304" s="13"/>
      <c r="I304" s="13"/>
      <c r="J304" s="13"/>
      <c r="K304" s="13"/>
      <c r="L304" s="13"/>
      <c r="M304" s="13"/>
      <c r="N304" s="13"/>
      <c r="O304" s="13"/>
      <c r="P304" s="13"/>
      <c r="Q304" s="13"/>
      <c r="R304" s="13"/>
      <c r="S304" s="13"/>
      <c r="T304" s="13"/>
      <c r="U304" s="13"/>
      <c r="V304" s="13"/>
      <c r="W304" s="13"/>
      <c r="X304" s="13"/>
      <c r="Y304" s="13"/>
      <c r="Z304" s="13"/>
      <c r="AB304" s="40"/>
      <c r="AC304" s="40"/>
      <c r="AD304" s="40"/>
      <c r="AE304" s="40"/>
      <c r="AF304" s="5"/>
    </row>
    <row r="305" spans="2:32" x14ac:dyDescent="0.2">
      <c r="H305" s="13"/>
      <c r="I305" s="13"/>
      <c r="J305" s="13"/>
      <c r="K305" s="13"/>
      <c r="L305" s="13"/>
      <c r="M305" s="13"/>
      <c r="N305" s="13"/>
      <c r="O305" s="13"/>
      <c r="P305" s="13"/>
      <c r="Q305" s="13"/>
      <c r="R305" s="13"/>
      <c r="S305" s="13"/>
      <c r="T305" s="13"/>
      <c r="U305" s="13"/>
      <c r="V305" s="13"/>
      <c r="W305" s="13"/>
      <c r="X305" s="13"/>
      <c r="Y305" s="13"/>
      <c r="Z305" s="13"/>
      <c r="AB305" s="40"/>
      <c r="AC305" s="40"/>
      <c r="AD305" s="40"/>
      <c r="AE305" s="40"/>
      <c r="AF305" s="5"/>
    </row>
    <row r="306" spans="2:32" x14ac:dyDescent="0.2">
      <c r="H306" s="13"/>
      <c r="I306" s="13"/>
      <c r="J306" s="13"/>
      <c r="K306" s="13"/>
      <c r="L306" s="13"/>
      <c r="M306" s="13"/>
      <c r="N306" s="13"/>
      <c r="O306" s="13"/>
      <c r="P306" s="13"/>
      <c r="Q306" s="13"/>
      <c r="R306" s="13"/>
      <c r="S306" s="13"/>
      <c r="T306" s="13"/>
      <c r="U306" s="13"/>
      <c r="V306" s="13"/>
      <c r="W306" s="13"/>
      <c r="X306" s="13"/>
      <c r="Y306" s="13"/>
      <c r="Z306" s="13"/>
      <c r="AB306" s="40"/>
      <c r="AC306" s="40"/>
      <c r="AD306" s="40"/>
      <c r="AE306" s="40"/>
      <c r="AF306" s="5"/>
    </row>
    <row r="307" spans="2:32" x14ac:dyDescent="0.2">
      <c r="H307" s="13"/>
      <c r="I307" s="13"/>
      <c r="J307" s="13"/>
      <c r="K307" s="13"/>
      <c r="L307" s="13"/>
      <c r="M307" s="13"/>
      <c r="N307" s="13"/>
      <c r="O307" s="13"/>
      <c r="P307" s="13"/>
      <c r="Q307" s="13"/>
      <c r="R307" s="13"/>
      <c r="S307" s="13"/>
      <c r="T307" s="13"/>
      <c r="U307" s="13"/>
      <c r="V307" s="13"/>
      <c r="W307" s="13"/>
      <c r="X307" s="13"/>
      <c r="Y307" s="13"/>
      <c r="Z307" s="13"/>
      <c r="AB307" s="40"/>
      <c r="AC307" s="40"/>
      <c r="AD307" s="40"/>
      <c r="AE307" s="40"/>
      <c r="AF307" s="5"/>
    </row>
    <row r="308" spans="2:32" x14ac:dyDescent="0.2">
      <c r="H308" s="13"/>
      <c r="I308" s="13"/>
      <c r="J308" s="13"/>
      <c r="K308" s="13"/>
      <c r="L308" s="13"/>
      <c r="M308" s="13"/>
      <c r="N308" s="13"/>
      <c r="O308" s="13"/>
      <c r="P308" s="13"/>
      <c r="Q308" s="13"/>
      <c r="R308" s="13"/>
      <c r="S308" s="13"/>
      <c r="T308" s="13"/>
      <c r="U308" s="13"/>
      <c r="V308" s="13"/>
      <c r="W308" s="13"/>
      <c r="X308" s="13"/>
      <c r="Y308" s="13"/>
      <c r="Z308" s="13"/>
      <c r="AB308" s="40"/>
      <c r="AC308" s="40"/>
      <c r="AD308" s="40"/>
      <c r="AE308" s="40"/>
      <c r="AF308" s="5"/>
    </row>
    <row r="309" spans="2:32" x14ac:dyDescent="0.2">
      <c r="H309" s="13"/>
      <c r="I309" s="13"/>
      <c r="J309" s="13"/>
      <c r="K309" s="13"/>
      <c r="L309" s="13"/>
      <c r="M309" s="13"/>
      <c r="N309" s="13"/>
      <c r="O309" s="13"/>
      <c r="P309" s="13"/>
      <c r="Q309" s="13"/>
      <c r="R309" s="13"/>
      <c r="S309" s="13"/>
      <c r="T309" s="13"/>
      <c r="U309" s="13"/>
      <c r="V309" s="13"/>
      <c r="W309" s="13"/>
      <c r="X309" s="13"/>
      <c r="Y309" s="13"/>
      <c r="Z309" s="13"/>
      <c r="AB309" s="40"/>
      <c r="AC309" s="40"/>
      <c r="AD309" s="40"/>
      <c r="AE309" s="40"/>
      <c r="AF309" s="5"/>
    </row>
    <row r="310" spans="2:32" x14ac:dyDescent="0.2">
      <c r="H310" s="13"/>
      <c r="I310" s="13"/>
      <c r="J310" s="13"/>
      <c r="K310" s="13"/>
      <c r="L310" s="13"/>
      <c r="M310" s="13"/>
      <c r="N310" s="13"/>
      <c r="O310" s="13"/>
      <c r="P310" s="13"/>
      <c r="Q310" s="13"/>
      <c r="R310" s="13"/>
      <c r="S310" s="13"/>
      <c r="T310" s="13"/>
      <c r="U310" s="13"/>
      <c r="V310" s="13"/>
      <c r="W310" s="13"/>
      <c r="X310" s="13"/>
      <c r="Y310" s="13"/>
      <c r="Z310" s="13"/>
      <c r="AB310" s="40"/>
      <c r="AC310" s="40"/>
      <c r="AD310" s="40"/>
      <c r="AE310" s="40"/>
      <c r="AF310" s="5"/>
    </row>
    <row r="311" spans="2:32" x14ac:dyDescent="0.2">
      <c r="H311" s="13"/>
      <c r="I311" s="13"/>
      <c r="J311" s="13"/>
      <c r="K311" s="13"/>
      <c r="L311" s="13"/>
      <c r="M311" s="13"/>
      <c r="N311" s="13"/>
      <c r="O311" s="13"/>
      <c r="P311" s="13"/>
      <c r="Q311" s="13"/>
      <c r="R311" s="13"/>
      <c r="S311" s="13"/>
      <c r="T311" s="13"/>
      <c r="U311" s="13"/>
      <c r="V311" s="13"/>
      <c r="W311" s="13"/>
      <c r="X311" s="13"/>
      <c r="Y311" s="13"/>
      <c r="Z311" s="13"/>
      <c r="AB311" s="40"/>
      <c r="AC311" s="40"/>
      <c r="AD311" s="40"/>
      <c r="AE311" s="40"/>
      <c r="AF311" s="5"/>
    </row>
    <row r="312" spans="2:32" x14ac:dyDescent="0.2">
      <c r="H312" s="13"/>
      <c r="I312" s="13"/>
      <c r="J312" s="13"/>
      <c r="K312" s="13"/>
      <c r="L312" s="13"/>
      <c r="M312" s="13"/>
      <c r="N312" s="13"/>
      <c r="O312" s="13"/>
      <c r="P312" s="13"/>
      <c r="Q312" s="13"/>
      <c r="R312" s="13"/>
      <c r="S312" s="13"/>
      <c r="T312" s="13"/>
      <c r="U312" s="13"/>
      <c r="V312" s="13"/>
      <c r="W312" s="13"/>
      <c r="X312" s="13"/>
      <c r="Y312" s="13"/>
      <c r="Z312" s="13"/>
      <c r="AB312" s="40"/>
      <c r="AC312" s="40"/>
      <c r="AD312" s="40"/>
      <c r="AE312" s="40"/>
      <c r="AF312" s="5"/>
    </row>
    <row r="313" spans="2:32" x14ac:dyDescent="0.2">
      <c r="H313" s="13"/>
      <c r="I313" s="13"/>
      <c r="J313" s="13"/>
      <c r="K313" s="13"/>
      <c r="L313" s="13"/>
      <c r="M313" s="13"/>
      <c r="N313" s="13"/>
      <c r="O313" s="13"/>
      <c r="P313" s="13"/>
      <c r="Q313" s="13"/>
      <c r="R313" s="13"/>
      <c r="S313" s="13"/>
      <c r="T313" s="13"/>
      <c r="U313" s="13"/>
      <c r="V313" s="13"/>
      <c r="W313" s="13"/>
      <c r="X313" s="13"/>
      <c r="Y313" s="13"/>
      <c r="Z313" s="13"/>
      <c r="AB313" s="40"/>
      <c r="AC313" s="40"/>
      <c r="AD313" s="40"/>
      <c r="AE313" s="40"/>
      <c r="AF313" s="5"/>
    </row>
    <row r="314" spans="2:32" x14ac:dyDescent="0.2">
      <c r="H314" s="13"/>
      <c r="I314" s="13"/>
      <c r="J314" s="13"/>
      <c r="K314" s="13"/>
      <c r="L314" s="13"/>
      <c r="M314" s="13"/>
      <c r="N314" s="13"/>
      <c r="O314" s="13"/>
      <c r="P314" s="13"/>
      <c r="Q314" s="13"/>
      <c r="R314" s="13"/>
      <c r="S314" s="13"/>
      <c r="T314" s="13"/>
      <c r="U314" s="13"/>
      <c r="V314" s="13"/>
      <c r="W314" s="13"/>
      <c r="X314" s="13"/>
      <c r="Y314" s="13"/>
      <c r="Z314" s="13"/>
      <c r="AB314" s="40"/>
      <c r="AC314" s="40"/>
      <c r="AD314" s="40"/>
      <c r="AE314" s="40"/>
      <c r="AF314" s="5"/>
    </row>
    <row r="315" spans="2:32" x14ac:dyDescent="0.2">
      <c r="H315" s="13"/>
      <c r="I315" s="13"/>
      <c r="J315" s="13"/>
      <c r="K315" s="13"/>
      <c r="L315" s="13"/>
      <c r="M315" s="13"/>
      <c r="N315" s="13"/>
      <c r="O315" s="13"/>
      <c r="P315" s="13"/>
      <c r="Q315" s="13"/>
      <c r="R315" s="13"/>
      <c r="S315" s="13"/>
      <c r="T315" s="13"/>
      <c r="U315" s="13"/>
      <c r="V315" s="13"/>
      <c r="W315" s="13"/>
      <c r="X315" s="13"/>
      <c r="Y315" s="13"/>
      <c r="Z315" s="13"/>
      <c r="AB315" s="40"/>
      <c r="AC315" s="40"/>
      <c r="AD315" s="40"/>
      <c r="AE315" s="40"/>
      <c r="AF315" s="5"/>
    </row>
    <row r="316" spans="2:32" x14ac:dyDescent="0.2">
      <c r="H316" s="13"/>
      <c r="I316" s="13"/>
      <c r="J316" s="13"/>
      <c r="K316" s="13"/>
      <c r="L316" s="13"/>
      <c r="M316" s="13"/>
      <c r="N316" s="13"/>
      <c r="O316" s="13"/>
      <c r="P316" s="13"/>
      <c r="Q316" s="13"/>
      <c r="R316" s="13"/>
      <c r="S316" s="13"/>
      <c r="T316" s="13"/>
      <c r="U316" s="13"/>
      <c r="V316" s="13"/>
      <c r="W316" s="13"/>
      <c r="X316" s="13"/>
      <c r="Y316" s="13"/>
      <c r="Z316" s="13"/>
      <c r="AB316" s="40"/>
      <c r="AC316" s="40"/>
      <c r="AD316" s="40"/>
      <c r="AE316" s="40"/>
      <c r="AF316" s="5"/>
    </row>
    <row r="317" spans="2:32" x14ac:dyDescent="0.2">
      <c r="H317"/>
      <c r="AB317" s="40"/>
      <c r="AC317" s="40"/>
      <c r="AD317" s="40"/>
      <c r="AE317" s="40"/>
      <c r="AF317" s="5"/>
    </row>
    <row r="318" spans="2:32" x14ac:dyDescent="0.2">
      <c r="B318" s="60"/>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B318" s="40"/>
      <c r="AC318" s="40"/>
      <c r="AD318" s="40"/>
      <c r="AE318" s="40"/>
      <c r="AF318" s="5"/>
    </row>
    <row r="319" spans="2:32" x14ac:dyDescent="0.2">
      <c r="B319" s="60"/>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B319" s="40"/>
      <c r="AC319" s="40"/>
      <c r="AD319" s="40"/>
      <c r="AE319" s="40"/>
      <c r="AF319" s="5"/>
    </row>
    <row r="320" spans="2:32" x14ac:dyDescent="0.2">
      <c r="B320" s="60"/>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B320" s="40"/>
      <c r="AC320" s="40"/>
      <c r="AD320" s="40"/>
      <c r="AE320" s="40"/>
      <c r="AF320" s="5"/>
    </row>
    <row r="321" spans="2:32" x14ac:dyDescent="0.2">
      <c r="B321" s="60"/>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B321" s="40"/>
      <c r="AC321" s="40"/>
      <c r="AD321" s="40"/>
      <c r="AE321" s="40"/>
      <c r="AF321" s="5"/>
    </row>
    <row r="322" spans="2:32" x14ac:dyDescent="0.2">
      <c r="B322" s="60"/>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B322" s="40"/>
      <c r="AC322" s="40"/>
      <c r="AD322" s="40"/>
      <c r="AE322" s="40"/>
      <c r="AF322" s="5"/>
    </row>
    <row r="323" spans="2:32" x14ac:dyDescent="0.2">
      <c r="B323" s="60"/>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B323" s="40"/>
      <c r="AC323" s="40"/>
      <c r="AD323" s="40"/>
      <c r="AE323" s="40"/>
      <c r="AF323" s="5"/>
    </row>
    <row r="324" spans="2:32" x14ac:dyDescent="0.2">
      <c r="B324" s="60"/>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B324" s="40"/>
      <c r="AC324" s="40"/>
      <c r="AD324" s="40"/>
      <c r="AE324" s="40"/>
      <c r="AF324" s="5"/>
    </row>
    <row r="325" spans="2:32" x14ac:dyDescent="0.2">
      <c r="B325" s="60"/>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B325" s="40"/>
      <c r="AC325" s="40"/>
      <c r="AD325" s="40"/>
      <c r="AE325" s="40"/>
      <c r="AF325" s="5"/>
    </row>
    <row r="326" spans="2:32" x14ac:dyDescent="0.2">
      <c r="B326" s="60"/>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B326" s="40"/>
      <c r="AC326" s="40"/>
      <c r="AD326" s="40"/>
      <c r="AE326" s="40"/>
      <c r="AF326" s="5"/>
    </row>
    <row r="327" spans="2:32" x14ac:dyDescent="0.2">
      <c r="B327" s="60"/>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B327" s="40"/>
      <c r="AC327" s="40"/>
      <c r="AD327" s="40"/>
      <c r="AE327" s="40"/>
      <c r="AF327" s="5"/>
    </row>
    <row r="328" spans="2:32" x14ac:dyDescent="0.2">
      <c r="B328" s="60"/>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B328" s="40"/>
      <c r="AC328" s="40"/>
      <c r="AD328" s="40"/>
      <c r="AE328" s="40"/>
      <c r="AF328" s="5"/>
    </row>
    <row r="329" spans="2:32" x14ac:dyDescent="0.2">
      <c r="B329" s="60"/>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B329" s="40"/>
      <c r="AC329" s="40"/>
      <c r="AD329" s="40"/>
      <c r="AE329" s="40"/>
      <c r="AF329" s="5"/>
    </row>
    <row r="330" spans="2:32" x14ac:dyDescent="0.2">
      <c r="B330" s="60"/>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B330" s="40"/>
      <c r="AC330" s="40"/>
      <c r="AD330" s="40"/>
      <c r="AE330" s="40"/>
      <c r="AF330" s="5"/>
    </row>
    <row r="331" spans="2:32" x14ac:dyDescent="0.2">
      <c r="B331" s="60"/>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B331" s="40"/>
      <c r="AC331" s="40"/>
      <c r="AD331" s="40"/>
      <c r="AE331" s="40"/>
      <c r="AF331" s="5"/>
    </row>
    <row r="332" spans="2:32" x14ac:dyDescent="0.2">
      <c r="B332" s="60"/>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B332" s="40"/>
      <c r="AC332" s="40"/>
      <c r="AD332" s="40"/>
      <c r="AE332" s="40"/>
      <c r="AF332" s="5"/>
    </row>
    <row r="333" spans="2:32" x14ac:dyDescent="0.2">
      <c r="B333" s="60"/>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B333" s="40"/>
      <c r="AC333" s="40"/>
      <c r="AD333" s="40"/>
      <c r="AE333" s="40"/>
      <c r="AF333" s="5"/>
    </row>
    <row r="334" spans="2:32" x14ac:dyDescent="0.2">
      <c r="B334" s="60"/>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B334" s="40"/>
      <c r="AC334" s="40"/>
      <c r="AD334" s="40"/>
      <c r="AE334" s="40"/>
      <c r="AF334" s="5"/>
    </row>
    <row r="335" spans="2:32" x14ac:dyDescent="0.2">
      <c r="H335" s="13"/>
      <c r="I335" s="13"/>
      <c r="J335" s="13"/>
      <c r="K335" s="13"/>
      <c r="L335" s="13"/>
      <c r="M335" s="13"/>
      <c r="N335" s="13"/>
      <c r="O335" s="13"/>
      <c r="P335" s="13"/>
      <c r="Q335" s="13"/>
      <c r="R335" s="13"/>
      <c r="S335" s="13"/>
      <c r="T335" s="13"/>
      <c r="U335" s="13"/>
      <c r="V335" s="13"/>
      <c r="W335" s="13"/>
      <c r="X335" s="13"/>
      <c r="Y335" s="13"/>
      <c r="Z335" s="13"/>
      <c r="AB335" s="40"/>
      <c r="AC335" s="40"/>
      <c r="AD335" s="40"/>
      <c r="AE335" s="40"/>
      <c r="AF335" s="5"/>
    </row>
    <row r="336" spans="2:32" x14ac:dyDescent="0.2">
      <c r="H336" s="13"/>
      <c r="I336" s="13"/>
      <c r="J336" s="13"/>
      <c r="K336" s="13"/>
      <c r="L336" s="13"/>
      <c r="M336" s="13"/>
      <c r="N336" s="13"/>
      <c r="O336" s="13"/>
      <c r="P336" s="13"/>
      <c r="Q336" s="13"/>
      <c r="R336" s="13"/>
      <c r="S336" s="13"/>
      <c r="T336" s="13"/>
      <c r="U336" s="13"/>
      <c r="V336" s="13"/>
      <c r="W336" s="13"/>
      <c r="X336" s="13"/>
      <c r="Y336" s="13"/>
      <c r="Z336" s="13"/>
      <c r="AB336" s="40"/>
      <c r="AC336" s="40"/>
      <c r="AD336" s="40"/>
      <c r="AE336" s="40"/>
      <c r="AF336" s="5"/>
    </row>
    <row r="337" spans="8:32" x14ac:dyDescent="0.2">
      <c r="H337" s="13"/>
      <c r="I337" s="13"/>
      <c r="J337" s="13"/>
      <c r="K337" s="13"/>
      <c r="L337" s="13"/>
      <c r="M337" s="13"/>
      <c r="N337" s="13"/>
      <c r="O337" s="13"/>
      <c r="P337" s="13"/>
      <c r="Q337" s="13"/>
      <c r="R337" s="13"/>
      <c r="S337" s="13"/>
      <c r="T337" s="13"/>
      <c r="U337" s="13"/>
      <c r="V337" s="13"/>
      <c r="W337" s="13"/>
      <c r="X337" s="13"/>
      <c r="Y337" s="13"/>
      <c r="Z337" s="13"/>
      <c r="AB337" s="40"/>
      <c r="AC337" s="40"/>
      <c r="AD337" s="40"/>
      <c r="AE337" s="40"/>
      <c r="AF337" s="5"/>
    </row>
    <row r="338" spans="8:32" x14ac:dyDescent="0.2">
      <c r="H338" s="13"/>
      <c r="I338" s="13"/>
      <c r="J338" s="13"/>
      <c r="K338" s="13"/>
      <c r="L338" s="13"/>
      <c r="M338" s="13"/>
      <c r="N338" s="13"/>
      <c r="O338" s="13"/>
      <c r="P338" s="13"/>
      <c r="Q338" s="13"/>
      <c r="R338" s="13"/>
      <c r="S338" s="13"/>
      <c r="T338" s="13"/>
      <c r="U338" s="13"/>
      <c r="V338" s="13"/>
      <c r="W338" s="13"/>
      <c r="X338" s="13"/>
      <c r="Y338" s="13"/>
      <c r="Z338" s="13"/>
      <c r="AB338" s="40"/>
      <c r="AC338" s="40"/>
      <c r="AD338" s="40"/>
      <c r="AE338" s="40"/>
      <c r="AF338" s="5"/>
    </row>
    <row r="339" spans="8:32" x14ac:dyDescent="0.2">
      <c r="H339" s="13"/>
      <c r="I339" s="13"/>
      <c r="J339" s="13"/>
      <c r="K339" s="13"/>
      <c r="L339" s="13"/>
      <c r="M339" s="13"/>
      <c r="N339" s="13"/>
      <c r="O339" s="13"/>
      <c r="P339" s="13"/>
      <c r="Q339" s="13"/>
      <c r="R339" s="13"/>
      <c r="S339" s="13"/>
      <c r="T339" s="13"/>
      <c r="U339" s="13"/>
      <c r="V339" s="13"/>
      <c r="W339" s="13"/>
      <c r="X339" s="13"/>
      <c r="Y339" s="13"/>
      <c r="Z339" s="13"/>
      <c r="AB339" s="40"/>
      <c r="AC339" s="40"/>
      <c r="AD339" s="40"/>
      <c r="AE339" s="40"/>
      <c r="AF339" s="5"/>
    </row>
    <row r="340" spans="8:32" x14ac:dyDescent="0.2">
      <c r="H340" s="13"/>
      <c r="I340" s="13"/>
      <c r="J340" s="13"/>
      <c r="K340" s="13"/>
      <c r="L340" s="13"/>
      <c r="M340" s="13"/>
      <c r="N340" s="13"/>
      <c r="O340" s="13"/>
      <c r="P340" s="13"/>
      <c r="Q340" s="13"/>
      <c r="R340" s="13"/>
      <c r="S340" s="13"/>
      <c r="T340" s="13"/>
      <c r="U340" s="13"/>
      <c r="V340" s="13"/>
      <c r="W340" s="13"/>
      <c r="X340" s="13"/>
      <c r="Y340" s="13"/>
      <c r="Z340" s="13"/>
      <c r="AB340" s="40"/>
      <c r="AC340" s="40"/>
      <c r="AD340" s="40"/>
      <c r="AE340" s="40"/>
      <c r="AF340" s="5"/>
    </row>
    <row r="341" spans="8:32" x14ac:dyDescent="0.2">
      <c r="H341" s="13"/>
      <c r="I341" s="13"/>
      <c r="J341" s="13"/>
      <c r="K341" s="13"/>
      <c r="L341" s="13"/>
      <c r="M341" s="13"/>
      <c r="N341" s="13"/>
      <c r="O341" s="13"/>
      <c r="P341" s="13"/>
      <c r="Q341" s="13"/>
      <c r="R341" s="13"/>
      <c r="S341" s="13"/>
      <c r="T341" s="13"/>
      <c r="U341" s="13"/>
      <c r="V341" s="13"/>
      <c r="W341" s="13"/>
      <c r="X341" s="13"/>
      <c r="Y341" s="13"/>
      <c r="Z341" s="13"/>
      <c r="AB341" s="40"/>
      <c r="AC341" s="40"/>
      <c r="AD341" s="40"/>
      <c r="AE341" s="40"/>
      <c r="AF341" s="5"/>
    </row>
    <row r="342" spans="8:32" x14ac:dyDescent="0.2">
      <c r="H342" s="13"/>
      <c r="I342" s="13"/>
      <c r="J342" s="13"/>
      <c r="K342" s="13"/>
      <c r="L342" s="13"/>
      <c r="M342" s="13"/>
      <c r="N342" s="13"/>
      <c r="O342" s="13"/>
      <c r="P342" s="13"/>
      <c r="Q342" s="13"/>
      <c r="R342" s="13"/>
      <c r="S342" s="13"/>
      <c r="T342" s="13"/>
      <c r="U342" s="13"/>
      <c r="V342" s="13"/>
      <c r="W342" s="13"/>
      <c r="X342" s="13"/>
      <c r="Y342" s="13"/>
      <c r="Z342" s="13"/>
      <c r="AB342" s="40"/>
      <c r="AC342" s="40"/>
      <c r="AD342" s="40"/>
      <c r="AE342" s="40"/>
      <c r="AF342" s="5"/>
    </row>
    <row r="343" spans="8:32" x14ac:dyDescent="0.2">
      <c r="H343" s="13"/>
      <c r="I343" s="13"/>
      <c r="J343" s="13"/>
      <c r="K343" s="13"/>
      <c r="L343" s="13"/>
      <c r="M343" s="13"/>
      <c r="N343" s="13"/>
      <c r="O343" s="13"/>
      <c r="P343" s="13"/>
      <c r="Q343" s="13"/>
      <c r="R343" s="13"/>
      <c r="S343" s="13"/>
      <c r="T343" s="13"/>
      <c r="U343" s="13"/>
      <c r="V343" s="13"/>
      <c r="W343" s="13"/>
      <c r="X343" s="13"/>
      <c r="Y343" s="13"/>
      <c r="Z343" s="13"/>
      <c r="AB343" s="40"/>
      <c r="AC343" s="40"/>
      <c r="AD343" s="40"/>
      <c r="AE343" s="40"/>
      <c r="AF343" s="5"/>
    </row>
    <row r="344" spans="8:32" x14ac:dyDescent="0.2">
      <c r="H344" s="13"/>
      <c r="I344" s="13"/>
      <c r="J344" s="13"/>
      <c r="K344" s="13"/>
      <c r="L344" s="13"/>
      <c r="M344" s="13"/>
      <c r="N344" s="13"/>
      <c r="O344" s="13"/>
      <c r="P344" s="13"/>
      <c r="Q344" s="13"/>
      <c r="R344" s="13"/>
      <c r="S344" s="13"/>
      <c r="T344" s="13"/>
      <c r="U344" s="13"/>
      <c r="V344" s="13"/>
      <c r="W344" s="13"/>
      <c r="X344" s="13"/>
      <c r="Y344" s="13"/>
      <c r="Z344" s="13"/>
      <c r="AB344" s="40"/>
      <c r="AC344" s="40"/>
      <c r="AD344" s="40"/>
      <c r="AE344" s="40"/>
      <c r="AF344" s="5"/>
    </row>
    <row r="345" spans="8:32" x14ac:dyDescent="0.2">
      <c r="H345" s="13"/>
      <c r="I345" s="13"/>
      <c r="J345" s="13"/>
      <c r="K345" s="13"/>
      <c r="L345" s="13"/>
      <c r="M345" s="13"/>
      <c r="N345" s="13"/>
      <c r="O345" s="13"/>
      <c r="P345" s="13"/>
      <c r="Q345" s="13"/>
      <c r="R345" s="13"/>
      <c r="S345" s="13"/>
      <c r="T345" s="13"/>
      <c r="U345" s="13"/>
      <c r="V345" s="13"/>
      <c r="W345" s="13"/>
      <c r="X345" s="13"/>
      <c r="Y345" s="13"/>
      <c r="Z345" s="13"/>
      <c r="AB345" s="40"/>
      <c r="AC345" s="40"/>
      <c r="AD345" s="40"/>
      <c r="AE345" s="40"/>
      <c r="AF345" s="5"/>
    </row>
    <row r="346" spans="8:32" x14ac:dyDescent="0.2">
      <c r="H346" s="13"/>
      <c r="I346" s="13"/>
      <c r="J346" s="13"/>
      <c r="K346" s="13"/>
      <c r="L346" s="13"/>
      <c r="M346" s="13"/>
      <c r="N346" s="13"/>
      <c r="O346" s="13"/>
      <c r="P346" s="13"/>
      <c r="Q346" s="13"/>
      <c r="R346" s="13"/>
      <c r="S346" s="13"/>
      <c r="T346" s="13"/>
      <c r="U346" s="13"/>
      <c r="V346" s="13"/>
      <c r="W346" s="13"/>
      <c r="X346" s="13"/>
      <c r="Y346" s="13"/>
      <c r="Z346" s="13"/>
      <c r="AB346" s="40"/>
      <c r="AC346" s="40"/>
      <c r="AD346" s="40"/>
      <c r="AE346" s="40"/>
      <c r="AF346" s="5"/>
    </row>
    <row r="347" spans="8:32" x14ac:dyDescent="0.2">
      <c r="H347" s="13"/>
      <c r="I347" s="13"/>
      <c r="J347" s="13"/>
      <c r="K347" s="13"/>
      <c r="L347" s="13"/>
      <c r="M347" s="13"/>
      <c r="N347" s="13"/>
      <c r="O347" s="13"/>
      <c r="P347" s="13"/>
      <c r="Q347" s="13"/>
      <c r="R347" s="13"/>
      <c r="S347" s="13"/>
      <c r="T347" s="13"/>
      <c r="U347" s="13"/>
      <c r="V347" s="13"/>
      <c r="W347" s="13"/>
      <c r="X347" s="13"/>
      <c r="Y347" s="13"/>
      <c r="Z347" s="13"/>
      <c r="AB347" s="40"/>
      <c r="AC347" s="40"/>
      <c r="AD347" s="40"/>
      <c r="AE347" s="40"/>
      <c r="AF347" s="5"/>
    </row>
    <row r="348" spans="8:32" x14ac:dyDescent="0.2">
      <c r="H348" s="13"/>
      <c r="I348" s="13"/>
      <c r="J348" s="13"/>
      <c r="K348" s="13"/>
      <c r="L348" s="13"/>
      <c r="M348" s="13"/>
      <c r="N348" s="13"/>
      <c r="O348" s="13"/>
      <c r="P348" s="13"/>
      <c r="Q348" s="13"/>
      <c r="R348" s="13"/>
      <c r="S348" s="13"/>
      <c r="T348" s="13"/>
      <c r="U348" s="13"/>
      <c r="V348" s="13"/>
      <c r="W348" s="13"/>
      <c r="X348" s="13"/>
      <c r="Y348" s="13"/>
      <c r="Z348" s="13"/>
      <c r="AB348" s="40"/>
      <c r="AC348" s="40"/>
      <c r="AD348" s="40"/>
      <c r="AE348" s="40"/>
      <c r="AF348" s="5"/>
    </row>
    <row r="349" spans="8:32" x14ac:dyDescent="0.2">
      <c r="H349" s="13"/>
      <c r="I349" s="13"/>
      <c r="J349" s="13"/>
      <c r="K349" s="13"/>
      <c r="L349" s="13"/>
      <c r="M349" s="13"/>
      <c r="N349" s="13"/>
      <c r="O349" s="13"/>
      <c r="P349" s="13"/>
      <c r="Q349" s="13"/>
      <c r="R349" s="13"/>
      <c r="S349" s="13"/>
      <c r="T349" s="13"/>
      <c r="U349" s="13"/>
      <c r="V349" s="13"/>
      <c r="W349" s="13"/>
      <c r="X349" s="13"/>
      <c r="Y349" s="13"/>
      <c r="Z349" s="13"/>
      <c r="AB349" s="40"/>
      <c r="AC349" s="40"/>
      <c r="AD349" s="40"/>
      <c r="AE349" s="40"/>
      <c r="AF349" s="5"/>
    </row>
    <row r="350" spans="8:32" x14ac:dyDescent="0.2">
      <c r="H350"/>
      <c r="AB350" s="40"/>
      <c r="AC350" s="40"/>
      <c r="AD350" s="40"/>
      <c r="AE350" s="40"/>
      <c r="AF350" s="5"/>
    </row>
    <row r="351" spans="8:32" x14ac:dyDescent="0.2">
      <c r="H351" s="13"/>
      <c r="I351" s="13"/>
      <c r="J351" s="13"/>
      <c r="K351" s="13"/>
      <c r="L351" s="13"/>
      <c r="M351" s="13"/>
      <c r="N351" s="13"/>
      <c r="O351" s="13"/>
      <c r="P351" s="13"/>
      <c r="Q351" s="13"/>
      <c r="R351" s="13"/>
      <c r="S351" s="13"/>
      <c r="T351" s="13"/>
      <c r="U351" s="13"/>
      <c r="V351" s="13"/>
      <c r="W351" s="13"/>
      <c r="X351" s="13"/>
      <c r="Y351" s="13"/>
      <c r="Z351" s="13"/>
      <c r="AB351" s="40"/>
      <c r="AC351" s="40"/>
      <c r="AD351" s="40"/>
      <c r="AE351" s="40"/>
      <c r="AF351" s="5"/>
    </row>
    <row r="352" spans="8:32" x14ac:dyDescent="0.2">
      <c r="H352" s="13"/>
      <c r="I352" s="13"/>
      <c r="J352" s="13"/>
      <c r="K352" s="13"/>
      <c r="L352" s="13"/>
      <c r="M352" s="13"/>
      <c r="N352" s="13"/>
      <c r="O352" s="13"/>
      <c r="P352" s="13"/>
      <c r="Q352" s="13"/>
      <c r="R352" s="13"/>
      <c r="S352" s="13"/>
      <c r="T352" s="13"/>
      <c r="U352" s="13"/>
      <c r="V352" s="13"/>
      <c r="W352" s="13"/>
      <c r="X352" s="13"/>
      <c r="Y352" s="13"/>
      <c r="Z352" s="13"/>
      <c r="AB352" s="40"/>
      <c r="AC352" s="40"/>
      <c r="AD352" s="40"/>
      <c r="AE352" s="40"/>
      <c r="AF352" s="5"/>
    </row>
    <row r="353" spans="8:32" x14ac:dyDescent="0.2">
      <c r="H353"/>
      <c r="AB353" s="40"/>
      <c r="AC353" s="40"/>
      <c r="AD353" s="40"/>
      <c r="AE353" s="40"/>
      <c r="AF353" s="5"/>
    </row>
    <row r="354" spans="8:32" x14ac:dyDescent="0.2">
      <c r="H354" s="13"/>
      <c r="I354" s="13"/>
      <c r="J354" s="13"/>
      <c r="K354" s="13"/>
      <c r="L354" s="13"/>
      <c r="M354" s="13"/>
      <c r="N354" s="13"/>
      <c r="O354" s="13"/>
      <c r="P354" s="13"/>
      <c r="Q354" s="13"/>
      <c r="R354" s="13"/>
      <c r="S354" s="13"/>
      <c r="T354" s="13"/>
      <c r="U354" s="13"/>
      <c r="V354" s="13"/>
      <c r="W354" s="13"/>
      <c r="X354" s="13"/>
      <c r="Y354" s="13"/>
      <c r="Z354" s="13"/>
      <c r="AB354" s="40"/>
      <c r="AC354" s="40"/>
      <c r="AD354" s="40"/>
      <c r="AE354" s="40"/>
      <c r="AF354" s="5"/>
    </row>
    <row r="355" spans="8:32" x14ac:dyDescent="0.2">
      <c r="H355"/>
      <c r="AB355" s="40"/>
      <c r="AC355" s="40"/>
      <c r="AD355" s="40"/>
      <c r="AE355" s="40"/>
      <c r="AF355" s="5"/>
    </row>
    <row r="356" spans="8:32" x14ac:dyDescent="0.2">
      <c r="H356" s="13"/>
      <c r="I356" s="13"/>
      <c r="J356" s="13"/>
      <c r="K356" s="13"/>
      <c r="L356" s="13"/>
      <c r="M356" s="13"/>
      <c r="N356" s="13"/>
      <c r="O356" s="13"/>
      <c r="P356" s="13"/>
      <c r="Q356" s="13"/>
      <c r="R356" s="13"/>
      <c r="S356" s="13"/>
      <c r="T356" s="13"/>
      <c r="U356" s="13"/>
      <c r="V356" s="13"/>
      <c r="W356" s="13"/>
      <c r="X356" s="13"/>
      <c r="Y356" s="13"/>
      <c r="Z356" s="13"/>
      <c r="AB356" s="40"/>
      <c r="AC356" s="40"/>
      <c r="AD356" s="40"/>
      <c r="AE356" s="40"/>
      <c r="AF356" s="5"/>
    </row>
    <row r="357" spans="8:32" x14ac:dyDescent="0.2">
      <c r="H357" s="13"/>
      <c r="I357" s="13"/>
      <c r="J357" s="13"/>
      <c r="K357" s="13"/>
      <c r="L357" s="13"/>
      <c r="M357" s="13"/>
      <c r="N357" s="13"/>
      <c r="O357" s="13"/>
      <c r="P357" s="13"/>
      <c r="Q357" s="13"/>
      <c r="R357" s="13"/>
      <c r="S357" s="13"/>
      <c r="T357" s="13"/>
      <c r="U357" s="13"/>
      <c r="V357" s="13"/>
      <c r="W357" s="13"/>
      <c r="X357" s="13"/>
      <c r="Y357" s="13"/>
      <c r="Z357" s="13"/>
      <c r="AB357" s="40"/>
      <c r="AC357" s="40"/>
      <c r="AD357" s="40"/>
      <c r="AE357" s="40"/>
      <c r="AF357" s="5"/>
    </row>
    <row r="358" spans="8:32" x14ac:dyDescent="0.2">
      <c r="H358" s="13"/>
      <c r="I358" s="13"/>
      <c r="J358" s="13"/>
      <c r="K358" s="13"/>
      <c r="L358" s="13"/>
      <c r="M358" s="13"/>
      <c r="N358" s="13"/>
      <c r="O358" s="13"/>
      <c r="P358" s="13"/>
      <c r="Q358" s="13"/>
      <c r="R358" s="13"/>
      <c r="S358" s="13"/>
      <c r="T358" s="13"/>
      <c r="U358" s="13"/>
      <c r="V358" s="13"/>
      <c r="W358" s="13"/>
      <c r="X358" s="13"/>
      <c r="Y358" s="13"/>
      <c r="Z358" s="13"/>
      <c r="AB358" s="40"/>
      <c r="AC358" s="40"/>
      <c r="AD358" s="40"/>
      <c r="AE358" s="40"/>
      <c r="AF358" s="5"/>
    </row>
    <row r="359" spans="8:32" x14ac:dyDescent="0.2">
      <c r="H359" s="13"/>
      <c r="I359" s="13"/>
      <c r="J359" s="13"/>
      <c r="K359" s="13"/>
      <c r="L359" s="13"/>
      <c r="M359" s="13"/>
      <c r="N359" s="13"/>
      <c r="O359" s="13"/>
      <c r="P359" s="13"/>
      <c r="Q359" s="13"/>
      <c r="R359" s="13"/>
      <c r="S359" s="13"/>
      <c r="T359" s="13"/>
      <c r="U359" s="13"/>
      <c r="V359" s="13"/>
      <c r="W359" s="13"/>
      <c r="X359" s="13"/>
      <c r="Y359" s="13"/>
      <c r="Z359" s="13"/>
      <c r="AB359" s="40"/>
      <c r="AC359" s="40"/>
      <c r="AD359" s="40"/>
      <c r="AE359" s="40"/>
      <c r="AF359" s="5"/>
    </row>
    <row r="360" spans="8:32" x14ac:dyDescent="0.2">
      <c r="H360" s="13"/>
      <c r="I360" s="13"/>
      <c r="J360" s="13"/>
      <c r="K360" s="13"/>
      <c r="L360" s="13"/>
      <c r="M360" s="13"/>
      <c r="N360" s="13"/>
      <c r="O360" s="13"/>
      <c r="P360" s="13"/>
      <c r="Q360" s="13"/>
      <c r="R360" s="13"/>
      <c r="S360" s="13"/>
      <c r="T360" s="13"/>
      <c r="U360" s="13"/>
      <c r="V360" s="13"/>
      <c r="W360" s="13"/>
      <c r="X360" s="13"/>
      <c r="Y360" s="13"/>
      <c r="Z360" s="13"/>
      <c r="AB360" s="40"/>
      <c r="AC360" s="40"/>
      <c r="AD360" s="40"/>
      <c r="AE360" s="40"/>
      <c r="AF360" s="5"/>
    </row>
    <row r="361" spans="8:32" x14ac:dyDescent="0.2">
      <c r="H361" s="13"/>
      <c r="I361" s="13"/>
      <c r="J361" s="13"/>
      <c r="K361" s="13"/>
      <c r="L361" s="13"/>
      <c r="M361" s="13"/>
      <c r="N361" s="13"/>
      <c r="O361" s="13"/>
      <c r="P361" s="13"/>
      <c r="Q361" s="13"/>
      <c r="R361" s="13"/>
      <c r="S361" s="13"/>
      <c r="T361" s="13"/>
      <c r="U361" s="13"/>
      <c r="V361" s="13"/>
      <c r="W361" s="13"/>
      <c r="X361" s="13"/>
      <c r="Y361" s="13"/>
      <c r="Z361" s="13"/>
      <c r="AB361" s="40"/>
      <c r="AC361" s="40"/>
      <c r="AD361" s="40"/>
      <c r="AE361" s="40"/>
      <c r="AF361" s="5"/>
    </row>
    <row r="362" spans="8:32" x14ac:dyDescent="0.2">
      <c r="H362" s="13"/>
      <c r="I362" s="13"/>
      <c r="J362" s="13"/>
      <c r="K362" s="13"/>
      <c r="L362" s="13"/>
      <c r="M362" s="13"/>
      <c r="N362" s="13"/>
      <c r="O362" s="13"/>
      <c r="P362" s="13"/>
      <c r="Q362" s="13"/>
      <c r="R362" s="13"/>
      <c r="S362" s="13"/>
      <c r="T362" s="13"/>
      <c r="U362" s="13"/>
      <c r="V362" s="13"/>
      <c r="W362" s="13"/>
      <c r="X362" s="13"/>
      <c r="Y362" s="13"/>
      <c r="Z362" s="13"/>
      <c r="AB362" s="40"/>
      <c r="AC362" s="40"/>
      <c r="AD362" s="40"/>
      <c r="AE362" s="40"/>
      <c r="AF362" s="5"/>
    </row>
    <row r="363" spans="8:32" x14ac:dyDescent="0.2">
      <c r="H363" s="13"/>
      <c r="I363" s="13"/>
      <c r="J363" s="13"/>
      <c r="K363" s="13"/>
      <c r="L363" s="13"/>
      <c r="M363" s="13"/>
      <c r="N363" s="13"/>
      <c r="O363" s="13"/>
      <c r="P363" s="13"/>
      <c r="Q363" s="13"/>
      <c r="R363" s="13"/>
      <c r="S363" s="13"/>
      <c r="T363" s="13"/>
      <c r="U363" s="13"/>
      <c r="V363" s="13"/>
      <c r="W363" s="13"/>
      <c r="X363" s="13"/>
      <c r="Y363" s="13"/>
      <c r="Z363" s="13"/>
      <c r="AB363" s="40"/>
      <c r="AC363" s="40"/>
      <c r="AD363" s="40"/>
      <c r="AE363" s="40"/>
      <c r="AF363" s="5"/>
    </row>
    <row r="364" spans="8:32" x14ac:dyDescent="0.2">
      <c r="H364" s="13"/>
      <c r="I364" s="13"/>
      <c r="J364" s="13"/>
      <c r="K364" s="13"/>
      <c r="L364" s="13"/>
      <c r="M364" s="13"/>
      <c r="N364" s="13"/>
      <c r="O364" s="13"/>
      <c r="P364" s="13"/>
      <c r="Q364" s="13"/>
      <c r="R364" s="13"/>
      <c r="S364" s="13"/>
      <c r="T364" s="13"/>
      <c r="U364" s="13"/>
      <c r="V364" s="13"/>
      <c r="W364" s="13"/>
      <c r="X364" s="13"/>
      <c r="Y364" s="13"/>
      <c r="Z364" s="13"/>
      <c r="AB364" s="40"/>
      <c r="AC364" s="40"/>
      <c r="AD364" s="40"/>
      <c r="AE364" s="40"/>
      <c r="AF364" s="5"/>
    </row>
    <row r="365" spans="8:32" x14ac:dyDescent="0.2">
      <c r="H365" s="13"/>
      <c r="I365" s="13"/>
      <c r="J365" s="13"/>
      <c r="K365" s="13"/>
      <c r="L365" s="13"/>
      <c r="M365" s="13"/>
      <c r="N365" s="13"/>
      <c r="O365" s="13"/>
      <c r="P365" s="13"/>
      <c r="Q365" s="13"/>
      <c r="R365" s="13"/>
      <c r="S365" s="13"/>
      <c r="T365" s="13"/>
      <c r="U365" s="13"/>
      <c r="V365" s="13"/>
      <c r="W365" s="13"/>
      <c r="X365" s="13"/>
      <c r="Y365" s="13"/>
      <c r="Z365" s="13"/>
      <c r="AB365" s="40"/>
      <c r="AC365" s="40"/>
      <c r="AD365" s="40"/>
      <c r="AE365" s="40"/>
      <c r="AF365" s="5"/>
    </row>
    <row r="366" spans="8:32" x14ac:dyDescent="0.2">
      <c r="H366" s="13"/>
      <c r="I366" s="13"/>
      <c r="J366" s="13"/>
      <c r="K366" s="13"/>
      <c r="L366" s="13"/>
      <c r="M366" s="13"/>
      <c r="N366" s="13"/>
      <c r="O366" s="13"/>
      <c r="P366" s="13"/>
      <c r="Q366" s="13"/>
      <c r="R366" s="13"/>
      <c r="S366" s="13"/>
      <c r="T366" s="13"/>
      <c r="U366" s="13"/>
      <c r="V366" s="13"/>
      <c r="W366" s="13"/>
      <c r="X366" s="13"/>
      <c r="Y366" s="13"/>
      <c r="Z366" s="13"/>
      <c r="AB366" s="40"/>
      <c r="AC366" s="40"/>
      <c r="AD366" s="40"/>
      <c r="AE366" s="40"/>
      <c r="AF366" s="5"/>
    </row>
    <row r="367" spans="8:32" x14ac:dyDescent="0.2">
      <c r="H367" s="13"/>
      <c r="I367" s="13"/>
      <c r="J367" s="13"/>
      <c r="K367" s="13"/>
      <c r="L367" s="13"/>
      <c r="M367" s="13"/>
      <c r="N367" s="13"/>
      <c r="O367" s="13"/>
      <c r="P367" s="13"/>
      <c r="Q367" s="13"/>
      <c r="R367" s="13"/>
      <c r="S367" s="13"/>
      <c r="T367" s="13"/>
      <c r="U367" s="13"/>
      <c r="V367" s="13"/>
      <c r="W367" s="13"/>
      <c r="X367" s="13"/>
      <c r="Y367" s="13"/>
      <c r="Z367" s="13"/>
      <c r="AB367" s="40"/>
      <c r="AC367" s="40"/>
      <c r="AD367" s="40"/>
      <c r="AE367" s="40"/>
      <c r="AF367" s="5"/>
    </row>
    <row r="368" spans="8:32" x14ac:dyDescent="0.2">
      <c r="H368" s="13"/>
      <c r="I368" s="13"/>
      <c r="J368" s="13"/>
      <c r="K368" s="13"/>
      <c r="L368" s="13"/>
      <c r="M368" s="13"/>
      <c r="N368" s="13"/>
      <c r="O368" s="13"/>
      <c r="P368" s="13"/>
      <c r="Q368" s="13"/>
      <c r="R368" s="13"/>
      <c r="S368" s="13"/>
      <c r="T368" s="13"/>
      <c r="U368" s="13"/>
      <c r="V368" s="13"/>
      <c r="W368" s="13"/>
      <c r="X368" s="13"/>
      <c r="Y368" s="13"/>
      <c r="Z368" s="13"/>
      <c r="AB368" s="40"/>
      <c r="AC368" s="40"/>
      <c r="AD368" s="40"/>
      <c r="AE368" s="40"/>
      <c r="AF368" s="5"/>
    </row>
    <row r="369" spans="8:32" x14ac:dyDescent="0.2">
      <c r="H369"/>
      <c r="AB369" s="40"/>
      <c r="AC369" s="40"/>
      <c r="AD369" s="40"/>
      <c r="AE369" s="40"/>
      <c r="AF369" s="5"/>
    </row>
    <row r="370" spans="8:32" x14ac:dyDescent="0.2">
      <c r="H370" s="13"/>
      <c r="I370" s="13"/>
      <c r="J370" s="13"/>
      <c r="K370" s="13"/>
      <c r="L370" s="13"/>
      <c r="M370" s="13"/>
      <c r="N370" s="13"/>
      <c r="O370" s="13"/>
      <c r="P370" s="13"/>
      <c r="Q370" s="13"/>
      <c r="R370" s="13"/>
      <c r="S370" s="13"/>
      <c r="T370" s="13"/>
      <c r="U370" s="13"/>
      <c r="V370" s="13"/>
      <c r="W370" s="13"/>
      <c r="X370" s="13"/>
      <c r="Y370" s="13"/>
      <c r="Z370" s="13"/>
      <c r="AB370" s="40"/>
      <c r="AC370" s="40"/>
      <c r="AD370" s="40"/>
      <c r="AE370" s="40"/>
      <c r="AF370" s="5"/>
    </row>
    <row r="371" spans="8:32" x14ac:dyDescent="0.2">
      <c r="H371" s="13"/>
      <c r="I371" s="13"/>
      <c r="J371" s="13"/>
      <c r="K371" s="13"/>
      <c r="L371" s="13"/>
      <c r="M371" s="13"/>
      <c r="N371" s="13"/>
      <c r="O371" s="13"/>
      <c r="P371" s="13"/>
      <c r="Q371" s="13"/>
      <c r="R371" s="13"/>
      <c r="S371" s="13"/>
      <c r="T371" s="13"/>
      <c r="U371" s="13"/>
      <c r="V371" s="13"/>
      <c r="W371" s="13"/>
      <c r="X371" s="13"/>
      <c r="Y371" s="13"/>
      <c r="Z371" s="13"/>
      <c r="AB371" s="40"/>
      <c r="AC371" s="40"/>
      <c r="AD371" s="40"/>
      <c r="AE371" s="40"/>
      <c r="AF371" s="5"/>
    </row>
    <row r="372" spans="8:32" x14ac:dyDescent="0.2">
      <c r="H372" s="13"/>
      <c r="I372" s="13"/>
      <c r="J372" s="13"/>
      <c r="K372" s="13"/>
      <c r="L372" s="13"/>
      <c r="M372" s="13"/>
      <c r="N372" s="13"/>
      <c r="O372" s="13"/>
      <c r="P372" s="13"/>
      <c r="Q372" s="13"/>
      <c r="R372" s="13"/>
      <c r="S372" s="13"/>
      <c r="T372" s="13"/>
      <c r="U372" s="13"/>
      <c r="V372" s="13"/>
      <c r="W372" s="13"/>
      <c r="X372" s="13"/>
      <c r="Y372" s="13"/>
      <c r="Z372" s="13"/>
      <c r="AB372" s="40"/>
      <c r="AC372" s="40"/>
      <c r="AD372" s="40"/>
      <c r="AE372" s="40"/>
      <c r="AF372" s="5"/>
    </row>
    <row r="373" spans="8:32" x14ac:dyDescent="0.2">
      <c r="H373" s="13"/>
      <c r="I373" s="13"/>
      <c r="J373" s="13"/>
      <c r="K373" s="13"/>
      <c r="L373" s="13"/>
      <c r="M373" s="13"/>
      <c r="N373" s="13"/>
      <c r="O373" s="13"/>
      <c r="P373" s="13"/>
      <c r="Q373" s="13"/>
      <c r="R373" s="13"/>
      <c r="S373" s="13"/>
      <c r="T373" s="13"/>
      <c r="U373" s="13"/>
      <c r="V373" s="13"/>
      <c r="W373" s="13"/>
      <c r="X373" s="13"/>
      <c r="Y373" s="13"/>
      <c r="Z373" s="13"/>
      <c r="AB373" s="40"/>
      <c r="AC373" s="40"/>
      <c r="AD373" s="40"/>
      <c r="AE373" s="40"/>
      <c r="AF373" s="5"/>
    </row>
    <row r="374" spans="8:32" x14ac:dyDescent="0.2">
      <c r="H374"/>
      <c r="AB374" s="40"/>
      <c r="AC374" s="40"/>
      <c r="AD374" s="40"/>
      <c r="AE374" s="40"/>
      <c r="AF374" s="5"/>
    </row>
    <row r="375" spans="8:32" x14ac:dyDescent="0.2">
      <c r="H375" s="13"/>
      <c r="I375" s="13"/>
      <c r="J375" s="13"/>
      <c r="K375" s="13"/>
      <c r="L375" s="13"/>
      <c r="M375" s="13"/>
      <c r="N375" s="13"/>
      <c r="O375" s="13"/>
      <c r="P375" s="13"/>
      <c r="Q375" s="13"/>
      <c r="R375" s="13"/>
      <c r="S375" s="13"/>
      <c r="T375" s="13"/>
      <c r="U375" s="13"/>
      <c r="V375" s="13"/>
      <c r="W375" s="13"/>
      <c r="X375" s="13"/>
      <c r="Y375" s="13"/>
      <c r="Z375" s="13"/>
      <c r="AB375" s="40"/>
      <c r="AC375" s="40"/>
      <c r="AD375" s="40"/>
      <c r="AE375" s="40"/>
      <c r="AF375" s="5"/>
    </row>
    <row r="376" spans="8:32" x14ac:dyDescent="0.2">
      <c r="H376" s="13"/>
      <c r="I376" s="13"/>
      <c r="J376" s="13"/>
      <c r="K376" s="13"/>
      <c r="L376" s="13"/>
      <c r="M376" s="13"/>
      <c r="N376" s="13"/>
      <c r="O376" s="13"/>
      <c r="P376" s="13"/>
      <c r="Q376" s="13"/>
      <c r="R376" s="13"/>
      <c r="S376" s="13"/>
      <c r="T376" s="13"/>
      <c r="U376" s="13"/>
      <c r="V376" s="13"/>
      <c r="W376" s="13"/>
      <c r="X376" s="13"/>
      <c r="Y376" s="13"/>
      <c r="Z376" s="13"/>
      <c r="AB376" s="40"/>
      <c r="AC376" s="40"/>
      <c r="AD376" s="40"/>
      <c r="AE376" s="40"/>
      <c r="AF376" s="5"/>
    </row>
    <row r="377" spans="8:32" x14ac:dyDescent="0.2">
      <c r="H377" s="13"/>
      <c r="I377" s="13"/>
      <c r="J377" s="13"/>
      <c r="K377" s="13"/>
      <c r="L377" s="13"/>
      <c r="M377" s="13"/>
      <c r="N377" s="13"/>
      <c r="O377" s="13"/>
      <c r="P377" s="13"/>
      <c r="Q377" s="13"/>
      <c r="R377" s="13"/>
      <c r="S377" s="13"/>
      <c r="T377" s="13"/>
      <c r="U377" s="13"/>
      <c r="V377" s="13"/>
      <c r="W377" s="13"/>
      <c r="X377" s="13"/>
      <c r="Y377" s="13"/>
      <c r="Z377" s="13"/>
      <c r="AB377" s="40"/>
      <c r="AC377" s="40"/>
      <c r="AD377" s="40"/>
      <c r="AE377" s="40"/>
      <c r="AF377" s="5"/>
    </row>
    <row r="378" spans="8:32" x14ac:dyDescent="0.2">
      <c r="H378" s="13"/>
      <c r="I378" s="13"/>
      <c r="J378" s="13"/>
      <c r="K378" s="13"/>
      <c r="L378" s="13"/>
      <c r="M378" s="13"/>
      <c r="N378" s="13"/>
      <c r="O378" s="13"/>
      <c r="P378" s="13"/>
      <c r="Q378" s="13"/>
      <c r="R378" s="13"/>
      <c r="S378" s="13"/>
      <c r="T378" s="13"/>
      <c r="U378" s="13"/>
      <c r="V378" s="13"/>
      <c r="W378" s="13"/>
      <c r="X378" s="13"/>
      <c r="Y378" s="13"/>
      <c r="Z378" s="13"/>
      <c r="AB378" s="40"/>
      <c r="AC378" s="40"/>
      <c r="AD378" s="40"/>
      <c r="AE378" s="40"/>
      <c r="AF378" s="5"/>
    </row>
    <row r="379" spans="8:32" x14ac:dyDescent="0.2">
      <c r="H379" s="13"/>
      <c r="I379" s="13"/>
      <c r="J379" s="13"/>
      <c r="K379" s="13"/>
      <c r="L379" s="13"/>
      <c r="M379" s="13"/>
      <c r="N379" s="13"/>
      <c r="O379" s="13"/>
      <c r="P379" s="13"/>
      <c r="Q379" s="13"/>
      <c r="R379" s="13"/>
      <c r="S379" s="13"/>
      <c r="T379" s="13"/>
      <c r="U379" s="13"/>
      <c r="V379" s="13"/>
      <c r="W379" s="13"/>
      <c r="X379" s="13"/>
      <c r="Y379" s="13"/>
      <c r="Z379" s="13"/>
      <c r="AB379" s="40"/>
      <c r="AC379" s="40"/>
      <c r="AD379" s="40"/>
      <c r="AE379" s="40"/>
      <c r="AF379" s="5"/>
    </row>
    <row r="380" spans="8:32" x14ac:dyDescent="0.2">
      <c r="H380"/>
      <c r="AB380" s="40"/>
      <c r="AC380" s="40"/>
      <c r="AD380" s="40"/>
      <c r="AE380" s="40"/>
      <c r="AF380" s="5"/>
    </row>
    <row r="381" spans="8:32" x14ac:dyDescent="0.2">
      <c r="H381" s="13"/>
      <c r="I381" s="13"/>
      <c r="J381" s="13"/>
      <c r="K381" s="13"/>
      <c r="L381" s="13"/>
      <c r="M381" s="13"/>
      <c r="N381" s="13"/>
      <c r="O381" s="13"/>
      <c r="P381" s="13"/>
      <c r="Q381" s="13"/>
      <c r="R381" s="13"/>
      <c r="S381" s="13"/>
      <c r="T381" s="13"/>
      <c r="U381" s="13"/>
      <c r="V381" s="13"/>
      <c r="W381" s="13"/>
      <c r="X381" s="13"/>
      <c r="Y381" s="13"/>
      <c r="Z381" s="13"/>
      <c r="AB381" s="40"/>
      <c r="AC381" s="40"/>
      <c r="AD381" s="40"/>
      <c r="AE381" s="40"/>
      <c r="AF381" s="5"/>
    </row>
    <row r="382" spans="8:32" x14ac:dyDescent="0.2">
      <c r="H382"/>
      <c r="AB382" s="40"/>
      <c r="AC382" s="40"/>
      <c r="AD382" s="40"/>
      <c r="AE382" s="40"/>
      <c r="AF382" s="5"/>
    </row>
    <row r="383" spans="8:32" x14ac:dyDescent="0.2">
      <c r="H383" s="13"/>
      <c r="I383" s="13"/>
      <c r="J383" s="13"/>
      <c r="K383" s="13"/>
      <c r="L383" s="13"/>
      <c r="M383" s="13"/>
      <c r="N383" s="13"/>
      <c r="O383" s="13"/>
      <c r="P383" s="13"/>
      <c r="Q383" s="13"/>
      <c r="R383" s="13"/>
      <c r="S383" s="13"/>
      <c r="T383" s="13"/>
      <c r="U383" s="13"/>
      <c r="V383" s="13"/>
      <c r="W383" s="13"/>
      <c r="X383" s="13"/>
      <c r="Y383" s="13"/>
      <c r="Z383" s="13"/>
      <c r="AB383" s="40"/>
      <c r="AC383" s="40"/>
      <c r="AD383" s="40"/>
      <c r="AE383" s="40"/>
      <c r="AF383" s="5"/>
    </row>
    <row r="384" spans="8:32" x14ac:dyDescent="0.2">
      <c r="H384" s="13"/>
      <c r="I384" s="13"/>
      <c r="J384" s="13"/>
      <c r="K384" s="13"/>
      <c r="L384" s="13"/>
      <c r="M384" s="13"/>
      <c r="N384" s="13"/>
      <c r="O384" s="13"/>
      <c r="P384" s="13"/>
      <c r="Q384" s="13"/>
      <c r="R384" s="13"/>
      <c r="S384" s="13"/>
      <c r="T384" s="13"/>
      <c r="U384" s="13"/>
      <c r="V384" s="13"/>
      <c r="W384" s="13"/>
      <c r="X384" s="13"/>
      <c r="Y384" s="13"/>
      <c r="Z384" s="13"/>
      <c r="AB384" s="40"/>
      <c r="AC384" s="40"/>
      <c r="AD384" s="40"/>
      <c r="AE384" s="40"/>
      <c r="AF384" s="5"/>
    </row>
    <row r="385" spans="8:32" x14ac:dyDescent="0.2">
      <c r="H385" s="13"/>
      <c r="I385" s="13"/>
      <c r="J385" s="13"/>
      <c r="K385" s="13"/>
      <c r="L385" s="13"/>
      <c r="M385" s="13"/>
      <c r="N385" s="13"/>
      <c r="O385" s="13"/>
      <c r="P385" s="13"/>
      <c r="Q385" s="13"/>
      <c r="R385" s="13"/>
      <c r="S385" s="13"/>
      <c r="T385" s="13"/>
      <c r="U385" s="13"/>
      <c r="V385" s="13"/>
      <c r="W385" s="13"/>
      <c r="X385" s="13"/>
      <c r="Y385" s="13"/>
      <c r="Z385" s="13"/>
      <c r="AB385" s="40"/>
      <c r="AC385" s="40"/>
      <c r="AD385" s="40"/>
      <c r="AE385" s="40"/>
      <c r="AF385" s="5"/>
    </row>
    <row r="386" spans="8:32" x14ac:dyDescent="0.2">
      <c r="H386" s="13"/>
      <c r="I386" s="13"/>
      <c r="J386" s="13"/>
      <c r="K386" s="13"/>
      <c r="L386" s="13"/>
      <c r="M386" s="13"/>
      <c r="N386" s="13"/>
      <c r="O386" s="13"/>
      <c r="P386" s="13"/>
      <c r="Q386" s="13"/>
      <c r="R386" s="13"/>
      <c r="S386" s="13"/>
      <c r="T386" s="13"/>
      <c r="U386" s="13"/>
      <c r="V386" s="13"/>
      <c r="W386" s="13"/>
      <c r="X386" s="13"/>
      <c r="Y386" s="13"/>
      <c r="Z386" s="13"/>
      <c r="AB386" s="40"/>
      <c r="AC386" s="40"/>
      <c r="AD386" s="40"/>
      <c r="AE386" s="40"/>
      <c r="AF386" s="5"/>
    </row>
    <row r="387" spans="8:32" x14ac:dyDescent="0.2">
      <c r="H387" s="13"/>
      <c r="I387" s="13"/>
      <c r="J387" s="13"/>
      <c r="K387" s="13"/>
      <c r="L387" s="13"/>
      <c r="M387" s="13"/>
      <c r="N387" s="13"/>
      <c r="O387" s="13"/>
      <c r="P387" s="13"/>
      <c r="Q387" s="13"/>
      <c r="R387" s="13"/>
      <c r="S387" s="13"/>
      <c r="T387" s="13"/>
      <c r="U387" s="13"/>
      <c r="V387" s="13"/>
      <c r="W387" s="13"/>
      <c r="X387" s="13"/>
      <c r="Y387" s="13"/>
      <c r="Z387" s="13"/>
      <c r="AB387" s="40"/>
      <c r="AC387" s="40"/>
      <c r="AD387" s="40"/>
      <c r="AE387" s="40"/>
      <c r="AF387" s="5"/>
    </row>
    <row r="388" spans="8:32" x14ac:dyDescent="0.2">
      <c r="H388"/>
      <c r="AB388" s="40"/>
      <c r="AC388" s="40"/>
      <c r="AD388" s="40"/>
      <c r="AE388" s="40"/>
      <c r="AF388" s="5"/>
    </row>
    <row r="389" spans="8:32" x14ac:dyDescent="0.2">
      <c r="H389" s="13"/>
      <c r="I389" s="13"/>
      <c r="J389" s="13"/>
      <c r="K389" s="13"/>
      <c r="L389" s="13"/>
      <c r="M389" s="13"/>
      <c r="N389" s="13"/>
      <c r="O389" s="13"/>
      <c r="P389" s="13"/>
      <c r="Q389" s="13"/>
      <c r="R389" s="13"/>
      <c r="S389" s="13"/>
      <c r="T389" s="13"/>
      <c r="U389" s="13"/>
      <c r="V389" s="13"/>
      <c r="W389" s="13"/>
      <c r="X389" s="13"/>
      <c r="Y389" s="13"/>
      <c r="Z389" s="13"/>
      <c r="AB389" s="40"/>
      <c r="AC389" s="40"/>
      <c r="AD389" s="40"/>
      <c r="AE389" s="40"/>
      <c r="AF389" s="5"/>
    </row>
    <row r="390" spans="8:32" x14ac:dyDescent="0.2">
      <c r="H390" s="13"/>
      <c r="I390" s="13"/>
      <c r="J390" s="13"/>
      <c r="K390" s="13"/>
      <c r="L390" s="13"/>
      <c r="M390" s="13"/>
      <c r="N390" s="13"/>
      <c r="O390" s="13"/>
      <c r="P390" s="13"/>
      <c r="Q390" s="13"/>
      <c r="R390" s="13"/>
      <c r="S390" s="13"/>
      <c r="T390" s="13"/>
      <c r="U390" s="13"/>
      <c r="V390" s="13"/>
      <c r="W390" s="13"/>
      <c r="X390" s="13"/>
      <c r="Y390" s="13"/>
      <c r="Z390" s="13"/>
      <c r="AB390" s="40"/>
      <c r="AC390" s="40"/>
      <c r="AD390" s="40"/>
      <c r="AE390" s="40"/>
      <c r="AF390" s="5"/>
    </row>
    <row r="391" spans="8:32" x14ac:dyDescent="0.2">
      <c r="H391" s="13"/>
      <c r="I391" s="13"/>
      <c r="J391" s="13"/>
      <c r="K391" s="13"/>
      <c r="L391" s="13"/>
      <c r="M391" s="13"/>
      <c r="N391" s="13"/>
      <c r="O391" s="13"/>
      <c r="P391" s="13"/>
      <c r="Q391" s="13"/>
      <c r="R391" s="13"/>
      <c r="S391" s="13"/>
      <c r="T391" s="13"/>
      <c r="U391" s="13"/>
      <c r="V391" s="13"/>
      <c r="W391" s="13"/>
      <c r="X391" s="13"/>
      <c r="Y391" s="13"/>
      <c r="Z391" s="13"/>
      <c r="AB391" s="40"/>
      <c r="AC391" s="40"/>
      <c r="AD391" s="40"/>
      <c r="AE391" s="40"/>
      <c r="AF391" s="5"/>
    </row>
    <row r="392" spans="8:32" x14ac:dyDescent="0.2">
      <c r="H392"/>
      <c r="AB392" s="40"/>
      <c r="AC392" s="40"/>
      <c r="AD392" s="40"/>
      <c r="AE392" s="40"/>
      <c r="AF392" s="5"/>
    </row>
    <row r="393" spans="8:32" x14ac:dyDescent="0.2">
      <c r="H393" s="13"/>
      <c r="I393" s="13"/>
      <c r="J393" s="13"/>
      <c r="K393" s="13"/>
      <c r="L393" s="13"/>
      <c r="M393" s="13"/>
      <c r="N393" s="13"/>
      <c r="O393" s="13"/>
      <c r="P393" s="13"/>
      <c r="Q393" s="13"/>
      <c r="R393" s="13"/>
      <c r="S393" s="13"/>
      <c r="T393" s="13"/>
      <c r="U393" s="13"/>
      <c r="V393" s="13"/>
      <c r="W393" s="13"/>
      <c r="X393" s="13"/>
      <c r="Y393" s="13"/>
      <c r="Z393" s="13"/>
      <c r="AB393" s="40"/>
      <c r="AC393" s="40"/>
      <c r="AD393" s="40"/>
      <c r="AE393" s="40"/>
      <c r="AF393" s="5"/>
    </row>
    <row r="394" spans="8:32" x14ac:dyDescent="0.2">
      <c r="H394" s="13"/>
      <c r="I394" s="13"/>
      <c r="J394" s="13"/>
      <c r="K394" s="13"/>
      <c r="L394" s="13"/>
      <c r="M394" s="13"/>
      <c r="N394" s="13"/>
      <c r="O394" s="13"/>
      <c r="P394" s="13"/>
      <c r="Q394" s="13"/>
      <c r="R394" s="13"/>
      <c r="S394" s="13"/>
      <c r="T394" s="13"/>
      <c r="U394" s="13"/>
      <c r="V394" s="13"/>
      <c r="W394" s="13"/>
      <c r="X394" s="13"/>
      <c r="Y394" s="13"/>
      <c r="Z394" s="13"/>
      <c r="AB394" s="40"/>
      <c r="AC394" s="40"/>
      <c r="AD394" s="40"/>
      <c r="AE394" s="40"/>
      <c r="AF394" s="5"/>
    </row>
    <row r="395" spans="8:32" x14ac:dyDescent="0.2">
      <c r="H395" s="13"/>
      <c r="I395" s="13"/>
      <c r="J395" s="13"/>
      <c r="K395" s="13"/>
      <c r="L395" s="13"/>
      <c r="M395" s="13"/>
      <c r="N395" s="13"/>
      <c r="O395" s="13"/>
      <c r="P395" s="13"/>
      <c r="Q395" s="13"/>
      <c r="R395" s="13"/>
      <c r="S395" s="13"/>
      <c r="T395" s="13"/>
      <c r="U395" s="13"/>
      <c r="V395" s="13"/>
      <c r="W395" s="13"/>
      <c r="X395" s="13"/>
      <c r="Y395" s="13"/>
      <c r="Z395" s="13"/>
      <c r="AB395" s="40"/>
      <c r="AC395" s="40"/>
      <c r="AD395" s="40"/>
      <c r="AE395" s="40"/>
      <c r="AF395" s="5"/>
    </row>
    <row r="396" spans="8:32" x14ac:dyDescent="0.2">
      <c r="H396"/>
      <c r="AB396" s="40"/>
      <c r="AC396" s="40"/>
      <c r="AD396" s="40"/>
      <c r="AE396" s="40"/>
      <c r="AF396" s="5"/>
    </row>
    <row r="397" spans="8:32" x14ac:dyDescent="0.2">
      <c r="H397" s="13"/>
      <c r="I397" s="13"/>
      <c r="J397" s="13"/>
      <c r="K397" s="13"/>
      <c r="L397" s="13"/>
      <c r="M397" s="13"/>
      <c r="N397" s="13"/>
      <c r="O397" s="13"/>
      <c r="P397" s="13"/>
      <c r="Q397" s="13"/>
      <c r="R397" s="13"/>
      <c r="S397" s="13"/>
      <c r="T397" s="13"/>
      <c r="U397" s="13"/>
      <c r="V397" s="13"/>
      <c r="W397" s="13"/>
      <c r="X397" s="13"/>
      <c r="Y397" s="13"/>
      <c r="Z397" s="13"/>
      <c r="AB397" s="40"/>
      <c r="AC397" s="40"/>
      <c r="AD397" s="40"/>
      <c r="AE397" s="40"/>
      <c r="AF397" s="5"/>
    </row>
    <row r="398" spans="8:32" x14ac:dyDescent="0.2">
      <c r="H398" s="13"/>
      <c r="I398" s="13"/>
      <c r="J398" s="13"/>
      <c r="K398" s="13"/>
      <c r="L398" s="13"/>
      <c r="M398" s="13"/>
      <c r="N398" s="13"/>
      <c r="O398" s="13"/>
      <c r="P398" s="13"/>
      <c r="Q398" s="13"/>
      <c r="R398" s="13"/>
      <c r="S398" s="13"/>
      <c r="T398" s="13"/>
      <c r="U398" s="13"/>
      <c r="V398" s="13"/>
      <c r="W398" s="13"/>
      <c r="X398" s="13"/>
      <c r="Y398" s="13"/>
      <c r="Z398" s="13"/>
      <c r="AB398" s="40"/>
      <c r="AC398" s="40"/>
      <c r="AD398" s="40"/>
      <c r="AE398" s="40"/>
      <c r="AF398" s="5"/>
    </row>
    <row r="399" spans="8:32" x14ac:dyDescent="0.2">
      <c r="H399" s="13"/>
      <c r="I399" s="13"/>
      <c r="J399" s="13"/>
      <c r="K399" s="13"/>
      <c r="L399" s="13"/>
      <c r="M399" s="13"/>
      <c r="N399" s="13"/>
      <c r="O399" s="13"/>
      <c r="P399" s="13"/>
      <c r="Q399" s="13"/>
      <c r="R399" s="13"/>
      <c r="S399" s="13"/>
      <c r="T399" s="13"/>
      <c r="U399" s="13"/>
      <c r="V399" s="13"/>
      <c r="W399" s="13"/>
      <c r="X399" s="13"/>
      <c r="Y399" s="13"/>
      <c r="Z399" s="13"/>
      <c r="AB399" s="40"/>
      <c r="AC399" s="40"/>
      <c r="AD399" s="40"/>
      <c r="AE399" s="40"/>
      <c r="AF399" s="5"/>
    </row>
    <row r="400" spans="8:32" x14ac:dyDescent="0.2">
      <c r="H400" s="13"/>
      <c r="I400" s="13"/>
      <c r="J400" s="13"/>
      <c r="K400" s="13"/>
      <c r="L400" s="13"/>
      <c r="M400" s="13"/>
      <c r="N400" s="13"/>
      <c r="O400" s="13"/>
      <c r="P400" s="13"/>
      <c r="Q400" s="13"/>
      <c r="R400" s="13"/>
      <c r="S400" s="13"/>
      <c r="T400" s="13"/>
      <c r="U400" s="13"/>
      <c r="V400" s="13"/>
      <c r="W400" s="13"/>
      <c r="X400" s="13"/>
      <c r="Y400" s="13"/>
      <c r="Z400" s="13"/>
      <c r="AB400" s="40"/>
      <c r="AC400" s="40"/>
      <c r="AD400" s="40"/>
      <c r="AE400" s="40"/>
      <c r="AF400" s="5"/>
    </row>
    <row r="401" spans="8:32" x14ac:dyDescent="0.2">
      <c r="H401"/>
      <c r="AB401" s="40"/>
      <c r="AC401" s="40"/>
      <c r="AD401" s="40"/>
      <c r="AE401" s="40"/>
      <c r="AF401" s="5"/>
    </row>
    <row r="402" spans="8:32" x14ac:dyDescent="0.2">
      <c r="H402" s="13"/>
      <c r="I402" s="13"/>
      <c r="J402" s="13"/>
      <c r="K402" s="13"/>
      <c r="L402" s="13"/>
      <c r="M402" s="13"/>
      <c r="N402" s="13"/>
      <c r="O402" s="13"/>
      <c r="P402" s="13"/>
      <c r="Q402" s="13"/>
      <c r="R402" s="13"/>
      <c r="S402" s="13"/>
      <c r="T402" s="13"/>
      <c r="U402" s="13"/>
      <c r="V402" s="13"/>
      <c r="W402" s="13"/>
      <c r="X402" s="13"/>
      <c r="Y402" s="13"/>
      <c r="Z402" s="13"/>
      <c r="AB402" s="40"/>
      <c r="AC402" s="40"/>
      <c r="AD402" s="40"/>
      <c r="AE402" s="40"/>
      <c r="AF402" s="5"/>
    </row>
    <row r="403" spans="8:32" x14ac:dyDescent="0.2">
      <c r="H403"/>
      <c r="AB403" s="40"/>
      <c r="AC403" s="40"/>
      <c r="AD403" s="40"/>
      <c r="AE403" s="40"/>
      <c r="AF403" s="5"/>
    </row>
    <row r="404" spans="8:32" x14ac:dyDescent="0.2">
      <c r="H404" s="13"/>
      <c r="I404" s="13"/>
      <c r="J404" s="13"/>
      <c r="K404" s="13"/>
      <c r="L404" s="13"/>
      <c r="M404" s="13"/>
      <c r="N404" s="13"/>
      <c r="O404" s="13"/>
      <c r="P404" s="13"/>
      <c r="Q404" s="13"/>
      <c r="R404" s="13"/>
      <c r="S404" s="13"/>
      <c r="T404" s="13"/>
      <c r="U404" s="13"/>
      <c r="V404" s="13"/>
      <c r="W404" s="13"/>
      <c r="X404" s="13"/>
      <c r="Y404" s="13"/>
      <c r="Z404" s="13"/>
      <c r="AB404" s="40"/>
      <c r="AC404" s="40"/>
      <c r="AD404" s="40"/>
      <c r="AE404" s="40"/>
      <c r="AF404" s="5"/>
    </row>
    <row r="405" spans="8:32" x14ac:dyDescent="0.2">
      <c r="H405" s="13"/>
      <c r="I405" s="13"/>
      <c r="J405" s="13"/>
      <c r="K405" s="13"/>
      <c r="L405" s="13"/>
      <c r="M405" s="13"/>
      <c r="N405" s="13"/>
      <c r="O405" s="13"/>
      <c r="P405" s="13"/>
      <c r="Q405" s="13"/>
      <c r="R405" s="13"/>
      <c r="S405" s="13"/>
      <c r="T405" s="13"/>
      <c r="U405" s="13"/>
      <c r="V405" s="13"/>
      <c r="W405" s="13"/>
      <c r="X405" s="13"/>
      <c r="Y405" s="13"/>
      <c r="Z405" s="13"/>
      <c r="AB405" s="40"/>
      <c r="AC405" s="40"/>
      <c r="AD405" s="40"/>
      <c r="AE405" s="40"/>
      <c r="AF405" s="5"/>
    </row>
    <row r="406" spans="8:32" x14ac:dyDescent="0.2">
      <c r="H406" s="13"/>
      <c r="I406" s="13"/>
      <c r="J406" s="13"/>
      <c r="K406" s="13"/>
      <c r="L406" s="13"/>
      <c r="M406" s="13"/>
      <c r="N406" s="13"/>
      <c r="O406" s="13"/>
      <c r="P406" s="13"/>
      <c r="Q406" s="13"/>
      <c r="R406" s="13"/>
      <c r="S406" s="13"/>
      <c r="T406" s="13"/>
      <c r="U406" s="13"/>
      <c r="V406" s="13"/>
      <c r="W406" s="13"/>
      <c r="X406" s="13"/>
      <c r="Y406" s="13"/>
      <c r="Z406" s="13"/>
      <c r="AB406" s="40"/>
      <c r="AC406" s="40"/>
      <c r="AD406" s="40"/>
      <c r="AE406" s="40"/>
      <c r="AF406" s="5"/>
    </row>
    <row r="407" spans="8:32" x14ac:dyDescent="0.2">
      <c r="H407" s="13"/>
      <c r="I407" s="13"/>
      <c r="J407" s="13"/>
      <c r="K407" s="13"/>
      <c r="L407" s="13"/>
      <c r="M407" s="13"/>
      <c r="N407" s="13"/>
      <c r="O407" s="13"/>
      <c r="P407" s="13"/>
      <c r="Q407" s="13"/>
      <c r="R407" s="13"/>
      <c r="S407" s="13"/>
      <c r="T407" s="13"/>
      <c r="U407" s="13"/>
      <c r="V407" s="13"/>
      <c r="W407" s="13"/>
      <c r="X407" s="13"/>
      <c r="Y407" s="13"/>
      <c r="Z407" s="13"/>
      <c r="AB407" s="40"/>
      <c r="AC407" s="40"/>
      <c r="AD407" s="40"/>
      <c r="AE407" s="40"/>
      <c r="AF407" s="5"/>
    </row>
    <row r="408" spans="8:32" x14ac:dyDescent="0.2">
      <c r="H408"/>
      <c r="AB408" s="40"/>
      <c r="AC408" s="40"/>
      <c r="AD408" s="40"/>
      <c r="AE408" s="40"/>
      <c r="AF408" s="5"/>
    </row>
    <row r="409" spans="8:32" x14ac:dyDescent="0.2">
      <c r="H409" s="13"/>
      <c r="I409" s="13"/>
      <c r="J409" s="13"/>
      <c r="K409" s="13"/>
      <c r="L409" s="13"/>
      <c r="M409" s="13"/>
      <c r="N409" s="13"/>
      <c r="O409" s="13"/>
      <c r="P409" s="13"/>
      <c r="Q409" s="13"/>
      <c r="R409" s="13"/>
      <c r="S409" s="13"/>
      <c r="T409" s="13"/>
      <c r="U409" s="13"/>
      <c r="V409" s="13"/>
      <c r="W409" s="13"/>
      <c r="X409" s="13"/>
      <c r="Y409" s="13"/>
      <c r="Z409" s="13"/>
      <c r="AB409" s="40"/>
      <c r="AC409" s="40"/>
      <c r="AD409" s="40"/>
      <c r="AE409" s="40"/>
      <c r="AF409" s="5"/>
    </row>
    <row r="410" spans="8:32" x14ac:dyDescent="0.2">
      <c r="H410" s="13"/>
      <c r="I410" s="13"/>
      <c r="J410" s="13"/>
      <c r="K410" s="13"/>
      <c r="L410" s="13"/>
      <c r="M410" s="13"/>
      <c r="N410" s="13"/>
      <c r="O410" s="13"/>
      <c r="P410" s="13"/>
      <c r="Q410" s="13"/>
      <c r="R410" s="13"/>
      <c r="S410" s="13"/>
      <c r="T410" s="13"/>
      <c r="U410" s="13"/>
      <c r="V410" s="13"/>
      <c r="W410" s="13"/>
      <c r="X410" s="13"/>
      <c r="Y410" s="13"/>
      <c r="Z410" s="13"/>
      <c r="AB410" s="40"/>
      <c r="AC410" s="40"/>
      <c r="AD410" s="40"/>
      <c r="AE410" s="40"/>
      <c r="AF410" s="5"/>
    </row>
    <row r="411" spans="8:32" x14ac:dyDescent="0.2">
      <c r="H411" s="13"/>
      <c r="I411" s="13"/>
      <c r="J411" s="13"/>
      <c r="K411" s="13"/>
      <c r="L411" s="13"/>
      <c r="M411" s="13"/>
      <c r="N411" s="13"/>
      <c r="O411" s="13"/>
      <c r="P411" s="13"/>
      <c r="Q411" s="13"/>
      <c r="R411" s="13"/>
      <c r="S411" s="13"/>
      <c r="T411" s="13"/>
      <c r="U411" s="13"/>
      <c r="V411" s="13"/>
      <c r="W411" s="13"/>
      <c r="X411" s="13"/>
      <c r="Y411" s="13"/>
      <c r="Z411" s="13"/>
      <c r="AB411" s="40"/>
      <c r="AC411" s="40"/>
      <c r="AD411" s="40"/>
      <c r="AE411" s="40"/>
      <c r="AF411" s="5"/>
    </row>
    <row r="412" spans="8:32" x14ac:dyDescent="0.2">
      <c r="H412"/>
      <c r="AB412" s="40"/>
      <c r="AC412" s="40"/>
      <c r="AD412" s="40"/>
      <c r="AE412" s="40"/>
      <c r="AF412" s="5"/>
    </row>
    <row r="413" spans="8:32" x14ac:dyDescent="0.2">
      <c r="H413" s="13"/>
      <c r="I413" s="13"/>
      <c r="J413" s="13"/>
      <c r="K413" s="13"/>
      <c r="L413" s="13"/>
      <c r="M413" s="13"/>
      <c r="N413" s="13"/>
      <c r="O413" s="13"/>
      <c r="P413" s="13"/>
      <c r="Q413" s="13"/>
      <c r="R413" s="13"/>
      <c r="S413" s="13"/>
      <c r="T413" s="13"/>
      <c r="U413" s="13"/>
      <c r="V413" s="13"/>
      <c r="W413" s="13"/>
      <c r="X413" s="13"/>
      <c r="Y413" s="13"/>
      <c r="Z413" s="13"/>
      <c r="AB413" s="40"/>
      <c r="AC413" s="40"/>
      <c r="AD413" s="40"/>
      <c r="AE413" s="40"/>
      <c r="AF413" s="5"/>
    </row>
    <row r="414" spans="8:32" x14ac:dyDescent="0.2">
      <c r="H414" s="13"/>
      <c r="I414" s="13"/>
      <c r="J414" s="13"/>
      <c r="K414" s="13"/>
      <c r="L414" s="13"/>
      <c r="M414" s="13"/>
      <c r="N414" s="13"/>
      <c r="O414" s="13"/>
      <c r="P414" s="13"/>
      <c r="Q414" s="13"/>
      <c r="R414" s="13"/>
      <c r="S414" s="13"/>
      <c r="T414" s="13"/>
      <c r="U414" s="13"/>
      <c r="V414" s="13"/>
      <c r="W414" s="13"/>
      <c r="X414" s="13"/>
      <c r="Y414" s="13"/>
      <c r="Z414" s="13"/>
      <c r="AB414" s="40"/>
      <c r="AC414" s="40"/>
      <c r="AD414" s="40"/>
      <c r="AE414" s="40"/>
      <c r="AF414" s="5"/>
    </row>
    <row r="415" spans="8:32" x14ac:dyDescent="0.2">
      <c r="H415" s="13"/>
      <c r="I415" s="13"/>
      <c r="J415" s="13"/>
      <c r="K415" s="13"/>
      <c r="L415" s="13"/>
      <c r="M415" s="13"/>
      <c r="N415" s="13"/>
      <c r="O415" s="13"/>
      <c r="P415" s="13"/>
      <c r="Q415" s="13"/>
      <c r="R415" s="13"/>
      <c r="S415" s="13"/>
      <c r="T415" s="13"/>
      <c r="U415" s="13"/>
      <c r="V415" s="13"/>
      <c r="W415" s="13"/>
      <c r="X415" s="13"/>
      <c r="Y415" s="13"/>
      <c r="Z415" s="13"/>
      <c r="AB415" s="40"/>
      <c r="AC415" s="40"/>
      <c r="AD415" s="40"/>
      <c r="AE415" s="40"/>
      <c r="AF415" s="5"/>
    </row>
    <row r="416" spans="8:32" x14ac:dyDescent="0.2">
      <c r="H416" s="13"/>
      <c r="I416" s="13"/>
      <c r="J416" s="13"/>
      <c r="K416" s="13"/>
      <c r="L416" s="13"/>
      <c r="M416" s="13"/>
      <c r="N416" s="13"/>
      <c r="O416" s="13"/>
      <c r="P416" s="13"/>
      <c r="Q416" s="13"/>
      <c r="R416" s="13"/>
      <c r="S416" s="13"/>
      <c r="T416" s="13"/>
      <c r="U416" s="13"/>
      <c r="V416" s="13"/>
      <c r="W416" s="13"/>
      <c r="X416" s="13"/>
      <c r="Y416" s="13"/>
      <c r="Z416" s="13"/>
      <c r="AB416" s="40"/>
      <c r="AC416" s="40"/>
      <c r="AD416" s="40"/>
      <c r="AE416" s="40"/>
      <c r="AF416" s="5"/>
    </row>
    <row r="417" spans="8:32" x14ac:dyDescent="0.2">
      <c r="H417" s="13"/>
      <c r="I417" s="13"/>
      <c r="J417" s="13"/>
      <c r="K417" s="13"/>
      <c r="L417" s="13"/>
      <c r="M417" s="13"/>
      <c r="N417" s="13"/>
      <c r="O417" s="13"/>
      <c r="P417" s="13"/>
      <c r="Q417" s="13"/>
      <c r="R417" s="13"/>
      <c r="S417" s="13"/>
      <c r="T417" s="13"/>
      <c r="U417" s="13"/>
      <c r="V417" s="13"/>
      <c r="W417" s="13"/>
      <c r="X417" s="13"/>
      <c r="Y417" s="13"/>
      <c r="Z417" s="13"/>
      <c r="AB417" s="40"/>
      <c r="AC417" s="40"/>
      <c r="AD417" s="40"/>
      <c r="AE417" s="40"/>
      <c r="AF417" s="5"/>
    </row>
    <row r="418" spans="8:32" x14ac:dyDescent="0.2">
      <c r="H418" s="13"/>
      <c r="I418" s="13"/>
      <c r="J418" s="13"/>
      <c r="K418" s="13"/>
      <c r="L418" s="13"/>
      <c r="M418" s="13"/>
      <c r="N418" s="13"/>
      <c r="O418" s="13"/>
      <c r="P418" s="13"/>
      <c r="Q418" s="13"/>
      <c r="R418" s="13"/>
      <c r="S418" s="13"/>
      <c r="T418" s="13"/>
      <c r="U418" s="13"/>
      <c r="V418" s="13"/>
      <c r="W418" s="13"/>
      <c r="X418" s="13"/>
      <c r="Y418" s="13"/>
      <c r="Z418" s="13"/>
      <c r="AB418" s="40"/>
      <c r="AC418" s="40"/>
      <c r="AD418" s="40"/>
      <c r="AE418" s="40"/>
      <c r="AF418" s="5"/>
    </row>
    <row r="419" spans="8:32" x14ac:dyDescent="0.2">
      <c r="H419" s="13"/>
      <c r="I419" s="13"/>
      <c r="J419" s="13"/>
      <c r="K419" s="13"/>
      <c r="L419" s="13"/>
      <c r="M419" s="13"/>
      <c r="N419" s="13"/>
      <c r="O419" s="13"/>
      <c r="P419" s="13"/>
      <c r="Q419" s="13"/>
      <c r="R419" s="13"/>
      <c r="S419" s="13"/>
      <c r="T419" s="13"/>
      <c r="U419" s="13"/>
      <c r="V419" s="13"/>
      <c r="W419" s="13"/>
      <c r="X419" s="13"/>
      <c r="Y419" s="13"/>
      <c r="Z419" s="13"/>
      <c r="AB419" s="40"/>
      <c r="AC419" s="40"/>
      <c r="AD419" s="40"/>
      <c r="AE419" s="40"/>
      <c r="AF419" s="5"/>
    </row>
    <row r="420" spans="8:32" x14ac:dyDescent="0.2">
      <c r="H420" s="13"/>
      <c r="I420" s="13"/>
      <c r="J420" s="13"/>
      <c r="K420" s="13"/>
      <c r="L420" s="13"/>
      <c r="M420" s="13"/>
      <c r="N420" s="13"/>
      <c r="O420" s="13"/>
      <c r="P420" s="13"/>
      <c r="Q420" s="13"/>
      <c r="R420" s="13"/>
      <c r="S420" s="13"/>
      <c r="T420" s="13"/>
      <c r="U420" s="13"/>
      <c r="V420" s="13"/>
      <c r="W420" s="13"/>
      <c r="X420" s="13"/>
      <c r="Y420" s="13"/>
      <c r="Z420" s="13"/>
      <c r="AB420" s="40"/>
      <c r="AC420" s="40"/>
      <c r="AD420" s="40"/>
      <c r="AE420" s="40"/>
      <c r="AF420" s="5"/>
    </row>
    <row r="421" spans="8:32" x14ac:dyDescent="0.2">
      <c r="H421" s="13"/>
      <c r="I421" s="13"/>
      <c r="J421" s="13"/>
      <c r="K421" s="13"/>
      <c r="L421" s="13"/>
      <c r="M421" s="13"/>
      <c r="N421" s="13"/>
      <c r="O421" s="13"/>
      <c r="P421" s="13"/>
      <c r="Q421" s="13"/>
      <c r="R421" s="13"/>
      <c r="S421" s="13"/>
      <c r="T421" s="13"/>
      <c r="U421" s="13"/>
      <c r="V421" s="13"/>
      <c r="W421" s="13"/>
      <c r="X421" s="13"/>
      <c r="Y421" s="13"/>
      <c r="Z421" s="13"/>
      <c r="AB421" s="40"/>
      <c r="AC421" s="40"/>
      <c r="AD421" s="40"/>
      <c r="AE421" s="40"/>
      <c r="AF421" s="5"/>
    </row>
    <row r="422" spans="8:32" x14ac:dyDescent="0.2">
      <c r="H422"/>
      <c r="AB422" s="40"/>
      <c r="AC422" s="40"/>
      <c r="AD422" s="40"/>
      <c r="AE422" s="40"/>
      <c r="AF422" s="5"/>
    </row>
    <row r="423" spans="8:32" x14ac:dyDescent="0.2">
      <c r="H423" s="13"/>
      <c r="I423" s="13"/>
      <c r="J423" s="13"/>
      <c r="K423" s="13"/>
      <c r="L423" s="13"/>
      <c r="M423" s="13"/>
      <c r="N423" s="13"/>
      <c r="O423" s="13"/>
      <c r="P423" s="13"/>
      <c r="Q423" s="13"/>
      <c r="R423" s="13"/>
      <c r="S423" s="13"/>
      <c r="T423" s="13"/>
      <c r="U423" s="13"/>
      <c r="V423" s="13"/>
      <c r="W423" s="13"/>
      <c r="X423" s="13"/>
      <c r="Y423" s="13"/>
      <c r="Z423" s="13"/>
      <c r="AB423" s="40"/>
      <c r="AC423" s="40"/>
      <c r="AD423" s="40"/>
      <c r="AE423" s="40"/>
      <c r="AF423" s="5"/>
    </row>
    <row r="424" spans="8:32" x14ac:dyDescent="0.2">
      <c r="H424" s="13"/>
      <c r="I424" s="13"/>
      <c r="J424" s="13"/>
      <c r="K424" s="13"/>
      <c r="L424" s="13"/>
      <c r="M424" s="13"/>
      <c r="N424" s="13"/>
      <c r="O424" s="13"/>
      <c r="P424" s="13"/>
      <c r="Q424" s="13"/>
      <c r="R424" s="13"/>
      <c r="S424" s="13"/>
      <c r="T424" s="13"/>
      <c r="U424" s="13"/>
      <c r="V424" s="13"/>
      <c r="W424" s="13"/>
      <c r="X424" s="13"/>
      <c r="Y424" s="13"/>
      <c r="Z424" s="13"/>
      <c r="AB424" s="40"/>
      <c r="AC424" s="40"/>
      <c r="AD424" s="40"/>
      <c r="AE424" s="40"/>
      <c r="AF424" s="5"/>
    </row>
    <row r="425" spans="8:32" x14ac:dyDescent="0.2">
      <c r="H425"/>
      <c r="AB425" s="40"/>
      <c r="AC425" s="40"/>
      <c r="AD425" s="40"/>
      <c r="AE425" s="40"/>
      <c r="AF425" s="5"/>
    </row>
    <row r="426" spans="8:32" x14ac:dyDescent="0.2">
      <c r="H426" s="13"/>
      <c r="I426" s="13"/>
      <c r="J426" s="13"/>
      <c r="K426" s="13"/>
      <c r="L426" s="13"/>
      <c r="M426" s="13"/>
      <c r="N426" s="13"/>
      <c r="O426" s="13"/>
      <c r="P426" s="13"/>
      <c r="Q426" s="13"/>
      <c r="R426" s="13"/>
      <c r="S426" s="13"/>
      <c r="T426" s="13"/>
      <c r="U426" s="13"/>
      <c r="V426" s="13"/>
      <c r="W426" s="13"/>
      <c r="X426" s="13"/>
      <c r="Y426" s="13"/>
      <c r="Z426" s="13"/>
      <c r="AB426" s="40"/>
      <c r="AC426" s="40"/>
      <c r="AD426" s="40"/>
      <c r="AE426" s="40"/>
      <c r="AF426" s="5"/>
    </row>
    <row r="427" spans="8:32" x14ac:dyDescent="0.2">
      <c r="H427" s="13"/>
      <c r="I427" s="13"/>
      <c r="J427" s="13"/>
      <c r="K427" s="13"/>
      <c r="L427" s="13"/>
      <c r="M427" s="13"/>
      <c r="N427" s="13"/>
      <c r="O427" s="13"/>
      <c r="P427" s="13"/>
      <c r="Q427" s="13"/>
      <c r="R427" s="13"/>
      <c r="S427" s="13"/>
      <c r="T427" s="13"/>
      <c r="U427" s="13"/>
      <c r="V427" s="13"/>
      <c r="W427" s="13"/>
      <c r="X427" s="13"/>
      <c r="Y427" s="13"/>
      <c r="Z427" s="13"/>
      <c r="AB427" s="40"/>
      <c r="AC427" s="40"/>
      <c r="AD427" s="40"/>
      <c r="AE427" s="40"/>
      <c r="AF427" s="5"/>
    </row>
    <row r="428" spans="8:32" x14ac:dyDescent="0.2">
      <c r="H428" s="13"/>
      <c r="I428" s="13"/>
      <c r="J428" s="13"/>
      <c r="K428" s="13"/>
      <c r="L428" s="13"/>
      <c r="M428" s="13"/>
      <c r="N428" s="13"/>
      <c r="O428" s="13"/>
      <c r="P428" s="13"/>
      <c r="Q428" s="13"/>
      <c r="R428" s="13"/>
      <c r="S428" s="13"/>
      <c r="T428" s="13"/>
      <c r="U428" s="13"/>
      <c r="V428" s="13"/>
      <c r="W428" s="13"/>
      <c r="X428" s="13"/>
      <c r="Y428" s="13"/>
      <c r="Z428" s="13"/>
      <c r="AB428" s="40"/>
      <c r="AC428" s="40"/>
      <c r="AD428" s="40"/>
      <c r="AE428" s="40"/>
      <c r="AF428" s="5"/>
    </row>
    <row r="429" spans="8:32" x14ac:dyDescent="0.2">
      <c r="H429" s="13"/>
      <c r="I429" s="13"/>
      <c r="J429" s="13"/>
      <c r="K429" s="13"/>
      <c r="L429" s="13"/>
      <c r="M429" s="13"/>
      <c r="N429" s="13"/>
      <c r="O429" s="13"/>
      <c r="P429" s="13"/>
      <c r="Q429" s="13"/>
      <c r="R429" s="13"/>
      <c r="S429" s="13"/>
      <c r="T429" s="13"/>
      <c r="U429" s="13"/>
      <c r="V429" s="13"/>
      <c r="W429" s="13"/>
      <c r="X429" s="13"/>
      <c r="Y429" s="13"/>
      <c r="Z429" s="13"/>
      <c r="AB429" s="40"/>
      <c r="AC429" s="40"/>
      <c r="AD429" s="40"/>
      <c r="AE429" s="40"/>
      <c r="AF429" s="5"/>
    </row>
    <row r="430" spans="8:32" x14ac:dyDescent="0.2">
      <c r="H430" s="13"/>
      <c r="I430" s="13"/>
      <c r="J430" s="13"/>
      <c r="K430" s="13"/>
      <c r="L430" s="13"/>
      <c r="M430" s="13"/>
      <c r="N430" s="13"/>
      <c r="O430" s="13"/>
      <c r="P430" s="13"/>
      <c r="Q430" s="13"/>
      <c r="R430" s="13"/>
      <c r="S430" s="13"/>
      <c r="T430" s="13"/>
      <c r="U430" s="13"/>
      <c r="V430" s="13"/>
      <c r="W430" s="13"/>
      <c r="X430" s="13"/>
      <c r="Y430" s="13"/>
      <c r="Z430" s="13"/>
      <c r="AB430" s="40"/>
      <c r="AC430" s="40"/>
      <c r="AD430" s="40"/>
      <c r="AE430" s="40"/>
      <c r="AF430" s="5"/>
    </row>
    <row r="431" spans="8:32" x14ac:dyDescent="0.2">
      <c r="H431" s="13"/>
      <c r="I431" s="13"/>
      <c r="J431" s="13"/>
      <c r="K431" s="13"/>
      <c r="L431" s="13"/>
      <c r="M431" s="13"/>
      <c r="N431" s="13"/>
      <c r="O431" s="13"/>
      <c r="P431" s="13"/>
      <c r="Q431" s="13"/>
      <c r="R431" s="13"/>
      <c r="S431" s="13"/>
      <c r="T431" s="13"/>
      <c r="U431" s="13"/>
      <c r="V431" s="13"/>
      <c r="W431" s="13"/>
      <c r="X431" s="13"/>
      <c r="Y431" s="13"/>
      <c r="Z431" s="13"/>
      <c r="AB431" s="40"/>
      <c r="AC431" s="40"/>
      <c r="AD431" s="40"/>
      <c r="AE431" s="40"/>
      <c r="AF431" s="5"/>
    </row>
    <row r="432" spans="8:32" x14ac:dyDescent="0.2">
      <c r="H432"/>
      <c r="AB432" s="40"/>
      <c r="AC432" s="40"/>
      <c r="AD432" s="40"/>
      <c r="AE432" s="40"/>
      <c r="AF432" s="5"/>
    </row>
    <row r="433" spans="8:32" x14ac:dyDescent="0.2">
      <c r="H433" s="13"/>
      <c r="I433" s="13"/>
      <c r="J433" s="13"/>
      <c r="K433" s="13"/>
      <c r="L433" s="13"/>
      <c r="M433" s="13"/>
      <c r="N433" s="13"/>
      <c r="O433" s="13"/>
      <c r="P433" s="13"/>
      <c r="Q433" s="13"/>
      <c r="R433" s="13"/>
      <c r="S433" s="13"/>
      <c r="T433" s="13"/>
      <c r="U433" s="13"/>
      <c r="V433" s="13"/>
      <c r="W433" s="13"/>
      <c r="X433" s="13"/>
      <c r="Y433" s="13"/>
      <c r="Z433" s="13"/>
      <c r="AB433" s="40"/>
      <c r="AC433" s="40"/>
      <c r="AD433" s="40"/>
      <c r="AE433" s="40"/>
      <c r="AF433" s="5"/>
    </row>
    <row r="434" spans="8:32" x14ac:dyDescent="0.2">
      <c r="H434" s="13"/>
      <c r="I434" s="13"/>
      <c r="J434" s="13"/>
      <c r="K434" s="13"/>
      <c r="L434" s="13"/>
      <c r="M434" s="13"/>
      <c r="N434" s="13"/>
      <c r="O434" s="13"/>
      <c r="P434" s="13"/>
      <c r="Q434" s="13"/>
      <c r="R434" s="13"/>
      <c r="S434" s="13"/>
      <c r="T434" s="13"/>
      <c r="U434" s="13"/>
      <c r="V434" s="13"/>
      <c r="W434" s="13"/>
      <c r="X434" s="13"/>
      <c r="Y434" s="13"/>
      <c r="Z434" s="13"/>
      <c r="AB434" s="40"/>
      <c r="AC434" s="40"/>
      <c r="AD434" s="40"/>
      <c r="AE434" s="40"/>
      <c r="AF434" s="5"/>
    </row>
    <row r="435" spans="8:32" x14ac:dyDescent="0.2">
      <c r="H435" s="13"/>
      <c r="I435" s="13"/>
      <c r="J435" s="13"/>
      <c r="K435" s="13"/>
      <c r="L435" s="13"/>
      <c r="M435" s="13"/>
      <c r="N435" s="13"/>
      <c r="O435" s="13"/>
      <c r="P435" s="13"/>
      <c r="Q435" s="13"/>
      <c r="R435" s="13"/>
      <c r="S435" s="13"/>
      <c r="T435" s="13"/>
      <c r="U435" s="13"/>
      <c r="V435" s="13"/>
      <c r="W435" s="13"/>
      <c r="X435" s="13"/>
      <c r="Y435" s="13"/>
      <c r="Z435" s="13"/>
      <c r="AB435" s="40"/>
      <c r="AC435" s="40"/>
      <c r="AD435" s="40"/>
      <c r="AE435" s="40"/>
      <c r="AF435" s="5"/>
    </row>
    <row r="436" spans="8:32" x14ac:dyDescent="0.2">
      <c r="H436" s="13"/>
      <c r="I436" s="13"/>
      <c r="J436" s="13"/>
      <c r="K436" s="13"/>
      <c r="L436" s="13"/>
      <c r="M436" s="13"/>
      <c r="N436" s="13"/>
      <c r="O436" s="13"/>
      <c r="P436" s="13"/>
      <c r="Q436" s="13"/>
      <c r="R436" s="13"/>
      <c r="S436" s="13"/>
      <c r="T436" s="13"/>
      <c r="U436" s="13"/>
      <c r="V436" s="13"/>
      <c r="W436" s="13"/>
      <c r="X436" s="13"/>
      <c r="Y436" s="13"/>
      <c r="Z436" s="13"/>
      <c r="AB436" s="40"/>
      <c r="AC436" s="40"/>
      <c r="AD436" s="40"/>
      <c r="AE436" s="40"/>
      <c r="AF436" s="5"/>
    </row>
    <row r="437" spans="8:32" x14ac:dyDescent="0.2">
      <c r="H437" s="13"/>
      <c r="I437" s="13"/>
      <c r="J437" s="13"/>
      <c r="K437" s="13"/>
      <c r="L437" s="13"/>
      <c r="M437" s="13"/>
      <c r="N437" s="13"/>
      <c r="O437" s="13"/>
      <c r="P437" s="13"/>
      <c r="Q437" s="13"/>
      <c r="R437" s="13"/>
      <c r="S437" s="13"/>
      <c r="T437" s="13"/>
      <c r="U437" s="13"/>
      <c r="V437" s="13"/>
      <c r="W437" s="13"/>
      <c r="X437" s="13"/>
      <c r="Y437" s="13"/>
      <c r="Z437" s="13"/>
      <c r="AB437" s="40"/>
      <c r="AC437" s="40"/>
      <c r="AD437" s="40"/>
      <c r="AE437" s="40"/>
      <c r="AF437" s="5"/>
    </row>
    <row r="438" spans="8:32" x14ac:dyDescent="0.2">
      <c r="H438" s="13"/>
      <c r="I438" s="13"/>
      <c r="J438" s="13"/>
      <c r="K438" s="13"/>
      <c r="L438" s="13"/>
      <c r="M438" s="13"/>
      <c r="N438" s="13"/>
      <c r="O438" s="13"/>
      <c r="P438" s="13"/>
      <c r="Q438" s="13"/>
      <c r="R438" s="13"/>
      <c r="S438" s="13"/>
      <c r="T438" s="13"/>
      <c r="U438" s="13"/>
      <c r="V438" s="13"/>
      <c r="W438" s="13"/>
      <c r="X438" s="13"/>
      <c r="Y438" s="13"/>
      <c r="Z438" s="13"/>
      <c r="AB438" s="40"/>
      <c r="AC438" s="40"/>
      <c r="AD438" s="40"/>
      <c r="AE438" s="40"/>
      <c r="AF438" s="5"/>
    </row>
    <row r="439" spans="8:32" x14ac:dyDescent="0.2">
      <c r="H439"/>
      <c r="AB439" s="40"/>
      <c r="AC439" s="40"/>
      <c r="AD439" s="40"/>
      <c r="AE439" s="40"/>
      <c r="AF439" s="5"/>
    </row>
    <row r="440" spans="8:32" x14ac:dyDescent="0.2">
      <c r="H440" s="13"/>
      <c r="I440" s="13"/>
      <c r="J440" s="13"/>
      <c r="K440" s="13"/>
      <c r="L440" s="13"/>
      <c r="M440" s="13"/>
      <c r="N440" s="13"/>
      <c r="O440" s="13"/>
      <c r="P440" s="13"/>
      <c r="Q440" s="13"/>
      <c r="R440" s="13"/>
      <c r="S440" s="13"/>
      <c r="T440" s="13"/>
      <c r="U440" s="13"/>
      <c r="V440" s="13"/>
      <c r="W440" s="13"/>
      <c r="X440" s="13"/>
      <c r="Y440" s="13"/>
      <c r="Z440" s="13"/>
      <c r="AB440" s="40"/>
      <c r="AC440" s="40"/>
      <c r="AD440" s="40"/>
      <c r="AE440" s="40"/>
      <c r="AF440" s="5"/>
    </row>
    <row r="441" spans="8:32" x14ac:dyDescent="0.2">
      <c r="H441" s="13"/>
      <c r="I441" s="13"/>
      <c r="J441" s="13"/>
      <c r="K441" s="13"/>
      <c r="L441" s="13"/>
      <c r="M441" s="13"/>
      <c r="N441" s="13"/>
      <c r="O441" s="13"/>
      <c r="P441" s="13"/>
      <c r="Q441" s="13"/>
      <c r="R441" s="13"/>
      <c r="S441" s="13"/>
      <c r="T441" s="13"/>
      <c r="U441" s="13"/>
      <c r="V441" s="13"/>
      <c r="W441" s="13"/>
      <c r="X441" s="13"/>
      <c r="Y441" s="13"/>
      <c r="Z441" s="13"/>
      <c r="AB441" s="40"/>
      <c r="AC441" s="40"/>
      <c r="AD441" s="40"/>
      <c r="AE441" s="40"/>
      <c r="AF441" s="5"/>
    </row>
    <row r="442" spans="8:32" x14ac:dyDescent="0.2">
      <c r="H442" s="13"/>
      <c r="I442" s="13"/>
      <c r="J442" s="13"/>
      <c r="K442" s="13"/>
      <c r="L442" s="13"/>
      <c r="M442" s="13"/>
      <c r="N442" s="13"/>
      <c r="O442" s="13"/>
      <c r="P442" s="13"/>
      <c r="Q442" s="13"/>
      <c r="R442" s="13"/>
      <c r="S442" s="13"/>
      <c r="T442" s="13"/>
      <c r="U442" s="13"/>
      <c r="V442" s="13"/>
      <c r="W442" s="13"/>
      <c r="X442" s="13"/>
      <c r="Y442" s="13"/>
      <c r="Z442" s="13"/>
      <c r="AB442" s="40"/>
      <c r="AC442" s="40"/>
      <c r="AD442" s="40"/>
      <c r="AE442" s="40"/>
      <c r="AF442" s="5"/>
    </row>
    <row r="443" spans="8:32" x14ac:dyDescent="0.2">
      <c r="H443"/>
      <c r="AB443" s="40"/>
      <c r="AC443" s="40"/>
      <c r="AD443" s="40"/>
      <c r="AE443" s="40"/>
      <c r="AF443" s="5"/>
    </row>
    <row r="444" spans="8:32" x14ac:dyDescent="0.2">
      <c r="H444" s="13"/>
      <c r="I444" s="13"/>
      <c r="J444" s="13"/>
      <c r="K444" s="13"/>
      <c r="L444" s="13"/>
      <c r="M444" s="13"/>
      <c r="N444" s="13"/>
      <c r="O444" s="13"/>
      <c r="P444" s="13"/>
      <c r="Q444" s="13"/>
      <c r="R444" s="13"/>
      <c r="S444" s="13"/>
      <c r="T444" s="13"/>
      <c r="U444" s="13"/>
      <c r="V444" s="13"/>
      <c r="W444" s="13"/>
      <c r="X444" s="13"/>
      <c r="Y444" s="13"/>
      <c r="Z444" s="13"/>
      <c r="AB444" s="40"/>
      <c r="AC444" s="40"/>
      <c r="AD444" s="40"/>
      <c r="AE444" s="40"/>
      <c r="AF444" s="5"/>
    </row>
    <row r="445" spans="8:32" x14ac:dyDescent="0.2">
      <c r="H445" s="13"/>
      <c r="I445" s="13"/>
      <c r="J445" s="13"/>
      <c r="K445" s="13"/>
      <c r="L445" s="13"/>
      <c r="M445" s="13"/>
      <c r="N445" s="13"/>
      <c r="O445" s="13"/>
      <c r="P445" s="13"/>
      <c r="Q445" s="13"/>
      <c r="R445" s="13"/>
      <c r="S445" s="13"/>
      <c r="T445" s="13"/>
      <c r="U445" s="13"/>
      <c r="V445" s="13"/>
      <c r="W445" s="13"/>
      <c r="X445" s="13"/>
      <c r="Y445" s="13"/>
      <c r="Z445" s="13"/>
      <c r="AB445" s="40"/>
      <c r="AC445" s="40"/>
      <c r="AD445" s="40"/>
      <c r="AE445" s="40"/>
      <c r="AF445" s="5"/>
    </row>
    <row r="446" spans="8:32" x14ac:dyDescent="0.2">
      <c r="H446" s="13"/>
      <c r="I446" s="13"/>
      <c r="J446" s="13"/>
      <c r="K446" s="13"/>
      <c r="L446" s="13"/>
      <c r="M446" s="13"/>
      <c r="N446" s="13"/>
      <c r="O446" s="13"/>
      <c r="P446" s="13"/>
      <c r="Q446" s="13"/>
      <c r="R446" s="13"/>
      <c r="S446" s="13"/>
      <c r="T446" s="13"/>
      <c r="U446" s="13"/>
      <c r="V446" s="13"/>
      <c r="W446" s="13"/>
      <c r="X446" s="13"/>
      <c r="Y446" s="13"/>
      <c r="Z446" s="13"/>
      <c r="AB446" s="40"/>
      <c r="AC446" s="40"/>
      <c r="AD446" s="40"/>
      <c r="AE446" s="40"/>
      <c r="AF446" s="5"/>
    </row>
    <row r="447" spans="8:32" x14ac:dyDescent="0.2">
      <c r="H447" s="13"/>
      <c r="I447" s="13"/>
      <c r="J447" s="13"/>
      <c r="K447" s="13"/>
      <c r="L447" s="13"/>
      <c r="M447" s="13"/>
      <c r="N447" s="13"/>
      <c r="O447" s="13"/>
      <c r="P447" s="13"/>
      <c r="Q447" s="13"/>
      <c r="R447" s="13"/>
      <c r="S447" s="13"/>
      <c r="T447" s="13"/>
      <c r="U447" s="13"/>
      <c r="V447" s="13"/>
      <c r="W447" s="13"/>
      <c r="X447" s="13"/>
      <c r="Y447" s="13"/>
      <c r="Z447" s="13"/>
      <c r="AB447" s="40"/>
      <c r="AC447" s="40"/>
      <c r="AD447" s="40"/>
      <c r="AE447" s="40"/>
      <c r="AF447" s="5"/>
    </row>
    <row r="448" spans="8:32" x14ac:dyDescent="0.2">
      <c r="H448"/>
      <c r="AB448" s="40"/>
      <c r="AC448" s="40"/>
      <c r="AD448" s="40"/>
      <c r="AE448" s="40"/>
      <c r="AF448" s="5"/>
    </row>
    <row r="449" spans="8:32" x14ac:dyDescent="0.2">
      <c r="H449" s="13"/>
      <c r="I449" s="13"/>
      <c r="J449" s="13"/>
      <c r="K449" s="13"/>
      <c r="L449" s="13"/>
      <c r="M449" s="13"/>
      <c r="N449" s="13"/>
      <c r="O449" s="13"/>
      <c r="P449" s="13"/>
      <c r="Q449" s="13"/>
      <c r="R449" s="13"/>
      <c r="S449" s="13"/>
      <c r="T449" s="13"/>
      <c r="U449" s="13"/>
      <c r="V449" s="13"/>
      <c r="W449" s="13"/>
      <c r="X449" s="13"/>
      <c r="Y449" s="13"/>
      <c r="Z449" s="13"/>
      <c r="AB449" s="40"/>
      <c r="AC449" s="40"/>
      <c r="AD449" s="40"/>
      <c r="AE449" s="40"/>
      <c r="AF449" s="5"/>
    </row>
    <row r="450" spans="8:32" x14ac:dyDescent="0.2">
      <c r="H450" s="13"/>
      <c r="I450" s="13"/>
      <c r="J450" s="13"/>
      <c r="K450" s="13"/>
      <c r="L450" s="13"/>
      <c r="M450" s="13"/>
      <c r="N450" s="13"/>
      <c r="O450" s="13"/>
      <c r="P450" s="13"/>
      <c r="Q450" s="13"/>
      <c r="R450" s="13"/>
      <c r="S450" s="13"/>
      <c r="T450" s="13"/>
      <c r="U450" s="13"/>
      <c r="V450" s="13"/>
      <c r="W450" s="13"/>
      <c r="X450" s="13"/>
      <c r="Y450" s="13"/>
      <c r="Z450" s="13"/>
      <c r="AB450" s="40"/>
      <c r="AC450" s="40"/>
      <c r="AD450" s="40"/>
      <c r="AE450" s="40"/>
      <c r="AF450" s="5"/>
    </row>
    <row r="451" spans="8:32" x14ac:dyDescent="0.2">
      <c r="H451" s="13"/>
      <c r="I451" s="13"/>
      <c r="J451" s="13"/>
      <c r="K451" s="13"/>
      <c r="L451" s="13"/>
      <c r="M451" s="13"/>
      <c r="N451" s="13"/>
      <c r="O451" s="13"/>
      <c r="P451" s="13"/>
      <c r="Q451" s="13"/>
      <c r="R451" s="13"/>
      <c r="S451" s="13"/>
      <c r="T451" s="13"/>
      <c r="U451" s="13"/>
      <c r="V451" s="13"/>
      <c r="W451" s="13"/>
      <c r="X451" s="13"/>
      <c r="Y451" s="13"/>
      <c r="Z451" s="13"/>
      <c r="AB451" s="40"/>
      <c r="AC451" s="40"/>
      <c r="AD451" s="40"/>
      <c r="AE451" s="40"/>
      <c r="AF451" s="5"/>
    </row>
    <row r="452" spans="8:32" x14ac:dyDescent="0.2">
      <c r="H452" s="13"/>
      <c r="I452" s="13"/>
      <c r="J452" s="13"/>
      <c r="K452" s="13"/>
      <c r="L452" s="13"/>
      <c r="M452" s="13"/>
      <c r="N452" s="13"/>
      <c r="O452" s="13"/>
      <c r="P452" s="13"/>
      <c r="Q452" s="13"/>
      <c r="R452" s="13"/>
      <c r="S452" s="13"/>
      <c r="T452" s="13"/>
      <c r="U452" s="13"/>
      <c r="V452" s="13"/>
      <c r="W452" s="13"/>
      <c r="X452" s="13"/>
      <c r="Y452" s="13"/>
      <c r="Z452" s="13"/>
      <c r="AB452" s="40"/>
      <c r="AC452" s="40"/>
      <c r="AD452" s="40"/>
      <c r="AE452" s="40"/>
      <c r="AF452" s="5"/>
    </row>
    <row r="453" spans="8:32" x14ac:dyDescent="0.2">
      <c r="H453" s="13"/>
      <c r="I453" s="13"/>
      <c r="J453" s="13"/>
      <c r="K453" s="13"/>
      <c r="L453" s="13"/>
      <c r="M453" s="13"/>
      <c r="N453" s="13"/>
      <c r="O453" s="13"/>
      <c r="P453" s="13"/>
      <c r="Q453" s="13"/>
      <c r="R453" s="13"/>
      <c r="S453" s="13"/>
      <c r="T453" s="13"/>
      <c r="U453" s="13"/>
      <c r="V453" s="13"/>
      <c r="W453" s="13"/>
      <c r="X453" s="13"/>
      <c r="Y453" s="13"/>
      <c r="Z453" s="13"/>
      <c r="AB453" s="40"/>
      <c r="AC453" s="40"/>
      <c r="AD453" s="40"/>
      <c r="AE453" s="40"/>
      <c r="AF453" s="5"/>
    </row>
    <row r="454" spans="8:32" x14ac:dyDescent="0.2">
      <c r="H454"/>
      <c r="AB454" s="40"/>
      <c r="AC454" s="40"/>
      <c r="AD454" s="40"/>
      <c r="AE454" s="40"/>
      <c r="AF454" s="5"/>
    </row>
    <row r="455" spans="8:32" x14ac:dyDescent="0.2">
      <c r="H455" s="13"/>
      <c r="I455" s="13"/>
      <c r="J455" s="13"/>
      <c r="K455" s="13"/>
      <c r="L455" s="13"/>
      <c r="M455" s="13"/>
      <c r="N455" s="13"/>
      <c r="O455" s="13"/>
      <c r="P455" s="13"/>
      <c r="Q455" s="13"/>
      <c r="R455" s="13"/>
      <c r="S455" s="13"/>
      <c r="T455" s="13"/>
      <c r="U455" s="13"/>
      <c r="V455" s="13"/>
      <c r="W455" s="13"/>
      <c r="X455" s="13"/>
      <c r="Y455" s="13"/>
      <c r="Z455" s="13"/>
      <c r="AB455" s="40"/>
      <c r="AC455" s="40"/>
      <c r="AD455" s="40"/>
      <c r="AE455" s="40"/>
      <c r="AF455" s="5"/>
    </row>
    <row r="456" spans="8:32" x14ac:dyDescent="0.2">
      <c r="H456" s="13"/>
      <c r="I456" s="13"/>
      <c r="J456" s="13"/>
      <c r="K456" s="13"/>
      <c r="L456" s="13"/>
      <c r="M456" s="13"/>
      <c r="N456" s="13"/>
      <c r="O456" s="13"/>
      <c r="P456" s="13"/>
      <c r="Q456" s="13"/>
      <c r="R456" s="13"/>
      <c r="S456" s="13"/>
      <c r="T456" s="13"/>
      <c r="U456" s="13"/>
      <c r="V456" s="13"/>
      <c r="W456" s="13"/>
      <c r="X456" s="13"/>
      <c r="Y456" s="13"/>
      <c r="Z456" s="13"/>
      <c r="AB456" s="40"/>
      <c r="AC456" s="40"/>
      <c r="AD456" s="40"/>
      <c r="AE456" s="40"/>
      <c r="AF456" s="5"/>
    </row>
    <row r="457" spans="8:32" x14ac:dyDescent="0.2">
      <c r="H457" s="13"/>
      <c r="I457" s="13"/>
      <c r="J457" s="13"/>
      <c r="K457" s="13"/>
      <c r="L457" s="13"/>
      <c r="M457" s="13"/>
      <c r="N457" s="13"/>
      <c r="O457" s="13"/>
      <c r="P457" s="13"/>
      <c r="Q457" s="13"/>
      <c r="R457" s="13"/>
      <c r="S457" s="13"/>
      <c r="T457" s="13"/>
      <c r="U457" s="13"/>
      <c r="V457" s="13"/>
      <c r="W457" s="13"/>
      <c r="X457" s="13"/>
      <c r="Y457" s="13"/>
      <c r="Z457" s="13"/>
      <c r="AB457" s="40"/>
      <c r="AC457" s="40"/>
      <c r="AD457" s="40"/>
      <c r="AE457" s="40"/>
      <c r="AF457" s="5"/>
    </row>
    <row r="458" spans="8:32" x14ac:dyDescent="0.2">
      <c r="H458" s="13"/>
      <c r="I458" s="13"/>
      <c r="J458" s="13"/>
      <c r="K458" s="13"/>
      <c r="L458" s="13"/>
      <c r="M458" s="13"/>
      <c r="N458" s="13"/>
      <c r="O458" s="13"/>
      <c r="P458" s="13"/>
      <c r="Q458" s="13"/>
      <c r="R458" s="13"/>
      <c r="S458" s="13"/>
      <c r="T458" s="13"/>
      <c r="U458" s="13"/>
      <c r="V458" s="13"/>
      <c r="W458" s="13"/>
      <c r="X458" s="13"/>
      <c r="Y458" s="13"/>
      <c r="Z458" s="13"/>
      <c r="AB458" s="40"/>
      <c r="AC458" s="40"/>
      <c r="AD458" s="40"/>
      <c r="AE458" s="40"/>
      <c r="AF458" s="5"/>
    </row>
    <row r="459" spans="8:32" x14ac:dyDescent="0.2">
      <c r="H459" s="13"/>
      <c r="I459" s="13"/>
      <c r="J459" s="13"/>
      <c r="K459" s="13"/>
      <c r="L459" s="13"/>
      <c r="M459" s="13"/>
      <c r="N459" s="13"/>
      <c r="O459" s="13"/>
      <c r="P459" s="13"/>
      <c r="Q459" s="13"/>
      <c r="R459" s="13"/>
      <c r="S459" s="13"/>
      <c r="T459" s="13"/>
      <c r="U459" s="13"/>
      <c r="V459" s="13"/>
      <c r="W459" s="13"/>
      <c r="X459" s="13"/>
      <c r="Y459" s="13"/>
      <c r="Z459" s="13"/>
      <c r="AB459" s="40"/>
      <c r="AC459" s="40"/>
      <c r="AD459" s="40"/>
      <c r="AE459" s="40"/>
      <c r="AF459" s="5"/>
    </row>
    <row r="460" spans="8:32" x14ac:dyDescent="0.2">
      <c r="H460"/>
      <c r="AB460" s="40"/>
      <c r="AC460" s="40"/>
      <c r="AD460" s="40"/>
      <c r="AE460" s="40"/>
      <c r="AF460" s="5"/>
    </row>
    <row r="461" spans="8:32" x14ac:dyDescent="0.2">
      <c r="H461" s="13"/>
      <c r="I461" s="13"/>
      <c r="J461" s="13"/>
      <c r="K461" s="13"/>
      <c r="L461" s="13"/>
      <c r="M461" s="13"/>
      <c r="N461" s="13"/>
      <c r="O461" s="13"/>
      <c r="P461" s="13"/>
      <c r="Q461" s="13"/>
      <c r="R461" s="13"/>
      <c r="S461" s="13"/>
      <c r="T461" s="13"/>
      <c r="U461" s="13"/>
      <c r="V461" s="13"/>
      <c r="W461" s="13"/>
      <c r="X461" s="13"/>
      <c r="Y461" s="13"/>
      <c r="Z461" s="13"/>
      <c r="AB461" s="40"/>
      <c r="AC461" s="40"/>
      <c r="AD461" s="40"/>
      <c r="AE461" s="40"/>
      <c r="AF461" s="5"/>
    </row>
    <row r="462" spans="8:32" x14ac:dyDescent="0.2">
      <c r="H462"/>
      <c r="AB462" s="40"/>
      <c r="AC462" s="40"/>
      <c r="AD462" s="40"/>
      <c r="AE462" s="40"/>
      <c r="AF462" s="5"/>
    </row>
    <row r="463" spans="8:32" x14ac:dyDescent="0.2">
      <c r="H463" s="13"/>
      <c r="I463" s="13"/>
      <c r="J463" s="13"/>
      <c r="K463" s="13"/>
      <c r="L463" s="13"/>
      <c r="M463" s="13"/>
      <c r="N463" s="13"/>
      <c r="O463" s="13"/>
      <c r="P463" s="13"/>
      <c r="Q463" s="13"/>
      <c r="R463" s="13"/>
      <c r="S463" s="13"/>
      <c r="T463" s="13"/>
      <c r="U463" s="13"/>
      <c r="V463" s="13"/>
      <c r="W463" s="13"/>
      <c r="X463" s="13"/>
      <c r="Y463" s="13"/>
      <c r="Z463" s="13"/>
      <c r="AB463" s="40"/>
      <c r="AC463" s="40"/>
      <c r="AD463" s="40"/>
      <c r="AE463" s="40"/>
      <c r="AF463" s="5"/>
    </row>
    <row r="464" spans="8:32" x14ac:dyDescent="0.2">
      <c r="H464" s="13"/>
      <c r="I464" s="13"/>
      <c r="J464" s="13"/>
      <c r="K464" s="13"/>
      <c r="L464" s="13"/>
      <c r="M464" s="13"/>
      <c r="N464" s="13"/>
      <c r="O464" s="13"/>
      <c r="P464" s="13"/>
      <c r="Q464" s="13"/>
      <c r="R464" s="13"/>
      <c r="S464" s="13"/>
      <c r="T464" s="13"/>
      <c r="U464" s="13"/>
      <c r="V464" s="13"/>
      <c r="W464" s="13"/>
      <c r="X464" s="13"/>
      <c r="Y464" s="13"/>
      <c r="Z464" s="13"/>
      <c r="AB464" s="40"/>
      <c r="AC464" s="40"/>
      <c r="AD464" s="40"/>
      <c r="AE464" s="40"/>
      <c r="AF464" s="5"/>
    </row>
    <row r="465" spans="8:32" x14ac:dyDescent="0.2">
      <c r="H465" s="13"/>
      <c r="I465" s="13"/>
      <c r="J465" s="13"/>
      <c r="K465" s="13"/>
      <c r="L465" s="13"/>
      <c r="M465" s="13"/>
      <c r="N465" s="13"/>
      <c r="O465" s="13"/>
      <c r="P465" s="13"/>
      <c r="Q465" s="13"/>
      <c r="R465" s="13"/>
      <c r="S465" s="13"/>
      <c r="T465" s="13"/>
      <c r="U465" s="13"/>
      <c r="V465" s="13"/>
      <c r="W465" s="13"/>
      <c r="X465" s="13"/>
      <c r="Y465" s="13"/>
      <c r="Z465" s="13"/>
      <c r="AB465" s="40"/>
      <c r="AC465" s="40"/>
      <c r="AD465" s="40"/>
      <c r="AE465" s="40"/>
      <c r="AF465" s="5"/>
    </row>
    <row r="466" spans="8:32" x14ac:dyDescent="0.2">
      <c r="H466" s="13"/>
      <c r="I466" s="13"/>
      <c r="J466" s="13"/>
      <c r="K466" s="13"/>
      <c r="L466" s="13"/>
      <c r="M466" s="13"/>
      <c r="N466" s="13"/>
      <c r="O466" s="13"/>
      <c r="P466" s="13"/>
      <c r="Q466" s="13"/>
      <c r="R466" s="13"/>
      <c r="S466" s="13"/>
      <c r="T466" s="13"/>
      <c r="U466" s="13"/>
      <c r="V466" s="13"/>
      <c r="W466" s="13"/>
      <c r="X466" s="13"/>
      <c r="Y466" s="13"/>
      <c r="Z466" s="13"/>
      <c r="AB466" s="40"/>
      <c r="AC466" s="40"/>
      <c r="AD466" s="40"/>
      <c r="AE466" s="40"/>
      <c r="AF466" s="5"/>
    </row>
    <row r="467" spans="8:32" x14ac:dyDescent="0.2">
      <c r="H467" s="13"/>
      <c r="I467" s="13"/>
      <c r="J467" s="13"/>
      <c r="K467" s="13"/>
      <c r="L467" s="13"/>
      <c r="M467" s="13"/>
      <c r="N467" s="13"/>
      <c r="O467" s="13"/>
      <c r="P467" s="13"/>
      <c r="Q467" s="13"/>
      <c r="R467" s="13"/>
      <c r="S467" s="13"/>
      <c r="T467" s="13"/>
      <c r="U467" s="13"/>
      <c r="V467" s="13"/>
      <c r="W467" s="13"/>
      <c r="X467" s="13"/>
      <c r="Y467" s="13"/>
      <c r="Z467" s="13"/>
      <c r="AB467" s="40"/>
      <c r="AC467" s="40"/>
      <c r="AD467" s="40"/>
      <c r="AE467" s="40"/>
      <c r="AF467" s="5"/>
    </row>
    <row r="468" spans="8:32" x14ac:dyDescent="0.2">
      <c r="H468" s="13"/>
      <c r="I468" s="13"/>
      <c r="J468" s="13"/>
      <c r="K468" s="13"/>
      <c r="L468" s="13"/>
      <c r="M468" s="13"/>
      <c r="N468" s="13"/>
      <c r="O468" s="13"/>
      <c r="P468" s="13"/>
      <c r="Q468" s="13"/>
      <c r="R468" s="13"/>
      <c r="S468" s="13"/>
      <c r="T468" s="13"/>
      <c r="U468" s="13"/>
      <c r="V468" s="13"/>
      <c r="W468" s="13"/>
      <c r="X468" s="13"/>
      <c r="Y468" s="13"/>
      <c r="Z468" s="13"/>
      <c r="AB468" s="40"/>
      <c r="AC468" s="40"/>
      <c r="AD468" s="40"/>
      <c r="AE468" s="40"/>
      <c r="AF468" s="5"/>
    </row>
    <row r="469" spans="8:32" x14ac:dyDescent="0.2">
      <c r="H469"/>
      <c r="AB469" s="40"/>
      <c r="AC469" s="40"/>
      <c r="AD469" s="40"/>
      <c r="AE469" s="40"/>
      <c r="AF469" s="5"/>
    </row>
    <row r="470" spans="8:32" x14ac:dyDescent="0.2">
      <c r="H470" s="13"/>
      <c r="I470" s="13"/>
      <c r="J470" s="13"/>
      <c r="K470" s="13"/>
      <c r="L470" s="13"/>
      <c r="M470" s="13"/>
      <c r="N470" s="13"/>
      <c r="O470" s="13"/>
      <c r="P470" s="13"/>
      <c r="Q470" s="13"/>
      <c r="R470" s="13"/>
      <c r="S470" s="13"/>
      <c r="T470" s="13"/>
      <c r="U470" s="13"/>
      <c r="V470" s="13"/>
      <c r="W470" s="13"/>
      <c r="X470" s="13"/>
      <c r="Y470" s="13"/>
      <c r="Z470" s="13"/>
      <c r="AB470" s="40"/>
      <c r="AC470" s="40"/>
      <c r="AD470" s="40"/>
      <c r="AE470" s="40"/>
      <c r="AF470" s="5"/>
    </row>
    <row r="471" spans="8:32" x14ac:dyDescent="0.2">
      <c r="H471" s="13"/>
      <c r="I471" s="13"/>
      <c r="J471" s="13"/>
      <c r="K471" s="13"/>
      <c r="L471" s="13"/>
      <c r="M471" s="13"/>
      <c r="N471" s="13"/>
      <c r="O471" s="13"/>
      <c r="P471" s="13"/>
      <c r="Q471" s="13"/>
      <c r="R471" s="13"/>
      <c r="S471" s="13"/>
      <c r="T471" s="13"/>
      <c r="U471" s="13"/>
      <c r="V471" s="13"/>
      <c r="W471" s="13"/>
      <c r="X471" s="13"/>
      <c r="Y471" s="13"/>
      <c r="Z471" s="13"/>
      <c r="AB471" s="40"/>
      <c r="AC471" s="40"/>
      <c r="AD471" s="40"/>
      <c r="AE471" s="40"/>
      <c r="AF471" s="5"/>
    </row>
    <row r="472" spans="8:32" x14ac:dyDescent="0.2">
      <c r="H472" s="13"/>
      <c r="I472" s="13"/>
      <c r="J472" s="13"/>
      <c r="K472" s="13"/>
      <c r="L472" s="13"/>
      <c r="M472" s="13"/>
      <c r="N472" s="13"/>
      <c r="O472" s="13"/>
      <c r="P472" s="13"/>
      <c r="Q472" s="13"/>
      <c r="R472" s="13"/>
      <c r="S472" s="13"/>
      <c r="T472" s="13"/>
      <c r="U472" s="13"/>
      <c r="V472" s="13"/>
      <c r="W472" s="13"/>
      <c r="X472" s="13"/>
      <c r="Y472" s="13"/>
      <c r="Z472" s="13"/>
      <c r="AB472" s="40"/>
      <c r="AC472" s="40"/>
      <c r="AD472" s="40"/>
      <c r="AE472" s="40"/>
      <c r="AF472" s="5"/>
    </row>
    <row r="473" spans="8:32" x14ac:dyDescent="0.2">
      <c r="H473" s="13"/>
      <c r="I473" s="13"/>
      <c r="J473" s="13"/>
      <c r="K473" s="13"/>
      <c r="L473" s="13"/>
      <c r="M473" s="13"/>
      <c r="N473" s="13"/>
      <c r="O473" s="13"/>
      <c r="P473" s="13"/>
      <c r="Q473" s="13"/>
      <c r="R473" s="13"/>
      <c r="S473" s="13"/>
      <c r="T473" s="13"/>
      <c r="U473" s="13"/>
      <c r="V473" s="13"/>
      <c r="W473" s="13"/>
      <c r="X473" s="13"/>
      <c r="Y473" s="13"/>
      <c r="Z473" s="13"/>
      <c r="AB473" s="40"/>
      <c r="AC473" s="40"/>
      <c r="AD473" s="40"/>
      <c r="AE473" s="40"/>
      <c r="AF473" s="5"/>
    </row>
    <row r="474" spans="8:32" x14ac:dyDescent="0.2">
      <c r="H474" s="13"/>
      <c r="I474" s="13"/>
      <c r="J474" s="13"/>
      <c r="K474" s="13"/>
      <c r="L474" s="13"/>
      <c r="M474" s="13"/>
      <c r="N474" s="13"/>
      <c r="O474" s="13"/>
      <c r="P474" s="13"/>
      <c r="Q474" s="13"/>
      <c r="R474" s="13"/>
      <c r="S474" s="13"/>
      <c r="T474" s="13"/>
      <c r="U474" s="13"/>
      <c r="V474" s="13"/>
      <c r="W474" s="13"/>
      <c r="X474" s="13"/>
      <c r="Y474" s="13"/>
      <c r="Z474" s="13"/>
      <c r="AB474" s="40"/>
      <c r="AC474" s="40"/>
      <c r="AD474" s="40"/>
      <c r="AE474" s="40"/>
      <c r="AF474" s="5"/>
    </row>
    <row r="475" spans="8:32" x14ac:dyDescent="0.2">
      <c r="H475" s="13"/>
      <c r="I475" s="13"/>
      <c r="J475" s="13"/>
      <c r="K475" s="13"/>
      <c r="L475" s="13"/>
      <c r="M475" s="13"/>
      <c r="N475" s="13"/>
      <c r="O475" s="13"/>
      <c r="P475" s="13"/>
      <c r="Q475" s="13"/>
      <c r="R475" s="13"/>
      <c r="S475" s="13"/>
      <c r="T475" s="13"/>
      <c r="U475" s="13"/>
      <c r="V475" s="13"/>
      <c r="W475" s="13"/>
      <c r="X475" s="13"/>
      <c r="Y475" s="13"/>
      <c r="Z475" s="13"/>
      <c r="AB475" s="40"/>
      <c r="AC475" s="40"/>
      <c r="AD475" s="40"/>
      <c r="AE475" s="40"/>
      <c r="AF475" s="5"/>
    </row>
    <row r="476" spans="8:32" x14ac:dyDescent="0.2">
      <c r="H476"/>
      <c r="AB476" s="40"/>
      <c r="AC476" s="40"/>
      <c r="AD476" s="40"/>
      <c r="AE476" s="40"/>
      <c r="AF476" s="5"/>
    </row>
    <row r="477" spans="8:32" x14ac:dyDescent="0.2">
      <c r="H477" s="13"/>
      <c r="I477" s="13"/>
      <c r="J477" s="13"/>
      <c r="K477" s="13"/>
      <c r="L477" s="13"/>
      <c r="M477" s="13"/>
      <c r="N477" s="13"/>
      <c r="O477" s="13"/>
      <c r="P477" s="13"/>
      <c r="Q477" s="13"/>
      <c r="R477" s="13"/>
      <c r="S477" s="13"/>
      <c r="T477" s="13"/>
      <c r="U477" s="13"/>
      <c r="V477" s="13"/>
      <c r="W477" s="13"/>
      <c r="X477" s="13"/>
      <c r="Y477" s="13"/>
      <c r="Z477" s="13"/>
      <c r="AB477" s="40"/>
      <c r="AC477" s="40"/>
      <c r="AD477" s="40"/>
      <c r="AE477" s="40"/>
      <c r="AF477" s="5"/>
    </row>
    <row r="478" spans="8:32" x14ac:dyDescent="0.2">
      <c r="H478" s="13"/>
      <c r="I478" s="13"/>
      <c r="J478" s="13"/>
      <c r="K478" s="13"/>
      <c r="L478" s="13"/>
      <c r="M478" s="13"/>
      <c r="N478" s="13"/>
      <c r="O478" s="13"/>
      <c r="P478" s="13"/>
      <c r="Q478" s="13"/>
      <c r="R478" s="13"/>
      <c r="S478" s="13"/>
      <c r="T478" s="13"/>
      <c r="U478" s="13"/>
      <c r="V478" s="13"/>
      <c r="W478" s="13"/>
      <c r="X478" s="13"/>
      <c r="Y478" s="13"/>
      <c r="Z478" s="13"/>
      <c r="AB478" s="40"/>
      <c r="AC478" s="40"/>
      <c r="AD478" s="40"/>
      <c r="AE478" s="40"/>
      <c r="AF478" s="5"/>
    </row>
    <row r="479" spans="8:32" x14ac:dyDescent="0.2">
      <c r="H479"/>
      <c r="AB479" s="40"/>
      <c r="AC479" s="40"/>
      <c r="AD479" s="40"/>
      <c r="AE479" s="40"/>
      <c r="AF479" s="5"/>
    </row>
    <row r="480" spans="8:32" x14ac:dyDescent="0.2">
      <c r="H480" s="13"/>
      <c r="I480" s="13"/>
      <c r="J480" s="13"/>
      <c r="K480" s="13"/>
      <c r="L480" s="13"/>
      <c r="M480" s="13"/>
      <c r="N480" s="13"/>
      <c r="O480" s="13"/>
      <c r="P480" s="13"/>
      <c r="Q480" s="13"/>
      <c r="R480" s="13"/>
      <c r="S480" s="13"/>
      <c r="T480" s="13"/>
      <c r="U480" s="13"/>
      <c r="V480" s="13"/>
      <c r="W480" s="13"/>
      <c r="X480" s="13"/>
      <c r="Y480" s="13"/>
      <c r="Z480" s="13"/>
      <c r="AB480" s="40"/>
      <c r="AC480" s="40"/>
      <c r="AD480" s="40"/>
      <c r="AE480" s="40"/>
      <c r="AF480" s="5"/>
    </row>
    <row r="481" spans="8:32" x14ac:dyDescent="0.2">
      <c r="H481" s="13"/>
      <c r="I481" s="13"/>
      <c r="J481" s="13"/>
      <c r="K481" s="13"/>
      <c r="L481" s="13"/>
      <c r="M481" s="13"/>
      <c r="N481" s="13"/>
      <c r="O481" s="13"/>
      <c r="P481" s="13"/>
      <c r="Q481" s="13"/>
      <c r="R481" s="13"/>
      <c r="S481" s="13"/>
      <c r="T481" s="13"/>
      <c r="U481" s="13"/>
      <c r="V481" s="13"/>
      <c r="W481" s="13"/>
      <c r="X481" s="13"/>
      <c r="Y481" s="13"/>
      <c r="Z481" s="13"/>
      <c r="AB481" s="40"/>
      <c r="AC481" s="40"/>
      <c r="AD481" s="40"/>
      <c r="AE481" s="40"/>
      <c r="AF481" s="5"/>
    </row>
    <row r="482" spans="8:32" x14ac:dyDescent="0.2">
      <c r="H482" s="13"/>
      <c r="I482" s="13"/>
      <c r="J482" s="13"/>
      <c r="K482" s="13"/>
      <c r="L482" s="13"/>
      <c r="M482" s="13"/>
      <c r="N482" s="13"/>
      <c r="O482" s="13"/>
      <c r="P482" s="13"/>
      <c r="Q482" s="13"/>
      <c r="R482" s="13"/>
      <c r="S482" s="13"/>
      <c r="T482" s="13"/>
      <c r="U482" s="13"/>
      <c r="V482" s="13"/>
      <c r="W482" s="13"/>
      <c r="X482" s="13"/>
      <c r="Y482" s="13"/>
      <c r="Z482" s="13"/>
      <c r="AB482" s="40"/>
      <c r="AC482" s="40"/>
      <c r="AD482" s="40"/>
      <c r="AE482" s="40"/>
      <c r="AF482" s="5"/>
    </row>
    <row r="483" spans="8:32" x14ac:dyDescent="0.2">
      <c r="H483" s="13"/>
      <c r="I483" s="13"/>
      <c r="J483" s="13"/>
      <c r="K483" s="13"/>
      <c r="L483" s="13"/>
      <c r="M483" s="13"/>
      <c r="N483" s="13"/>
      <c r="O483" s="13"/>
      <c r="P483" s="13"/>
      <c r="Q483" s="13"/>
      <c r="R483" s="13"/>
      <c r="S483" s="13"/>
      <c r="T483" s="13"/>
      <c r="U483" s="13"/>
      <c r="V483" s="13"/>
      <c r="W483" s="13"/>
      <c r="X483" s="13"/>
      <c r="Y483" s="13"/>
      <c r="Z483" s="13"/>
      <c r="AB483" s="40"/>
      <c r="AC483" s="40"/>
      <c r="AD483" s="40"/>
      <c r="AE483" s="40"/>
      <c r="AF483" s="5"/>
    </row>
    <row r="484" spans="8:32" x14ac:dyDescent="0.2">
      <c r="H484" s="13"/>
      <c r="I484" s="13"/>
      <c r="J484" s="13"/>
      <c r="K484" s="13"/>
      <c r="L484" s="13"/>
      <c r="M484" s="13"/>
      <c r="N484" s="13"/>
      <c r="O484" s="13"/>
      <c r="P484" s="13"/>
      <c r="Q484" s="13"/>
      <c r="R484" s="13"/>
      <c r="S484" s="13"/>
      <c r="T484" s="13"/>
      <c r="U484" s="13"/>
      <c r="V484" s="13"/>
      <c r="W484" s="13"/>
      <c r="X484" s="13"/>
      <c r="Y484" s="13"/>
      <c r="Z484" s="13"/>
      <c r="AB484" s="40"/>
      <c r="AC484" s="40"/>
      <c r="AD484" s="40"/>
      <c r="AE484" s="40"/>
      <c r="AF484" s="5"/>
    </row>
    <row r="485" spans="8:32" x14ac:dyDescent="0.2">
      <c r="H485" s="13"/>
      <c r="I485" s="13"/>
      <c r="J485" s="13"/>
      <c r="K485" s="13"/>
      <c r="L485" s="13"/>
      <c r="M485" s="13"/>
      <c r="N485" s="13"/>
      <c r="O485" s="13"/>
      <c r="P485" s="13"/>
      <c r="Q485" s="13"/>
      <c r="R485" s="13"/>
      <c r="S485" s="13"/>
      <c r="T485" s="13"/>
      <c r="U485" s="13"/>
      <c r="V485" s="13"/>
      <c r="W485" s="13"/>
      <c r="X485" s="13"/>
      <c r="Y485" s="13"/>
      <c r="Z485" s="13"/>
      <c r="AB485" s="40"/>
      <c r="AC485" s="40"/>
      <c r="AD485" s="40"/>
      <c r="AE485" s="40"/>
      <c r="AF485" s="5"/>
    </row>
    <row r="486" spans="8:32" x14ac:dyDescent="0.2">
      <c r="H486" s="13"/>
      <c r="I486" s="13"/>
      <c r="J486" s="13"/>
      <c r="K486" s="13"/>
      <c r="L486" s="13"/>
      <c r="M486" s="13"/>
      <c r="N486" s="13"/>
      <c r="O486" s="13"/>
      <c r="P486" s="13"/>
      <c r="Q486" s="13"/>
      <c r="R486" s="13"/>
      <c r="S486" s="13"/>
      <c r="T486" s="13"/>
      <c r="U486" s="13"/>
      <c r="V486" s="13"/>
      <c r="W486" s="13"/>
      <c r="X486" s="13"/>
      <c r="Y486" s="13"/>
      <c r="Z486" s="13"/>
      <c r="AB486" s="40"/>
      <c r="AC486" s="40"/>
      <c r="AD486" s="40"/>
      <c r="AE486" s="40"/>
      <c r="AF486" s="5"/>
    </row>
    <row r="487" spans="8:32" x14ac:dyDescent="0.2">
      <c r="H487"/>
      <c r="AB487" s="40"/>
      <c r="AC487" s="40"/>
      <c r="AD487" s="40"/>
      <c r="AE487" s="40"/>
      <c r="AF487" s="5"/>
    </row>
    <row r="488" spans="8:32" x14ac:dyDescent="0.2">
      <c r="H488" s="13"/>
      <c r="I488" s="13"/>
      <c r="J488" s="13"/>
      <c r="K488" s="13"/>
      <c r="L488" s="13"/>
      <c r="M488" s="13"/>
      <c r="N488" s="13"/>
      <c r="O488" s="13"/>
      <c r="P488" s="13"/>
      <c r="Q488" s="13"/>
      <c r="R488" s="13"/>
      <c r="S488" s="13"/>
      <c r="T488" s="13"/>
      <c r="U488" s="13"/>
      <c r="V488" s="13"/>
      <c r="W488" s="13"/>
      <c r="X488" s="13"/>
      <c r="Y488" s="13"/>
      <c r="Z488" s="13"/>
      <c r="AB488" s="40"/>
      <c r="AC488" s="40"/>
      <c r="AD488" s="40"/>
      <c r="AE488" s="40"/>
      <c r="AF488" s="5"/>
    </row>
    <row r="489" spans="8:32" x14ac:dyDescent="0.2">
      <c r="H489" s="13"/>
      <c r="I489" s="13"/>
      <c r="J489" s="13"/>
      <c r="K489" s="13"/>
      <c r="L489" s="13"/>
      <c r="M489" s="13"/>
      <c r="N489" s="13"/>
      <c r="O489" s="13"/>
      <c r="P489" s="13"/>
      <c r="Q489" s="13"/>
      <c r="R489" s="13"/>
      <c r="S489" s="13"/>
      <c r="T489" s="13"/>
      <c r="U489" s="13"/>
      <c r="V489" s="13"/>
      <c r="W489" s="13"/>
      <c r="X489" s="13"/>
      <c r="Y489" s="13"/>
      <c r="Z489" s="13"/>
      <c r="AB489" s="40"/>
      <c r="AC489" s="40"/>
      <c r="AD489" s="40"/>
      <c r="AE489" s="40"/>
      <c r="AF489" s="5"/>
    </row>
    <row r="490" spans="8:32" x14ac:dyDescent="0.2">
      <c r="H490"/>
      <c r="AB490" s="40"/>
      <c r="AC490" s="40"/>
      <c r="AD490" s="40"/>
      <c r="AE490" s="40"/>
      <c r="AF490" s="5"/>
    </row>
    <row r="491" spans="8:32" x14ac:dyDescent="0.2">
      <c r="H491" s="13"/>
      <c r="I491" s="13"/>
      <c r="J491" s="13"/>
      <c r="K491" s="13"/>
      <c r="L491" s="13"/>
      <c r="M491" s="13"/>
      <c r="N491" s="13"/>
      <c r="O491" s="13"/>
      <c r="P491" s="13"/>
      <c r="Q491" s="13"/>
      <c r="R491" s="13"/>
      <c r="S491" s="13"/>
      <c r="T491" s="13"/>
      <c r="U491" s="13"/>
      <c r="V491" s="13"/>
      <c r="W491" s="13"/>
      <c r="X491" s="13"/>
      <c r="Y491" s="13"/>
      <c r="Z491" s="13"/>
      <c r="AB491" s="40"/>
      <c r="AC491" s="40"/>
      <c r="AD491" s="40"/>
      <c r="AE491" s="40"/>
      <c r="AF491" s="5"/>
    </row>
    <row r="492" spans="8:32" x14ac:dyDescent="0.2">
      <c r="H492" s="13"/>
      <c r="I492" s="13"/>
      <c r="J492" s="13"/>
      <c r="K492" s="13"/>
      <c r="L492" s="13"/>
      <c r="M492" s="13"/>
      <c r="N492" s="13"/>
      <c r="O492" s="13"/>
      <c r="P492" s="13"/>
      <c r="Q492" s="13"/>
      <c r="R492" s="13"/>
      <c r="S492" s="13"/>
      <c r="T492" s="13"/>
      <c r="U492" s="13"/>
      <c r="V492" s="13"/>
      <c r="W492" s="13"/>
      <c r="X492" s="13"/>
      <c r="Y492" s="13"/>
      <c r="Z492" s="13"/>
      <c r="AB492" s="40"/>
      <c r="AC492" s="40"/>
      <c r="AD492" s="40"/>
      <c r="AE492" s="40"/>
      <c r="AF492" s="5"/>
    </row>
    <row r="493" spans="8:32" x14ac:dyDescent="0.2">
      <c r="H493" s="13"/>
      <c r="I493" s="13"/>
      <c r="J493" s="13"/>
      <c r="K493" s="13"/>
      <c r="L493" s="13"/>
      <c r="M493" s="13"/>
      <c r="N493" s="13"/>
      <c r="O493" s="13"/>
      <c r="P493" s="13"/>
      <c r="Q493" s="13"/>
      <c r="R493" s="13"/>
      <c r="S493" s="13"/>
      <c r="T493" s="13"/>
      <c r="U493" s="13"/>
      <c r="V493" s="13"/>
      <c r="W493" s="13"/>
      <c r="X493" s="13"/>
      <c r="Y493" s="13"/>
      <c r="Z493" s="13"/>
      <c r="AB493" s="40"/>
      <c r="AC493" s="40"/>
      <c r="AD493" s="40"/>
      <c r="AE493" s="40"/>
      <c r="AF493" s="5"/>
    </row>
    <row r="494" spans="8:32" x14ac:dyDescent="0.2">
      <c r="H494" s="13"/>
      <c r="I494" s="13"/>
      <c r="J494" s="13"/>
      <c r="K494" s="13"/>
      <c r="L494" s="13"/>
      <c r="M494" s="13"/>
      <c r="N494" s="13"/>
      <c r="O494" s="13"/>
      <c r="P494" s="13"/>
      <c r="Q494" s="13"/>
      <c r="R494" s="13"/>
      <c r="S494" s="13"/>
      <c r="T494" s="13"/>
      <c r="U494" s="13"/>
      <c r="V494" s="13"/>
      <c r="W494" s="13"/>
      <c r="X494" s="13"/>
      <c r="Y494" s="13"/>
      <c r="Z494" s="13"/>
      <c r="AB494" s="40"/>
      <c r="AC494" s="40"/>
      <c r="AD494" s="40"/>
      <c r="AE494" s="40"/>
      <c r="AF494" s="5"/>
    </row>
    <row r="495" spans="8:32" x14ac:dyDescent="0.2">
      <c r="H495"/>
      <c r="AB495" s="40"/>
      <c r="AC495" s="40"/>
      <c r="AD495" s="40"/>
      <c r="AE495" s="40"/>
      <c r="AF495" s="5"/>
    </row>
    <row r="496" spans="8:32" x14ac:dyDescent="0.2">
      <c r="H496" s="13"/>
      <c r="I496" s="13"/>
      <c r="J496" s="13"/>
      <c r="K496" s="13"/>
      <c r="L496" s="13"/>
      <c r="M496" s="13"/>
      <c r="N496" s="13"/>
      <c r="O496" s="13"/>
      <c r="P496" s="13"/>
      <c r="Q496" s="13"/>
      <c r="R496" s="13"/>
      <c r="S496" s="13"/>
      <c r="T496" s="13"/>
      <c r="U496" s="13"/>
      <c r="V496" s="13"/>
      <c r="W496" s="13"/>
      <c r="X496" s="13"/>
      <c r="Y496" s="13"/>
      <c r="Z496" s="13"/>
      <c r="AB496" s="40"/>
      <c r="AC496" s="40"/>
      <c r="AD496" s="40"/>
      <c r="AE496" s="40"/>
      <c r="AF496" s="5"/>
    </row>
    <row r="497" spans="8:32" x14ac:dyDescent="0.2">
      <c r="H497" s="13"/>
      <c r="I497" s="13"/>
      <c r="J497" s="13"/>
      <c r="K497" s="13"/>
      <c r="L497" s="13"/>
      <c r="M497" s="13"/>
      <c r="N497" s="13"/>
      <c r="O497" s="13"/>
      <c r="P497" s="13"/>
      <c r="Q497" s="13"/>
      <c r="R497" s="13"/>
      <c r="S497" s="13"/>
      <c r="T497" s="13"/>
      <c r="U497" s="13"/>
      <c r="V497" s="13"/>
      <c r="W497" s="13"/>
      <c r="X497" s="13"/>
      <c r="Y497" s="13"/>
      <c r="Z497" s="13"/>
      <c r="AB497" s="40"/>
      <c r="AC497" s="40"/>
      <c r="AD497" s="40"/>
      <c r="AE497" s="40"/>
      <c r="AF497" s="5"/>
    </row>
    <row r="498" spans="8:32" x14ac:dyDescent="0.2">
      <c r="H498" s="13"/>
      <c r="I498" s="13"/>
      <c r="J498" s="13"/>
      <c r="K498" s="13"/>
      <c r="L498" s="13"/>
      <c r="M498" s="13"/>
      <c r="N498" s="13"/>
      <c r="O498" s="13"/>
      <c r="P498" s="13"/>
      <c r="Q498" s="13"/>
      <c r="R498" s="13"/>
      <c r="S498" s="13"/>
      <c r="T498" s="13"/>
      <c r="U498" s="13"/>
      <c r="V498" s="13"/>
      <c r="W498" s="13"/>
      <c r="X498" s="13"/>
      <c r="Y498" s="13"/>
      <c r="Z498" s="13"/>
      <c r="AB498" s="40"/>
      <c r="AC498" s="40"/>
      <c r="AD498" s="40"/>
      <c r="AE498" s="40"/>
      <c r="AF498" s="5"/>
    </row>
    <row r="499" spans="8:32" x14ac:dyDescent="0.2">
      <c r="H499" s="13"/>
      <c r="I499" s="13"/>
      <c r="J499" s="13"/>
      <c r="K499" s="13"/>
      <c r="L499" s="13"/>
      <c r="M499" s="13"/>
      <c r="N499" s="13"/>
      <c r="O499" s="13"/>
      <c r="P499" s="13"/>
      <c r="Q499" s="13"/>
      <c r="R499" s="13"/>
      <c r="S499" s="13"/>
      <c r="T499" s="13"/>
      <c r="U499" s="13"/>
      <c r="V499" s="13"/>
      <c r="W499" s="13"/>
      <c r="X499" s="13"/>
      <c r="Y499" s="13"/>
      <c r="Z499" s="13"/>
      <c r="AB499" s="40"/>
      <c r="AC499" s="40"/>
      <c r="AD499" s="40"/>
      <c r="AE499" s="40"/>
      <c r="AF499" s="5"/>
    </row>
    <row r="500" spans="8:32" x14ac:dyDescent="0.2">
      <c r="H500" s="13"/>
      <c r="I500" s="13"/>
      <c r="J500" s="13"/>
      <c r="K500" s="13"/>
      <c r="L500" s="13"/>
      <c r="M500" s="13"/>
      <c r="N500" s="13"/>
      <c r="O500" s="13"/>
      <c r="P500" s="13"/>
      <c r="Q500" s="13"/>
      <c r="R500" s="13"/>
      <c r="S500" s="13"/>
      <c r="T500" s="13"/>
      <c r="U500" s="13"/>
      <c r="V500" s="13"/>
      <c r="W500" s="13"/>
      <c r="X500" s="13"/>
      <c r="Y500" s="13"/>
      <c r="Z500" s="13"/>
      <c r="AB500" s="40"/>
      <c r="AC500" s="40"/>
      <c r="AD500" s="40"/>
      <c r="AE500" s="40"/>
      <c r="AF500" s="5"/>
    </row>
    <row r="501" spans="8:32" x14ac:dyDescent="0.2">
      <c r="H501" s="13"/>
      <c r="I501" s="13"/>
      <c r="J501" s="13"/>
      <c r="K501" s="13"/>
      <c r="L501" s="13"/>
      <c r="M501" s="13"/>
      <c r="N501" s="13"/>
      <c r="O501" s="13"/>
      <c r="P501" s="13"/>
      <c r="Q501" s="13"/>
      <c r="R501" s="13"/>
      <c r="S501" s="13"/>
      <c r="T501" s="13"/>
      <c r="U501" s="13"/>
      <c r="V501" s="13"/>
      <c r="W501" s="13"/>
      <c r="X501" s="13"/>
      <c r="Y501" s="13"/>
      <c r="Z501" s="13"/>
      <c r="AB501" s="40"/>
      <c r="AC501" s="40"/>
      <c r="AD501" s="40"/>
      <c r="AE501" s="40"/>
      <c r="AF501" s="5"/>
    </row>
    <row r="502" spans="8:32" x14ac:dyDescent="0.2">
      <c r="H502" s="13"/>
      <c r="I502" s="13"/>
      <c r="J502" s="13"/>
      <c r="K502" s="13"/>
      <c r="L502" s="13"/>
      <c r="M502" s="13"/>
      <c r="N502" s="13"/>
      <c r="O502" s="13"/>
      <c r="P502" s="13"/>
      <c r="Q502" s="13"/>
      <c r="R502" s="13"/>
      <c r="S502" s="13"/>
      <c r="T502" s="13"/>
      <c r="U502" s="13"/>
      <c r="V502" s="13"/>
      <c r="W502" s="13"/>
      <c r="X502" s="13"/>
      <c r="Y502" s="13"/>
      <c r="Z502" s="13"/>
      <c r="AB502" s="40"/>
      <c r="AC502" s="40"/>
      <c r="AD502" s="40"/>
      <c r="AE502" s="40"/>
      <c r="AF502" s="5"/>
    </row>
    <row r="503" spans="8:32" x14ac:dyDescent="0.2">
      <c r="H503" s="13"/>
      <c r="I503" s="13"/>
      <c r="J503" s="13"/>
      <c r="K503" s="13"/>
      <c r="L503" s="13"/>
      <c r="M503" s="13"/>
      <c r="N503" s="13"/>
      <c r="O503" s="13"/>
      <c r="P503" s="13"/>
      <c r="Q503" s="13"/>
      <c r="R503" s="13"/>
      <c r="S503" s="13"/>
      <c r="T503" s="13"/>
      <c r="U503" s="13"/>
      <c r="V503" s="13"/>
      <c r="W503" s="13"/>
      <c r="X503" s="13"/>
      <c r="Y503" s="13"/>
      <c r="Z503" s="13"/>
      <c r="AB503" s="40"/>
      <c r="AC503" s="40"/>
      <c r="AD503" s="40"/>
      <c r="AE503" s="40"/>
      <c r="AF503" s="5"/>
    </row>
    <row r="504" spans="8:32" x14ac:dyDescent="0.2">
      <c r="H504" s="13"/>
      <c r="I504" s="13"/>
      <c r="J504" s="13"/>
      <c r="K504" s="13"/>
      <c r="L504" s="13"/>
      <c r="M504" s="13"/>
      <c r="N504" s="13"/>
      <c r="O504" s="13"/>
      <c r="P504" s="13"/>
      <c r="Q504" s="13"/>
      <c r="R504" s="13"/>
      <c r="S504" s="13"/>
      <c r="T504" s="13"/>
      <c r="U504" s="13"/>
      <c r="V504" s="13"/>
      <c r="W504" s="13"/>
      <c r="X504" s="13"/>
      <c r="Y504" s="13"/>
      <c r="Z504" s="13"/>
      <c r="AB504" s="40"/>
      <c r="AC504" s="40"/>
      <c r="AD504" s="40"/>
      <c r="AE504" s="40"/>
      <c r="AF504" s="5"/>
    </row>
    <row r="505" spans="8:32" x14ac:dyDescent="0.2">
      <c r="H505" s="13"/>
      <c r="I505" s="13"/>
      <c r="J505" s="13"/>
      <c r="K505" s="13"/>
      <c r="L505" s="13"/>
      <c r="M505" s="13"/>
      <c r="N505" s="13"/>
      <c r="O505" s="13"/>
      <c r="P505" s="13"/>
      <c r="Q505" s="13"/>
      <c r="R505" s="13"/>
      <c r="S505" s="13"/>
      <c r="T505" s="13"/>
      <c r="U505" s="13"/>
      <c r="V505" s="13"/>
      <c r="W505" s="13"/>
      <c r="X505" s="13"/>
      <c r="Y505" s="13"/>
      <c r="Z505" s="13"/>
      <c r="AB505" s="40"/>
      <c r="AC505" s="40"/>
      <c r="AD505" s="40"/>
      <c r="AE505" s="40"/>
      <c r="AF505" s="5"/>
    </row>
    <row r="506" spans="8:32" x14ac:dyDescent="0.2">
      <c r="H506" s="13"/>
      <c r="I506" s="13"/>
      <c r="J506" s="13"/>
      <c r="K506" s="13"/>
      <c r="L506" s="13"/>
      <c r="M506" s="13"/>
      <c r="N506" s="13"/>
      <c r="O506" s="13"/>
      <c r="P506" s="13"/>
      <c r="Q506" s="13"/>
      <c r="R506" s="13"/>
      <c r="S506" s="13"/>
      <c r="T506" s="13"/>
      <c r="U506" s="13"/>
      <c r="V506" s="13"/>
      <c r="W506" s="13"/>
      <c r="X506" s="13"/>
      <c r="Y506" s="13"/>
      <c r="Z506" s="13"/>
      <c r="AB506" s="40"/>
      <c r="AC506" s="40"/>
      <c r="AD506" s="40"/>
      <c r="AE506" s="40"/>
      <c r="AF506" s="5"/>
    </row>
    <row r="507" spans="8:32" x14ac:dyDescent="0.2">
      <c r="H507" s="13"/>
      <c r="I507" s="13"/>
      <c r="J507" s="13"/>
      <c r="K507" s="13"/>
      <c r="L507" s="13"/>
      <c r="M507" s="13"/>
      <c r="N507" s="13"/>
      <c r="O507" s="13"/>
      <c r="P507" s="13"/>
      <c r="Q507" s="13"/>
      <c r="R507" s="13"/>
      <c r="S507" s="13"/>
      <c r="T507" s="13"/>
      <c r="U507" s="13"/>
      <c r="V507" s="13"/>
      <c r="W507" s="13"/>
      <c r="X507" s="13"/>
      <c r="Y507" s="13"/>
      <c r="Z507" s="13"/>
      <c r="AB507" s="40"/>
      <c r="AC507" s="40"/>
      <c r="AD507" s="40"/>
      <c r="AE507" s="40"/>
      <c r="AF507" s="5"/>
    </row>
    <row r="508" spans="8:32" x14ac:dyDescent="0.2">
      <c r="H508" s="13"/>
      <c r="I508" s="13"/>
      <c r="J508" s="13"/>
      <c r="K508" s="13"/>
      <c r="L508" s="13"/>
      <c r="M508" s="13"/>
      <c r="N508" s="13"/>
      <c r="O508" s="13"/>
      <c r="P508" s="13"/>
      <c r="Q508" s="13"/>
      <c r="R508" s="13"/>
      <c r="S508" s="13"/>
      <c r="T508" s="13"/>
      <c r="U508" s="13"/>
      <c r="V508" s="13"/>
      <c r="W508" s="13"/>
      <c r="X508" s="13"/>
      <c r="Y508" s="13"/>
      <c r="Z508" s="13"/>
      <c r="AB508" s="40"/>
      <c r="AC508" s="40"/>
      <c r="AD508" s="40"/>
      <c r="AE508" s="40"/>
      <c r="AF508" s="5"/>
    </row>
    <row r="509" spans="8:32" x14ac:dyDescent="0.2">
      <c r="H509" s="13"/>
      <c r="I509" s="13"/>
      <c r="J509" s="13"/>
      <c r="K509" s="13"/>
      <c r="L509" s="13"/>
      <c r="M509" s="13"/>
      <c r="N509" s="13"/>
      <c r="O509" s="13"/>
      <c r="P509" s="13"/>
      <c r="Q509" s="13"/>
      <c r="R509" s="13"/>
      <c r="S509" s="13"/>
      <c r="T509" s="13"/>
      <c r="U509" s="13"/>
      <c r="V509" s="13"/>
      <c r="W509" s="13"/>
      <c r="X509" s="13"/>
      <c r="Y509" s="13"/>
      <c r="Z509" s="13"/>
      <c r="AB509" s="40"/>
      <c r="AC509" s="40"/>
      <c r="AD509" s="40"/>
      <c r="AE509" s="40"/>
      <c r="AF509" s="5"/>
    </row>
    <row r="510" spans="8:32" x14ac:dyDescent="0.2">
      <c r="H510"/>
      <c r="AB510" s="40"/>
      <c r="AC510" s="40"/>
      <c r="AD510" s="40"/>
      <c r="AE510" s="40"/>
      <c r="AF510" s="5"/>
    </row>
    <row r="511" spans="8:32" x14ac:dyDescent="0.2">
      <c r="H511" s="13"/>
      <c r="I511" s="13"/>
      <c r="J511" s="13"/>
      <c r="K511" s="13"/>
      <c r="L511" s="13"/>
      <c r="M511" s="13"/>
      <c r="N511" s="13"/>
      <c r="O511" s="13"/>
      <c r="P511" s="13"/>
      <c r="Q511" s="13"/>
      <c r="R511" s="13"/>
      <c r="S511" s="13"/>
      <c r="T511" s="13"/>
      <c r="U511" s="13"/>
      <c r="V511" s="13"/>
      <c r="W511" s="13"/>
      <c r="X511" s="13"/>
      <c r="Y511" s="13"/>
      <c r="Z511" s="13"/>
      <c r="AB511" s="40"/>
      <c r="AC511" s="40"/>
      <c r="AD511" s="40"/>
      <c r="AE511" s="40"/>
      <c r="AF511" s="5"/>
    </row>
    <row r="512" spans="8:32" x14ac:dyDescent="0.2">
      <c r="H512" s="13"/>
      <c r="I512" s="13"/>
      <c r="J512" s="13"/>
      <c r="K512" s="13"/>
      <c r="L512" s="13"/>
      <c r="M512" s="13"/>
      <c r="N512" s="13"/>
      <c r="O512" s="13"/>
      <c r="P512" s="13"/>
      <c r="Q512" s="13"/>
      <c r="R512" s="13"/>
      <c r="S512" s="13"/>
      <c r="T512" s="13"/>
      <c r="U512" s="13"/>
      <c r="V512" s="13"/>
      <c r="W512" s="13"/>
      <c r="X512" s="13"/>
      <c r="Y512" s="13"/>
      <c r="Z512" s="13"/>
      <c r="AB512" s="40"/>
      <c r="AC512" s="40"/>
      <c r="AD512" s="40"/>
      <c r="AE512" s="40"/>
      <c r="AF512" s="5"/>
    </row>
    <row r="513" spans="8:32" x14ac:dyDescent="0.2">
      <c r="H513" s="13"/>
      <c r="I513" s="13"/>
      <c r="J513" s="13"/>
      <c r="K513" s="13"/>
      <c r="L513" s="13"/>
      <c r="M513" s="13"/>
      <c r="N513" s="13"/>
      <c r="O513" s="13"/>
      <c r="P513" s="13"/>
      <c r="Q513" s="13"/>
      <c r="R513" s="13"/>
      <c r="S513" s="13"/>
      <c r="T513" s="13"/>
      <c r="U513" s="13"/>
      <c r="V513" s="13"/>
      <c r="W513" s="13"/>
      <c r="X513" s="13"/>
      <c r="Y513" s="13"/>
      <c r="Z513" s="13"/>
      <c r="AB513" s="40"/>
      <c r="AC513" s="40"/>
      <c r="AD513" s="40"/>
      <c r="AE513" s="40"/>
      <c r="AF513" s="5"/>
    </row>
    <row r="514" spans="8:32" x14ac:dyDescent="0.2">
      <c r="H514" s="13"/>
      <c r="I514" s="13"/>
      <c r="J514" s="13"/>
      <c r="K514" s="13"/>
      <c r="L514" s="13"/>
      <c r="M514" s="13"/>
      <c r="N514" s="13"/>
      <c r="O514" s="13"/>
      <c r="P514" s="13"/>
      <c r="Q514" s="13"/>
      <c r="R514" s="13"/>
      <c r="S514" s="13"/>
      <c r="T514" s="13"/>
      <c r="U514" s="13"/>
      <c r="V514" s="13"/>
      <c r="W514" s="13"/>
      <c r="X514" s="13"/>
      <c r="Y514" s="13"/>
      <c r="Z514" s="13"/>
      <c r="AB514" s="40"/>
      <c r="AC514" s="40"/>
      <c r="AD514" s="40"/>
      <c r="AE514" s="40"/>
      <c r="AF514" s="5"/>
    </row>
    <row r="515" spans="8:32" x14ac:dyDescent="0.2">
      <c r="H515" s="13"/>
      <c r="I515" s="13"/>
      <c r="J515" s="13"/>
      <c r="K515" s="13"/>
      <c r="L515" s="13"/>
      <c r="M515" s="13"/>
      <c r="N515" s="13"/>
      <c r="O515" s="13"/>
      <c r="P515" s="13"/>
      <c r="Q515" s="13"/>
      <c r="R515" s="13"/>
      <c r="S515" s="13"/>
      <c r="T515" s="13"/>
      <c r="U515" s="13"/>
      <c r="V515" s="13"/>
      <c r="W515" s="13"/>
      <c r="X515" s="13"/>
      <c r="Y515" s="13"/>
      <c r="Z515" s="13"/>
      <c r="AB515" s="40"/>
      <c r="AC515" s="40"/>
      <c r="AD515" s="40"/>
      <c r="AE515" s="40"/>
      <c r="AF515" s="5"/>
    </row>
    <row r="516" spans="8:32" x14ac:dyDescent="0.2">
      <c r="H516" s="13"/>
      <c r="I516" s="13"/>
      <c r="J516" s="13"/>
      <c r="K516" s="13"/>
      <c r="L516" s="13"/>
      <c r="M516" s="13"/>
      <c r="N516" s="13"/>
      <c r="O516" s="13"/>
      <c r="P516" s="13"/>
      <c r="Q516" s="13"/>
      <c r="R516" s="13"/>
      <c r="S516" s="13"/>
      <c r="T516" s="13"/>
      <c r="U516" s="13"/>
      <c r="V516" s="13"/>
      <c r="W516" s="13"/>
      <c r="X516" s="13"/>
      <c r="Y516" s="13"/>
      <c r="Z516" s="13"/>
      <c r="AB516" s="40"/>
      <c r="AC516" s="40"/>
      <c r="AD516" s="40"/>
      <c r="AE516" s="40"/>
      <c r="AF516" s="5"/>
    </row>
    <row r="517" spans="8:32" x14ac:dyDescent="0.2">
      <c r="H517" s="13"/>
      <c r="I517" s="13"/>
      <c r="J517" s="13"/>
      <c r="K517" s="13"/>
      <c r="L517" s="13"/>
      <c r="M517" s="13"/>
      <c r="N517" s="13"/>
      <c r="O517" s="13"/>
      <c r="P517" s="13"/>
      <c r="Q517" s="13"/>
      <c r="R517" s="13"/>
      <c r="S517" s="13"/>
      <c r="T517" s="13"/>
      <c r="U517" s="13"/>
      <c r="V517" s="13"/>
      <c r="W517" s="13"/>
      <c r="X517" s="13"/>
      <c r="Y517" s="13"/>
      <c r="Z517" s="13"/>
      <c r="AB517" s="40"/>
      <c r="AC517" s="40"/>
      <c r="AD517" s="40"/>
      <c r="AE517" s="40"/>
      <c r="AF517" s="5"/>
    </row>
    <row r="518" spans="8:32" x14ac:dyDescent="0.2">
      <c r="H518" s="13"/>
      <c r="I518" s="13"/>
      <c r="J518" s="13"/>
      <c r="K518" s="13"/>
      <c r="L518" s="13"/>
      <c r="M518" s="13"/>
      <c r="N518" s="13"/>
      <c r="O518" s="13"/>
      <c r="P518" s="13"/>
      <c r="Q518" s="13"/>
      <c r="R518" s="13"/>
      <c r="S518" s="13"/>
      <c r="T518" s="13"/>
      <c r="U518" s="13"/>
      <c r="V518" s="13"/>
      <c r="W518" s="13"/>
      <c r="X518" s="13"/>
      <c r="Y518" s="13"/>
      <c r="Z518" s="13"/>
      <c r="AB518" s="40"/>
      <c r="AC518" s="40"/>
      <c r="AD518" s="40"/>
      <c r="AE518" s="40"/>
      <c r="AF518" s="5"/>
    </row>
    <row r="519" spans="8:32" x14ac:dyDescent="0.2">
      <c r="H519" s="13"/>
      <c r="I519" s="13"/>
      <c r="J519" s="13"/>
      <c r="K519" s="13"/>
      <c r="L519" s="13"/>
      <c r="M519" s="13"/>
      <c r="N519" s="13"/>
      <c r="O519" s="13"/>
      <c r="P519" s="13"/>
      <c r="Q519" s="13"/>
      <c r="R519" s="13"/>
      <c r="S519" s="13"/>
      <c r="T519" s="13"/>
      <c r="U519" s="13"/>
      <c r="V519" s="13"/>
      <c r="W519" s="13"/>
      <c r="X519" s="13"/>
      <c r="Y519" s="13"/>
      <c r="Z519" s="13"/>
      <c r="AB519" s="40"/>
      <c r="AC519" s="40"/>
      <c r="AD519" s="40"/>
      <c r="AE519" s="40"/>
      <c r="AF519" s="5"/>
    </row>
    <row r="520" spans="8:32" x14ac:dyDescent="0.2">
      <c r="H520" s="13"/>
      <c r="I520" s="13"/>
      <c r="J520" s="13"/>
      <c r="K520" s="13"/>
      <c r="L520" s="13"/>
      <c r="M520" s="13"/>
      <c r="N520" s="13"/>
      <c r="O520" s="13"/>
      <c r="P520" s="13"/>
      <c r="Q520" s="13"/>
      <c r="R520" s="13"/>
      <c r="S520" s="13"/>
      <c r="T520" s="13"/>
      <c r="U520" s="13"/>
      <c r="V520" s="13"/>
      <c r="W520" s="13"/>
      <c r="X520" s="13"/>
      <c r="Y520" s="13"/>
      <c r="Z520" s="13"/>
      <c r="AB520" s="40"/>
      <c r="AC520" s="40"/>
      <c r="AD520" s="40"/>
      <c r="AE520" s="40"/>
      <c r="AF520" s="5"/>
    </row>
    <row r="521" spans="8:32" x14ac:dyDescent="0.2">
      <c r="H521" s="13"/>
      <c r="I521" s="13"/>
      <c r="J521" s="13"/>
      <c r="K521" s="13"/>
      <c r="L521" s="13"/>
      <c r="M521" s="13"/>
      <c r="N521" s="13"/>
      <c r="O521" s="13"/>
      <c r="P521" s="13"/>
      <c r="Q521" s="13"/>
      <c r="R521" s="13"/>
      <c r="S521" s="13"/>
      <c r="T521" s="13"/>
      <c r="U521" s="13"/>
      <c r="V521" s="13"/>
      <c r="W521" s="13"/>
      <c r="X521" s="13"/>
      <c r="Y521" s="13"/>
      <c r="Z521" s="13"/>
      <c r="AB521" s="40"/>
      <c r="AC521" s="40"/>
      <c r="AD521" s="40"/>
      <c r="AE521" s="40"/>
      <c r="AF521" s="5"/>
    </row>
    <row r="522" spans="8:32" x14ac:dyDescent="0.2">
      <c r="H522"/>
      <c r="AB522" s="40"/>
      <c r="AC522" s="40"/>
      <c r="AD522" s="40"/>
      <c r="AE522" s="40"/>
      <c r="AF522" s="5"/>
    </row>
    <row r="523" spans="8:32" x14ac:dyDescent="0.2">
      <c r="H523" s="13"/>
      <c r="I523" s="13"/>
      <c r="J523" s="13"/>
      <c r="K523" s="13"/>
      <c r="L523" s="13"/>
      <c r="M523" s="13"/>
      <c r="N523" s="13"/>
      <c r="O523" s="13"/>
      <c r="P523" s="13"/>
      <c r="Q523" s="13"/>
      <c r="R523" s="13"/>
      <c r="S523" s="13"/>
      <c r="T523" s="13"/>
      <c r="U523" s="13"/>
      <c r="V523" s="13"/>
      <c r="W523" s="13"/>
      <c r="X523" s="13"/>
      <c r="Y523" s="13"/>
      <c r="Z523" s="13"/>
      <c r="AB523" s="40"/>
      <c r="AC523" s="40"/>
      <c r="AD523" s="40"/>
      <c r="AE523" s="40"/>
      <c r="AF523" s="5"/>
    </row>
    <row r="524" spans="8:32" x14ac:dyDescent="0.2">
      <c r="H524"/>
      <c r="AB524" s="40"/>
      <c r="AC524" s="40"/>
      <c r="AD524" s="40"/>
      <c r="AE524" s="40"/>
      <c r="AF524" s="5"/>
    </row>
    <row r="525" spans="8:32" x14ac:dyDescent="0.2">
      <c r="H525" s="13"/>
      <c r="I525" s="13"/>
      <c r="J525" s="13"/>
      <c r="K525" s="13"/>
      <c r="L525" s="13"/>
      <c r="M525" s="13"/>
      <c r="N525" s="13"/>
      <c r="O525" s="13"/>
      <c r="P525" s="13"/>
      <c r="Q525" s="13"/>
      <c r="R525" s="13"/>
      <c r="S525" s="13"/>
      <c r="T525" s="13"/>
      <c r="U525" s="13"/>
      <c r="V525" s="13"/>
      <c r="W525" s="13"/>
      <c r="X525" s="13"/>
      <c r="Y525" s="13"/>
      <c r="Z525" s="13"/>
      <c r="AB525" s="40"/>
      <c r="AC525" s="40"/>
      <c r="AD525" s="40"/>
      <c r="AE525" s="40"/>
      <c r="AF525" s="5"/>
    </row>
    <row r="526" spans="8:32" x14ac:dyDescent="0.2">
      <c r="H526" s="13"/>
      <c r="I526" s="13"/>
      <c r="J526" s="13"/>
      <c r="K526" s="13"/>
      <c r="L526" s="13"/>
      <c r="M526" s="13"/>
      <c r="N526" s="13"/>
      <c r="O526" s="13"/>
      <c r="P526" s="13"/>
      <c r="Q526" s="13"/>
      <c r="R526" s="13"/>
      <c r="S526" s="13"/>
      <c r="T526" s="13"/>
      <c r="U526" s="13"/>
      <c r="V526" s="13"/>
      <c r="W526" s="13"/>
      <c r="X526" s="13"/>
      <c r="Y526" s="13"/>
      <c r="Z526" s="13"/>
      <c r="AB526" s="40"/>
      <c r="AC526" s="40"/>
      <c r="AD526" s="40"/>
      <c r="AE526" s="40"/>
      <c r="AF526" s="5"/>
    </row>
    <row r="527" spans="8:32" x14ac:dyDescent="0.2">
      <c r="H527" s="13"/>
      <c r="I527" s="13"/>
      <c r="J527" s="13"/>
      <c r="K527" s="13"/>
      <c r="L527" s="13"/>
      <c r="M527" s="13"/>
      <c r="N527" s="13"/>
      <c r="O527" s="13"/>
      <c r="P527" s="13"/>
      <c r="Q527" s="13"/>
      <c r="R527" s="13"/>
      <c r="S527" s="13"/>
      <c r="T527" s="13"/>
      <c r="U527" s="13"/>
      <c r="V527" s="13"/>
      <c r="W527" s="13"/>
      <c r="X527" s="13"/>
      <c r="Y527" s="13"/>
      <c r="Z527" s="13"/>
      <c r="AB527" s="40"/>
      <c r="AC527" s="40"/>
      <c r="AD527" s="40"/>
      <c r="AE527" s="40"/>
      <c r="AF527" s="5"/>
    </row>
    <row r="528" spans="8:32" x14ac:dyDescent="0.2">
      <c r="H528" s="13"/>
      <c r="I528" s="13"/>
      <c r="J528" s="13"/>
      <c r="K528" s="13"/>
      <c r="L528" s="13"/>
      <c r="M528" s="13"/>
      <c r="N528" s="13"/>
      <c r="O528" s="13"/>
      <c r="P528" s="13"/>
      <c r="Q528" s="13"/>
      <c r="R528" s="13"/>
      <c r="S528" s="13"/>
      <c r="T528" s="13"/>
      <c r="U528" s="13"/>
      <c r="V528" s="13"/>
      <c r="W528" s="13"/>
      <c r="X528" s="13"/>
      <c r="Y528" s="13"/>
      <c r="Z528" s="13"/>
      <c r="AB528" s="40"/>
      <c r="AC528" s="40"/>
      <c r="AD528" s="40"/>
      <c r="AE528" s="40"/>
      <c r="AF528" s="5"/>
    </row>
    <row r="529" spans="8:32" x14ac:dyDescent="0.2">
      <c r="H529"/>
      <c r="AB529" s="40"/>
      <c r="AC529" s="40"/>
      <c r="AD529" s="40"/>
      <c r="AE529" s="40"/>
      <c r="AF529" s="5"/>
    </row>
    <row r="530" spans="8:32" x14ac:dyDescent="0.2">
      <c r="H530" s="13"/>
      <c r="I530" s="13"/>
      <c r="J530" s="13"/>
      <c r="K530" s="13"/>
      <c r="L530" s="13"/>
      <c r="M530" s="13"/>
      <c r="N530" s="13"/>
      <c r="O530" s="13"/>
      <c r="P530" s="13"/>
      <c r="Q530" s="13"/>
      <c r="R530" s="13"/>
      <c r="S530" s="13"/>
      <c r="T530" s="13"/>
      <c r="U530" s="13"/>
      <c r="V530" s="13"/>
      <c r="W530" s="13"/>
      <c r="X530" s="13"/>
      <c r="Y530" s="13"/>
      <c r="Z530" s="13"/>
      <c r="AB530" s="40"/>
      <c r="AC530" s="40"/>
      <c r="AD530" s="40"/>
      <c r="AE530" s="40"/>
      <c r="AF530" s="5"/>
    </row>
    <row r="531" spans="8:32" x14ac:dyDescent="0.2">
      <c r="H531" s="13"/>
      <c r="I531" s="13"/>
      <c r="J531" s="13"/>
      <c r="K531" s="13"/>
      <c r="L531" s="13"/>
      <c r="M531" s="13"/>
      <c r="N531" s="13"/>
      <c r="O531" s="13"/>
      <c r="P531" s="13"/>
      <c r="Q531" s="13"/>
      <c r="R531" s="13"/>
      <c r="S531" s="13"/>
      <c r="T531" s="13"/>
      <c r="U531" s="13"/>
      <c r="V531" s="13"/>
      <c r="W531" s="13"/>
      <c r="X531" s="13"/>
      <c r="Y531" s="13"/>
      <c r="Z531" s="13"/>
      <c r="AB531" s="40"/>
      <c r="AC531" s="40"/>
      <c r="AD531" s="40"/>
      <c r="AE531" s="40"/>
      <c r="AF531" s="5"/>
    </row>
    <row r="532" spans="8:32" x14ac:dyDescent="0.2">
      <c r="H532" s="13"/>
      <c r="I532" s="13"/>
      <c r="J532" s="13"/>
      <c r="K532" s="13"/>
      <c r="L532" s="13"/>
      <c r="M532" s="13"/>
      <c r="N532" s="13"/>
      <c r="O532" s="13"/>
      <c r="P532" s="13"/>
      <c r="Q532" s="13"/>
      <c r="R532" s="13"/>
      <c r="S532" s="13"/>
      <c r="T532" s="13"/>
      <c r="U532" s="13"/>
      <c r="V532" s="13"/>
      <c r="W532" s="13"/>
      <c r="X532" s="13"/>
      <c r="Y532" s="13"/>
      <c r="Z532" s="13"/>
      <c r="AB532" s="40"/>
      <c r="AC532" s="40"/>
      <c r="AD532" s="40"/>
      <c r="AE532" s="40"/>
      <c r="AF532" s="5"/>
    </row>
    <row r="533" spans="8:32" x14ac:dyDescent="0.2">
      <c r="H533" s="13"/>
      <c r="I533" s="13"/>
      <c r="J533" s="13"/>
      <c r="K533" s="13"/>
      <c r="L533" s="13"/>
      <c r="M533" s="13"/>
      <c r="N533" s="13"/>
      <c r="O533" s="13"/>
      <c r="P533" s="13"/>
      <c r="Q533" s="13"/>
      <c r="R533" s="13"/>
      <c r="S533" s="13"/>
      <c r="T533" s="13"/>
      <c r="U533" s="13"/>
      <c r="V533" s="13"/>
      <c r="W533" s="13"/>
      <c r="X533" s="13"/>
      <c r="Y533" s="13"/>
      <c r="Z533" s="13"/>
      <c r="AB533" s="40"/>
      <c r="AC533" s="40"/>
      <c r="AD533" s="40"/>
      <c r="AE533" s="40"/>
      <c r="AF533" s="5"/>
    </row>
    <row r="534" spans="8:32" x14ac:dyDescent="0.2">
      <c r="H534"/>
      <c r="AB534" s="40"/>
      <c r="AC534" s="40"/>
      <c r="AD534" s="40"/>
      <c r="AE534" s="40"/>
      <c r="AF534" s="5"/>
    </row>
    <row r="535" spans="8:32" x14ac:dyDescent="0.2">
      <c r="H535" s="13"/>
      <c r="I535" s="13"/>
      <c r="J535" s="13"/>
      <c r="K535" s="13"/>
      <c r="L535" s="13"/>
      <c r="M535" s="13"/>
      <c r="N535" s="13"/>
      <c r="O535" s="13"/>
      <c r="P535" s="13"/>
      <c r="Q535" s="13"/>
      <c r="R535" s="13"/>
      <c r="S535" s="13"/>
      <c r="T535" s="13"/>
      <c r="U535" s="13"/>
      <c r="V535" s="13"/>
      <c r="W535" s="13"/>
      <c r="X535" s="13"/>
      <c r="Y535" s="13"/>
      <c r="Z535" s="13"/>
      <c r="AB535" s="40"/>
      <c r="AC535" s="40"/>
      <c r="AD535" s="40"/>
      <c r="AE535" s="40"/>
      <c r="AF535" s="5"/>
    </row>
    <row r="536" spans="8:32" x14ac:dyDescent="0.2">
      <c r="H536" s="13"/>
      <c r="I536" s="13"/>
      <c r="J536" s="13"/>
      <c r="K536" s="13"/>
      <c r="L536" s="13"/>
      <c r="M536" s="13"/>
      <c r="N536" s="13"/>
      <c r="O536" s="13"/>
      <c r="P536" s="13"/>
      <c r="Q536" s="13"/>
      <c r="R536" s="13"/>
      <c r="S536" s="13"/>
      <c r="T536" s="13"/>
      <c r="U536" s="13"/>
      <c r="V536" s="13"/>
      <c r="W536" s="13"/>
      <c r="X536" s="13"/>
      <c r="Y536" s="13"/>
      <c r="Z536" s="13"/>
      <c r="AB536" s="40"/>
      <c r="AC536" s="40"/>
      <c r="AD536" s="40"/>
      <c r="AE536" s="40"/>
      <c r="AF536" s="5"/>
    </row>
    <row r="537" spans="8:32" x14ac:dyDescent="0.2">
      <c r="H537"/>
      <c r="AB537" s="40"/>
      <c r="AC537" s="40"/>
      <c r="AD537" s="40"/>
      <c r="AE537" s="40"/>
      <c r="AF537" s="5"/>
    </row>
    <row r="538" spans="8:32" x14ac:dyDescent="0.2">
      <c r="H538" s="13"/>
      <c r="I538" s="13"/>
      <c r="J538" s="13"/>
      <c r="K538" s="13"/>
      <c r="L538" s="13"/>
      <c r="M538" s="13"/>
      <c r="N538" s="13"/>
      <c r="O538" s="13"/>
      <c r="P538" s="13"/>
      <c r="Q538" s="13"/>
      <c r="R538" s="13"/>
      <c r="S538" s="13"/>
      <c r="T538" s="13"/>
      <c r="U538" s="13"/>
      <c r="V538" s="13"/>
      <c r="W538" s="13"/>
      <c r="X538" s="13"/>
      <c r="Y538" s="13"/>
      <c r="Z538" s="13"/>
      <c r="AB538" s="40"/>
      <c r="AC538" s="40"/>
      <c r="AD538" s="40"/>
      <c r="AE538" s="40"/>
      <c r="AF538" s="5"/>
    </row>
    <row r="539" spans="8:32" x14ac:dyDescent="0.2">
      <c r="H539"/>
      <c r="AB539" s="40"/>
      <c r="AC539" s="40"/>
      <c r="AD539" s="40"/>
      <c r="AE539" s="40"/>
      <c r="AF539" s="5"/>
    </row>
    <row r="540" spans="8:32" x14ac:dyDescent="0.2">
      <c r="H540" s="13"/>
      <c r="I540" s="13"/>
      <c r="J540" s="13"/>
      <c r="K540" s="13"/>
      <c r="L540" s="13"/>
      <c r="M540" s="13"/>
      <c r="N540" s="13"/>
      <c r="O540" s="13"/>
      <c r="P540" s="13"/>
      <c r="Q540" s="13"/>
      <c r="R540" s="13"/>
      <c r="S540" s="13"/>
      <c r="T540" s="13"/>
      <c r="U540" s="13"/>
      <c r="V540" s="13"/>
      <c r="W540" s="13"/>
      <c r="X540" s="13"/>
      <c r="Y540" s="13"/>
      <c r="Z540" s="13"/>
      <c r="AB540" s="40"/>
      <c r="AC540" s="40"/>
      <c r="AD540" s="40"/>
      <c r="AE540" s="40"/>
      <c r="AF540" s="5"/>
    </row>
    <row r="541" spans="8:32" x14ac:dyDescent="0.2">
      <c r="H541" s="13"/>
      <c r="I541" s="13"/>
      <c r="J541" s="13"/>
      <c r="K541" s="13"/>
      <c r="L541" s="13"/>
      <c r="M541" s="13"/>
      <c r="N541" s="13"/>
      <c r="O541" s="13"/>
      <c r="P541" s="13"/>
      <c r="Q541" s="13"/>
      <c r="R541" s="13"/>
      <c r="S541" s="13"/>
      <c r="T541" s="13"/>
      <c r="U541" s="13"/>
      <c r="V541" s="13"/>
      <c r="W541" s="13"/>
      <c r="X541" s="13"/>
      <c r="Y541" s="13"/>
      <c r="Z541" s="13"/>
      <c r="AB541" s="40"/>
      <c r="AC541" s="40"/>
      <c r="AD541" s="40"/>
      <c r="AE541" s="40"/>
      <c r="AF541" s="5"/>
    </row>
    <row r="542" spans="8:32" x14ac:dyDescent="0.2">
      <c r="H542"/>
      <c r="AB542" s="40"/>
      <c r="AC542" s="40"/>
      <c r="AD542" s="40"/>
      <c r="AE542" s="40"/>
      <c r="AF542" s="5"/>
    </row>
    <row r="543" spans="8:32" x14ac:dyDescent="0.2">
      <c r="H543" s="13"/>
      <c r="I543" s="13"/>
      <c r="J543" s="13"/>
      <c r="K543" s="13"/>
      <c r="L543" s="13"/>
      <c r="M543" s="13"/>
      <c r="N543" s="13"/>
      <c r="O543" s="13"/>
      <c r="P543" s="13"/>
      <c r="Q543" s="13"/>
      <c r="R543" s="13"/>
      <c r="S543" s="13"/>
      <c r="T543" s="13"/>
      <c r="U543" s="13"/>
      <c r="V543" s="13"/>
      <c r="W543" s="13"/>
      <c r="X543" s="13"/>
      <c r="Y543" s="13"/>
      <c r="Z543" s="13"/>
      <c r="AB543" s="40"/>
      <c r="AC543" s="40"/>
      <c r="AD543" s="40"/>
      <c r="AE543" s="40"/>
      <c r="AF543" s="5"/>
    </row>
    <row r="544" spans="8:32" x14ac:dyDescent="0.2">
      <c r="H544" s="13"/>
      <c r="I544" s="13"/>
      <c r="J544" s="13"/>
      <c r="K544" s="13"/>
      <c r="L544" s="13"/>
      <c r="M544" s="13"/>
      <c r="N544" s="13"/>
      <c r="O544" s="13"/>
      <c r="P544" s="13"/>
      <c r="Q544" s="13"/>
      <c r="R544" s="13"/>
      <c r="S544" s="13"/>
      <c r="T544" s="13"/>
      <c r="U544" s="13"/>
      <c r="V544" s="13"/>
      <c r="W544" s="13"/>
      <c r="X544" s="13"/>
      <c r="Y544" s="13"/>
      <c r="Z544" s="13"/>
      <c r="AB544" s="40"/>
      <c r="AC544" s="40"/>
      <c r="AD544" s="40"/>
      <c r="AE544" s="40"/>
      <c r="AF544" s="5"/>
    </row>
    <row r="545" spans="8:32" x14ac:dyDescent="0.2">
      <c r="H545" s="13"/>
      <c r="I545" s="13"/>
      <c r="J545" s="13"/>
      <c r="K545" s="13"/>
      <c r="L545" s="13"/>
      <c r="M545" s="13"/>
      <c r="N545" s="13"/>
      <c r="O545" s="13"/>
      <c r="P545" s="13"/>
      <c r="Q545" s="13"/>
      <c r="R545" s="13"/>
      <c r="S545" s="13"/>
      <c r="T545" s="13"/>
      <c r="U545" s="13"/>
      <c r="V545" s="13"/>
      <c r="W545" s="13"/>
      <c r="X545" s="13"/>
      <c r="Y545" s="13"/>
      <c r="Z545" s="13"/>
      <c r="AB545" s="40"/>
      <c r="AC545" s="40"/>
      <c r="AD545" s="40"/>
      <c r="AE545" s="40"/>
      <c r="AF545" s="5"/>
    </row>
    <row r="546" spans="8:32" x14ac:dyDescent="0.2">
      <c r="H546" s="13"/>
      <c r="I546" s="13"/>
      <c r="J546" s="13"/>
      <c r="K546" s="13"/>
      <c r="L546" s="13"/>
      <c r="M546" s="13"/>
      <c r="N546" s="13"/>
      <c r="O546" s="13"/>
      <c r="P546" s="13"/>
      <c r="Q546" s="13"/>
      <c r="R546" s="13"/>
      <c r="S546" s="13"/>
      <c r="T546" s="13"/>
      <c r="U546" s="13"/>
      <c r="V546" s="13"/>
      <c r="W546" s="13"/>
      <c r="X546" s="13"/>
      <c r="Y546" s="13"/>
      <c r="Z546" s="13"/>
      <c r="AB546" s="40"/>
      <c r="AC546" s="40"/>
      <c r="AD546" s="40"/>
      <c r="AE546" s="40"/>
      <c r="AF546" s="5"/>
    </row>
    <row r="547" spans="8:32" x14ac:dyDescent="0.2">
      <c r="H547" s="13"/>
      <c r="I547" s="13"/>
      <c r="J547" s="13"/>
      <c r="K547" s="13"/>
      <c r="L547" s="13"/>
      <c r="M547" s="13"/>
      <c r="N547" s="13"/>
      <c r="O547" s="13"/>
      <c r="P547" s="13"/>
      <c r="Q547" s="13"/>
      <c r="R547" s="13"/>
      <c r="S547" s="13"/>
      <c r="T547" s="13"/>
      <c r="U547" s="13"/>
      <c r="V547" s="13"/>
      <c r="W547" s="13"/>
      <c r="X547" s="13"/>
      <c r="Y547" s="13"/>
      <c r="Z547" s="13"/>
      <c r="AB547" s="40"/>
      <c r="AC547" s="40"/>
      <c r="AD547" s="40"/>
      <c r="AE547" s="40"/>
      <c r="AF547" s="5"/>
    </row>
    <row r="548" spans="8:32" x14ac:dyDescent="0.2">
      <c r="H548" s="13"/>
      <c r="I548" s="13"/>
      <c r="J548" s="13"/>
      <c r="K548" s="13"/>
      <c r="L548" s="13"/>
      <c r="M548" s="13"/>
      <c r="N548" s="13"/>
      <c r="O548" s="13"/>
      <c r="P548" s="13"/>
      <c r="Q548" s="13"/>
      <c r="R548" s="13"/>
      <c r="S548" s="13"/>
      <c r="T548" s="13"/>
      <c r="U548" s="13"/>
      <c r="V548" s="13"/>
      <c r="W548" s="13"/>
      <c r="X548" s="13"/>
      <c r="Y548" s="13"/>
      <c r="Z548" s="13"/>
      <c r="AB548" s="40"/>
      <c r="AC548" s="40"/>
      <c r="AD548" s="40"/>
      <c r="AE548" s="40"/>
      <c r="AF548" s="5"/>
    </row>
    <row r="549" spans="8:32" x14ac:dyDescent="0.2">
      <c r="H549" s="13"/>
      <c r="I549" s="13"/>
      <c r="J549" s="13"/>
      <c r="K549" s="13"/>
      <c r="L549" s="13"/>
      <c r="M549" s="13"/>
      <c r="N549" s="13"/>
      <c r="O549" s="13"/>
      <c r="P549" s="13"/>
      <c r="Q549" s="13"/>
      <c r="R549" s="13"/>
      <c r="S549" s="13"/>
      <c r="T549" s="13"/>
      <c r="U549" s="13"/>
      <c r="V549" s="13"/>
      <c r="W549" s="13"/>
      <c r="X549" s="13"/>
      <c r="Y549" s="13"/>
      <c r="Z549" s="13"/>
      <c r="AB549" s="40"/>
      <c r="AC549" s="40"/>
      <c r="AD549" s="40"/>
      <c r="AE549" s="40"/>
      <c r="AF549" s="5"/>
    </row>
    <row r="550" spans="8:32" x14ac:dyDescent="0.2">
      <c r="H550" s="13"/>
      <c r="I550" s="13"/>
      <c r="J550" s="13"/>
      <c r="K550" s="13"/>
      <c r="L550" s="13"/>
      <c r="M550" s="13"/>
      <c r="N550" s="13"/>
      <c r="O550" s="13"/>
      <c r="P550" s="13"/>
      <c r="Q550" s="13"/>
      <c r="R550" s="13"/>
      <c r="S550" s="13"/>
      <c r="T550" s="13"/>
      <c r="U550" s="13"/>
      <c r="V550" s="13"/>
      <c r="W550" s="13"/>
      <c r="X550" s="13"/>
      <c r="Y550" s="13"/>
      <c r="Z550" s="13"/>
      <c r="AB550" s="40"/>
      <c r="AC550" s="40"/>
      <c r="AD550" s="40"/>
      <c r="AE550" s="40"/>
      <c r="AF550" s="5"/>
    </row>
    <row r="551" spans="8:32" x14ac:dyDescent="0.2">
      <c r="H551" s="13"/>
      <c r="I551" s="13"/>
      <c r="J551" s="13"/>
      <c r="K551" s="13"/>
      <c r="L551" s="13"/>
      <c r="M551" s="13"/>
      <c r="N551" s="13"/>
      <c r="O551" s="13"/>
      <c r="P551" s="13"/>
      <c r="Q551" s="13"/>
      <c r="R551" s="13"/>
      <c r="S551" s="13"/>
      <c r="T551" s="13"/>
      <c r="U551" s="13"/>
      <c r="V551" s="13"/>
      <c r="W551" s="13"/>
      <c r="X551" s="13"/>
      <c r="Y551" s="13"/>
      <c r="Z551" s="13"/>
      <c r="AB551" s="40"/>
      <c r="AC551" s="40"/>
      <c r="AD551" s="40"/>
      <c r="AE551" s="40"/>
      <c r="AF551" s="5"/>
    </row>
    <row r="552" spans="8:32" x14ac:dyDescent="0.2">
      <c r="H552" s="13"/>
      <c r="I552" s="13"/>
      <c r="J552" s="13"/>
      <c r="K552" s="13"/>
      <c r="L552" s="13"/>
      <c r="M552" s="13"/>
      <c r="N552" s="13"/>
      <c r="O552" s="13"/>
      <c r="P552" s="13"/>
      <c r="Q552" s="13"/>
      <c r="R552" s="13"/>
      <c r="S552" s="13"/>
      <c r="T552" s="13"/>
      <c r="U552" s="13"/>
      <c r="V552" s="13"/>
      <c r="W552" s="13"/>
      <c r="X552" s="13"/>
      <c r="Y552" s="13"/>
      <c r="Z552" s="13"/>
      <c r="AB552" s="40"/>
      <c r="AC552" s="40"/>
      <c r="AD552" s="40"/>
      <c r="AE552" s="40"/>
      <c r="AF552" s="5"/>
    </row>
    <row r="553" spans="8:32" x14ac:dyDescent="0.2">
      <c r="H553" s="13"/>
      <c r="I553" s="13"/>
      <c r="J553" s="13"/>
      <c r="K553" s="13"/>
      <c r="L553" s="13"/>
      <c r="M553" s="13"/>
      <c r="N553" s="13"/>
      <c r="O553" s="13"/>
      <c r="P553" s="13"/>
      <c r="Q553" s="13"/>
      <c r="R553" s="13"/>
      <c r="S553" s="13"/>
      <c r="T553" s="13"/>
      <c r="U553" s="13"/>
      <c r="V553" s="13"/>
      <c r="W553" s="13"/>
      <c r="X553" s="13"/>
      <c r="Y553" s="13"/>
      <c r="Z553" s="13"/>
      <c r="AB553" s="40"/>
      <c r="AC553" s="40"/>
      <c r="AD553" s="40"/>
      <c r="AE553" s="40"/>
      <c r="AF553" s="5"/>
    </row>
    <row r="554" spans="8:32" x14ac:dyDescent="0.2">
      <c r="H554"/>
      <c r="AB554" s="40"/>
      <c r="AC554" s="40"/>
      <c r="AD554" s="40"/>
      <c r="AE554" s="40"/>
      <c r="AF554" s="5"/>
    </row>
    <row r="555" spans="8:32" x14ac:dyDescent="0.2">
      <c r="H555" s="13"/>
      <c r="I555" s="13"/>
      <c r="J555" s="13"/>
      <c r="K555" s="13"/>
      <c r="L555" s="13"/>
      <c r="M555" s="13"/>
      <c r="N555" s="13"/>
      <c r="O555" s="13"/>
      <c r="P555" s="13"/>
      <c r="Q555" s="13"/>
      <c r="R555" s="13"/>
      <c r="S555" s="13"/>
      <c r="T555" s="13"/>
      <c r="U555" s="13"/>
      <c r="V555" s="13"/>
      <c r="W555" s="13"/>
      <c r="X555" s="13"/>
      <c r="Y555" s="13"/>
      <c r="Z555" s="13"/>
      <c r="AB555" s="40"/>
      <c r="AC555" s="40"/>
      <c r="AD555" s="40"/>
      <c r="AE555" s="40"/>
      <c r="AF555" s="5"/>
    </row>
    <row r="556" spans="8:32" x14ac:dyDescent="0.2">
      <c r="H556" s="13"/>
      <c r="I556" s="13"/>
      <c r="J556" s="13"/>
      <c r="K556" s="13"/>
      <c r="L556" s="13"/>
      <c r="M556" s="13"/>
      <c r="N556" s="13"/>
      <c r="O556" s="13"/>
      <c r="P556" s="13"/>
      <c r="Q556" s="13"/>
      <c r="R556" s="13"/>
      <c r="S556" s="13"/>
      <c r="T556" s="13"/>
      <c r="U556" s="13"/>
      <c r="V556" s="13"/>
      <c r="W556" s="13"/>
      <c r="X556" s="13"/>
      <c r="Y556" s="13"/>
      <c r="Z556" s="13"/>
      <c r="AB556" s="40"/>
      <c r="AC556" s="40"/>
      <c r="AD556" s="40"/>
      <c r="AE556" s="40"/>
      <c r="AF556" s="5"/>
    </row>
    <row r="557" spans="8:32" x14ac:dyDescent="0.2">
      <c r="H557" s="13"/>
      <c r="I557" s="13"/>
      <c r="J557" s="13"/>
      <c r="K557" s="13"/>
      <c r="L557" s="13"/>
      <c r="M557" s="13"/>
      <c r="N557" s="13"/>
      <c r="O557" s="13"/>
      <c r="P557" s="13"/>
      <c r="Q557" s="13"/>
      <c r="R557" s="13"/>
      <c r="S557" s="13"/>
      <c r="T557" s="13"/>
      <c r="U557" s="13"/>
      <c r="V557" s="13"/>
      <c r="W557" s="13"/>
      <c r="X557" s="13"/>
      <c r="Y557" s="13"/>
      <c r="Z557" s="13"/>
      <c r="AB557" s="40"/>
      <c r="AC557" s="40"/>
      <c r="AD557" s="40"/>
      <c r="AE557" s="40"/>
      <c r="AF557" s="5"/>
    </row>
    <row r="558" spans="8:32" x14ac:dyDescent="0.2">
      <c r="H558" s="13"/>
      <c r="I558" s="13"/>
      <c r="J558" s="13"/>
      <c r="K558" s="13"/>
      <c r="L558" s="13"/>
      <c r="M558" s="13"/>
      <c r="N558" s="13"/>
      <c r="O558" s="13"/>
      <c r="P558" s="13"/>
      <c r="Q558" s="13"/>
      <c r="R558" s="13"/>
      <c r="S558" s="13"/>
      <c r="T558" s="13"/>
      <c r="U558" s="13"/>
      <c r="V558" s="13"/>
      <c r="W558" s="13"/>
      <c r="X558" s="13"/>
      <c r="Y558" s="13"/>
      <c r="Z558" s="13"/>
      <c r="AB558" s="40"/>
      <c r="AC558" s="40"/>
      <c r="AD558" s="40"/>
      <c r="AE558" s="40"/>
      <c r="AF558" s="5"/>
    </row>
    <row r="559" spans="8:32" x14ac:dyDescent="0.2">
      <c r="H559" s="13"/>
      <c r="I559" s="13"/>
      <c r="J559" s="13"/>
      <c r="K559" s="13"/>
      <c r="L559" s="13"/>
      <c r="M559" s="13"/>
      <c r="N559" s="13"/>
      <c r="O559" s="13"/>
      <c r="P559" s="13"/>
      <c r="Q559" s="13"/>
      <c r="R559" s="13"/>
      <c r="S559" s="13"/>
      <c r="T559" s="13"/>
      <c r="U559" s="13"/>
      <c r="V559" s="13"/>
      <c r="W559" s="13"/>
      <c r="X559" s="13"/>
      <c r="Y559" s="13"/>
      <c r="Z559" s="13"/>
      <c r="AB559" s="40"/>
      <c r="AC559" s="40"/>
      <c r="AD559" s="40"/>
      <c r="AE559" s="40"/>
      <c r="AF559" s="5"/>
    </row>
    <row r="560" spans="8:32" x14ac:dyDescent="0.2">
      <c r="H560" s="13"/>
      <c r="I560" s="13"/>
      <c r="J560" s="13"/>
      <c r="K560" s="13"/>
      <c r="L560" s="13"/>
      <c r="M560" s="13"/>
      <c r="N560" s="13"/>
      <c r="O560" s="13"/>
      <c r="P560" s="13"/>
      <c r="Q560" s="13"/>
      <c r="R560" s="13"/>
      <c r="S560" s="13"/>
      <c r="T560" s="13"/>
      <c r="U560" s="13"/>
      <c r="V560" s="13"/>
      <c r="W560" s="13"/>
      <c r="X560" s="13"/>
      <c r="Y560" s="13"/>
      <c r="Z560" s="13"/>
      <c r="AB560" s="40"/>
      <c r="AC560" s="40"/>
      <c r="AD560" s="40"/>
      <c r="AE560" s="40"/>
      <c r="AF560" s="5"/>
    </row>
    <row r="561" spans="8:32" x14ac:dyDescent="0.2">
      <c r="H561" s="13"/>
      <c r="I561" s="13"/>
      <c r="J561" s="13"/>
      <c r="K561" s="13"/>
      <c r="L561" s="13"/>
      <c r="M561" s="13"/>
      <c r="N561" s="13"/>
      <c r="O561" s="13"/>
      <c r="P561" s="13"/>
      <c r="Q561" s="13"/>
      <c r="R561" s="13"/>
      <c r="S561" s="13"/>
      <c r="T561" s="13"/>
      <c r="U561" s="13"/>
      <c r="V561" s="13"/>
      <c r="W561" s="13"/>
      <c r="X561" s="13"/>
      <c r="Y561" s="13"/>
      <c r="Z561" s="13"/>
      <c r="AB561" s="40"/>
      <c r="AC561" s="40"/>
      <c r="AD561" s="40"/>
      <c r="AE561" s="40"/>
      <c r="AF561" s="5"/>
    </row>
    <row r="562" spans="8:32" x14ac:dyDescent="0.2">
      <c r="H562" s="13"/>
      <c r="I562" s="13"/>
      <c r="J562" s="13"/>
      <c r="K562" s="13"/>
      <c r="L562" s="13"/>
      <c r="M562" s="13"/>
      <c r="N562" s="13"/>
      <c r="O562" s="13"/>
      <c r="P562" s="13"/>
      <c r="Q562" s="13"/>
      <c r="R562" s="13"/>
      <c r="S562" s="13"/>
      <c r="T562" s="13"/>
      <c r="U562" s="13"/>
      <c r="V562" s="13"/>
      <c r="W562" s="13"/>
      <c r="X562" s="13"/>
      <c r="Y562" s="13"/>
      <c r="Z562" s="13"/>
      <c r="AB562" s="40"/>
      <c r="AC562" s="40"/>
      <c r="AD562" s="40"/>
      <c r="AE562" s="40"/>
      <c r="AF562" s="5"/>
    </row>
    <row r="563" spans="8:32" x14ac:dyDescent="0.2">
      <c r="H563" s="13"/>
      <c r="I563" s="13"/>
      <c r="J563" s="13"/>
      <c r="K563" s="13"/>
      <c r="L563" s="13"/>
      <c r="M563" s="13"/>
      <c r="N563" s="13"/>
      <c r="O563" s="13"/>
      <c r="P563" s="13"/>
      <c r="Q563" s="13"/>
      <c r="R563" s="13"/>
      <c r="S563" s="13"/>
      <c r="T563" s="13"/>
      <c r="U563" s="13"/>
      <c r="V563" s="13"/>
      <c r="W563" s="13"/>
      <c r="X563" s="13"/>
      <c r="Y563" s="13"/>
      <c r="Z563" s="13"/>
      <c r="AB563" s="40"/>
      <c r="AC563" s="40"/>
      <c r="AD563" s="40"/>
      <c r="AE563" s="40"/>
      <c r="AF563" s="5"/>
    </row>
    <row r="564" spans="8:32" x14ac:dyDescent="0.2">
      <c r="H564" s="13"/>
      <c r="I564" s="13"/>
      <c r="J564" s="13"/>
      <c r="K564" s="13"/>
      <c r="L564" s="13"/>
      <c r="M564" s="13"/>
      <c r="N564" s="13"/>
      <c r="O564" s="13"/>
      <c r="P564" s="13"/>
      <c r="Q564" s="13"/>
      <c r="R564" s="13"/>
      <c r="S564" s="13"/>
      <c r="T564" s="13"/>
      <c r="U564" s="13"/>
      <c r="V564" s="13"/>
      <c r="W564" s="13"/>
      <c r="X564" s="13"/>
      <c r="Y564" s="13"/>
      <c r="Z564" s="13"/>
      <c r="AB564" s="40"/>
      <c r="AC564" s="40"/>
      <c r="AD564" s="40"/>
      <c r="AE564" s="40"/>
      <c r="AF564" s="5"/>
    </row>
    <row r="565" spans="8:32" x14ac:dyDescent="0.2">
      <c r="H565"/>
      <c r="AB565" s="40"/>
      <c r="AC565" s="40"/>
      <c r="AD565" s="40"/>
      <c r="AE565" s="40"/>
      <c r="AF565" s="5"/>
    </row>
    <row r="566" spans="8:32" x14ac:dyDescent="0.2">
      <c r="H566" s="13"/>
      <c r="I566" s="13"/>
      <c r="J566" s="13"/>
      <c r="K566" s="13"/>
      <c r="L566" s="13"/>
      <c r="M566" s="13"/>
      <c r="N566" s="13"/>
      <c r="O566" s="13"/>
      <c r="P566" s="13"/>
      <c r="Q566" s="13"/>
      <c r="R566" s="13"/>
      <c r="S566" s="13"/>
      <c r="T566" s="13"/>
      <c r="U566" s="13"/>
      <c r="V566" s="13"/>
      <c r="W566" s="13"/>
      <c r="X566" s="13"/>
      <c r="Y566" s="13"/>
      <c r="Z566" s="13"/>
      <c r="AB566" s="40"/>
      <c r="AC566" s="40"/>
      <c r="AD566" s="40"/>
      <c r="AE566" s="40"/>
      <c r="AF566" s="5"/>
    </row>
    <row r="567" spans="8:32" x14ac:dyDescent="0.2">
      <c r="H567" s="13"/>
      <c r="I567" s="13"/>
      <c r="J567" s="13"/>
      <c r="K567" s="13"/>
      <c r="L567" s="13"/>
      <c r="M567" s="13"/>
      <c r="N567" s="13"/>
      <c r="O567" s="13"/>
      <c r="P567" s="13"/>
      <c r="Q567" s="13"/>
      <c r="R567" s="13"/>
      <c r="S567" s="13"/>
      <c r="T567" s="13"/>
      <c r="U567" s="13"/>
      <c r="V567" s="13"/>
      <c r="W567" s="13"/>
      <c r="X567" s="13"/>
      <c r="Y567" s="13"/>
      <c r="Z567" s="13"/>
      <c r="AB567" s="40"/>
      <c r="AC567" s="40"/>
      <c r="AD567" s="40"/>
      <c r="AE567" s="40"/>
      <c r="AF567" s="5"/>
    </row>
    <row r="568" spans="8:32" x14ac:dyDescent="0.2">
      <c r="H568" s="13"/>
      <c r="I568" s="13"/>
      <c r="J568" s="13"/>
      <c r="K568" s="13"/>
      <c r="L568" s="13"/>
      <c r="M568" s="13"/>
      <c r="N568" s="13"/>
      <c r="O568" s="13"/>
      <c r="P568" s="13"/>
      <c r="Q568" s="13"/>
      <c r="R568" s="13"/>
      <c r="S568" s="13"/>
      <c r="T568" s="13"/>
      <c r="U568" s="13"/>
      <c r="V568" s="13"/>
      <c r="W568" s="13"/>
      <c r="X568" s="13"/>
      <c r="Y568" s="13"/>
      <c r="Z568" s="13"/>
      <c r="AB568" s="40"/>
      <c r="AC568" s="40"/>
      <c r="AD568" s="40"/>
      <c r="AE568" s="40"/>
      <c r="AF568" s="5"/>
    </row>
    <row r="569" spans="8:32" x14ac:dyDescent="0.2">
      <c r="H569"/>
      <c r="AB569" s="40"/>
      <c r="AC569" s="40"/>
      <c r="AD569" s="40"/>
      <c r="AE569" s="40"/>
      <c r="AF569" s="5"/>
    </row>
    <row r="570" spans="8:32" x14ac:dyDescent="0.2">
      <c r="H570" s="13"/>
      <c r="I570" s="13"/>
      <c r="J570" s="13"/>
      <c r="K570" s="13"/>
      <c r="L570" s="13"/>
      <c r="M570" s="13"/>
      <c r="N570" s="13"/>
      <c r="O570" s="13"/>
      <c r="P570" s="13"/>
      <c r="Q570" s="13"/>
      <c r="R570" s="13"/>
      <c r="S570" s="13"/>
      <c r="T570" s="13"/>
      <c r="U570" s="13"/>
      <c r="V570" s="13"/>
      <c r="W570" s="13"/>
      <c r="X570" s="13"/>
      <c r="Y570" s="13"/>
      <c r="Z570" s="13"/>
      <c r="AB570" s="40"/>
      <c r="AC570" s="40"/>
      <c r="AD570" s="40"/>
      <c r="AE570" s="40"/>
      <c r="AF570" s="5"/>
    </row>
    <row r="571" spans="8:32" x14ac:dyDescent="0.2">
      <c r="H571" s="13"/>
      <c r="I571" s="13"/>
      <c r="J571" s="13"/>
      <c r="K571" s="13"/>
      <c r="L571" s="13"/>
      <c r="M571" s="13"/>
      <c r="N571" s="13"/>
      <c r="O571" s="13"/>
      <c r="P571" s="13"/>
      <c r="Q571" s="13"/>
      <c r="R571" s="13"/>
      <c r="S571" s="13"/>
      <c r="T571" s="13"/>
      <c r="U571" s="13"/>
      <c r="V571" s="13"/>
      <c r="W571" s="13"/>
      <c r="X571" s="13"/>
      <c r="Y571" s="13"/>
      <c r="Z571" s="13"/>
      <c r="AB571" s="40"/>
      <c r="AC571" s="40"/>
      <c r="AD571" s="40"/>
      <c r="AE571" s="40"/>
      <c r="AF571" s="5"/>
    </row>
    <row r="572" spans="8:32" x14ac:dyDescent="0.2">
      <c r="H572" s="13"/>
      <c r="I572" s="13"/>
      <c r="J572" s="13"/>
      <c r="K572" s="13"/>
      <c r="L572" s="13"/>
      <c r="M572" s="13"/>
      <c r="N572" s="13"/>
      <c r="O572" s="13"/>
      <c r="P572" s="13"/>
      <c r="Q572" s="13"/>
      <c r="R572" s="13"/>
      <c r="S572" s="13"/>
      <c r="T572" s="13"/>
      <c r="U572" s="13"/>
      <c r="V572" s="13"/>
      <c r="W572" s="13"/>
      <c r="X572" s="13"/>
      <c r="Y572" s="13"/>
      <c r="Z572" s="13"/>
      <c r="AB572" s="40"/>
      <c r="AC572" s="40"/>
      <c r="AD572" s="40"/>
      <c r="AE572" s="40"/>
      <c r="AF572" s="5"/>
    </row>
    <row r="573" spans="8:32" x14ac:dyDescent="0.2">
      <c r="H573"/>
      <c r="AB573" s="40"/>
      <c r="AC573" s="40"/>
      <c r="AD573" s="40"/>
      <c r="AE573" s="40"/>
      <c r="AF573" s="5"/>
    </row>
    <row r="574" spans="8:32" x14ac:dyDescent="0.2">
      <c r="H574" s="13"/>
      <c r="I574" s="13"/>
      <c r="J574" s="13"/>
      <c r="K574" s="13"/>
      <c r="L574" s="13"/>
      <c r="M574" s="13"/>
      <c r="N574" s="13"/>
      <c r="O574" s="13"/>
      <c r="P574" s="13"/>
      <c r="Q574" s="13"/>
      <c r="R574" s="13"/>
      <c r="S574" s="13"/>
      <c r="T574" s="13"/>
      <c r="U574" s="13"/>
      <c r="V574" s="13"/>
      <c r="W574" s="13"/>
      <c r="X574" s="13"/>
      <c r="Y574" s="13"/>
      <c r="Z574" s="13"/>
      <c r="AB574" s="40"/>
      <c r="AC574" s="40"/>
      <c r="AD574" s="40"/>
      <c r="AE574" s="40"/>
      <c r="AF574" s="5"/>
    </row>
    <row r="575" spans="8:32" x14ac:dyDescent="0.2">
      <c r="H575" s="13"/>
      <c r="I575" s="13"/>
      <c r="J575" s="13"/>
      <c r="K575" s="13"/>
      <c r="L575" s="13"/>
      <c r="M575" s="13"/>
      <c r="N575" s="13"/>
      <c r="O575" s="13"/>
      <c r="P575" s="13"/>
      <c r="Q575" s="13"/>
      <c r="R575" s="13"/>
      <c r="S575" s="13"/>
      <c r="T575" s="13"/>
      <c r="U575" s="13"/>
      <c r="V575" s="13"/>
      <c r="W575" s="13"/>
      <c r="X575" s="13"/>
      <c r="Y575" s="13"/>
      <c r="Z575" s="13"/>
      <c r="AB575" s="40"/>
      <c r="AC575" s="40"/>
      <c r="AD575" s="40"/>
      <c r="AE575" s="40"/>
      <c r="AF575" s="5"/>
    </row>
    <row r="576" spans="8:32" x14ac:dyDescent="0.2">
      <c r="H576"/>
      <c r="AB576" s="40"/>
      <c r="AC576" s="40"/>
      <c r="AD576" s="40"/>
      <c r="AE576" s="40"/>
      <c r="AF576" s="5"/>
    </row>
    <row r="577" spans="8:32" x14ac:dyDescent="0.2">
      <c r="H577" s="13"/>
      <c r="I577" s="13"/>
      <c r="J577" s="13"/>
      <c r="K577" s="13"/>
      <c r="L577" s="13"/>
      <c r="M577" s="13"/>
      <c r="N577" s="13"/>
      <c r="O577" s="13"/>
      <c r="P577" s="13"/>
      <c r="Q577" s="13"/>
      <c r="R577" s="13"/>
      <c r="S577" s="13"/>
      <c r="T577" s="13"/>
      <c r="U577" s="13"/>
      <c r="V577" s="13"/>
      <c r="W577" s="13"/>
      <c r="X577" s="13"/>
      <c r="Y577" s="13"/>
      <c r="Z577" s="13"/>
      <c r="AB577" s="40"/>
      <c r="AC577" s="40"/>
      <c r="AD577" s="40"/>
      <c r="AE577" s="40"/>
      <c r="AF577" s="5"/>
    </row>
    <row r="578" spans="8:32" x14ac:dyDescent="0.2">
      <c r="H578" s="13"/>
      <c r="I578" s="13"/>
      <c r="J578" s="13"/>
      <c r="K578" s="13"/>
      <c r="L578" s="13"/>
      <c r="M578" s="13"/>
      <c r="N578" s="13"/>
      <c r="O578" s="13"/>
      <c r="P578" s="13"/>
      <c r="Q578" s="13"/>
      <c r="R578" s="13"/>
      <c r="S578" s="13"/>
      <c r="T578" s="13"/>
      <c r="U578" s="13"/>
      <c r="V578" s="13"/>
      <c r="W578" s="13"/>
      <c r="X578" s="13"/>
      <c r="Y578" s="13"/>
      <c r="Z578" s="13"/>
      <c r="AB578" s="40"/>
      <c r="AC578" s="40"/>
      <c r="AD578" s="40"/>
      <c r="AE578" s="40"/>
      <c r="AF578" s="5"/>
    </row>
    <row r="579" spans="8:32" x14ac:dyDescent="0.2">
      <c r="H579"/>
      <c r="AB579" s="40"/>
      <c r="AC579" s="40"/>
      <c r="AD579" s="40"/>
      <c r="AE579" s="40"/>
      <c r="AF579" s="5"/>
    </row>
    <row r="580" spans="8:32" x14ac:dyDescent="0.2">
      <c r="H580" s="13"/>
      <c r="I580" s="13"/>
      <c r="J580" s="13"/>
      <c r="K580" s="13"/>
      <c r="L580" s="13"/>
      <c r="M580" s="13"/>
      <c r="N580" s="13"/>
      <c r="O580" s="13"/>
      <c r="P580" s="13"/>
      <c r="Q580" s="13"/>
      <c r="R580" s="13"/>
      <c r="S580" s="13"/>
      <c r="T580" s="13"/>
      <c r="U580" s="13"/>
      <c r="V580" s="13"/>
      <c r="W580" s="13"/>
      <c r="X580" s="13"/>
      <c r="Y580" s="13"/>
      <c r="Z580" s="13"/>
      <c r="AB580" s="40"/>
      <c r="AC580" s="40"/>
      <c r="AD580" s="40"/>
      <c r="AE580" s="40"/>
      <c r="AF580" s="5"/>
    </row>
    <row r="581" spans="8:32" x14ac:dyDescent="0.2">
      <c r="H581" s="13"/>
      <c r="I581" s="13"/>
      <c r="J581" s="13"/>
      <c r="K581" s="13"/>
      <c r="L581" s="13"/>
      <c r="M581" s="13"/>
      <c r="N581" s="13"/>
      <c r="O581" s="13"/>
      <c r="P581" s="13"/>
      <c r="Q581" s="13"/>
      <c r="R581" s="13"/>
      <c r="S581" s="13"/>
      <c r="T581" s="13"/>
      <c r="U581" s="13"/>
      <c r="V581" s="13"/>
      <c r="W581" s="13"/>
      <c r="X581" s="13"/>
      <c r="Y581" s="13"/>
      <c r="Z581" s="13"/>
      <c r="AB581" s="40"/>
      <c r="AC581" s="40"/>
      <c r="AD581" s="40"/>
      <c r="AE581" s="40"/>
      <c r="AF581" s="5"/>
    </row>
    <row r="582" spans="8:32" x14ac:dyDescent="0.2">
      <c r="H582" s="13"/>
      <c r="I582" s="13"/>
      <c r="J582" s="13"/>
      <c r="K582" s="13"/>
      <c r="L582" s="13"/>
      <c r="M582" s="13"/>
      <c r="N582" s="13"/>
      <c r="O582" s="13"/>
      <c r="P582" s="13"/>
      <c r="Q582" s="13"/>
      <c r="R582" s="13"/>
      <c r="S582" s="13"/>
      <c r="T582" s="13"/>
      <c r="U582" s="13"/>
      <c r="V582" s="13"/>
      <c r="W582" s="13"/>
      <c r="X582" s="13"/>
      <c r="Y582" s="13"/>
      <c r="Z582" s="13"/>
      <c r="AB582" s="40"/>
      <c r="AC582" s="40"/>
      <c r="AD582" s="40"/>
      <c r="AE582" s="40"/>
      <c r="AF582" s="5"/>
    </row>
    <row r="583" spans="8:32" x14ac:dyDescent="0.2">
      <c r="H583" s="13"/>
      <c r="I583" s="13"/>
      <c r="J583" s="13"/>
      <c r="K583" s="13"/>
      <c r="L583" s="13"/>
      <c r="M583" s="13"/>
      <c r="N583" s="13"/>
      <c r="O583" s="13"/>
      <c r="P583" s="13"/>
      <c r="Q583" s="13"/>
      <c r="R583" s="13"/>
      <c r="S583" s="13"/>
      <c r="T583" s="13"/>
      <c r="U583" s="13"/>
      <c r="V583" s="13"/>
      <c r="W583" s="13"/>
      <c r="X583" s="13"/>
      <c r="Y583" s="13"/>
      <c r="Z583" s="13"/>
      <c r="AB583" s="40"/>
      <c r="AC583" s="40"/>
      <c r="AD583" s="40"/>
      <c r="AE583" s="40"/>
      <c r="AF583" s="5"/>
    </row>
    <row r="584" spans="8:32" x14ac:dyDescent="0.2">
      <c r="H584" s="13"/>
      <c r="I584" s="13"/>
      <c r="J584" s="13"/>
      <c r="K584" s="13"/>
      <c r="L584" s="13"/>
      <c r="M584" s="13"/>
      <c r="N584" s="13"/>
      <c r="O584" s="13"/>
      <c r="P584" s="13"/>
      <c r="Q584" s="13"/>
      <c r="R584" s="13"/>
      <c r="S584" s="13"/>
      <c r="T584" s="13"/>
      <c r="U584" s="13"/>
      <c r="V584" s="13"/>
      <c r="W584" s="13"/>
      <c r="X584" s="13"/>
      <c r="Y584" s="13"/>
      <c r="Z584" s="13"/>
      <c r="AB584" s="40"/>
      <c r="AC584" s="40"/>
      <c r="AD584" s="40"/>
      <c r="AE584" s="40"/>
      <c r="AF584" s="5"/>
    </row>
    <row r="585" spans="8:32" x14ac:dyDescent="0.2">
      <c r="H585" s="13"/>
      <c r="I585" s="13"/>
      <c r="J585" s="13"/>
      <c r="K585" s="13"/>
      <c r="L585" s="13"/>
      <c r="M585" s="13"/>
      <c r="N585" s="13"/>
      <c r="O585" s="13"/>
      <c r="P585" s="13"/>
      <c r="Q585" s="13"/>
      <c r="R585" s="13"/>
      <c r="S585" s="13"/>
      <c r="T585" s="13"/>
      <c r="U585" s="13"/>
      <c r="V585" s="13"/>
      <c r="W585" s="13"/>
      <c r="X585" s="13"/>
      <c r="Y585" s="13"/>
      <c r="Z585" s="13"/>
      <c r="AB585" s="40"/>
      <c r="AC585" s="40"/>
      <c r="AD585" s="40"/>
      <c r="AE585" s="40"/>
      <c r="AF585" s="5"/>
    </row>
    <row r="586" spans="8:32" x14ac:dyDescent="0.2">
      <c r="H586"/>
      <c r="AB586" s="40"/>
      <c r="AC586" s="40"/>
      <c r="AD586" s="40"/>
      <c r="AE586" s="40"/>
      <c r="AF586" s="5"/>
    </row>
    <row r="587" spans="8:32" x14ac:dyDescent="0.2">
      <c r="H587" s="13"/>
      <c r="I587" s="13"/>
      <c r="J587" s="13"/>
      <c r="K587" s="13"/>
      <c r="L587" s="13"/>
      <c r="M587" s="13"/>
      <c r="N587" s="13"/>
      <c r="O587" s="13"/>
      <c r="P587" s="13"/>
      <c r="Q587" s="13"/>
      <c r="R587" s="13"/>
      <c r="S587" s="13"/>
      <c r="T587" s="13"/>
      <c r="U587" s="13"/>
      <c r="V587" s="13"/>
      <c r="W587" s="13"/>
      <c r="X587" s="13"/>
      <c r="Y587" s="13"/>
      <c r="Z587" s="13"/>
      <c r="AB587" s="40"/>
      <c r="AC587" s="40"/>
      <c r="AD587" s="40"/>
      <c r="AE587" s="40"/>
      <c r="AF587" s="5"/>
    </row>
    <row r="588" spans="8:32" x14ac:dyDescent="0.2">
      <c r="H588" s="13"/>
      <c r="I588" s="13"/>
      <c r="J588" s="13"/>
      <c r="K588" s="13"/>
      <c r="L588" s="13"/>
      <c r="M588" s="13"/>
      <c r="N588" s="13"/>
      <c r="O588" s="13"/>
      <c r="P588" s="13"/>
      <c r="Q588" s="13"/>
      <c r="R588" s="13"/>
      <c r="S588" s="13"/>
      <c r="T588" s="13"/>
      <c r="U588" s="13"/>
      <c r="V588" s="13"/>
      <c r="W588" s="13"/>
      <c r="X588" s="13"/>
      <c r="Y588" s="13"/>
      <c r="Z588" s="13"/>
      <c r="AB588" s="40"/>
      <c r="AC588" s="40"/>
      <c r="AD588" s="40"/>
      <c r="AE588" s="40"/>
      <c r="AF588" s="5"/>
    </row>
    <row r="589" spans="8:32" x14ac:dyDescent="0.2">
      <c r="H589"/>
      <c r="AB589" s="40"/>
      <c r="AC589" s="40"/>
      <c r="AD589" s="40"/>
      <c r="AE589" s="40"/>
      <c r="AF589" s="5"/>
    </row>
    <row r="590" spans="8:32" x14ac:dyDescent="0.2">
      <c r="H590" s="13"/>
      <c r="I590" s="13"/>
      <c r="J590" s="13"/>
      <c r="K590" s="13"/>
      <c r="L590" s="13"/>
      <c r="M590" s="13"/>
      <c r="N590" s="13"/>
      <c r="O590" s="13"/>
      <c r="P590" s="13"/>
      <c r="Q590" s="13"/>
      <c r="R590" s="13"/>
      <c r="S590" s="13"/>
      <c r="T590" s="13"/>
      <c r="U590" s="13"/>
      <c r="V590" s="13"/>
      <c r="W590" s="13"/>
      <c r="X590" s="13"/>
      <c r="Y590" s="13"/>
      <c r="Z590" s="13"/>
      <c r="AB590" s="40"/>
      <c r="AC590" s="40"/>
      <c r="AD590" s="40"/>
      <c r="AE590" s="40"/>
      <c r="AF590" s="5"/>
    </row>
    <row r="591" spans="8:32" x14ac:dyDescent="0.2">
      <c r="H591" s="13"/>
      <c r="I591" s="13"/>
      <c r="J591" s="13"/>
      <c r="K591" s="13"/>
      <c r="L591" s="13"/>
      <c r="M591" s="13"/>
      <c r="N591" s="13"/>
      <c r="O591" s="13"/>
      <c r="P591" s="13"/>
      <c r="Q591" s="13"/>
      <c r="R591" s="13"/>
      <c r="S591" s="13"/>
      <c r="T591" s="13"/>
      <c r="U591" s="13"/>
      <c r="V591" s="13"/>
      <c r="W591" s="13"/>
      <c r="X591" s="13"/>
      <c r="Y591" s="13"/>
      <c r="Z591" s="13"/>
      <c r="AB591" s="40"/>
      <c r="AC591" s="40"/>
      <c r="AD591" s="40"/>
      <c r="AE591" s="40"/>
      <c r="AF591" s="5"/>
    </row>
    <row r="592" spans="8:32" x14ac:dyDescent="0.2">
      <c r="H592"/>
      <c r="AB592" s="40"/>
      <c r="AC592" s="40"/>
      <c r="AD592" s="40"/>
      <c r="AE592" s="40"/>
      <c r="AF592" s="5"/>
    </row>
    <row r="593" spans="8:32" x14ac:dyDescent="0.2">
      <c r="H593" s="13"/>
      <c r="I593" s="13"/>
      <c r="J593" s="13"/>
      <c r="K593" s="13"/>
      <c r="L593" s="13"/>
      <c r="M593" s="13"/>
      <c r="N593" s="13"/>
      <c r="O593" s="13"/>
      <c r="P593" s="13"/>
      <c r="Q593" s="13"/>
      <c r="R593" s="13"/>
      <c r="S593" s="13"/>
      <c r="T593" s="13"/>
      <c r="U593" s="13"/>
      <c r="V593" s="13"/>
      <c r="W593" s="13"/>
      <c r="X593" s="13"/>
      <c r="Y593" s="13"/>
      <c r="Z593" s="13"/>
      <c r="AB593" s="40"/>
      <c r="AC593" s="40"/>
      <c r="AD593" s="40"/>
      <c r="AE593" s="40"/>
      <c r="AF593" s="5"/>
    </row>
    <row r="594" spans="8:32" x14ac:dyDescent="0.2">
      <c r="H594" s="13"/>
      <c r="I594" s="13"/>
      <c r="J594" s="13"/>
      <c r="K594" s="13"/>
      <c r="L594" s="13"/>
      <c r="M594" s="13"/>
      <c r="N594" s="13"/>
      <c r="O594" s="13"/>
      <c r="P594" s="13"/>
      <c r="Q594" s="13"/>
      <c r="R594" s="13"/>
      <c r="S594" s="13"/>
      <c r="T594" s="13"/>
      <c r="U594" s="13"/>
      <c r="V594" s="13"/>
      <c r="W594" s="13"/>
      <c r="X594" s="13"/>
      <c r="Y594" s="13"/>
      <c r="Z594" s="13"/>
      <c r="AB594" s="40"/>
      <c r="AC594" s="40"/>
      <c r="AD594" s="40"/>
      <c r="AE594" s="40"/>
      <c r="AF594" s="5"/>
    </row>
    <row r="595" spans="8:32" x14ac:dyDescent="0.2">
      <c r="H595"/>
      <c r="AB595" s="40"/>
      <c r="AC595" s="40"/>
      <c r="AD595" s="40"/>
      <c r="AE595" s="40"/>
      <c r="AF595" s="5"/>
    </row>
    <row r="596" spans="8:32" x14ac:dyDescent="0.2">
      <c r="H596" s="13"/>
      <c r="I596" s="13"/>
      <c r="J596" s="13"/>
      <c r="K596" s="13"/>
      <c r="L596" s="13"/>
      <c r="M596" s="13"/>
      <c r="N596" s="13"/>
      <c r="O596" s="13"/>
      <c r="P596" s="13"/>
      <c r="Q596" s="13"/>
      <c r="R596" s="13"/>
      <c r="S596" s="13"/>
      <c r="T596" s="13"/>
      <c r="U596" s="13"/>
      <c r="V596" s="13"/>
      <c r="W596" s="13"/>
      <c r="X596" s="13"/>
      <c r="Y596" s="13"/>
      <c r="Z596" s="13"/>
      <c r="AB596" s="40"/>
      <c r="AC596" s="40"/>
      <c r="AD596" s="40"/>
      <c r="AE596" s="40"/>
      <c r="AF596" s="5"/>
    </row>
    <row r="597" spans="8:32" x14ac:dyDescent="0.2">
      <c r="H597" s="13"/>
      <c r="I597" s="13"/>
      <c r="J597" s="13"/>
      <c r="K597" s="13"/>
      <c r="L597" s="13"/>
      <c r="M597" s="13"/>
      <c r="N597" s="13"/>
      <c r="O597" s="13"/>
      <c r="P597" s="13"/>
      <c r="Q597" s="13"/>
      <c r="R597" s="13"/>
      <c r="S597" s="13"/>
      <c r="T597" s="13"/>
      <c r="U597" s="13"/>
      <c r="V597" s="13"/>
      <c r="W597" s="13"/>
      <c r="X597" s="13"/>
      <c r="Y597" s="13"/>
      <c r="Z597" s="13"/>
      <c r="AB597" s="40"/>
      <c r="AC597" s="40"/>
      <c r="AD597" s="40"/>
      <c r="AE597" s="40"/>
      <c r="AF597" s="5"/>
    </row>
    <row r="598" spans="8:32" x14ac:dyDescent="0.2">
      <c r="H598"/>
      <c r="AB598" s="40"/>
      <c r="AC598" s="40"/>
      <c r="AD598" s="40"/>
      <c r="AE598" s="40"/>
      <c r="AF598" s="5"/>
    </row>
    <row r="599" spans="8:32" x14ac:dyDescent="0.2">
      <c r="H599" s="13"/>
      <c r="I599" s="13"/>
      <c r="J599" s="13"/>
      <c r="K599" s="13"/>
      <c r="L599" s="13"/>
      <c r="M599" s="13"/>
      <c r="N599" s="13"/>
      <c r="O599" s="13"/>
      <c r="P599" s="13"/>
      <c r="Q599" s="13"/>
      <c r="R599" s="13"/>
      <c r="S599" s="13"/>
      <c r="T599" s="13"/>
      <c r="U599" s="13"/>
      <c r="V599" s="13"/>
      <c r="W599" s="13"/>
      <c r="X599" s="13"/>
      <c r="Y599" s="13"/>
      <c r="Z599" s="13"/>
      <c r="AB599" s="40"/>
      <c r="AC599" s="40"/>
      <c r="AD599" s="40"/>
      <c r="AE599" s="40"/>
      <c r="AF599" s="5"/>
    </row>
    <row r="600" spans="8:32" x14ac:dyDescent="0.2">
      <c r="H600"/>
      <c r="AB600" s="40"/>
      <c r="AC600" s="40"/>
      <c r="AD600" s="40"/>
      <c r="AE600" s="40"/>
      <c r="AF600" s="5"/>
    </row>
    <row r="601" spans="8:32" x14ac:dyDescent="0.2">
      <c r="H601" s="13"/>
      <c r="I601" s="13"/>
      <c r="J601" s="13"/>
      <c r="K601" s="13"/>
      <c r="L601" s="13"/>
      <c r="M601" s="13"/>
      <c r="N601" s="13"/>
      <c r="O601" s="13"/>
      <c r="P601" s="13"/>
      <c r="Q601" s="13"/>
      <c r="R601" s="13"/>
      <c r="S601" s="13"/>
      <c r="T601" s="13"/>
      <c r="U601" s="13"/>
      <c r="V601" s="13"/>
      <c r="W601" s="13"/>
      <c r="X601" s="13"/>
      <c r="Y601" s="13"/>
      <c r="Z601" s="13"/>
      <c r="AB601" s="40"/>
      <c r="AC601" s="40"/>
      <c r="AD601" s="40"/>
      <c r="AE601" s="40"/>
      <c r="AF601" s="5"/>
    </row>
    <row r="602" spans="8:32" x14ac:dyDescent="0.2">
      <c r="H602"/>
      <c r="AB602" s="40"/>
      <c r="AC602" s="40"/>
      <c r="AD602" s="40"/>
      <c r="AE602" s="40"/>
      <c r="AF602" s="5"/>
    </row>
    <row r="603" spans="8:32" x14ac:dyDescent="0.2">
      <c r="H603" s="13"/>
      <c r="I603" s="13"/>
      <c r="J603" s="13"/>
      <c r="K603" s="13"/>
      <c r="L603" s="13"/>
      <c r="M603" s="13"/>
      <c r="N603" s="13"/>
      <c r="O603" s="13"/>
      <c r="P603" s="13"/>
      <c r="Q603" s="13"/>
      <c r="R603" s="13"/>
      <c r="S603" s="13"/>
      <c r="T603" s="13"/>
      <c r="U603" s="13"/>
      <c r="V603" s="13"/>
      <c r="W603" s="13"/>
      <c r="X603" s="13"/>
      <c r="Y603" s="13"/>
      <c r="Z603" s="13"/>
      <c r="AB603" s="40"/>
      <c r="AC603" s="40"/>
      <c r="AD603" s="40"/>
      <c r="AE603" s="40"/>
      <c r="AF603" s="5"/>
    </row>
    <row r="604" spans="8:32" x14ac:dyDescent="0.2">
      <c r="H604" s="13"/>
      <c r="I604" s="13"/>
      <c r="J604" s="13"/>
      <c r="K604" s="13"/>
      <c r="L604" s="13"/>
      <c r="M604" s="13"/>
      <c r="N604" s="13"/>
      <c r="O604" s="13"/>
      <c r="P604" s="13"/>
      <c r="Q604" s="13"/>
      <c r="R604" s="13"/>
      <c r="S604" s="13"/>
      <c r="T604" s="13"/>
      <c r="U604" s="13"/>
      <c r="V604" s="13"/>
      <c r="W604" s="13"/>
      <c r="X604" s="13"/>
      <c r="Y604" s="13"/>
      <c r="Z604" s="13"/>
      <c r="AB604" s="40"/>
      <c r="AC604" s="40"/>
      <c r="AD604" s="40"/>
      <c r="AE604" s="40"/>
      <c r="AF604" s="5"/>
    </row>
    <row r="605" spans="8:32" x14ac:dyDescent="0.2">
      <c r="H605"/>
      <c r="AB605" s="40"/>
      <c r="AC605" s="40"/>
      <c r="AD605" s="40"/>
      <c r="AE605" s="40"/>
      <c r="AF605" s="5"/>
    </row>
    <row r="606" spans="8:32" x14ac:dyDescent="0.2">
      <c r="H606" s="13"/>
      <c r="I606" s="13"/>
      <c r="J606" s="13"/>
      <c r="K606" s="13"/>
      <c r="L606" s="13"/>
      <c r="M606" s="13"/>
      <c r="N606" s="13"/>
      <c r="O606" s="13"/>
      <c r="P606" s="13"/>
      <c r="Q606" s="13"/>
      <c r="R606" s="13"/>
      <c r="S606" s="13"/>
      <c r="T606" s="13"/>
      <c r="U606" s="13"/>
      <c r="V606" s="13"/>
      <c r="W606" s="13"/>
      <c r="X606" s="13"/>
      <c r="Y606" s="13"/>
      <c r="Z606" s="13"/>
      <c r="AB606" s="40"/>
      <c r="AC606" s="40"/>
      <c r="AD606" s="40"/>
      <c r="AE606" s="40"/>
      <c r="AF606" s="5"/>
    </row>
    <row r="607" spans="8:32" x14ac:dyDescent="0.2">
      <c r="H607"/>
      <c r="AB607" s="40"/>
      <c r="AC607" s="40"/>
      <c r="AD607" s="40"/>
      <c r="AE607" s="40"/>
      <c r="AF607" s="5"/>
    </row>
    <row r="608" spans="8:32" x14ac:dyDescent="0.2">
      <c r="H608" s="13"/>
      <c r="I608" s="13"/>
      <c r="J608" s="13"/>
      <c r="K608" s="13"/>
      <c r="L608" s="13"/>
      <c r="M608" s="13"/>
      <c r="N608" s="13"/>
      <c r="O608" s="13"/>
      <c r="P608" s="13"/>
      <c r="Q608" s="13"/>
      <c r="R608" s="13"/>
      <c r="S608" s="13"/>
      <c r="T608" s="13"/>
      <c r="U608" s="13"/>
      <c r="V608" s="13"/>
      <c r="W608" s="13"/>
      <c r="X608" s="13"/>
      <c r="Y608" s="13"/>
      <c r="Z608" s="13"/>
      <c r="AB608" s="40"/>
      <c r="AC608" s="40"/>
      <c r="AD608" s="40"/>
      <c r="AE608" s="40"/>
      <c r="AF608" s="5"/>
    </row>
    <row r="609" spans="8:32" x14ac:dyDescent="0.2">
      <c r="H609" s="13"/>
      <c r="I609" s="13"/>
      <c r="J609" s="13"/>
      <c r="K609" s="13"/>
      <c r="L609" s="13"/>
      <c r="M609" s="13"/>
      <c r="N609" s="13"/>
      <c r="O609" s="13"/>
      <c r="P609" s="13"/>
      <c r="Q609" s="13"/>
      <c r="R609" s="13"/>
      <c r="S609" s="13"/>
      <c r="T609" s="13"/>
      <c r="U609" s="13"/>
      <c r="V609" s="13"/>
      <c r="W609" s="13"/>
      <c r="X609" s="13"/>
      <c r="Y609" s="13"/>
      <c r="Z609" s="13"/>
      <c r="AB609" s="40"/>
      <c r="AC609" s="40"/>
      <c r="AD609" s="40"/>
      <c r="AE609" s="40"/>
      <c r="AF609" s="5"/>
    </row>
    <row r="610" spans="8:32" x14ac:dyDescent="0.2">
      <c r="H610" s="13"/>
      <c r="I610" s="13"/>
      <c r="J610" s="13"/>
      <c r="K610" s="13"/>
      <c r="L610" s="13"/>
      <c r="M610" s="13"/>
      <c r="N610" s="13"/>
      <c r="O610" s="13"/>
      <c r="P610" s="13"/>
      <c r="Q610" s="13"/>
      <c r="R610" s="13"/>
      <c r="S610" s="13"/>
      <c r="T610" s="13"/>
      <c r="U610" s="13"/>
      <c r="V610" s="13"/>
      <c r="W610" s="13"/>
      <c r="X610" s="13"/>
      <c r="Y610" s="13"/>
      <c r="Z610" s="13"/>
      <c r="AB610" s="40"/>
      <c r="AC610" s="40"/>
      <c r="AD610" s="40"/>
      <c r="AE610" s="40"/>
      <c r="AF610" s="5"/>
    </row>
    <row r="611" spans="8:32" x14ac:dyDescent="0.2">
      <c r="H611"/>
      <c r="AB611" s="40"/>
      <c r="AC611" s="40"/>
      <c r="AD611" s="40"/>
      <c r="AE611" s="40"/>
      <c r="AF611" s="5"/>
    </row>
    <row r="612" spans="8:32" x14ac:dyDescent="0.2">
      <c r="H612" s="13"/>
      <c r="I612" s="13"/>
      <c r="J612" s="13"/>
      <c r="K612" s="13"/>
      <c r="L612" s="13"/>
      <c r="M612" s="13"/>
      <c r="N612" s="13"/>
      <c r="O612" s="13"/>
      <c r="P612" s="13"/>
      <c r="Q612" s="13"/>
      <c r="R612" s="13"/>
      <c r="S612" s="13"/>
      <c r="T612" s="13"/>
      <c r="U612" s="13"/>
      <c r="V612" s="13"/>
      <c r="W612" s="13"/>
      <c r="X612" s="13"/>
      <c r="Y612" s="13"/>
      <c r="Z612" s="13"/>
      <c r="AB612" s="40"/>
      <c r="AC612" s="40"/>
      <c r="AD612" s="40"/>
      <c r="AE612" s="40"/>
      <c r="AF612" s="5"/>
    </row>
    <row r="613" spans="8:32" x14ac:dyDescent="0.2">
      <c r="H613" s="13"/>
      <c r="I613" s="13"/>
      <c r="J613" s="13"/>
      <c r="K613" s="13"/>
      <c r="L613" s="13"/>
      <c r="M613" s="13"/>
      <c r="N613" s="13"/>
      <c r="O613" s="13"/>
      <c r="P613" s="13"/>
      <c r="Q613" s="13"/>
      <c r="R613" s="13"/>
      <c r="S613" s="13"/>
      <c r="T613" s="13"/>
      <c r="U613" s="13"/>
      <c r="V613" s="13"/>
      <c r="W613" s="13"/>
      <c r="X613" s="13"/>
      <c r="Y613" s="13"/>
      <c r="Z613" s="13"/>
      <c r="AB613" s="40"/>
      <c r="AC613" s="40"/>
      <c r="AD613" s="40"/>
      <c r="AE613" s="40"/>
      <c r="AF613" s="5"/>
    </row>
    <row r="614" spans="8:32" x14ac:dyDescent="0.2">
      <c r="H614"/>
      <c r="AB614" s="40"/>
      <c r="AC614" s="40"/>
      <c r="AD614" s="40"/>
      <c r="AE614" s="40"/>
      <c r="AF614" s="5"/>
    </row>
    <row r="615" spans="8:32" x14ac:dyDescent="0.2">
      <c r="H615" s="13"/>
      <c r="I615" s="13"/>
      <c r="J615" s="13"/>
      <c r="K615" s="13"/>
      <c r="L615" s="13"/>
      <c r="M615" s="13"/>
      <c r="N615" s="13"/>
      <c r="O615" s="13"/>
      <c r="P615" s="13"/>
      <c r="Q615" s="13"/>
      <c r="R615" s="13"/>
      <c r="S615" s="13"/>
      <c r="T615" s="13"/>
      <c r="U615" s="13"/>
      <c r="V615" s="13"/>
      <c r="W615" s="13"/>
      <c r="X615" s="13"/>
      <c r="Y615" s="13"/>
      <c r="Z615" s="13"/>
      <c r="AB615" s="40"/>
      <c r="AC615" s="40"/>
      <c r="AD615" s="40"/>
      <c r="AE615" s="40"/>
      <c r="AF615" s="5"/>
    </row>
    <row r="616" spans="8:32" x14ac:dyDescent="0.2">
      <c r="H616" s="13"/>
      <c r="I616" s="13"/>
      <c r="J616" s="13"/>
      <c r="K616" s="13"/>
      <c r="L616" s="13"/>
      <c r="M616" s="13"/>
      <c r="N616" s="13"/>
      <c r="O616" s="13"/>
      <c r="P616" s="13"/>
      <c r="Q616" s="13"/>
      <c r="R616" s="13"/>
      <c r="S616" s="13"/>
      <c r="T616" s="13"/>
      <c r="U616" s="13"/>
      <c r="V616" s="13"/>
      <c r="W616" s="13"/>
      <c r="X616" s="13"/>
      <c r="Y616" s="13"/>
      <c r="Z616" s="13"/>
      <c r="AB616" s="40"/>
      <c r="AC616" s="40"/>
      <c r="AD616" s="40"/>
      <c r="AE616" s="40"/>
      <c r="AF616" s="5"/>
    </row>
    <row r="617" spans="8:32" x14ac:dyDescent="0.2">
      <c r="H617" s="13"/>
      <c r="I617" s="13"/>
      <c r="J617" s="13"/>
      <c r="K617" s="13"/>
      <c r="L617" s="13"/>
      <c r="M617" s="13"/>
      <c r="N617" s="13"/>
      <c r="O617" s="13"/>
      <c r="P617" s="13"/>
      <c r="Q617" s="13"/>
      <c r="R617" s="13"/>
      <c r="S617" s="13"/>
      <c r="T617" s="13"/>
      <c r="U617" s="13"/>
      <c r="V617" s="13"/>
      <c r="W617" s="13"/>
      <c r="X617" s="13"/>
      <c r="Y617" s="13"/>
      <c r="Z617" s="13"/>
      <c r="AB617" s="40"/>
      <c r="AC617" s="40"/>
      <c r="AD617" s="40"/>
      <c r="AE617" s="40"/>
      <c r="AF617" s="5"/>
    </row>
    <row r="618" spans="8:32" x14ac:dyDescent="0.2">
      <c r="H618" s="13"/>
      <c r="I618" s="13"/>
      <c r="J618" s="13"/>
      <c r="K618" s="13"/>
      <c r="L618" s="13"/>
      <c r="M618" s="13"/>
      <c r="N618" s="13"/>
      <c r="O618" s="13"/>
      <c r="P618" s="13"/>
      <c r="Q618" s="13"/>
      <c r="R618" s="13"/>
      <c r="S618" s="13"/>
      <c r="T618" s="13"/>
      <c r="U618" s="13"/>
      <c r="V618" s="13"/>
      <c r="W618" s="13"/>
      <c r="X618" s="13"/>
      <c r="Y618" s="13"/>
      <c r="Z618" s="13"/>
      <c r="AB618" s="40"/>
      <c r="AC618" s="40"/>
      <c r="AD618" s="40"/>
      <c r="AE618" s="40"/>
      <c r="AF618" s="5"/>
    </row>
    <row r="619" spans="8:32" x14ac:dyDescent="0.2">
      <c r="H619" s="13"/>
      <c r="I619" s="13"/>
      <c r="J619" s="13"/>
      <c r="K619" s="13"/>
      <c r="L619" s="13"/>
      <c r="M619" s="13"/>
      <c r="N619" s="13"/>
      <c r="O619" s="13"/>
      <c r="P619" s="13"/>
      <c r="Q619" s="13"/>
      <c r="R619" s="13"/>
      <c r="S619" s="13"/>
      <c r="T619" s="13"/>
      <c r="U619" s="13"/>
      <c r="V619" s="13"/>
      <c r="W619" s="13"/>
      <c r="X619" s="13"/>
      <c r="Y619" s="13"/>
      <c r="Z619" s="13"/>
      <c r="AB619" s="40"/>
      <c r="AC619" s="40"/>
      <c r="AD619" s="40"/>
      <c r="AE619" s="40"/>
      <c r="AF619" s="5"/>
    </row>
    <row r="620" spans="8:32" x14ac:dyDescent="0.2">
      <c r="H620"/>
      <c r="AB620" s="40"/>
      <c r="AC620" s="40"/>
      <c r="AD620" s="40"/>
      <c r="AE620" s="40"/>
      <c r="AF620" s="5"/>
    </row>
    <row r="621" spans="8:32" x14ac:dyDescent="0.2">
      <c r="H621"/>
      <c r="AB621" s="40"/>
      <c r="AC621" s="40"/>
      <c r="AD621" s="40"/>
      <c r="AE621" s="40"/>
      <c r="AF621" s="5"/>
    </row>
    <row r="622" spans="8:32" x14ac:dyDescent="0.2">
      <c r="H622" s="13"/>
      <c r="I622" s="13"/>
      <c r="J622" s="13"/>
      <c r="K622" s="13"/>
      <c r="L622" s="13"/>
      <c r="M622" s="13"/>
      <c r="N622" s="13"/>
      <c r="O622" s="13"/>
      <c r="P622" s="13"/>
      <c r="Q622" s="13"/>
      <c r="R622" s="13"/>
      <c r="S622" s="13"/>
      <c r="T622" s="13"/>
      <c r="U622" s="13"/>
      <c r="V622" s="13"/>
      <c r="W622" s="13"/>
      <c r="X622" s="13"/>
      <c r="Y622" s="13"/>
      <c r="Z622" s="13"/>
      <c r="AB622" s="40"/>
      <c r="AC622" s="40"/>
      <c r="AD622" s="40"/>
      <c r="AE622" s="40"/>
      <c r="AF622" s="5"/>
    </row>
    <row r="623" spans="8:32" x14ac:dyDescent="0.2">
      <c r="H623" s="13"/>
      <c r="I623" s="13"/>
      <c r="J623" s="13"/>
      <c r="K623" s="13"/>
      <c r="L623" s="13"/>
      <c r="M623" s="13"/>
      <c r="N623" s="13"/>
      <c r="O623" s="13"/>
      <c r="P623" s="13"/>
      <c r="Q623" s="13"/>
      <c r="R623" s="13"/>
      <c r="S623" s="13"/>
      <c r="T623" s="13"/>
      <c r="U623" s="13"/>
      <c r="V623" s="13"/>
      <c r="W623" s="13"/>
      <c r="X623" s="13"/>
      <c r="Y623" s="13"/>
      <c r="Z623" s="13"/>
      <c r="AB623" s="40"/>
      <c r="AC623" s="40"/>
      <c r="AD623" s="40"/>
      <c r="AE623" s="40"/>
      <c r="AF623" s="5"/>
    </row>
    <row r="624" spans="8:32" x14ac:dyDescent="0.2">
      <c r="H624" s="13"/>
      <c r="I624" s="13"/>
      <c r="J624" s="13"/>
      <c r="K624" s="13"/>
      <c r="L624" s="13"/>
      <c r="M624" s="13"/>
      <c r="N624" s="13"/>
      <c r="O624" s="13"/>
      <c r="P624" s="13"/>
      <c r="Q624" s="13"/>
      <c r="R624" s="13"/>
      <c r="S624" s="13"/>
      <c r="T624" s="13"/>
      <c r="U624" s="13"/>
      <c r="V624" s="13"/>
      <c r="W624" s="13"/>
      <c r="X624" s="13"/>
      <c r="Y624" s="13"/>
      <c r="Z624" s="13"/>
      <c r="AB624" s="40"/>
      <c r="AC624" s="40"/>
      <c r="AD624" s="40"/>
      <c r="AE624" s="40"/>
      <c r="AF624" s="5"/>
    </row>
    <row r="625" spans="8:32" x14ac:dyDescent="0.2">
      <c r="H625" s="13"/>
      <c r="I625" s="13"/>
      <c r="J625" s="13"/>
      <c r="K625" s="13"/>
      <c r="L625" s="13"/>
      <c r="M625" s="13"/>
      <c r="N625" s="13"/>
      <c r="O625" s="13"/>
      <c r="P625" s="13"/>
      <c r="Q625" s="13"/>
      <c r="R625" s="13"/>
      <c r="S625" s="13"/>
      <c r="T625" s="13"/>
      <c r="U625" s="13"/>
      <c r="V625" s="13"/>
      <c r="W625" s="13"/>
      <c r="X625" s="13"/>
      <c r="Y625" s="13"/>
      <c r="Z625" s="13"/>
      <c r="AB625" s="40"/>
      <c r="AC625" s="40"/>
      <c r="AD625" s="40"/>
      <c r="AE625" s="40"/>
      <c r="AF625" s="5"/>
    </row>
    <row r="626" spans="8:32" x14ac:dyDescent="0.2">
      <c r="H626" s="13"/>
      <c r="I626" s="13"/>
      <c r="J626" s="13"/>
      <c r="K626" s="13"/>
      <c r="L626" s="13"/>
      <c r="M626" s="13"/>
      <c r="N626" s="13"/>
      <c r="O626" s="13"/>
      <c r="P626" s="13"/>
      <c r="Q626" s="13"/>
      <c r="R626" s="13"/>
      <c r="S626" s="13"/>
      <c r="T626" s="13"/>
      <c r="U626" s="13"/>
      <c r="V626" s="13"/>
      <c r="W626" s="13"/>
      <c r="X626" s="13"/>
      <c r="Y626" s="13"/>
      <c r="Z626" s="13"/>
      <c r="AB626" s="40"/>
      <c r="AC626" s="40"/>
      <c r="AD626" s="40"/>
      <c r="AE626" s="40"/>
      <c r="AF626" s="5"/>
    </row>
    <row r="627" spans="8:32" x14ac:dyDescent="0.2">
      <c r="H627"/>
      <c r="AB627" s="40"/>
      <c r="AC627" s="40"/>
      <c r="AD627" s="40"/>
      <c r="AE627" s="40"/>
      <c r="AF627" s="5"/>
    </row>
    <row r="628" spans="8:32" x14ac:dyDescent="0.2">
      <c r="H628" s="13"/>
      <c r="I628" s="13"/>
      <c r="J628" s="13"/>
      <c r="K628" s="13"/>
      <c r="L628" s="13"/>
      <c r="M628" s="13"/>
      <c r="N628" s="13"/>
      <c r="O628" s="13"/>
      <c r="P628" s="13"/>
      <c r="Q628" s="13"/>
      <c r="R628" s="13"/>
      <c r="S628" s="13"/>
      <c r="T628" s="13"/>
      <c r="U628" s="13"/>
      <c r="V628" s="13"/>
      <c r="W628" s="13"/>
      <c r="X628" s="13"/>
      <c r="Y628" s="13"/>
      <c r="Z628" s="13"/>
      <c r="AB628" s="40"/>
      <c r="AC628" s="40"/>
      <c r="AD628" s="40"/>
      <c r="AE628" s="40"/>
      <c r="AF628" s="5"/>
    </row>
    <row r="629" spans="8:32" x14ac:dyDescent="0.2">
      <c r="H629"/>
      <c r="AB629" s="40"/>
      <c r="AC629" s="40"/>
      <c r="AD629" s="40"/>
      <c r="AE629" s="40"/>
      <c r="AF629" s="5"/>
    </row>
    <row r="630" spans="8:32" x14ac:dyDescent="0.2">
      <c r="H630" s="13"/>
      <c r="I630" s="13"/>
      <c r="J630" s="13"/>
      <c r="K630" s="13"/>
      <c r="L630" s="13"/>
      <c r="M630" s="13"/>
      <c r="N630" s="13"/>
      <c r="O630" s="13"/>
      <c r="P630" s="13"/>
      <c r="Q630" s="13"/>
      <c r="R630" s="13"/>
      <c r="S630" s="13"/>
      <c r="T630" s="13"/>
      <c r="U630" s="13"/>
      <c r="V630" s="13"/>
      <c r="W630" s="13"/>
      <c r="X630" s="13"/>
      <c r="Y630" s="13"/>
      <c r="Z630" s="13"/>
      <c r="AB630" s="40"/>
      <c r="AC630" s="40"/>
      <c r="AD630" s="40"/>
      <c r="AE630" s="40"/>
      <c r="AF630" s="5"/>
    </row>
    <row r="631" spans="8:32" x14ac:dyDescent="0.2">
      <c r="H631" s="13"/>
      <c r="I631" s="13"/>
      <c r="J631" s="13"/>
      <c r="K631" s="13"/>
      <c r="L631" s="13"/>
      <c r="M631" s="13"/>
      <c r="N631" s="13"/>
      <c r="O631" s="13"/>
      <c r="P631" s="13"/>
      <c r="Q631" s="13"/>
      <c r="R631" s="13"/>
      <c r="S631" s="13"/>
      <c r="T631" s="13"/>
      <c r="U631" s="13"/>
      <c r="V631" s="13"/>
      <c r="W631" s="13"/>
      <c r="X631" s="13"/>
      <c r="Y631" s="13"/>
      <c r="Z631" s="13"/>
      <c r="AB631" s="40"/>
      <c r="AC631" s="40"/>
      <c r="AD631" s="40"/>
      <c r="AE631" s="40"/>
      <c r="AF631" s="5"/>
    </row>
    <row r="632" spans="8:32" x14ac:dyDescent="0.2">
      <c r="H632" s="13"/>
      <c r="I632" s="13"/>
      <c r="J632" s="13"/>
      <c r="K632" s="13"/>
      <c r="L632" s="13"/>
      <c r="M632" s="13"/>
      <c r="N632" s="13"/>
      <c r="O632" s="13"/>
      <c r="P632" s="13"/>
      <c r="Q632" s="13"/>
      <c r="R632" s="13"/>
      <c r="S632" s="13"/>
      <c r="T632" s="13"/>
      <c r="U632" s="13"/>
      <c r="V632" s="13"/>
      <c r="W632" s="13"/>
      <c r="X632" s="13"/>
      <c r="Y632" s="13"/>
      <c r="Z632" s="13"/>
      <c r="AB632" s="40"/>
      <c r="AC632" s="40"/>
      <c r="AD632" s="40"/>
      <c r="AE632" s="40"/>
      <c r="AF632" s="5"/>
    </row>
    <row r="633" spans="8:32" x14ac:dyDescent="0.2">
      <c r="H633" s="13"/>
      <c r="I633" s="13"/>
      <c r="J633" s="13"/>
      <c r="K633" s="13"/>
      <c r="L633" s="13"/>
      <c r="M633" s="13"/>
      <c r="N633" s="13"/>
      <c r="O633" s="13"/>
      <c r="P633" s="13"/>
      <c r="Q633" s="13"/>
      <c r="R633" s="13"/>
      <c r="S633" s="13"/>
      <c r="T633" s="13"/>
      <c r="U633" s="13"/>
      <c r="V633" s="13"/>
      <c r="W633" s="13"/>
      <c r="X633" s="13"/>
      <c r="Y633" s="13"/>
      <c r="Z633" s="13"/>
      <c r="AB633" s="40"/>
      <c r="AC633" s="40"/>
      <c r="AD633" s="40"/>
      <c r="AE633" s="40"/>
      <c r="AF633" s="5"/>
    </row>
    <row r="634" spans="8:32" x14ac:dyDescent="0.2">
      <c r="H634" s="13"/>
      <c r="I634" s="13"/>
      <c r="J634" s="13"/>
      <c r="K634" s="13"/>
      <c r="L634" s="13"/>
      <c r="M634" s="13"/>
      <c r="N634" s="13"/>
      <c r="O634" s="13"/>
      <c r="P634" s="13"/>
      <c r="Q634" s="13"/>
      <c r="R634" s="13"/>
      <c r="S634" s="13"/>
      <c r="T634" s="13"/>
      <c r="U634" s="13"/>
      <c r="V634" s="13"/>
      <c r="W634" s="13"/>
      <c r="X634" s="13"/>
      <c r="Y634" s="13"/>
      <c r="Z634" s="13"/>
      <c r="AB634" s="40"/>
      <c r="AC634" s="40"/>
      <c r="AD634" s="40"/>
      <c r="AE634" s="40"/>
      <c r="AF634" s="5"/>
    </row>
    <row r="635" spans="8:32" x14ac:dyDescent="0.2">
      <c r="H635" s="13"/>
      <c r="I635" s="13"/>
      <c r="J635" s="13"/>
      <c r="K635" s="13"/>
      <c r="L635" s="13"/>
      <c r="M635" s="13"/>
      <c r="N635" s="13"/>
      <c r="O635" s="13"/>
      <c r="P635" s="13"/>
      <c r="Q635" s="13"/>
      <c r="R635" s="13"/>
      <c r="S635" s="13"/>
      <c r="T635" s="13"/>
      <c r="U635" s="13"/>
      <c r="V635" s="13"/>
      <c r="W635" s="13"/>
      <c r="X635" s="13"/>
      <c r="Y635" s="13"/>
      <c r="Z635" s="13"/>
      <c r="AB635" s="40"/>
      <c r="AC635" s="40"/>
      <c r="AD635" s="40"/>
      <c r="AE635" s="40"/>
      <c r="AF635" s="5"/>
    </row>
    <row r="636" spans="8:32" x14ac:dyDescent="0.2">
      <c r="H636"/>
      <c r="AB636" s="40"/>
      <c r="AC636" s="40"/>
      <c r="AD636" s="40"/>
      <c r="AE636" s="40"/>
      <c r="AF636" s="5"/>
    </row>
    <row r="637" spans="8:32" x14ac:dyDescent="0.2">
      <c r="H637"/>
      <c r="AB637" s="40"/>
      <c r="AC637" s="40"/>
      <c r="AD637" s="40"/>
      <c r="AE637" s="40"/>
      <c r="AF637" s="5"/>
    </row>
    <row r="638" spans="8:32" x14ac:dyDescent="0.2">
      <c r="H638" s="13"/>
      <c r="I638" s="13"/>
      <c r="J638" s="13"/>
      <c r="K638" s="13"/>
      <c r="L638" s="13"/>
      <c r="M638" s="13"/>
      <c r="N638" s="13"/>
      <c r="O638" s="13"/>
      <c r="P638" s="13"/>
      <c r="Q638" s="13"/>
      <c r="R638" s="13"/>
      <c r="S638" s="13"/>
      <c r="T638" s="13"/>
      <c r="U638" s="13"/>
      <c r="V638" s="13"/>
      <c r="W638" s="13"/>
      <c r="X638" s="13"/>
      <c r="Y638" s="13"/>
      <c r="Z638" s="13"/>
      <c r="AB638" s="40"/>
      <c r="AC638" s="40"/>
      <c r="AD638" s="40"/>
      <c r="AE638" s="40"/>
      <c r="AF638" s="5"/>
    </row>
    <row r="639" spans="8:32" x14ac:dyDescent="0.2">
      <c r="H639" s="13"/>
      <c r="I639" s="13"/>
      <c r="J639" s="13"/>
      <c r="K639" s="13"/>
      <c r="L639" s="13"/>
      <c r="M639" s="13"/>
      <c r="N639" s="13"/>
      <c r="O639" s="13"/>
      <c r="P639" s="13"/>
      <c r="Q639" s="13"/>
      <c r="R639" s="13"/>
      <c r="S639" s="13"/>
      <c r="T639" s="13"/>
      <c r="U639" s="13"/>
      <c r="V639" s="13"/>
      <c r="W639" s="13"/>
      <c r="X639" s="13"/>
      <c r="Y639" s="13"/>
      <c r="Z639" s="13"/>
      <c r="AB639" s="40"/>
      <c r="AC639" s="40"/>
      <c r="AD639" s="40"/>
      <c r="AE639" s="40"/>
      <c r="AF639" s="5"/>
    </row>
    <row r="640" spans="8:32" x14ac:dyDescent="0.2">
      <c r="H640" s="13"/>
      <c r="I640" s="13"/>
      <c r="J640" s="13"/>
      <c r="K640" s="13"/>
      <c r="L640" s="13"/>
      <c r="M640" s="13"/>
      <c r="N640" s="13"/>
      <c r="O640" s="13"/>
      <c r="P640" s="13"/>
      <c r="Q640" s="13"/>
      <c r="R640" s="13"/>
      <c r="S640" s="13"/>
      <c r="T640" s="13"/>
      <c r="U640" s="13"/>
      <c r="V640" s="13"/>
      <c r="W640" s="13"/>
      <c r="X640" s="13"/>
      <c r="Y640" s="13"/>
      <c r="Z640" s="13"/>
      <c r="AB640" s="40"/>
      <c r="AC640" s="40"/>
      <c r="AD640" s="40"/>
      <c r="AE640" s="40"/>
      <c r="AF640" s="5"/>
    </row>
    <row r="641" spans="8:32" x14ac:dyDescent="0.2">
      <c r="H641" s="13"/>
      <c r="I641" s="13"/>
      <c r="J641" s="13"/>
      <c r="K641" s="13"/>
      <c r="L641" s="13"/>
      <c r="M641" s="13"/>
      <c r="N641" s="13"/>
      <c r="O641" s="13"/>
      <c r="P641" s="13"/>
      <c r="Q641" s="13"/>
      <c r="R641" s="13"/>
      <c r="S641" s="13"/>
      <c r="T641" s="13"/>
      <c r="U641" s="13"/>
      <c r="V641" s="13"/>
      <c r="W641" s="13"/>
      <c r="X641" s="13"/>
      <c r="Y641" s="13"/>
      <c r="Z641" s="13"/>
      <c r="AB641" s="40"/>
      <c r="AC641" s="40"/>
      <c r="AD641" s="40"/>
      <c r="AE641" s="40"/>
      <c r="AF641" s="5"/>
    </row>
    <row r="642" spans="8:32" x14ac:dyDescent="0.2">
      <c r="H642"/>
      <c r="AB642" s="40"/>
      <c r="AC642" s="40"/>
      <c r="AD642" s="40"/>
      <c r="AE642" s="40"/>
      <c r="AF642" s="5"/>
    </row>
    <row r="643" spans="8:32" x14ac:dyDescent="0.2">
      <c r="H643" s="13"/>
      <c r="I643" s="13"/>
      <c r="J643" s="13"/>
      <c r="K643" s="13"/>
      <c r="L643" s="13"/>
      <c r="M643" s="13"/>
      <c r="N643" s="13"/>
      <c r="O643" s="13"/>
      <c r="P643" s="13"/>
      <c r="Q643" s="13"/>
      <c r="R643" s="13"/>
      <c r="S643" s="13"/>
      <c r="T643" s="13"/>
      <c r="U643" s="13"/>
      <c r="V643" s="13"/>
      <c r="W643" s="13"/>
      <c r="X643" s="13"/>
      <c r="Y643" s="13"/>
      <c r="Z643" s="13"/>
      <c r="AB643" s="40"/>
      <c r="AC643" s="40"/>
      <c r="AD643" s="40"/>
      <c r="AE643" s="40"/>
      <c r="AF643" s="5"/>
    </row>
    <row r="644" spans="8:32" x14ac:dyDescent="0.2">
      <c r="H644" s="13"/>
      <c r="I644" s="13"/>
      <c r="J644" s="13"/>
      <c r="K644" s="13"/>
      <c r="L644" s="13"/>
      <c r="M644" s="13"/>
      <c r="N644" s="13"/>
      <c r="O644" s="13"/>
      <c r="P644" s="13"/>
      <c r="Q644" s="13"/>
      <c r="R644" s="13"/>
      <c r="S644" s="13"/>
      <c r="T644" s="13"/>
      <c r="U644" s="13"/>
      <c r="V644" s="13"/>
      <c r="W644" s="13"/>
      <c r="X644" s="13"/>
      <c r="Y644" s="13"/>
      <c r="Z644" s="13"/>
      <c r="AB644" s="40"/>
      <c r="AC644" s="40"/>
      <c r="AD644" s="40"/>
      <c r="AE644" s="40"/>
      <c r="AF644" s="5"/>
    </row>
    <row r="645" spans="8:32" x14ac:dyDescent="0.2">
      <c r="H645" s="13"/>
      <c r="I645" s="13"/>
      <c r="J645" s="13"/>
      <c r="K645" s="13"/>
      <c r="L645" s="13"/>
      <c r="M645" s="13"/>
      <c r="N645" s="13"/>
      <c r="O645" s="13"/>
      <c r="P645" s="13"/>
      <c r="Q645" s="13"/>
      <c r="R645" s="13"/>
      <c r="S645" s="13"/>
      <c r="T645" s="13"/>
      <c r="U645" s="13"/>
      <c r="V645" s="13"/>
      <c r="W645" s="13"/>
      <c r="X645" s="13"/>
      <c r="Y645" s="13"/>
      <c r="Z645" s="13"/>
      <c r="AB645" s="40"/>
      <c r="AC645" s="40"/>
      <c r="AD645" s="40"/>
      <c r="AE645" s="40"/>
      <c r="AF645" s="5"/>
    </row>
    <row r="646" spans="8:32" x14ac:dyDescent="0.2">
      <c r="H646" s="13"/>
      <c r="I646" s="13"/>
      <c r="J646" s="13"/>
      <c r="K646" s="13"/>
      <c r="L646" s="13"/>
      <c r="M646" s="13"/>
      <c r="N646" s="13"/>
      <c r="O646" s="13"/>
      <c r="P646" s="13"/>
      <c r="Q646" s="13"/>
      <c r="R646" s="13"/>
      <c r="S646" s="13"/>
      <c r="T646" s="13"/>
      <c r="U646" s="13"/>
      <c r="V646" s="13"/>
      <c r="W646" s="13"/>
      <c r="X646" s="13"/>
      <c r="Y646" s="13"/>
      <c r="Z646" s="13"/>
      <c r="AB646" s="40"/>
      <c r="AC646" s="40"/>
      <c r="AD646" s="40"/>
      <c r="AE646" s="40"/>
      <c r="AF646" s="5"/>
    </row>
    <row r="647" spans="8:32" x14ac:dyDescent="0.2">
      <c r="H647"/>
      <c r="AB647" s="40"/>
      <c r="AC647" s="40"/>
      <c r="AD647" s="40"/>
      <c r="AE647" s="40"/>
      <c r="AF647" s="5"/>
    </row>
    <row r="648" spans="8:32" x14ac:dyDescent="0.2">
      <c r="H648" s="13"/>
      <c r="I648" s="13"/>
      <c r="J648" s="13"/>
      <c r="K648" s="13"/>
      <c r="L648" s="13"/>
      <c r="M648" s="13"/>
      <c r="N648" s="13"/>
      <c r="O648" s="13"/>
      <c r="P648" s="13"/>
      <c r="Q648" s="13"/>
      <c r="R648" s="13"/>
      <c r="S648" s="13"/>
      <c r="T648" s="13"/>
      <c r="U648" s="13"/>
      <c r="V648" s="13"/>
      <c r="W648" s="13"/>
      <c r="X648" s="13"/>
      <c r="Y648" s="13"/>
      <c r="Z648" s="13"/>
      <c r="AB648" s="40"/>
      <c r="AC648" s="40"/>
      <c r="AD648" s="40"/>
      <c r="AE648" s="40"/>
      <c r="AF648" s="5"/>
    </row>
    <row r="649" spans="8:32" x14ac:dyDescent="0.2">
      <c r="H649" s="13"/>
      <c r="I649" s="13"/>
      <c r="J649" s="13"/>
      <c r="K649" s="13"/>
      <c r="L649" s="13"/>
      <c r="M649" s="13"/>
      <c r="N649" s="13"/>
      <c r="O649" s="13"/>
      <c r="P649" s="13"/>
      <c r="Q649" s="13"/>
      <c r="R649" s="13"/>
      <c r="S649" s="13"/>
      <c r="T649" s="13"/>
      <c r="U649" s="13"/>
      <c r="V649" s="13"/>
      <c r="W649" s="13"/>
      <c r="X649" s="13"/>
      <c r="Y649" s="13"/>
      <c r="Z649" s="13"/>
      <c r="AB649" s="40"/>
      <c r="AC649" s="40"/>
      <c r="AD649" s="40"/>
      <c r="AE649" s="40"/>
      <c r="AF649" s="5"/>
    </row>
    <row r="650" spans="8:32" x14ac:dyDescent="0.2">
      <c r="H650" s="13"/>
      <c r="I650" s="13"/>
      <c r="J650" s="13"/>
      <c r="K650" s="13"/>
      <c r="L650" s="13"/>
      <c r="M650" s="13"/>
      <c r="N650" s="13"/>
      <c r="O650" s="13"/>
      <c r="P650" s="13"/>
      <c r="Q650" s="13"/>
      <c r="R650" s="13"/>
      <c r="S650" s="13"/>
      <c r="T650" s="13"/>
      <c r="U650" s="13"/>
      <c r="V650" s="13"/>
      <c r="W650" s="13"/>
      <c r="X650" s="13"/>
      <c r="Y650" s="13"/>
      <c r="Z650" s="13"/>
      <c r="AB650" s="40"/>
      <c r="AC650" s="40"/>
      <c r="AD650" s="40"/>
      <c r="AE650" s="40"/>
      <c r="AF650" s="5"/>
    </row>
    <row r="651" spans="8:32" x14ac:dyDescent="0.2">
      <c r="H651" s="13"/>
      <c r="I651" s="13"/>
      <c r="J651" s="13"/>
      <c r="K651" s="13"/>
      <c r="L651" s="13"/>
      <c r="M651" s="13"/>
      <c r="N651" s="13"/>
      <c r="O651" s="13"/>
      <c r="P651" s="13"/>
      <c r="Q651" s="13"/>
      <c r="R651" s="13"/>
      <c r="S651" s="13"/>
      <c r="T651" s="13"/>
      <c r="U651" s="13"/>
      <c r="V651" s="13"/>
      <c r="W651" s="13"/>
      <c r="X651" s="13"/>
      <c r="Y651" s="13"/>
      <c r="Z651" s="13"/>
      <c r="AB651" s="40"/>
      <c r="AC651" s="40"/>
      <c r="AD651" s="40"/>
      <c r="AE651" s="40"/>
      <c r="AF651" s="5"/>
    </row>
    <row r="652" spans="8:32" x14ac:dyDescent="0.2">
      <c r="H652"/>
      <c r="AB652" s="40"/>
      <c r="AC652" s="40"/>
      <c r="AD652" s="40"/>
      <c r="AE652" s="40"/>
      <c r="AF652" s="5"/>
    </row>
    <row r="653" spans="8:32" x14ac:dyDescent="0.2">
      <c r="H653" s="13"/>
      <c r="I653" s="13"/>
      <c r="J653" s="13"/>
      <c r="K653" s="13"/>
      <c r="L653" s="13"/>
      <c r="M653" s="13"/>
      <c r="N653" s="13"/>
      <c r="O653" s="13"/>
      <c r="P653" s="13"/>
      <c r="Q653" s="13"/>
      <c r="R653" s="13"/>
      <c r="S653" s="13"/>
      <c r="T653" s="13"/>
      <c r="U653" s="13"/>
      <c r="V653" s="13"/>
      <c r="W653" s="13"/>
      <c r="X653" s="13"/>
      <c r="Y653" s="13"/>
      <c r="Z653" s="13"/>
      <c r="AB653" s="40"/>
      <c r="AC653" s="40"/>
      <c r="AD653" s="40"/>
      <c r="AE653" s="40"/>
      <c r="AF653" s="5"/>
    </row>
    <row r="654" spans="8:32" x14ac:dyDescent="0.2">
      <c r="H654"/>
      <c r="AB654" s="40"/>
      <c r="AC654" s="40"/>
      <c r="AD654" s="40"/>
      <c r="AE654" s="40"/>
      <c r="AF654" s="5"/>
    </row>
    <row r="655" spans="8:32" x14ac:dyDescent="0.2">
      <c r="H655" s="13"/>
      <c r="I655" s="13"/>
      <c r="J655" s="13"/>
      <c r="K655" s="13"/>
      <c r="L655" s="13"/>
      <c r="M655" s="13"/>
      <c r="N655" s="13"/>
      <c r="O655" s="13"/>
      <c r="P655" s="13"/>
      <c r="Q655" s="13"/>
      <c r="R655" s="13"/>
      <c r="S655" s="13"/>
      <c r="T655" s="13"/>
      <c r="U655" s="13"/>
      <c r="V655" s="13"/>
      <c r="W655" s="13"/>
      <c r="X655" s="13"/>
      <c r="Y655" s="13"/>
      <c r="Z655" s="13"/>
      <c r="AB655" s="40"/>
      <c r="AC655" s="40"/>
      <c r="AD655" s="40"/>
      <c r="AE655" s="40"/>
      <c r="AF655" s="5"/>
    </row>
    <row r="656" spans="8:32" x14ac:dyDescent="0.2">
      <c r="H656" s="13"/>
      <c r="I656" s="13"/>
      <c r="J656" s="13"/>
      <c r="K656" s="13"/>
      <c r="L656" s="13"/>
      <c r="M656" s="13"/>
      <c r="N656" s="13"/>
      <c r="O656" s="13"/>
      <c r="P656" s="13"/>
      <c r="Q656" s="13"/>
      <c r="R656" s="13"/>
      <c r="S656" s="13"/>
      <c r="T656" s="13"/>
      <c r="U656" s="13"/>
      <c r="V656" s="13"/>
      <c r="W656" s="13"/>
      <c r="X656" s="13"/>
      <c r="Y656" s="13"/>
      <c r="Z656" s="13"/>
      <c r="AB656" s="40"/>
      <c r="AC656" s="40"/>
      <c r="AD656" s="40"/>
      <c r="AE656" s="40"/>
      <c r="AF656" s="5"/>
    </row>
    <row r="657" spans="8:32" x14ac:dyDescent="0.2">
      <c r="H657" s="13"/>
      <c r="I657" s="13"/>
      <c r="J657" s="13"/>
      <c r="K657" s="13"/>
      <c r="L657" s="13"/>
      <c r="M657" s="13"/>
      <c r="N657" s="13"/>
      <c r="O657" s="13"/>
      <c r="P657" s="13"/>
      <c r="Q657" s="13"/>
      <c r="R657" s="13"/>
      <c r="S657" s="13"/>
      <c r="T657" s="13"/>
      <c r="U657" s="13"/>
      <c r="V657" s="13"/>
      <c r="W657" s="13"/>
      <c r="X657" s="13"/>
      <c r="Y657" s="13"/>
      <c r="Z657" s="13"/>
      <c r="AB657" s="40"/>
      <c r="AC657" s="40"/>
      <c r="AD657" s="40"/>
      <c r="AE657" s="40"/>
      <c r="AF657" s="5"/>
    </row>
    <row r="658" spans="8:32" x14ac:dyDescent="0.2">
      <c r="H658" s="13"/>
      <c r="I658" s="13"/>
      <c r="J658" s="13"/>
      <c r="K658" s="13"/>
      <c r="L658" s="13"/>
      <c r="M658" s="13"/>
      <c r="N658" s="13"/>
      <c r="O658" s="13"/>
      <c r="P658" s="13"/>
      <c r="Q658" s="13"/>
      <c r="R658" s="13"/>
      <c r="S658" s="13"/>
      <c r="T658" s="13"/>
      <c r="U658" s="13"/>
      <c r="V658" s="13"/>
      <c r="W658" s="13"/>
      <c r="X658" s="13"/>
      <c r="Y658" s="13"/>
      <c r="Z658" s="13"/>
      <c r="AB658" s="40"/>
      <c r="AC658" s="40"/>
      <c r="AD658" s="40"/>
      <c r="AE658" s="40"/>
      <c r="AF658" s="5"/>
    </row>
    <row r="659" spans="8:32" x14ac:dyDescent="0.2">
      <c r="H659"/>
      <c r="AB659" s="40"/>
      <c r="AC659" s="40"/>
      <c r="AD659" s="40"/>
      <c r="AE659" s="40"/>
      <c r="AF659" s="5"/>
    </row>
    <row r="660" spans="8:32" x14ac:dyDescent="0.2">
      <c r="H660" s="13"/>
      <c r="I660" s="13"/>
      <c r="J660" s="13"/>
      <c r="K660" s="13"/>
      <c r="L660" s="13"/>
      <c r="M660" s="13"/>
      <c r="N660" s="13"/>
      <c r="O660" s="13"/>
      <c r="P660" s="13"/>
      <c r="Q660" s="13"/>
      <c r="R660" s="13"/>
      <c r="S660" s="13"/>
      <c r="T660" s="13"/>
      <c r="U660" s="13"/>
      <c r="V660" s="13"/>
      <c r="W660" s="13"/>
      <c r="X660" s="13"/>
      <c r="Y660" s="13"/>
      <c r="Z660" s="13"/>
      <c r="AB660" s="40"/>
      <c r="AC660" s="40"/>
      <c r="AD660" s="40"/>
      <c r="AE660" s="40"/>
      <c r="AF660" s="5"/>
    </row>
    <row r="661" spans="8:32" x14ac:dyDescent="0.2">
      <c r="H661" s="13"/>
      <c r="I661" s="13"/>
      <c r="J661" s="13"/>
      <c r="K661" s="13"/>
      <c r="L661" s="13"/>
      <c r="M661" s="13"/>
      <c r="N661" s="13"/>
      <c r="O661" s="13"/>
      <c r="P661" s="13"/>
      <c r="Q661" s="13"/>
      <c r="R661" s="13"/>
      <c r="S661" s="13"/>
      <c r="T661" s="13"/>
      <c r="U661" s="13"/>
      <c r="V661" s="13"/>
      <c r="W661" s="13"/>
      <c r="X661" s="13"/>
      <c r="Y661" s="13"/>
      <c r="Z661" s="13"/>
      <c r="AB661" s="40"/>
      <c r="AC661" s="40"/>
      <c r="AD661" s="40"/>
      <c r="AE661" s="40"/>
      <c r="AF661" s="5"/>
    </row>
    <row r="662" spans="8:32" x14ac:dyDescent="0.2">
      <c r="H662" s="13"/>
      <c r="I662" s="13"/>
      <c r="J662" s="13"/>
      <c r="K662" s="13"/>
      <c r="L662" s="13"/>
      <c r="M662" s="13"/>
      <c r="N662" s="13"/>
      <c r="O662" s="13"/>
      <c r="P662" s="13"/>
      <c r="Q662" s="13"/>
      <c r="R662" s="13"/>
      <c r="S662" s="13"/>
      <c r="T662" s="13"/>
      <c r="U662" s="13"/>
      <c r="V662" s="13"/>
      <c r="W662" s="13"/>
      <c r="X662" s="13"/>
      <c r="Y662" s="13"/>
      <c r="Z662" s="13"/>
      <c r="AB662" s="40"/>
      <c r="AC662" s="40"/>
      <c r="AD662" s="40"/>
      <c r="AE662" s="40"/>
      <c r="AF662" s="5"/>
    </row>
    <row r="663" spans="8:32" x14ac:dyDescent="0.2">
      <c r="H663"/>
      <c r="AB663" s="40"/>
      <c r="AC663" s="40"/>
      <c r="AD663" s="40"/>
      <c r="AE663" s="40"/>
      <c r="AF663" s="5"/>
    </row>
    <row r="664" spans="8:32" x14ac:dyDescent="0.2">
      <c r="H664" s="13"/>
      <c r="I664" s="13"/>
      <c r="J664" s="13"/>
      <c r="K664" s="13"/>
      <c r="L664" s="13"/>
      <c r="M664" s="13"/>
      <c r="N664" s="13"/>
      <c r="O664" s="13"/>
      <c r="P664" s="13"/>
      <c r="Q664" s="13"/>
      <c r="R664" s="13"/>
      <c r="S664" s="13"/>
      <c r="T664" s="13"/>
      <c r="U664" s="13"/>
      <c r="V664" s="13"/>
      <c r="W664" s="13"/>
      <c r="X664" s="13"/>
      <c r="Y664" s="13"/>
      <c r="Z664" s="13"/>
      <c r="AB664" s="40"/>
      <c r="AC664" s="40"/>
      <c r="AD664" s="40"/>
      <c r="AE664" s="40"/>
      <c r="AF664" s="5"/>
    </row>
    <row r="665" spans="8:32" x14ac:dyDescent="0.2">
      <c r="H665" s="13"/>
      <c r="I665" s="13"/>
      <c r="J665" s="13"/>
      <c r="K665" s="13"/>
      <c r="L665" s="13"/>
      <c r="M665" s="13"/>
      <c r="N665" s="13"/>
      <c r="O665" s="13"/>
      <c r="P665" s="13"/>
      <c r="Q665" s="13"/>
      <c r="R665" s="13"/>
      <c r="S665" s="13"/>
      <c r="T665" s="13"/>
      <c r="U665" s="13"/>
      <c r="V665" s="13"/>
      <c r="W665" s="13"/>
      <c r="X665" s="13"/>
      <c r="Y665" s="13"/>
      <c r="Z665" s="13"/>
      <c r="AB665" s="40"/>
      <c r="AC665" s="40"/>
      <c r="AD665" s="40"/>
      <c r="AE665" s="40"/>
      <c r="AF665" s="5"/>
    </row>
    <row r="666" spans="8:32" x14ac:dyDescent="0.2">
      <c r="H666" s="13"/>
      <c r="I666" s="13"/>
      <c r="J666" s="13"/>
      <c r="K666" s="13"/>
      <c r="L666" s="13"/>
      <c r="M666" s="13"/>
      <c r="N666" s="13"/>
      <c r="O666" s="13"/>
      <c r="P666" s="13"/>
      <c r="Q666" s="13"/>
      <c r="R666" s="13"/>
      <c r="S666" s="13"/>
      <c r="T666" s="13"/>
      <c r="U666" s="13"/>
      <c r="V666" s="13"/>
      <c r="W666" s="13"/>
      <c r="X666" s="13"/>
      <c r="Y666" s="13"/>
      <c r="Z666" s="13"/>
      <c r="AB666" s="40"/>
      <c r="AC666" s="40"/>
      <c r="AD666" s="40"/>
      <c r="AE666" s="40"/>
      <c r="AF666" s="5"/>
    </row>
    <row r="667" spans="8:32" x14ac:dyDescent="0.2">
      <c r="H667"/>
      <c r="AB667" s="40"/>
      <c r="AC667" s="40"/>
      <c r="AD667" s="40"/>
      <c r="AE667" s="40"/>
      <c r="AF667" s="5"/>
    </row>
    <row r="668" spans="8:32" x14ac:dyDescent="0.2">
      <c r="H668" s="13"/>
      <c r="I668" s="13"/>
      <c r="J668" s="13"/>
      <c r="K668" s="13"/>
      <c r="L668" s="13"/>
      <c r="M668" s="13"/>
      <c r="N668" s="13"/>
      <c r="O668" s="13"/>
      <c r="P668" s="13"/>
      <c r="Q668" s="13"/>
      <c r="R668" s="13"/>
      <c r="S668" s="13"/>
      <c r="T668" s="13"/>
      <c r="U668" s="13"/>
      <c r="V668" s="13"/>
      <c r="W668" s="13"/>
      <c r="X668" s="13"/>
      <c r="Y668" s="13"/>
      <c r="Z668" s="13"/>
      <c r="AB668" s="40"/>
      <c r="AC668" s="40"/>
      <c r="AD668" s="40"/>
      <c r="AE668" s="40"/>
      <c r="AF668" s="5"/>
    </row>
    <row r="669" spans="8:32" x14ac:dyDescent="0.2">
      <c r="H669"/>
      <c r="AB669" s="40"/>
      <c r="AC669" s="40"/>
      <c r="AD669" s="40"/>
      <c r="AE669" s="40"/>
      <c r="AF669" s="5"/>
    </row>
    <row r="670" spans="8:32" x14ac:dyDescent="0.2">
      <c r="H670" s="13"/>
      <c r="I670" s="13"/>
      <c r="J670" s="13"/>
      <c r="K670" s="13"/>
      <c r="L670" s="13"/>
      <c r="M670" s="13"/>
      <c r="N670" s="13"/>
      <c r="O670" s="13"/>
      <c r="P670" s="13"/>
      <c r="Q670" s="13"/>
      <c r="R670" s="13"/>
      <c r="S670" s="13"/>
      <c r="T670" s="13"/>
      <c r="U670" s="13"/>
      <c r="V670" s="13"/>
      <c r="W670" s="13"/>
      <c r="X670" s="13"/>
      <c r="Y670" s="13"/>
      <c r="Z670" s="13"/>
      <c r="AB670" s="40"/>
      <c r="AC670" s="40"/>
      <c r="AD670" s="40"/>
      <c r="AE670" s="40"/>
      <c r="AF670" s="5"/>
    </row>
    <row r="671" spans="8:32" x14ac:dyDescent="0.2">
      <c r="H671"/>
      <c r="AB671" s="40"/>
      <c r="AC671" s="40"/>
      <c r="AD671" s="40"/>
      <c r="AE671" s="40"/>
      <c r="AF671" s="5"/>
    </row>
    <row r="672" spans="8:32" x14ac:dyDescent="0.2">
      <c r="H672" s="13"/>
      <c r="I672" s="13"/>
      <c r="J672" s="13"/>
      <c r="K672" s="13"/>
      <c r="L672" s="13"/>
      <c r="M672" s="13"/>
      <c r="N672" s="13"/>
      <c r="O672" s="13"/>
      <c r="P672" s="13"/>
      <c r="Q672" s="13"/>
      <c r="R672" s="13"/>
      <c r="S672" s="13"/>
      <c r="T672" s="13"/>
      <c r="U672" s="13"/>
      <c r="V672" s="13"/>
      <c r="W672" s="13"/>
      <c r="X672" s="13"/>
      <c r="Y672" s="13"/>
      <c r="Z672" s="13"/>
      <c r="AB672" s="40"/>
      <c r="AC672" s="40"/>
      <c r="AD672" s="40"/>
      <c r="AE672" s="40"/>
      <c r="AF672" s="5"/>
    </row>
    <row r="673" spans="8:32" x14ac:dyDescent="0.2">
      <c r="H673" s="13"/>
      <c r="I673" s="13"/>
      <c r="J673" s="13"/>
      <c r="K673" s="13"/>
      <c r="L673" s="13"/>
      <c r="M673" s="13"/>
      <c r="N673" s="13"/>
      <c r="O673" s="13"/>
      <c r="P673" s="13"/>
      <c r="Q673" s="13"/>
      <c r="R673" s="13"/>
      <c r="S673" s="13"/>
      <c r="T673" s="13"/>
      <c r="U673" s="13"/>
      <c r="V673" s="13"/>
      <c r="W673" s="13"/>
      <c r="X673" s="13"/>
      <c r="Y673" s="13"/>
      <c r="Z673" s="13"/>
      <c r="AB673" s="40"/>
      <c r="AC673" s="40"/>
      <c r="AD673" s="40"/>
      <c r="AE673" s="40"/>
      <c r="AF673" s="5"/>
    </row>
    <row r="674" spans="8:32" x14ac:dyDescent="0.2">
      <c r="H674" s="13"/>
      <c r="I674" s="13"/>
      <c r="J674" s="13"/>
      <c r="K674" s="13"/>
      <c r="L674" s="13"/>
      <c r="M674" s="13"/>
      <c r="N674" s="13"/>
      <c r="O674" s="13"/>
      <c r="P674" s="13"/>
      <c r="Q674" s="13"/>
      <c r="R674" s="13"/>
      <c r="S674" s="13"/>
      <c r="T674" s="13"/>
      <c r="U674" s="13"/>
      <c r="V674" s="13"/>
      <c r="W674" s="13"/>
      <c r="X674" s="13"/>
      <c r="Y674" s="13"/>
      <c r="Z674" s="13"/>
      <c r="AB674" s="40"/>
      <c r="AC674" s="40"/>
      <c r="AD674" s="40"/>
      <c r="AE674" s="40"/>
      <c r="AF674" s="5"/>
    </row>
    <row r="675" spans="8:32" x14ac:dyDescent="0.2">
      <c r="H675"/>
      <c r="AB675" s="40"/>
      <c r="AC675" s="40"/>
      <c r="AD675" s="40"/>
      <c r="AE675" s="40"/>
      <c r="AF675" s="5"/>
    </row>
    <row r="676" spans="8:32" x14ac:dyDescent="0.2">
      <c r="H676" s="13"/>
      <c r="I676" s="13"/>
      <c r="J676" s="13"/>
      <c r="K676" s="13"/>
      <c r="L676" s="13"/>
      <c r="M676" s="13"/>
      <c r="N676" s="13"/>
      <c r="O676" s="13"/>
      <c r="P676" s="13"/>
      <c r="Q676" s="13"/>
      <c r="R676" s="13"/>
      <c r="S676" s="13"/>
      <c r="T676" s="13"/>
      <c r="U676" s="13"/>
      <c r="V676" s="13"/>
      <c r="W676" s="13"/>
      <c r="X676" s="13"/>
      <c r="Y676" s="13"/>
      <c r="Z676" s="13"/>
      <c r="AB676" s="40"/>
      <c r="AC676" s="40"/>
      <c r="AD676" s="40"/>
      <c r="AE676" s="40"/>
      <c r="AF676" s="5"/>
    </row>
    <row r="677" spans="8:32" x14ac:dyDescent="0.2">
      <c r="H677" s="13"/>
      <c r="I677" s="13"/>
      <c r="J677" s="13"/>
      <c r="K677" s="13"/>
      <c r="L677" s="13"/>
      <c r="M677" s="13"/>
      <c r="N677" s="13"/>
      <c r="O677" s="13"/>
      <c r="P677" s="13"/>
      <c r="Q677" s="13"/>
      <c r="R677" s="13"/>
      <c r="S677" s="13"/>
      <c r="T677" s="13"/>
      <c r="U677" s="13"/>
      <c r="V677" s="13"/>
      <c r="W677" s="13"/>
      <c r="X677" s="13"/>
      <c r="Y677" s="13"/>
      <c r="Z677" s="13"/>
      <c r="AB677" s="40"/>
      <c r="AC677" s="40"/>
      <c r="AD677" s="40"/>
      <c r="AE677" s="40"/>
      <c r="AF677" s="5"/>
    </row>
    <row r="678" spans="8:32" x14ac:dyDescent="0.2">
      <c r="H678" s="13"/>
      <c r="I678" s="13"/>
      <c r="J678" s="13"/>
      <c r="K678" s="13"/>
      <c r="L678" s="13"/>
      <c r="M678" s="13"/>
      <c r="N678" s="13"/>
      <c r="O678" s="13"/>
      <c r="P678" s="13"/>
      <c r="Q678" s="13"/>
      <c r="R678" s="13"/>
      <c r="S678" s="13"/>
      <c r="T678" s="13"/>
      <c r="U678" s="13"/>
      <c r="V678" s="13"/>
      <c r="W678" s="13"/>
      <c r="X678" s="13"/>
      <c r="Y678" s="13"/>
      <c r="Z678" s="13"/>
      <c r="AB678" s="40"/>
      <c r="AC678" s="40"/>
      <c r="AD678" s="40"/>
      <c r="AE678" s="40"/>
      <c r="AF678" s="5"/>
    </row>
    <row r="679" spans="8:32" x14ac:dyDescent="0.2">
      <c r="H679" s="13"/>
      <c r="I679" s="13"/>
      <c r="J679" s="13"/>
      <c r="K679" s="13"/>
      <c r="L679" s="13"/>
      <c r="M679" s="13"/>
      <c r="N679" s="13"/>
      <c r="O679" s="13"/>
      <c r="P679" s="13"/>
      <c r="Q679" s="13"/>
      <c r="R679" s="13"/>
      <c r="S679" s="13"/>
      <c r="T679" s="13"/>
      <c r="U679" s="13"/>
      <c r="V679" s="13"/>
      <c r="W679" s="13"/>
      <c r="X679" s="13"/>
      <c r="Y679" s="13"/>
      <c r="Z679" s="13"/>
      <c r="AB679" s="40"/>
      <c r="AC679" s="40"/>
      <c r="AD679" s="40"/>
      <c r="AE679" s="40"/>
      <c r="AF679" s="5"/>
    </row>
    <row r="680" spans="8:32" x14ac:dyDescent="0.2">
      <c r="H680"/>
      <c r="AB680" s="40"/>
      <c r="AC680" s="40"/>
      <c r="AD680" s="40"/>
      <c r="AE680" s="40"/>
      <c r="AF680" s="5"/>
    </row>
    <row r="681" spans="8:32" x14ac:dyDescent="0.2">
      <c r="H681" s="13"/>
      <c r="I681" s="13"/>
      <c r="J681" s="13"/>
      <c r="K681" s="13"/>
      <c r="L681" s="13"/>
      <c r="M681" s="13"/>
      <c r="N681" s="13"/>
      <c r="O681" s="13"/>
      <c r="P681" s="13"/>
      <c r="Q681" s="13"/>
      <c r="R681" s="13"/>
      <c r="S681" s="13"/>
      <c r="T681" s="13"/>
      <c r="U681" s="13"/>
      <c r="V681" s="13"/>
      <c r="W681" s="13"/>
      <c r="X681" s="13"/>
      <c r="Y681" s="13"/>
      <c r="Z681" s="13"/>
      <c r="AB681" s="40"/>
      <c r="AC681" s="40"/>
      <c r="AD681" s="40"/>
      <c r="AE681" s="40"/>
      <c r="AF681" s="5"/>
    </row>
    <row r="682" spans="8:32" x14ac:dyDescent="0.2">
      <c r="H682" s="13"/>
      <c r="I682" s="13"/>
      <c r="J682" s="13"/>
      <c r="K682" s="13"/>
      <c r="L682" s="13"/>
      <c r="M682" s="13"/>
      <c r="N682" s="13"/>
      <c r="O682" s="13"/>
      <c r="P682" s="13"/>
      <c r="Q682" s="13"/>
      <c r="R682" s="13"/>
      <c r="S682" s="13"/>
      <c r="T682" s="13"/>
      <c r="U682" s="13"/>
      <c r="V682" s="13"/>
      <c r="W682" s="13"/>
      <c r="X682" s="13"/>
      <c r="Y682" s="13"/>
      <c r="Z682" s="13"/>
      <c r="AB682" s="40"/>
      <c r="AC682" s="40"/>
      <c r="AD682" s="40"/>
      <c r="AE682" s="40"/>
      <c r="AF682" s="5"/>
    </row>
    <row r="683" spans="8:32" x14ac:dyDescent="0.2">
      <c r="H683" s="13"/>
      <c r="I683" s="13"/>
      <c r="J683" s="13"/>
      <c r="K683" s="13"/>
      <c r="L683" s="13"/>
      <c r="M683" s="13"/>
      <c r="N683" s="13"/>
      <c r="O683" s="13"/>
      <c r="P683" s="13"/>
      <c r="Q683" s="13"/>
      <c r="R683" s="13"/>
      <c r="S683" s="13"/>
      <c r="T683" s="13"/>
      <c r="U683" s="13"/>
      <c r="V683" s="13"/>
      <c r="W683" s="13"/>
      <c r="X683" s="13"/>
      <c r="Y683" s="13"/>
      <c r="Z683" s="13"/>
      <c r="AB683" s="40"/>
      <c r="AC683" s="40"/>
      <c r="AD683" s="40"/>
      <c r="AE683" s="40"/>
      <c r="AF683" s="5"/>
    </row>
    <row r="684" spans="8:32" x14ac:dyDescent="0.2">
      <c r="H684" s="13"/>
      <c r="I684" s="13"/>
      <c r="J684" s="13"/>
      <c r="K684" s="13"/>
      <c r="L684" s="13"/>
      <c r="M684" s="13"/>
      <c r="N684" s="13"/>
      <c r="O684" s="13"/>
      <c r="P684" s="13"/>
      <c r="Q684" s="13"/>
      <c r="R684" s="13"/>
      <c r="S684" s="13"/>
      <c r="T684" s="13"/>
      <c r="U684" s="13"/>
      <c r="V684" s="13"/>
      <c r="W684" s="13"/>
      <c r="X684" s="13"/>
      <c r="Y684" s="13"/>
      <c r="Z684" s="13"/>
      <c r="AB684" s="40"/>
      <c r="AC684" s="40"/>
      <c r="AD684" s="40"/>
      <c r="AE684" s="40"/>
      <c r="AF684" s="5"/>
    </row>
    <row r="685" spans="8:32" x14ac:dyDescent="0.2">
      <c r="H685" s="13"/>
      <c r="I685" s="13"/>
      <c r="J685" s="13"/>
      <c r="K685" s="13"/>
      <c r="L685" s="13"/>
      <c r="M685" s="13"/>
      <c r="N685" s="13"/>
      <c r="O685" s="13"/>
      <c r="P685" s="13"/>
      <c r="Q685" s="13"/>
      <c r="R685" s="13"/>
      <c r="S685" s="13"/>
      <c r="T685" s="13"/>
      <c r="U685" s="13"/>
      <c r="V685" s="13"/>
      <c r="W685" s="13"/>
      <c r="X685" s="13"/>
      <c r="Y685" s="13"/>
      <c r="Z685" s="13"/>
      <c r="AB685" s="40"/>
      <c r="AC685" s="40"/>
      <c r="AD685" s="40"/>
      <c r="AE685" s="40"/>
      <c r="AF685" s="5"/>
    </row>
    <row r="686" spans="8:32" x14ac:dyDescent="0.2">
      <c r="H686"/>
      <c r="AB686" s="40"/>
      <c r="AC686" s="40"/>
      <c r="AD686" s="40"/>
      <c r="AE686" s="40"/>
      <c r="AF686" s="5"/>
    </row>
    <row r="687" spans="8:32" x14ac:dyDescent="0.2">
      <c r="H687" s="13"/>
      <c r="I687" s="13"/>
      <c r="J687" s="13"/>
      <c r="K687" s="13"/>
      <c r="L687" s="13"/>
      <c r="M687" s="13"/>
      <c r="N687" s="13"/>
      <c r="O687" s="13"/>
      <c r="P687" s="13"/>
      <c r="Q687" s="13"/>
      <c r="R687" s="13"/>
      <c r="S687" s="13"/>
      <c r="T687" s="13"/>
      <c r="U687" s="13"/>
      <c r="V687" s="13"/>
      <c r="W687" s="13"/>
      <c r="X687" s="13"/>
      <c r="Y687" s="13"/>
      <c r="Z687" s="13"/>
      <c r="AB687" s="40"/>
      <c r="AC687" s="40"/>
      <c r="AD687" s="40"/>
      <c r="AE687" s="40"/>
      <c r="AF687" s="5"/>
    </row>
    <row r="688" spans="8:32" x14ac:dyDescent="0.2">
      <c r="H688" s="13"/>
      <c r="I688" s="13"/>
      <c r="J688" s="13"/>
      <c r="K688" s="13"/>
      <c r="L688" s="13"/>
      <c r="M688" s="13"/>
      <c r="N688" s="13"/>
      <c r="O688" s="13"/>
      <c r="P688" s="13"/>
      <c r="Q688" s="13"/>
      <c r="R688" s="13"/>
      <c r="S688" s="13"/>
      <c r="T688" s="13"/>
      <c r="U688" s="13"/>
      <c r="V688" s="13"/>
      <c r="W688" s="13"/>
      <c r="X688" s="13"/>
      <c r="Y688" s="13"/>
      <c r="Z688" s="13"/>
      <c r="AB688" s="40"/>
      <c r="AC688" s="40"/>
      <c r="AD688" s="40"/>
      <c r="AE688" s="40"/>
      <c r="AF688" s="5"/>
    </row>
    <row r="689" spans="8:32" x14ac:dyDescent="0.2">
      <c r="H689"/>
      <c r="AB689" s="40"/>
      <c r="AC689" s="40"/>
      <c r="AD689" s="40"/>
      <c r="AE689" s="40"/>
      <c r="AF689" s="5"/>
    </row>
    <row r="690" spans="8:32" x14ac:dyDescent="0.2">
      <c r="H690" s="13"/>
      <c r="I690" s="13"/>
      <c r="J690" s="13"/>
      <c r="K690" s="13"/>
      <c r="L690" s="13"/>
      <c r="M690" s="13"/>
      <c r="N690" s="13"/>
      <c r="O690" s="13"/>
      <c r="P690" s="13"/>
      <c r="Q690" s="13"/>
      <c r="R690" s="13"/>
      <c r="S690" s="13"/>
      <c r="T690" s="13"/>
      <c r="U690" s="13"/>
      <c r="V690" s="13"/>
      <c r="W690" s="13"/>
      <c r="X690" s="13"/>
      <c r="Y690" s="13"/>
      <c r="Z690" s="13"/>
      <c r="AB690" s="40"/>
      <c r="AC690" s="40"/>
      <c r="AD690" s="40"/>
      <c r="AE690" s="40"/>
      <c r="AF690" s="5"/>
    </row>
    <row r="691" spans="8:32" x14ac:dyDescent="0.2">
      <c r="H691"/>
      <c r="AB691" s="40"/>
      <c r="AC691" s="40"/>
      <c r="AD691" s="40"/>
      <c r="AE691" s="40"/>
      <c r="AF691" s="5"/>
    </row>
    <row r="692" spans="8:32" x14ac:dyDescent="0.2">
      <c r="H692" s="13"/>
      <c r="I692" s="13"/>
      <c r="J692" s="13"/>
      <c r="K692" s="13"/>
      <c r="L692" s="13"/>
      <c r="M692" s="13"/>
      <c r="N692" s="13"/>
      <c r="O692" s="13"/>
      <c r="P692" s="13"/>
      <c r="Q692" s="13"/>
      <c r="R692" s="13"/>
      <c r="S692" s="13"/>
      <c r="T692" s="13"/>
      <c r="U692" s="13"/>
      <c r="V692" s="13"/>
      <c r="W692" s="13"/>
      <c r="X692" s="13"/>
      <c r="Y692" s="13"/>
      <c r="Z692" s="13"/>
      <c r="AB692" s="40"/>
      <c r="AC692" s="40"/>
      <c r="AD692" s="40"/>
      <c r="AE692" s="40"/>
      <c r="AF692" s="5"/>
    </row>
    <row r="693" spans="8:32" x14ac:dyDescent="0.2">
      <c r="H693"/>
      <c r="AB693" s="40"/>
      <c r="AC693" s="40"/>
      <c r="AD693" s="40"/>
      <c r="AE693" s="40"/>
      <c r="AF693" s="5"/>
    </row>
    <row r="694" spans="8:32" x14ac:dyDescent="0.2">
      <c r="H694" s="13"/>
      <c r="I694" s="13"/>
      <c r="J694" s="13"/>
      <c r="K694" s="13"/>
      <c r="L694" s="13"/>
      <c r="M694" s="13"/>
      <c r="N694" s="13"/>
      <c r="O694" s="13"/>
      <c r="P694" s="13"/>
      <c r="Q694" s="13"/>
      <c r="R694" s="13"/>
      <c r="S694" s="13"/>
      <c r="T694" s="13"/>
      <c r="U694" s="13"/>
      <c r="V694" s="13"/>
      <c r="W694" s="13"/>
      <c r="X694" s="13"/>
      <c r="Y694" s="13"/>
      <c r="Z694" s="13"/>
      <c r="AB694" s="40"/>
      <c r="AC694" s="40"/>
      <c r="AD694" s="40"/>
      <c r="AE694" s="40"/>
      <c r="AF694" s="5"/>
    </row>
    <row r="695" spans="8:32" x14ac:dyDescent="0.2">
      <c r="H695" s="13"/>
      <c r="I695" s="13"/>
      <c r="J695" s="13"/>
      <c r="K695" s="13"/>
      <c r="L695" s="13"/>
      <c r="M695" s="13"/>
      <c r="N695" s="13"/>
      <c r="O695" s="13"/>
      <c r="P695" s="13"/>
      <c r="Q695" s="13"/>
      <c r="R695" s="13"/>
      <c r="S695" s="13"/>
      <c r="T695" s="13"/>
      <c r="U695" s="13"/>
      <c r="V695" s="13"/>
      <c r="W695" s="13"/>
      <c r="X695" s="13"/>
      <c r="Y695" s="13"/>
      <c r="Z695" s="13"/>
      <c r="AB695" s="40"/>
      <c r="AC695" s="40"/>
      <c r="AD695" s="40"/>
      <c r="AE695" s="40"/>
      <c r="AF695" s="5"/>
    </row>
    <row r="696" spans="8:32" x14ac:dyDescent="0.2">
      <c r="H696"/>
      <c r="AB696" s="40"/>
      <c r="AC696" s="40"/>
      <c r="AD696" s="40"/>
      <c r="AE696" s="40"/>
      <c r="AF696" s="5"/>
    </row>
    <row r="697" spans="8:32" x14ac:dyDescent="0.2">
      <c r="H697" s="13"/>
      <c r="I697" s="13"/>
      <c r="J697" s="13"/>
      <c r="K697" s="13"/>
      <c r="L697" s="13"/>
      <c r="M697" s="13"/>
      <c r="N697" s="13"/>
      <c r="O697" s="13"/>
      <c r="P697" s="13"/>
      <c r="Q697" s="13"/>
      <c r="R697" s="13"/>
      <c r="S697" s="13"/>
      <c r="T697" s="13"/>
      <c r="U697" s="13"/>
      <c r="V697" s="13"/>
      <c r="W697" s="13"/>
      <c r="X697" s="13"/>
      <c r="Y697" s="13"/>
      <c r="Z697" s="13"/>
      <c r="AB697" s="40"/>
      <c r="AC697" s="40"/>
      <c r="AD697" s="40"/>
      <c r="AE697" s="40"/>
      <c r="AF697" s="5"/>
    </row>
    <row r="698" spans="8:32" x14ac:dyDescent="0.2">
      <c r="H698" s="13"/>
      <c r="I698" s="13"/>
      <c r="J698" s="13"/>
      <c r="K698" s="13"/>
      <c r="L698" s="13"/>
      <c r="M698" s="13"/>
      <c r="N698" s="13"/>
      <c r="O698" s="13"/>
      <c r="P698" s="13"/>
      <c r="Q698" s="13"/>
      <c r="R698" s="13"/>
      <c r="S698" s="13"/>
      <c r="T698" s="13"/>
      <c r="U698" s="13"/>
      <c r="V698" s="13"/>
      <c r="W698" s="13"/>
      <c r="X698" s="13"/>
      <c r="Y698" s="13"/>
      <c r="Z698" s="13"/>
      <c r="AB698" s="40"/>
      <c r="AC698" s="40"/>
      <c r="AD698" s="40"/>
      <c r="AE698" s="40"/>
      <c r="AF698" s="5"/>
    </row>
    <row r="699" spans="8:32" x14ac:dyDescent="0.2">
      <c r="H699"/>
      <c r="AB699" s="40"/>
      <c r="AC699" s="40"/>
      <c r="AD699" s="40"/>
      <c r="AE699" s="40"/>
      <c r="AF699" s="5"/>
    </row>
    <row r="700" spans="8:32" x14ac:dyDescent="0.2">
      <c r="H700" s="13"/>
      <c r="I700" s="13"/>
      <c r="J700" s="13"/>
      <c r="K700" s="13"/>
      <c r="L700" s="13"/>
      <c r="M700" s="13"/>
      <c r="N700" s="13"/>
      <c r="O700" s="13"/>
      <c r="P700" s="13"/>
      <c r="Q700" s="13"/>
      <c r="R700" s="13"/>
      <c r="S700" s="13"/>
      <c r="T700" s="13"/>
      <c r="U700" s="13"/>
      <c r="V700" s="13"/>
      <c r="W700" s="13"/>
      <c r="X700" s="13"/>
      <c r="Y700" s="13"/>
      <c r="Z700" s="13"/>
      <c r="AB700" s="40"/>
      <c r="AC700" s="40"/>
      <c r="AD700" s="40"/>
      <c r="AE700" s="40"/>
      <c r="AF700" s="5"/>
    </row>
    <row r="701" spans="8:32" x14ac:dyDescent="0.2">
      <c r="H701"/>
      <c r="AB701" s="40"/>
      <c r="AC701" s="40"/>
      <c r="AD701" s="40"/>
      <c r="AE701" s="40"/>
      <c r="AF701" s="5"/>
    </row>
    <row r="702" spans="8:32" x14ac:dyDescent="0.2">
      <c r="H702" s="13"/>
      <c r="I702" s="13"/>
      <c r="J702" s="13"/>
      <c r="K702" s="13"/>
      <c r="L702" s="13"/>
      <c r="M702" s="13"/>
      <c r="N702" s="13"/>
      <c r="O702" s="13"/>
      <c r="P702" s="13"/>
      <c r="Q702" s="13"/>
      <c r="R702" s="13"/>
      <c r="S702" s="13"/>
      <c r="T702" s="13"/>
      <c r="U702" s="13"/>
      <c r="V702" s="13"/>
      <c r="W702" s="13"/>
      <c r="X702" s="13"/>
      <c r="Y702" s="13"/>
      <c r="Z702" s="13"/>
      <c r="AB702" s="40"/>
      <c r="AC702" s="40"/>
      <c r="AD702" s="40"/>
      <c r="AE702" s="40"/>
      <c r="AF702" s="5"/>
    </row>
    <row r="703" spans="8:32" x14ac:dyDescent="0.2">
      <c r="H703" s="13"/>
      <c r="I703" s="13"/>
      <c r="J703" s="13"/>
      <c r="K703" s="13"/>
      <c r="L703" s="13"/>
      <c r="M703" s="13"/>
      <c r="N703" s="13"/>
      <c r="O703" s="13"/>
      <c r="P703" s="13"/>
      <c r="Q703" s="13"/>
      <c r="R703" s="13"/>
      <c r="S703" s="13"/>
      <c r="T703" s="13"/>
      <c r="U703" s="13"/>
      <c r="V703" s="13"/>
      <c r="W703" s="13"/>
      <c r="X703" s="13"/>
      <c r="Y703" s="13"/>
      <c r="Z703" s="13"/>
      <c r="AB703" s="40"/>
      <c r="AC703" s="40"/>
      <c r="AD703" s="40"/>
      <c r="AE703" s="40"/>
      <c r="AF703" s="5"/>
    </row>
    <row r="704" spans="8:32" x14ac:dyDescent="0.2">
      <c r="H704" s="13"/>
      <c r="I704" s="13"/>
      <c r="J704" s="13"/>
      <c r="K704" s="13"/>
      <c r="L704" s="13"/>
      <c r="M704" s="13"/>
      <c r="N704" s="13"/>
      <c r="O704" s="13"/>
      <c r="P704" s="13"/>
      <c r="Q704" s="13"/>
      <c r="R704" s="13"/>
      <c r="S704" s="13"/>
      <c r="T704" s="13"/>
      <c r="U704" s="13"/>
      <c r="V704" s="13"/>
      <c r="W704" s="13"/>
      <c r="X704" s="13"/>
      <c r="Y704" s="13"/>
      <c r="Z704" s="13"/>
      <c r="AB704" s="40"/>
      <c r="AC704" s="40"/>
      <c r="AD704" s="40"/>
      <c r="AE704" s="40"/>
      <c r="AF704" s="5"/>
    </row>
    <row r="705" spans="8:32" x14ac:dyDescent="0.2">
      <c r="H705"/>
      <c r="AB705" s="40"/>
      <c r="AC705" s="40"/>
      <c r="AD705" s="40"/>
      <c r="AE705" s="40"/>
      <c r="AF705" s="5"/>
    </row>
    <row r="706" spans="8:32" x14ac:dyDescent="0.2">
      <c r="H706"/>
      <c r="AB706" s="40"/>
      <c r="AC706" s="40"/>
      <c r="AD706" s="40"/>
      <c r="AE706" s="40"/>
      <c r="AF706" s="5"/>
    </row>
    <row r="707" spans="8:32" x14ac:dyDescent="0.2">
      <c r="H707" s="13"/>
      <c r="I707" s="13"/>
      <c r="J707" s="13"/>
      <c r="K707" s="13"/>
      <c r="L707" s="13"/>
      <c r="M707" s="13"/>
      <c r="N707" s="13"/>
      <c r="O707" s="13"/>
      <c r="P707" s="13"/>
      <c r="Q707" s="13"/>
      <c r="R707" s="13"/>
      <c r="S707" s="13"/>
      <c r="T707" s="13"/>
      <c r="U707" s="13"/>
      <c r="V707" s="13"/>
      <c r="W707" s="13"/>
      <c r="X707" s="13"/>
      <c r="Y707" s="13"/>
      <c r="Z707" s="13"/>
      <c r="AB707" s="40"/>
      <c r="AC707" s="40"/>
      <c r="AD707" s="40"/>
      <c r="AE707" s="40"/>
      <c r="AF707" s="5"/>
    </row>
    <row r="708" spans="8:32" x14ac:dyDescent="0.2">
      <c r="H708" s="13"/>
      <c r="I708" s="13"/>
      <c r="J708" s="13"/>
      <c r="K708" s="13"/>
      <c r="L708" s="13"/>
      <c r="M708" s="13"/>
      <c r="N708" s="13"/>
      <c r="O708" s="13"/>
      <c r="P708" s="13"/>
      <c r="Q708" s="13"/>
      <c r="R708" s="13"/>
      <c r="S708" s="13"/>
      <c r="T708" s="13"/>
      <c r="U708" s="13"/>
      <c r="V708" s="13"/>
      <c r="W708" s="13"/>
      <c r="X708" s="13"/>
      <c r="Y708" s="13"/>
      <c r="Z708" s="13"/>
      <c r="AB708" s="40"/>
      <c r="AC708" s="40"/>
      <c r="AD708" s="40"/>
      <c r="AE708" s="40"/>
      <c r="AF708" s="5"/>
    </row>
    <row r="709" spans="8:32" x14ac:dyDescent="0.2">
      <c r="H709" s="13"/>
      <c r="I709" s="13"/>
      <c r="J709" s="13"/>
      <c r="K709" s="13"/>
      <c r="L709" s="13"/>
      <c r="M709" s="13"/>
      <c r="N709" s="13"/>
      <c r="O709" s="13"/>
      <c r="P709" s="13"/>
      <c r="Q709" s="13"/>
      <c r="R709" s="13"/>
      <c r="S709" s="13"/>
      <c r="T709" s="13"/>
      <c r="U709" s="13"/>
      <c r="V709" s="13"/>
      <c r="W709" s="13"/>
      <c r="X709" s="13"/>
      <c r="Y709" s="13"/>
      <c r="Z709" s="13"/>
      <c r="AB709" s="40"/>
      <c r="AC709" s="40"/>
      <c r="AD709" s="40"/>
      <c r="AE709" s="40"/>
      <c r="AF709" s="5"/>
    </row>
    <row r="710" spans="8:32" x14ac:dyDescent="0.2">
      <c r="H710" s="13"/>
      <c r="I710" s="13"/>
      <c r="J710" s="13"/>
      <c r="K710" s="13"/>
      <c r="L710" s="13"/>
      <c r="M710" s="13"/>
      <c r="N710" s="13"/>
      <c r="O710" s="13"/>
      <c r="P710" s="13"/>
      <c r="Q710" s="13"/>
      <c r="R710" s="13"/>
      <c r="S710" s="13"/>
      <c r="T710" s="13"/>
      <c r="U710" s="13"/>
      <c r="V710" s="13"/>
      <c r="W710" s="13"/>
      <c r="X710" s="13"/>
      <c r="Y710" s="13"/>
      <c r="Z710" s="13"/>
      <c r="AB710" s="40"/>
      <c r="AC710" s="40"/>
      <c r="AD710" s="40"/>
      <c r="AE710" s="40"/>
      <c r="AF710" s="5"/>
    </row>
    <row r="711" spans="8:32" x14ac:dyDescent="0.2">
      <c r="H711" s="13"/>
      <c r="I711" s="13"/>
      <c r="J711" s="13"/>
      <c r="K711" s="13"/>
      <c r="L711" s="13"/>
      <c r="M711" s="13"/>
      <c r="N711" s="13"/>
      <c r="O711" s="13"/>
      <c r="P711" s="13"/>
      <c r="Q711" s="13"/>
      <c r="R711" s="13"/>
      <c r="S711" s="13"/>
      <c r="T711" s="13"/>
      <c r="U711" s="13"/>
      <c r="V711" s="13"/>
      <c r="W711" s="13"/>
      <c r="X711" s="13"/>
      <c r="Y711" s="13"/>
      <c r="Z711" s="13"/>
      <c r="AB711" s="40"/>
      <c r="AC711" s="40"/>
      <c r="AD711" s="40"/>
      <c r="AE711" s="40"/>
      <c r="AF711" s="5"/>
    </row>
    <row r="712" spans="8:32" x14ac:dyDescent="0.2">
      <c r="H712" s="13"/>
      <c r="I712" s="13"/>
      <c r="J712" s="13"/>
      <c r="K712" s="13"/>
      <c r="L712" s="13"/>
      <c r="M712" s="13"/>
      <c r="N712" s="13"/>
      <c r="O712" s="13"/>
      <c r="P712" s="13"/>
      <c r="Q712" s="13"/>
      <c r="R712" s="13"/>
      <c r="S712" s="13"/>
      <c r="T712" s="13"/>
      <c r="U712" s="13"/>
      <c r="V712" s="13"/>
      <c r="W712" s="13"/>
      <c r="X712" s="13"/>
      <c r="Y712" s="13"/>
      <c r="Z712" s="13"/>
      <c r="AB712" s="40"/>
      <c r="AC712" s="40"/>
      <c r="AD712" s="40"/>
      <c r="AE712" s="40"/>
      <c r="AF712" s="5"/>
    </row>
    <row r="713" spans="8:32" x14ac:dyDescent="0.2">
      <c r="H713" s="13"/>
      <c r="I713" s="13"/>
      <c r="J713" s="13"/>
      <c r="K713" s="13"/>
      <c r="L713" s="13"/>
      <c r="M713" s="13"/>
      <c r="N713" s="13"/>
      <c r="O713" s="13"/>
      <c r="P713" s="13"/>
      <c r="Q713" s="13"/>
      <c r="R713" s="13"/>
      <c r="S713" s="13"/>
      <c r="T713" s="13"/>
      <c r="U713" s="13"/>
      <c r="V713" s="13"/>
      <c r="W713" s="13"/>
      <c r="X713" s="13"/>
      <c r="Y713" s="13"/>
      <c r="Z713" s="13"/>
      <c r="AB713" s="40"/>
      <c r="AC713" s="40"/>
      <c r="AD713" s="40"/>
      <c r="AE713" s="40"/>
      <c r="AF713" s="5"/>
    </row>
    <row r="714" spans="8:32" x14ac:dyDescent="0.2">
      <c r="H714"/>
      <c r="AB714" s="40"/>
      <c r="AC714" s="40"/>
      <c r="AD714" s="40"/>
      <c r="AE714" s="40"/>
      <c r="AF714" s="5"/>
    </row>
    <row r="715" spans="8:32" x14ac:dyDescent="0.2">
      <c r="H715" s="13"/>
      <c r="I715" s="13"/>
      <c r="J715" s="13"/>
      <c r="K715" s="13"/>
      <c r="L715" s="13"/>
      <c r="M715" s="13"/>
      <c r="N715" s="13"/>
      <c r="O715" s="13"/>
      <c r="P715" s="13"/>
      <c r="Q715" s="13"/>
      <c r="R715" s="13"/>
      <c r="S715" s="13"/>
      <c r="T715" s="13"/>
      <c r="U715" s="13"/>
      <c r="V715" s="13"/>
      <c r="W715" s="13"/>
      <c r="X715" s="13"/>
      <c r="Y715" s="13"/>
      <c r="Z715" s="13"/>
      <c r="AB715" s="40"/>
      <c r="AC715" s="40"/>
      <c r="AD715" s="40"/>
      <c r="AE715" s="40"/>
      <c r="AF715" s="5"/>
    </row>
    <row r="716" spans="8:32" x14ac:dyDescent="0.2">
      <c r="H716" s="13"/>
      <c r="I716" s="13"/>
      <c r="J716" s="13"/>
      <c r="K716" s="13"/>
      <c r="L716" s="13"/>
      <c r="M716" s="13"/>
      <c r="N716" s="13"/>
      <c r="O716" s="13"/>
      <c r="P716" s="13"/>
      <c r="Q716" s="13"/>
      <c r="R716" s="13"/>
      <c r="S716" s="13"/>
      <c r="T716" s="13"/>
      <c r="U716" s="13"/>
      <c r="V716" s="13"/>
      <c r="W716" s="13"/>
      <c r="X716" s="13"/>
      <c r="Y716" s="13"/>
      <c r="Z716" s="13"/>
      <c r="AB716" s="40"/>
      <c r="AC716" s="40"/>
      <c r="AD716" s="40"/>
      <c r="AE716" s="40"/>
      <c r="AF716" s="5"/>
    </row>
    <row r="717" spans="8:32" x14ac:dyDescent="0.2">
      <c r="H717" s="13"/>
      <c r="I717" s="13"/>
      <c r="J717" s="13"/>
      <c r="K717" s="13"/>
      <c r="L717" s="13"/>
      <c r="M717" s="13"/>
      <c r="N717" s="13"/>
      <c r="O717" s="13"/>
      <c r="P717" s="13"/>
      <c r="Q717" s="13"/>
      <c r="R717" s="13"/>
      <c r="S717" s="13"/>
      <c r="T717" s="13"/>
      <c r="U717" s="13"/>
      <c r="V717" s="13"/>
      <c r="W717" s="13"/>
      <c r="X717" s="13"/>
      <c r="Y717" s="13"/>
      <c r="Z717" s="13"/>
      <c r="AB717" s="40"/>
      <c r="AC717" s="40"/>
      <c r="AD717" s="40"/>
      <c r="AE717" s="40"/>
      <c r="AF717" s="5"/>
    </row>
    <row r="718" spans="8:32" x14ac:dyDescent="0.2">
      <c r="H718" s="13"/>
      <c r="I718" s="13"/>
      <c r="J718" s="13"/>
      <c r="K718" s="13"/>
      <c r="L718" s="13"/>
      <c r="M718" s="13"/>
      <c r="N718" s="13"/>
      <c r="O718" s="13"/>
      <c r="P718" s="13"/>
      <c r="Q718" s="13"/>
      <c r="R718" s="13"/>
      <c r="S718" s="13"/>
      <c r="T718" s="13"/>
      <c r="U718" s="13"/>
      <c r="V718" s="13"/>
      <c r="W718" s="13"/>
      <c r="X718" s="13"/>
      <c r="Y718" s="13"/>
      <c r="Z718" s="13"/>
      <c r="AB718" s="40"/>
      <c r="AC718" s="40"/>
      <c r="AD718" s="40"/>
      <c r="AE718" s="40"/>
      <c r="AF718" s="5"/>
    </row>
    <row r="719" spans="8:32" x14ac:dyDescent="0.2">
      <c r="H719"/>
      <c r="AB719" s="40"/>
      <c r="AC719" s="40"/>
      <c r="AD719" s="40"/>
      <c r="AE719" s="40"/>
      <c r="AF719" s="5"/>
    </row>
    <row r="720" spans="8:32" x14ac:dyDescent="0.2">
      <c r="H720" s="13"/>
      <c r="I720" s="13"/>
      <c r="J720" s="13"/>
      <c r="K720" s="13"/>
      <c r="L720" s="13"/>
      <c r="M720" s="13"/>
      <c r="N720" s="13"/>
      <c r="O720" s="13"/>
      <c r="P720" s="13"/>
      <c r="Q720" s="13"/>
      <c r="R720" s="13"/>
      <c r="S720" s="13"/>
      <c r="T720" s="13"/>
      <c r="U720" s="13"/>
      <c r="V720" s="13"/>
      <c r="W720" s="13"/>
      <c r="X720" s="13"/>
      <c r="Y720" s="13"/>
      <c r="Z720" s="13"/>
      <c r="AB720" s="40"/>
      <c r="AC720" s="40"/>
      <c r="AD720" s="40"/>
      <c r="AE720" s="40"/>
      <c r="AF720" s="5"/>
    </row>
    <row r="721" spans="8:32" x14ac:dyDescent="0.2">
      <c r="H721"/>
      <c r="AB721" s="40"/>
      <c r="AC721" s="40"/>
      <c r="AD721" s="40"/>
      <c r="AE721" s="40"/>
      <c r="AF721" s="5"/>
    </row>
    <row r="722" spans="8:32" x14ac:dyDescent="0.2">
      <c r="H722" s="13"/>
      <c r="I722" s="13"/>
      <c r="J722" s="13"/>
      <c r="K722" s="13"/>
      <c r="L722" s="13"/>
      <c r="M722" s="13"/>
      <c r="N722" s="13"/>
      <c r="O722" s="13"/>
      <c r="P722" s="13"/>
      <c r="Q722" s="13"/>
      <c r="R722" s="13"/>
      <c r="S722" s="13"/>
      <c r="T722" s="13"/>
      <c r="U722" s="13"/>
      <c r="V722" s="13"/>
      <c r="W722" s="13"/>
      <c r="X722" s="13"/>
      <c r="Y722" s="13"/>
      <c r="Z722" s="13"/>
      <c r="AB722" s="40"/>
      <c r="AC722" s="40"/>
      <c r="AD722" s="40"/>
      <c r="AE722" s="40"/>
      <c r="AF722" s="5"/>
    </row>
    <row r="723" spans="8:32" x14ac:dyDescent="0.2">
      <c r="H723"/>
      <c r="AB723" s="40"/>
      <c r="AC723" s="40"/>
      <c r="AD723" s="40"/>
      <c r="AE723" s="40"/>
      <c r="AF723" s="5"/>
    </row>
    <row r="724" spans="8:32" x14ac:dyDescent="0.2">
      <c r="H724" s="13"/>
      <c r="I724" s="13"/>
      <c r="J724" s="13"/>
      <c r="K724" s="13"/>
      <c r="L724" s="13"/>
      <c r="M724" s="13"/>
      <c r="N724" s="13"/>
      <c r="O724" s="13"/>
      <c r="P724" s="13"/>
      <c r="Q724" s="13"/>
      <c r="R724" s="13"/>
      <c r="S724" s="13"/>
      <c r="T724" s="13"/>
      <c r="U724" s="13"/>
      <c r="V724" s="13"/>
      <c r="W724" s="13"/>
      <c r="X724" s="13"/>
      <c r="Y724" s="13"/>
      <c r="Z724" s="13"/>
      <c r="AB724" s="40"/>
      <c r="AC724" s="40"/>
      <c r="AD724" s="40"/>
      <c r="AE724" s="40"/>
      <c r="AF724" s="5"/>
    </row>
    <row r="725" spans="8:32" x14ac:dyDescent="0.2">
      <c r="H725"/>
      <c r="AB725" s="40"/>
      <c r="AC725" s="40"/>
      <c r="AD725" s="40"/>
      <c r="AE725" s="40"/>
      <c r="AF725" s="5"/>
    </row>
    <row r="726" spans="8:32" x14ac:dyDescent="0.2">
      <c r="H726" s="13"/>
      <c r="I726" s="13"/>
      <c r="J726" s="13"/>
      <c r="K726" s="13"/>
      <c r="L726" s="13"/>
      <c r="M726" s="13"/>
      <c r="N726" s="13"/>
      <c r="O726" s="13"/>
      <c r="P726" s="13"/>
      <c r="Q726" s="13"/>
      <c r="R726" s="13"/>
      <c r="S726" s="13"/>
      <c r="T726" s="13"/>
      <c r="U726" s="13"/>
      <c r="V726" s="13"/>
      <c r="W726" s="13"/>
      <c r="X726" s="13"/>
      <c r="Y726" s="13"/>
      <c r="Z726" s="13"/>
      <c r="AB726" s="40"/>
      <c r="AC726" s="40"/>
      <c r="AD726" s="40"/>
      <c r="AE726" s="40"/>
      <c r="AF726" s="5"/>
    </row>
    <row r="727" spans="8:32" x14ac:dyDescent="0.2">
      <c r="H727"/>
      <c r="AB727" s="40"/>
      <c r="AC727" s="40"/>
      <c r="AD727" s="40"/>
      <c r="AE727" s="40"/>
      <c r="AF727" s="5"/>
    </row>
    <row r="728" spans="8:32" x14ac:dyDescent="0.2">
      <c r="H728" s="13"/>
      <c r="I728" s="13"/>
      <c r="J728" s="13"/>
      <c r="K728" s="13"/>
      <c r="L728" s="13"/>
      <c r="M728" s="13"/>
      <c r="N728" s="13"/>
      <c r="O728" s="13"/>
      <c r="P728" s="13"/>
      <c r="Q728" s="13"/>
      <c r="R728" s="13"/>
      <c r="S728" s="13"/>
      <c r="T728" s="13"/>
      <c r="U728" s="13"/>
      <c r="V728" s="13"/>
      <c r="W728" s="13"/>
      <c r="X728" s="13"/>
      <c r="Y728" s="13"/>
      <c r="Z728" s="13"/>
      <c r="AB728" s="40"/>
      <c r="AC728" s="40"/>
      <c r="AD728" s="40"/>
      <c r="AE728" s="40"/>
      <c r="AF728" s="5"/>
    </row>
    <row r="729" spans="8:32" x14ac:dyDescent="0.2">
      <c r="H729"/>
      <c r="AB729" s="40"/>
      <c r="AC729" s="40"/>
      <c r="AD729" s="40"/>
      <c r="AE729" s="40"/>
      <c r="AF729" s="5"/>
    </row>
    <row r="730" spans="8:32" x14ac:dyDescent="0.2">
      <c r="H730" s="13"/>
      <c r="I730" s="13"/>
      <c r="J730" s="13"/>
      <c r="K730" s="13"/>
      <c r="L730" s="13"/>
      <c r="M730" s="13"/>
      <c r="N730" s="13"/>
      <c r="O730" s="13"/>
      <c r="P730" s="13"/>
      <c r="Q730" s="13"/>
      <c r="R730" s="13"/>
      <c r="S730" s="13"/>
      <c r="T730" s="13"/>
      <c r="U730" s="13"/>
      <c r="V730" s="13"/>
      <c r="W730" s="13"/>
      <c r="X730" s="13"/>
      <c r="Y730" s="13"/>
      <c r="Z730" s="13"/>
      <c r="AB730" s="40"/>
      <c r="AC730" s="40"/>
      <c r="AD730" s="40"/>
      <c r="AE730" s="40"/>
      <c r="AF730" s="5"/>
    </row>
    <row r="731" spans="8:32" x14ac:dyDescent="0.2">
      <c r="H731" s="13"/>
      <c r="I731" s="13"/>
      <c r="J731" s="13"/>
      <c r="K731" s="13"/>
      <c r="L731" s="13"/>
      <c r="M731" s="13"/>
      <c r="N731" s="13"/>
      <c r="O731" s="13"/>
      <c r="P731" s="13"/>
      <c r="Q731" s="13"/>
      <c r="R731" s="13"/>
      <c r="S731" s="13"/>
      <c r="T731" s="13"/>
      <c r="U731" s="13"/>
      <c r="V731" s="13"/>
      <c r="W731" s="13"/>
      <c r="X731" s="13"/>
      <c r="Y731" s="13"/>
      <c r="Z731" s="13"/>
      <c r="AB731" s="40"/>
      <c r="AC731" s="40"/>
      <c r="AD731" s="40"/>
      <c r="AE731" s="40"/>
      <c r="AF731" s="5"/>
    </row>
    <row r="732" spans="8:32" x14ac:dyDescent="0.2">
      <c r="H732" s="13"/>
      <c r="I732" s="13"/>
      <c r="J732" s="13"/>
      <c r="K732" s="13"/>
      <c r="L732" s="13"/>
      <c r="M732" s="13"/>
      <c r="N732" s="13"/>
      <c r="O732" s="13"/>
      <c r="P732" s="13"/>
      <c r="Q732" s="13"/>
      <c r="R732" s="13"/>
      <c r="S732" s="13"/>
      <c r="T732" s="13"/>
      <c r="U732" s="13"/>
      <c r="V732" s="13"/>
      <c r="W732" s="13"/>
      <c r="X732" s="13"/>
      <c r="Y732" s="13"/>
      <c r="Z732" s="13"/>
      <c r="AB732" s="40"/>
      <c r="AC732" s="40"/>
      <c r="AD732" s="40"/>
      <c r="AE732" s="40"/>
      <c r="AF732" s="5"/>
    </row>
    <row r="733" spans="8:32" x14ac:dyDescent="0.2">
      <c r="H733"/>
      <c r="AB733" s="40"/>
      <c r="AC733" s="40"/>
      <c r="AD733" s="40"/>
      <c r="AE733" s="40"/>
      <c r="AF733" s="5"/>
    </row>
    <row r="734" spans="8:32" x14ac:dyDescent="0.2">
      <c r="H734" s="13"/>
      <c r="I734" s="13"/>
      <c r="J734" s="13"/>
      <c r="K734" s="13"/>
      <c r="L734" s="13"/>
      <c r="M734" s="13"/>
      <c r="N734" s="13"/>
      <c r="O734" s="13"/>
      <c r="P734" s="13"/>
      <c r="Q734" s="13"/>
      <c r="R734" s="13"/>
      <c r="S734" s="13"/>
      <c r="T734" s="13"/>
      <c r="U734" s="13"/>
      <c r="V734" s="13"/>
      <c r="W734" s="13"/>
      <c r="X734" s="13"/>
      <c r="Y734" s="13"/>
      <c r="Z734" s="13"/>
      <c r="AB734" s="40"/>
      <c r="AC734" s="40"/>
      <c r="AD734" s="40"/>
      <c r="AE734" s="40"/>
      <c r="AF734" s="5"/>
    </row>
    <row r="735" spans="8:32" x14ac:dyDescent="0.2">
      <c r="H735"/>
      <c r="AB735" s="40"/>
      <c r="AC735" s="40"/>
      <c r="AD735" s="40"/>
      <c r="AE735" s="40"/>
      <c r="AF735" s="5"/>
    </row>
    <row r="736" spans="8:32" x14ac:dyDescent="0.2">
      <c r="H736" s="13"/>
      <c r="I736" s="13"/>
      <c r="J736" s="13"/>
      <c r="K736" s="13"/>
      <c r="L736" s="13"/>
      <c r="M736" s="13"/>
      <c r="N736" s="13"/>
      <c r="O736" s="13"/>
      <c r="P736" s="13"/>
      <c r="Q736" s="13"/>
      <c r="R736" s="13"/>
      <c r="S736" s="13"/>
      <c r="T736" s="13"/>
      <c r="U736" s="13"/>
      <c r="V736" s="13"/>
      <c r="W736" s="13"/>
      <c r="X736" s="13"/>
      <c r="Y736" s="13"/>
      <c r="Z736" s="13"/>
      <c r="AB736" s="40"/>
      <c r="AC736" s="40"/>
      <c r="AD736" s="40"/>
      <c r="AE736" s="40"/>
      <c r="AF736" s="5"/>
    </row>
    <row r="737" spans="8:32" x14ac:dyDescent="0.2">
      <c r="H737" s="13"/>
      <c r="I737" s="13"/>
      <c r="J737" s="13"/>
      <c r="K737" s="13"/>
      <c r="L737" s="13"/>
      <c r="M737" s="13"/>
      <c r="N737" s="13"/>
      <c r="O737" s="13"/>
      <c r="P737" s="13"/>
      <c r="Q737" s="13"/>
      <c r="R737" s="13"/>
      <c r="S737" s="13"/>
      <c r="T737" s="13"/>
      <c r="U737" s="13"/>
      <c r="V737" s="13"/>
      <c r="W737" s="13"/>
      <c r="X737" s="13"/>
      <c r="Y737" s="13"/>
      <c r="Z737" s="13"/>
      <c r="AB737" s="40"/>
      <c r="AC737" s="40"/>
      <c r="AD737" s="40"/>
      <c r="AE737" s="40"/>
      <c r="AF737" s="5"/>
    </row>
    <row r="738" spans="8:32" x14ac:dyDescent="0.2">
      <c r="H738" s="13"/>
      <c r="I738" s="13"/>
      <c r="J738" s="13"/>
      <c r="K738" s="13"/>
      <c r="L738" s="13"/>
      <c r="M738" s="13"/>
      <c r="N738" s="13"/>
      <c r="O738" s="13"/>
      <c r="P738" s="13"/>
      <c r="Q738" s="13"/>
      <c r="R738" s="13"/>
      <c r="S738" s="13"/>
      <c r="T738" s="13"/>
      <c r="U738" s="13"/>
      <c r="V738" s="13"/>
      <c r="W738" s="13"/>
      <c r="X738" s="13"/>
      <c r="Y738" s="13"/>
      <c r="Z738" s="13"/>
      <c r="AB738" s="40"/>
      <c r="AC738" s="40"/>
      <c r="AD738" s="40"/>
      <c r="AE738" s="40"/>
      <c r="AF738" s="5"/>
    </row>
    <row r="739" spans="8:32" x14ac:dyDescent="0.2">
      <c r="H739" s="13"/>
      <c r="I739" s="13"/>
      <c r="J739" s="13"/>
      <c r="K739" s="13"/>
      <c r="L739" s="13"/>
      <c r="M739" s="13"/>
      <c r="N739" s="13"/>
      <c r="O739" s="13"/>
      <c r="P739" s="13"/>
      <c r="Q739" s="13"/>
      <c r="R739" s="13"/>
      <c r="S739" s="13"/>
      <c r="T739" s="13"/>
      <c r="U739" s="13"/>
      <c r="V739" s="13"/>
      <c r="W739" s="13"/>
      <c r="X739" s="13"/>
      <c r="Y739" s="13"/>
      <c r="Z739" s="13"/>
      <c r="AB739" s="40"/>
      <c r="AC739" s="40"/>
      <c r="AD739" s="40"/>
      <c r="AE739" s="40"/>
      <c r="AF739" s="5"/>
    </row>
    <row r="740" spans="8:32" x14ac:dyDescent="0.2">
      <c r="H740"/>
      <c r="AB740" s="40"/>
      <c r="AC740" s="40"/>
      <c r="AD740" s="40"/>
      <c r="AE740" s="40"/>
      <c r="AF740" s="5"/>
    </row>
    <row r="741" spans="8:32" x14ac:dyDescent="0.2">
      <c r="H741" s="13"/>
      <c r="I741" s="13"/>
      <c r="J741" s="13"/>
      <c r="K741" s="13"/>
      <c r="L741" s="13"/>
      <c r="M741" s="13"/>
      <c r="N741" s="13"/>
      <c r="O741" s="13"/>
      <c r="P741" s="13"/>
      <c r="Q741" s="13"/>
      <c r="R741" s="13"/>
      <c r="S741" s="13"/>
      <c r="T741" s="13"/>
      <c r="U741" s="13"/>
      <c r="V741" s="13"/>
      <c r="W741" s="13"/>
      <c r="X741" s="13"/>
      <c r="Y741" s="13"/>
      <c r="Z741" s="13"/>
      <c r="AB741" s="40"/>
      <c r="AC741" s="40"/>
      <c r="AD741" s="40"/>
      <c r="AE741" s="40"/>
      <c r="AF741" s="5"/>
    </row>
    <row r="742" spans="8:32" x14ac:dyDescent="0.2">
      <c r="H742" s="13"/>
      <c r="I742" s="13"/>
      <c r="J742" s="13"/>
      <c r="K742" s="13"/>
      <c r="L742" s="13"/>
      <c r="M742" s="13"/>
      <c r="N742" s="13"/>
      <c r="O742" s="13"/>
      <c r="P742" s="13"/>
      <c r="Q742" s="13"/>
      <c r="R742" s="13"/>
      <c r="S742" s="13"/>
      <c r="T742" s="13"/>
      <c r="U742" s="13"/>
      <c r="V742" s="13"/>
      <c r="W742" s="13"/>
      <c r="X742" s="13"/>
      <c r="Y742" s="13"/>
      <c r="Z742" s="13"/>
      <c r="AB742" s="40"/>
      <c r="AC742" s="40"/>
      <c r="AD742" s="40"/>
      <c r="AE742" s="40"/>
      <c r="AF742" s="5"/>
    </row>
    <row r="743" spans="8:32" x14ac:dyDescent="0.2">
      <c r="H743" s="13"/>
      <c r="I743" s="13"/>
      <c r="J743" s="13"/>
      <c r="K743" s="13"/>
      <c r="L743" s="13"/>
      <c r="M743" s="13"/>
      <c r="N743" s="13"/>
      <c r="O743" s="13"/>
      <c r="P743" s="13"/>
      <c r="Q743" s="13"/>
      <c r="R743" s="13"/>
      <c r="S743" s="13"/>
      <c r="T743" s="13"/>
      <c r="U743" s="13"/>
      <c r="V743" s="13"/>
      <c r="W743" s="13"/>
      <c r="X743" s="13"/>
      <c r="Y743" s="13"/>
      <c r="Z743" s="13"/>
      <c r="AB743" s="40"/>
      <c r="AC743" s="40"/>
      <c r="AD743" s="40"/>
      <c r="AE743" s="40"/>
      <c r="AF743" s="5"/>
    </row>
    <row r="744" spans="8:32" x14ac:dyDescent="0.2">
      <c r="H744" s="13"/>
      <c r="I744" s="13"/>
      <c r="J744" s="13"/>
      <c r="K744" s="13"/>
      <c r="L744" s="13"/>
      <c r="M744" s="13"/>
      <c r="N744" s="13"/>
      <c r="O744" s="13"/>
      <c r="P744" s="13"/>
      <c r="Q744" s="13"/>
      <c r="R744" s="13"/>
      <c r="S744" s="13"/>
      <c r="T744" s="13"/>
      <c r="U744" s="13"/>
      <c r="V744" s="13"/>
      <c r="W744" s="13"/>
      <c r="X744" s="13"/>
      <c r="Y744" s="13"/>
      <c r="Z744" s="13"/>
      <c r="AB744" s="40"/>
      <c r="AC744" s="40"/>
      <c r="AD744" s="40"/>
      <c r="AE744" s="40"/>
      <c r="AF744" s="5"/>
    </row>
    <row r="745" spans="8:32" x14ac:dyDescent="0.2">
      <c r="H745"/>
      <c r="AB745" s="40"/>
      <c r="AC745" s="40"/>
      <c r="AD745" s="40"/>
      <c r="AE745" s="40"/>
      <c r="AF745" s="5"/>
    </row>
    <row r="746" spans="8:32" x14ac:dyDescent="0.2">
      <c r="H746" s="13"/>
      <c r="I746" s="13"/>
      <c r="J746" s="13"/>
      <c r="K746" s="13"/>
      <c r="L746" s="13"/>
      <c r="M746" s="13"/>
      <c r="N746" s="13"/>
      <c r="O746" s="13"/>
      <c r="P746" s="13"/>
      <c r="Q746" s="13"/>
      <c r="R746" s="13"/>
      <c r="S746" s="13"/>
      <c r="T746" s="13"/>
      <c r="U746" s="13"/>
      <c r="V746" s="13"/>
      <c r="W746" s="13"/>
      <c r="X746" s="13"/>
      <c r="Y746" s="13"/>
      <c r="Z746" s="13"/>
      <c r="AB746" s="40"/>
      <c r="AC746" s="40"/>
      <c r="AD746" s="40"/>
      <c r="AE746" s="40"/>
      <c r="AF746" s="5"/>
    </row>
    <row r="747" spans="8:32" x14ac:dyDescent="0.2">
      <c r="H747" s="13"/>
      <c r="I747" s="13"/>
      <c r="J747" s="13"/>
      <c r="K747" s="13"/>
      <c r="L747" s="13"/>
      <c r="M747" s="13"/>
      <c r="N747" s="13"/>
      <c r="O747" s="13"/>
      <c r="P747" s="13"/>
      <c r="Q747" s="13"/>
      <c r="R747" s="13"/>
      <c r="S747" s="13"/>
      <c r="T747" s="13"/>
      <c r="U747" s="13"/>
      <c r="V747" s="13"/>
      <c r="W747" s="13"/>
      <c r="X747" s="13"/>
      <c r="Y747" s="13"/>
      <c r="Z747" s="13"/>
      <c r="AB747" s="40"/>
      <c r="AC747" s="40"/>
      <c r="AD747" s="40"/>
      <c r="AE747" s="40"/>
      <c r="AF747" s="5"/>
    </row>
    <row r="748" spans="8:32" x14ac:dyDescent="0.2">
      <c r="H748" s="13"/>
      <c r="I748" s="13"/>
      <c r="J748" s="13"/>
      <c r="K748" s="13"/>
      <c r="L748" s="13"/>
      <c r="M748" s="13"/>
      <c r="N748" s="13"/>
      <c r="O748" s="13"/>
      <c r="P748" s="13"/>
      <c r="Q748" s="13"/>
      <c r="R748" s="13"/>
      <c r="S748" s="13"/>
      <c r="T748" s="13"/>
      <c r="U748" s="13"/>
      <c r="V748" s="13"/>
      <c r="W748" s="13"/>
      <c r="X748" s="13"/>
      <c r="Y748" s="13"/>
      <c r="Z748" s="13"/>
      <c r="AB748" s="40"/>
      <c r="AC748" s="40"/>
      <c r="AD748" s="40"/>
      <c r="AE748" s="40"/>
      <c r="AF748" s="5"/>
    </row>
    <row r="749" spans="8:32" x14ac:dyDescent="0.2">
      <c r="H749" s="13"/>
      <c r="I749" s="13"/>
      <c r="J749" s="13"/>
      <c r="K749" s="13"/>
      <c r="L749" s="13"/>
      <c r="M749" s="13"/>
      <c r="N749" s="13"/>
      <c r="O749" s="13"/>
      <c r="P749" s="13"/>
      <c r="Q749" s="13"/>
      <c r="R749" s="13"/>
      <c r="S749" s="13"/>
      <c r="T749" s="13"/>
      <c r="U749" s="13"/>
      <c r="V749" s="13"/>
      <c r="W749" s="13"/>
      <c r="X749" s="13"/>
      <c r="Y749" s="13"/>
      <c r="Z749" s="13"/>
      <c r="AB749" s="40"/>
      <c r="AC749" s="40"/>
      <c r="AD749" s="40"/>
      <c r="AE749" s="40"/>
      <c r="AF749" s="5"/>
    </row>
    <row r="750" spans="8:32" x14ac:dyDescent="0.2">
      <c r="H750"/>
      <c r="AB750" s="40"/>
      <c r="AC750" s="40"/>
      <c r="AD750" s="40"/>
      <c r="AE750" s="40"/>
      <c r="AF750" s="5"/>
    </row>
    <row r="751" spans="8:32" x14ac:dyDescent="0.2">
      <c r="H751" s="13"/>
      <c r="I751" s="13"/>
      <c r="J751" s="13"/>
      <c r="K751" s="13"/>
      <c r="L751" s="13"/>
      <c r="M751" s="13"/>
      <c r="N751" s="13"/>
      <c r="O751" s="13"/>
      <c r="P751" s="13"/>
      <c r="Q751" s="13"/>
      <c r="R751" s="13"/>
      <c r="S751" s="13"/>
      <c r="T751" s="13"/>
      <c r="U751" s="13"/>
      <c r="V751" s="13"/>
      <c r="W751" s="13"/>
      <c r="X751" s="13"/>
      <c r="Y751" s="13"/>
      <c r="Z751" s="13"/>
      <c r="AB751" s="40"/>
      <c r="AC751" s="40"/>
      <c r="AD751" s="40"/>
      <c r="AE751" s="40"/>
      <c r="AF751" s="5"/>
    </row>
    <row r="752" spans="8:32" x14ac:dyDescent="0.2">
      <c r="H752" s="13"/>
      <c r="I752" s="13"/>
      <c r="J752" s="13"/>
      <c r="K752" s="13"/>
      <c r="L752" s="13"/>
      <c r="M752" s="13"/>
      <c r="N752" s="13"/>
      <c r="O752" s="13"/>
      <c r="P752" s="13"/>
      <c r="Q752" s="13"/>
      <c r="R752" s="13"/>
      <c r="S752" s="13"/>
      <c r="T752" s="13"/>
      <c r="U752" s="13"/>
      <c r="V752" s="13"/>
      <c r="W752" s="13"/>
      <c r="X752" s="13"/>
      <c r="Y752" s="13"/>
      <c r="Z752" s="13"/>
      <c r="AB752" s="40"/>
      <c r="AC752" s="40"/>
      <c r="AD752" s="40"/>
      <c r="AE752" s="40"/>
      <c r="AF752" s="5"/>
    </row>
    <row r="753" spans="8:32" x14ac:dyDescent="0.2">
      <c r="H753" s="13"/>
      <c r="I753" s="13"/>
      <c r="J753" s="13"/>
      <c r="K753" s="13"/>
      <c r="L753" s="13"/>
      <c r="M753" s="13"/>
      <c r="N753" s="13"/>
      <c r="O753" s="13"/>
      <c r="P753" s="13"/>
      <c r="Q753" s="13"/>
      <c r="R753" s="13"/>
      <c r="S753" s="13"/>
      <c r="T753" s="13"/>
      <c r="U753" s="13"/>
      <c r="V753" s="13"/>
      <c r="W753" s="13"/>
      <c r="X753" s="13"/>
      <c r="Y753" s="13"/>
      <c r="Z753" s="13"/>
      <c r="AB753" s="40"/>
      <c r="AC753" s="40"/>
      <c r="AD753" s="40"/>
      <c r="AE753" s="40"/>
      <c r="AF753" s="5"/>
    </row>
    <row r="754" spans="8:32" x14ac:dyDescent="0.2">
      <c r="H754"/>
      <c r="AB754" s="40"/>
      <c r="AC754" s="40"/>
      <c r="AD754" s="40"/>
      <c r="AE754" s="40"/>
      <c r="AF754" s="5"/>
    </row>
    <row r="755" spans="8:32" x14ac:dyDescent="0.2">
      <c r="H755" s="13"/>
      <c r="I755" s="13"/>
      <c r="J755" s="13"/>
      <c r="K755" s="13"/>
      <c r="L755" s="13"/>
      <c r="M755" s="13"/>
      <c r="N755" s="13"/>
      <c r="O755" s="13"/>
      <c r="P755" s="13"/>
      <c r="Q755" s="13"/>
      <c r="R755" s="13"/>
      <c r="S755" s="13"/>
      <c r="T755" s="13"/>
      <c r="U755" s="13"/>
      <c r="V755" s="13"/>
      <c r="W755" s="13"/>
      <c r="X755" s="13"/>
      <c r="Y755" s="13"/>
      <c r="Z755" s="13"/>
      <c r="AB755" s="40"/>
      <c r="AC755" s="40"/>
      <c r="AD755" s="40"/>
      <c r="AE755" s="40"/>
      <c r="AF755" s="5"/>
    </row>
    <row r="756" spans="8:32" x14ac:dyDescent="0.2">
      <c r="H756"/>
      <c r="AB756" s="40"/>
      <c r="AC756" s="40"/>
      <c r="AD756" s="40"/>
      <c r="AE756" s="40"/>
      <c r="AF756" s="5"/>
    </row>
    <row r="757" spans="8:32" x14ac:dyDescent="0.2">
      <c r="H757" s="13"/>
      <c r="I757" s="13"/>
      <c r="J757" s="13"/>
      <c r="K757" s="13"/>
      <c r="L757" s="13"/>
      <c r="M757" s="13"/>
      <c r="N757" s="13"/>
      <c r="O757" s="13"/>
      <c r="P757" s="13"/>
      <c r="Q757" s="13"/>
      <c r="R757" s="13"/>
      <c r="S757" s="13"/>
      <c r="T757" s="13"/>
      <c r="U757" s="13"/>
      <c r="V757" s="13"/>
      <c r="W757" s="13"/>
      <c r="X757" s="13"/>
      <c r="Y757" s="13"/>
      <c r="Z757" s="13"/>
      <c r="AB757" s="40"/>
      <c r="AC757" s="40"/>
      <c r="AD757" s="40"/>
      <c r="AE757" s="40"/>
      <c r="AF757" s="5"/>
    </row>
    <row r="758" spans="8:32" x14ac:dyDescent="0.2">
      <c r="H758" s="13"/>
      <c r="I758" s="13"/>
      <c r="J758" s="13"/>
      <c r="K758" s="13"/>
      <c r="L758" s="13"/>
      <c r="M758" s="13"/>
      <c r="N758" s="13"/>
      <c r="O758" s="13"/>
      <c r="P758" s="13"/>
      <c r="Q758" s="13"/>
      <c r="R758" s="13"/>
      <c r="S758" s="13"/>
      <c r="T758" s="13"/>
      <c r="U758" s="13"/>
      <c r="V758" s="13"/>
      <c r="W758" s="13"/>
      <c r="X758" s="13"/>
      <c r="Y758" s="13"/>
      <c r="Z758" s="13"/>
      <c r="AB758" s="40"/>
      <c r="AC758" s="40"/>
      <c r="AD758" s="40"/>
      <c r="AE758" s="40"/>
      <c r="AF758" s="5"/>
    </row>
    <row r="759" spans="8:32" x14ac:dyDescent="0.2">
      <c r="H759"/>
      <c r="AB759" s="40"/>
      <c r="AC759" s="40"/>
      <c r="AD759" s="40"/>
      <c r="AE759" s="40"/>
      <c r="AF759" s="5"/>
    </row>
    <row r="760" spans="8:32" x14ac:dyDescent="0.2">
      <c r="H760" s="13"/>
      <c r="I760" s="13"/>
      <c r="J760" s="13"/>
      <c r="K760" s="13"/>
      <c r="L760" s="13"/>
      <c r="M760" s="13"/>
      <c r="N760" s="13"/>
      <c r="O760" s="13"/>
      <c r="P760" s="13"/>
      <c r="Q760" s="13"/>
      <c r="R760" s="13"/>
      <c r="S760" s="13"/>
      <c r="T760" s="13"/>
      <c r="U760" s="13"/>
      <c r="V760" s="13"/>
      <c r="W760" s="13"/>
      <c r="X760" s="13"/>
      <c r="Y760" s="13"/>
      <c r="Z760" s="13"/>
      <c r="AB760" s="40"/>
      <c r="AC760" s="40"/>
      <c r="AD760" s="40"/>
      <c r="AE760" s="40"/>
      <c r="AF760" s="5"/>
    </row>
    <row r="761" spans="8:32" x14ac:dyDescent="0.2">
      <c r="H761" s="13"/>
      <c r="I761" s="13"/>
      <c r="J761" s="13"/>
      <c r="K761" s="13"/>
      <c r="L761" s="13"/>
      <c r="M761" s="13"/>
      <c r="N761" s="13"/>
      <c r="O761" s="13"/>
      <c r="P761" s="13"/>
      <c r="Q761" s="13"/>
      <c r="R761" s="13"/>
      <c r="S761" s="13"/>
      <c r="T761" s="13"/>
      <c r="U761" s="13"/>
      <c r="V761" s="13"/>
      <c r="W761" s="13"/>
      <c r="X761" s="13"/>
      <c r="Y761" s="13"/>
      <c r="Z761" s="13"/>
      <c r="AB761" s="40"/>
      <c r="AC761" s="40"/>
      <c r="AD761" s="40"/>
      <c r="AE761" s="40"/>
      <c r="AF761" s="5"/>
    </row>
    <row r="762" spans="8:32" x14ac:dyDescent="0.2">
      <c r="H762"/>
      <c r="AB762" s="40"/>
      <c r="AC762" s="40"/>
      <c r="AD762" s="40"/>
      <c r="AE762" s="40"/>
      <c r="AF762" s="5"/>
    </row>
    <row r="763" spans="8:32" x14ac:dyDescent="0.2">
      <c r="H763"/>
      <c r="AB763" s="40"/>
      <c r="AC763" s="40"/>
      <c r="AD763" s="40"/>
      <c r="AE763" s="40"/>
      <c r="AF763" s="5"/>
    </row>
    <row r="764" spans="8:32" x14ac:dyDescent="0.2">
      <c r="H764" s="13"/>
      <c r="I764" s="13"/>
      <c r="J764" s="13"/>
      <c r="K764" s="13"/>
      <c r="L764" s="13"/>
      <c r="M764" s="13"/>
      <c r="N764" s="13"/>
      <c r="O764" s="13"/>
      <c r="P764" s="13"/>
      <c r="Q764" s="13"/>
      <c r="R764" s="13"/>
      <c r="S764" s="13"/>
      <c r="T764" s="13"/>
      <c r="U764" s="13"/>
      <c r="V764" s="13"/>
      <c r="W764" s="13"/>
      <c r="X764" s="13"/>
      <c r="Y764" s="13"/>
      <c r="Z764" s="13"/>
      <c r="AB764" s="40"/>
      <c r="AC764" s="40"/>
      <c r="AD764" s="40"/>
      <c r="AE764" s="40"/>
      <c r="AF764" s="5"/>
    </row>
    <row r="765" spans="8:32" x14ac:dyDescent="0.2">
      <c r="H765" s="13"/>
      <c r="I765" s="13"/>
      <c r="J765" s="13"/>
      <c r="K765" s="13"/>
      <c r="L765" s="13"/>
      <c r="M765" s="13"/>
      <c r="N765" s="13"/>
      <c r="O765" s="13"/>
      <c r="P765" s="13"/>
      <c r="Q765" s="13"/>
      <c r="R765" s="13"/>
      <c r="S765" s="13"/>
      <c r="T765" s="13"/>
      <c r="U765" s="13"/>
      <c r="V765" s="13"/>
      <c r="W765" s="13"/>
      <c r="X765" s="13"/>
      <c r="Y765" s="13"/>
      <c r="Z765" s="13"/>
      <c r="AB765" s="40"/>
      <c r="AC765" s="40"/>
      <c r="AD765" s="40"/>
      <c r="AE765" s="40"/>
      <c r="AF765" s="5"/>
    </row>
    <row r="766" spans="8:32" x14ac:dyDescent="0.2">
      <c r="H766"/>
      <c r="AB766" s="40"/>
      <c r="AC766" s="40"/>
      <c r="AD766" s="40"/>
      <c r="AE766" s="40"/>
      <c r="AF766" s="5"/>
    </row>
    <row r="767" spans="8:32" x14ac:dyDescent="0.2">
      <c r="H767" s="13"/>
      <c r="I767" s="13"/>
      <c r="J767" s="13"/>
      <c r="K767" s="13"/>
      <c r="L767" s="13"/>
      <c r="M767" s="13"/>
      <c r="N767" s="13"/>
      <c r="O767" s="13"/>
      <c r="P767" s="13"/>
      <c r="Q767" s="13"/>
      <c r="R767" s="13"/>
      <c r="S767" s="13"/>
      <c r="T767" s="13"/>
      <c r="U767" s="13"/>
      <c r="V767" s="13"/>
      <c r="W767" s="13"/>
      <c r="X767" s="13"/>
      <c r="Y767" s="13"/>
      <c r="Z767" s="13"/>
      <c r="AB767" s="40"/>
      <c r="AC767" s="40"/>
      <c r="AD767" s="40"/>
      <c r="AE767" s="40"/>
      <c r="AF767" s="5"/>
    </row>
    <row r="768" spans="8:32" x14ac:dyDescent="0.2">
      <c r="H768" s="13"/>
      <c r="I768" s="13"/>
      <c r="J768" s="13"/>
      <c r="K768" s="13"/>
      <c r="L768" s="13"/>
      <c r="M768" s="13"/>
      <c r="N768" s="13"/>
      <c r="O768" s="13"/>
      <c r="P768" s="13"/>
      <c r="Q768" s="13"/>
      <c r="R768" s="13"/>
      <c r="S768" s="13"/>
      <c r="T768" s="13"/>
      <c r="U768" s="13"/>
      <c r="V768" s="13"/>
      <c r="W768" s="13"/>
      <c r="X768" s="13"/>
      <c r="Y768" s="13"/>
      <c r="Z768" s="13"/>
      <c r="AB768" s="40"/>
      <c r="AC768" s="40"/>
      <c r="AD768" s="40"/>
      <c r="AE768" s="40"/>
      <c r="AF768" s="5"/>
    </row>
    <row r="769" spans="8:32" x14ac:dyDescent="0.2">
      <c r="H769" s="13"/>
      <c r="I769" s="13"/>
      <c r="J769" s="13"/>
      <c r="K769" s="13"/>
      <c r="L769" s="13"/>
      <c r="M769" s="13"/>
      <c r="N769" s="13"/>
      <c r="O769" s="13"/>
      <c r="P769" s="13"/>
      <c r="Q769" s="13"/>
      <c r="R769" s="13"/>
      <c r="S769" s="13"/>
      <c r="T769" s="13"/>
      <c r="U769" s="13"/>
      <c r="V769" s="13"/>
      <c r="W769" s="13"/>
      <c r="X769" s="13"/>
      <c r="Y769" s="13"/>
      <c r="Z769" s="13"/>
      <c r="AB769" s="40"/>
      <c r="AC769" s="40"/>
      <c r="AD769" s="40"/>
      <c r="AE769" s="40"/>
      <c r="AF769" s="5"/>
    </row>
    <row r="770" spans="8:32" x14ac:dyDescent="0.2">
      <c r="H770"/>
      <c r="AB770" s="40"/>
      <c r="AC770" s="40"/>
      <c r="AD770" s="40"/>
      <c r="AE770" s="40"/>
      <c r="AF770" s="5"/>
    </row>
    <row r="771" spans="8:32" x14ac:dyDescent="0.2">
      <c r="H771" s="13"/>
      <c r="I771" s="13"/>
      <c r="J771" s="13"/>
      <c r="K771" s="13"/>
      <c r="L771" s="13"/>
      <c r="M771" s="13"/>
      <c r="N771" s="13"/>
      <c r="O771" s="13"/>
      <c r="P771" s="13"/>
      <c r="Q771" s="13"/>
      <c r="R771" s="13"/>
      <c r="S771" s="13"/>
      <c r="T771" s="13"/>
      <c r="U771" s="13"/>
      <c r="V771" s="13"/>
      <c r="W771" s="13"/>
      <c r="X771" s="13"/>
      <c r="Y771" s="13"/>
      <c r="Z771" s="13"/>
      <c r="AB771" s="40"/>
      <c r="AC771" s="40"/>
      <c r="AD771" s="40"/>
      <c r="AE771" s="40"/>
      <c r="AF771" s="5"/>
    </row>
    <row r="772" spans="8:32" x14ac:dyDescent="0.2">
      <c r="H772" s="13"/>
      <c r="I772" s="13"/>
      <c r="J772" s="13"/>
      <c r="K772" s="13"/>
      <c r="L772" s="13"/>
      <c r="M772" s="13"/>
      <c r="N772" s="13"/>
      <c r="O772" s="13"/>
      <c r="P772" s="13"/>
      <c r="Q772" s="13"/>
      <c r="R772" s="13"/>
      <c r="S772" s="13"/>
      <c r="T772" s="13"/>
      <c r="U772" s="13"/>
      <c r="V772" s="13"/>
      <c r="W772" s="13"/>
      <c r="X772" s="13"/>
      <c r="Y772" s="13"/>
      <c r="Z772" s="13"/>
      <c r="AB772" s="40"/>
      <c r="AC772" s="40"/>
      <c r="AD772" s="40"/>
      <c r="AE772" s="40"/>
      <c r="AF772" s="5"/>
    </row>
    <row r="773" spans="8:32" x14ac:dyDescent="0.2">
      <c r="H773"/>
      <c r="AB773" s="40"/>
      <c r="AC773" s="40"/>
      <c r="AD773" s="40"/>
      <c r="AE773" s="40"/>
      <c r="AF773" s="5"/>
    </row>
    <row r="774" spans="8:32" x14ac:dyDescent="0.2">
      <c r="H774" s="13"/>
      <c r="I774" s="13"/>
      <c r="J774" s="13"/>
      <c r="K774" s="13"/>
      <c r="L774" s="13"/>
      <c r="M774" s="13"/>
      <c r="N774" s="13"/>
      <c r="O774" s="13"/>
      <c r="P774" s="13"/>
      <c r="Q774" s="13"/>
      <c r="R774" s="13"/>
      <c r="S774" s="13"/>
      <c r="T774" s="13"/>
      <c r="U774" s="13"/>
      <c r="V774" s="13"/>
      <c r="W774" s="13"/>
      <c r="X774" s="13"/>
      <c r="Y774" s="13"/>
      <c r="Z774" s="13"/>
      <c r="AB774" s="40"/>
      <c r="AC774" s="40"/>
      <c r="AD774" s="40"/>
      <c r="AE774" s="40"/>
      <c r="AF774" s="5"/>
    </row>
    <row r="775" spans="8:32" x14ac:dyDescent="0.2">
      <c r="H775" s="13"/>
      <c r="I775" s="13"/>
      <c r="J775" s="13"/>
      <c r="K775" s="13"/>
      <c r="L775" s="13"/>
      <c r="M775" s="13"/>
      <c r="N775" s="13"/>
      <c r="O775" s="13"/>
      <c r="P775" s="13"/>
      <c r="Q775" s="13"/>
      <c r="R775" s="13"/>
      <c r="S775" s="13"/>
      <c r="T775" s="13"/>
      <c r="U775" s="13"/>
      <c r="V775" s="13"/>
      <c r="W775" s="13"/>
      <c r="X775" s="13"/>
      <c r="Y775" s="13"/>
      <c r="Z775" s="13"/>
      <c r="AB775" s="40"/>
      <c r="AC775" s="40"/>
      <c r="AD775" s="40"/>
      <c r="AE775" s="40"/>
      <c r="AF775" s="5"/>
    </row>
    <row r="776" spans="8:32" x14ac:dyDescent="0.2">
      <c r="H776" s="13"/>
      <c r="I776" s="13"/>
      <c r="J776" s="13"/>
      <c r="K776" s="13"/>
      <c r="L776" s="13"/>
      <c r="M776" s="13"/>
      <c r="N776" s="13"/>
      <c r="O776" s="13"/>
      <c r="P776" s="13"/>
      <c r="Q776" s="13"/>
      <c r="R776" s="13"/>
      <c r="S776" s="13"/>
      <c r="T776" s="13"/>
      <c r="U776" s="13"/>
      <c r="V776" s="13"/>
      <c r="W776" s="13"/>
      <c r="X776" s="13"/>
      <c r="Y776" s="13"/>
      <c r="Z776" s="13"/>
      <c r="AB776" s="40"/>
      <c r="AC776" s="40"/>
      <c r="AD776" s="40"/>
      <c r="AE776" s="40"/>
      <c r="AF776" s="5"/>
    </row>
    <row r="777" spans="8:32" x14ac:dyDescent="0.2">
      <c r="H777"/>
      <c r="AB777" s="40"/>
      <c r="AC777" s="40"/>
      <c r="AD777" s="40"/>
      <c r="AE777" s="40"/>
      <c r="AF777" s="5"/>
    </row>
    <row r="778" spans="8:32" x14ac:dyDescent="0.2">
      <c r="H778" s="13"/>
      <c r="I778" s="13"/>
      <c r="J778" s="13"/>
      <c r="K778" s="13"/>
      <c r="L778" s="13"/>
      <c r="M778" s="13"/>
      <c r="N778" s="13"/>
      <c r="O778" s="13"/>
      <c r="P778" s="13"/>
      <c r="Q778" s="13"/>
      <c r="R778" s="13"/>
      <c r="S778" s="13"/>
      <c r="T778" s="13"/>
      <c r="U778" s="13"/>
      <c r="V778" s="13"/>
      <c r="W778" s="13"/>
      <c r="X778" s="13"/>
      <c r="Y778" s="13"/>
      <c r="Z778" s="13"/>
      <c r="AB778" s="40"/>
      <c r="AC778" s="40"/>
      <c r="AD778" s="40"/>
      <c r="AE778" s="40"/>
      <c r="AF778" s="5"/>
    </row>
    <row r="779" spans="8:32" x14ac:dyDescent="0.2">
      <c r="H779" s="13"/>
      <c r="I779" s="13"/>
      <c r="J779" s="13"/>
      <c r="K779" s="13"/>
      <c r="L779" s="13"/>
      <c r="M779" s="13"/>
      <c r="N779" s="13"/>
      <c r="O779" s="13"/>
      <c r="P779" s="13"/>
      <c r="Q779" s="13"/>
      <c r="R779" s="13"/>
      <c r="S779" s="13"/>
      <c r="T779" s="13"/>
      <c r="U779" s="13"/>
      <c r="V779" s="13"/>
      <c r="W779" s="13"/>
      <c r="X779" s="13"/>
      <c r="Y779" s="13"/>
      <c r="Z779" s="13"/>
      <c r="AB779" s="40"/>
      <c r="AC779" s="40"/>
      <c r="AD779" s="40"/>
      <c r="AE779" s="40"/>
      <c r="AF779" s="5"/>
    </row>
    <row r="780" spans="8:32" x14ac:dyDescent="0.2">
      <c r="H780" s="13"/>
      <c r="I780" s="13"/>
      <c r="J780" s="13"/>
      <c r="K780" s="13"/>
      <c r="L780" s="13"/>
      <c r="M780" s="13"/>
      <c r="N780" s="13"/>
      <c r="O780" s="13"/>
      <c r="P780" s="13"/>
      <c r="Q780" s="13"/>
      <c r="R780" s="13"/>
      <c r="S780" s="13"/>
      <c r="T780" s="13"/>
      <c r="U780" s="13"/>
      <c r="V780" s="13"/>
      <c r="W780" s="13"/>
      <c r="X780" s="13"/>
      <c r="Y780" s="13"/>
      <c r="Z780" s="13"/>
      <c r="AB780" s="40"/>
      <c r="AC780" s="40"/>
      <c r="AD780" s="40"/>
      <c r="AE780" s="40"/>
      <c r="AF780" s="5"/>
    </row>
    <row r="781" spans="8:32" x14ac:dyDescent="0.2">
      <c r="H781" s="13"/>
      <c r="I781" s="13"/>
      <c r="J781" s="13"/>
      <c r="K781" s="13"/>
      <c r="L781" s="13"/>
      <c r="M781" s="13"/>
      <c r="N781" s="13"/>
      <c r="O781" s="13"/>
      <c r="P781" s="13"/>
      <c r="Q781" s="13"/>
      <c r="R781" s="13"/>
      <c r="S781" s="13"/>
      <c r="T781" s="13"/>
      <c r="U781" s="13"/>
      <c r="V781" s="13"/>
      <c r="W781" s="13"/>
      <c r="X781" s="13"/>
      <c r="Y781" s="13"/>
      <c r="Z781" s="13"/>
      <c r="AB781" s="40"/>
      <c r="AC781" s="40"/>
      <c r="AD781" s="40"/>
      <c r="AE781" s="40"/>
      <c r="AF781" s="5"/>
    </row>
    <row r="782" spans="8:32" x14ac:dyDescent="0.2">
      <c r="H782"/>
      <c r="AB782" s="40"/>
      <c r="AC782" s="40"/>
      <c r="AD782" s="40"/>
      <c r="AE782" s="40"/>
      <c r="AF782" s="5"/>
    </row>
    <row r="783" spans="8:32" x14ac:dyDescent="0.2">
      <c r="H783" s="13"/>
      <c r="I783" s="13"/>
      <c r="J783" s="13"/>
      <c r="K783" s="13"/>
      <c r="L783" s="13"/>
      <c r="M783" s="13"/>
      <c r="N783" s="13"/>
      <c r="O783" s="13"/>
      <c r="P783" s="13"/>
      <c r="Q783" s="13"/>
      <c r="R783" s="13"/>
      <c r="S783" s="13"/>
      <c r="T783" s="13"/>
      <c r="U783" s="13"/>
      <c r="V783" s="13"/>
      <c r="W783" s="13"/>
      <c r="X783" s="13"/>
      <c r="Y783" s="13"/>
      <c r="Z783" s="13"/>
      <c r="AB783" s="40"/>
      <c r="AC783" s="40"/>
      <c r="AD783" s="40"/>
      <c r="AE783" s="40"/>
      <c r="AF783" s="5"/>
    </row>
    <row r="784" spans="8:32" x14ac:dyDescent="0.2">
      <c r="H784"/>
      <c r="AB784" s="40"/>
      <c r="AC784" s="40"/>
      <c r="AD784" s="40"/>
      <c r="AE784" s="40"/>
      <c r="AF784" s="5"/>
    </row>
    <row r="785" spans="8:32" x14ac:dyDescent="0.2">
      <c r="H785" s="13"/>
      <c r="I785" s="13"/>
      <c r="J785" s="13"/>
      <c r="K785" s="13"/>
      <c r="L785" s="13"/>
      <c r="M785" s="13"/>
      <c r="N785" s="13"/>
      <c r="O785" s="13"/>
      <c r="P785" s="13"/>
      <c r="Q785" s="13"/>
      <c r="R785" s="13"/>
      <c r="S785" s="13"/>
      <c r="T785" s="13"/>
      <c r="U785" s="13"/>
      <c r="V785" s="13"/>
      <c r="W785" s="13"/>
      <c r="X785" s="13"/>
      <c r="Y785" s="13"/>
      <c r="Z785" s="13"/>
      <c r="AB785" s="40"/>
      <c r="AC785" s="40"/>
      <c r="AD785" s="40"/>
      <c r="AE785" s="40"/>
      <c r="AF785" s="5"/>
    </row>
    <row r="786" spans="8:32" x14ac:dyDescent="0.2">
      <c r="H786" s="13"/>
      <c r="I786" s="13"/>
      <c r="J786" s="13"/>
      <c r="K786" s="13"/>
      <c r="L786" s="13"/>
      <c r="M786" s="13"/>
      <c r="N786" s="13"/>
      <c r="O786" s="13"/>
      <c r="P786" s="13"/>
      <c r="Q786" s="13"/>
      <c r="R786" s="13"/>
      <c r="S786" s="13"/>
      <c r="T786" s="13"/>
      <c r="U786" s="13"/>
      <c r="V786" s="13"/>
      <c r="W786" s="13"/>
      <c r="X786" s="13"/>
      <c r="Y786" s="13"/>
      <c r="Z786" s="13"/>
      <c r="AB786" s="40"/>
      <c r="AC786" s="40"/>
      <c r="AD786" s="40"/>
      <c r="AE786" s="40"/>
      <c r="AF786" s="5"/>
    </row>
    <row r="787" spans="8:32" x14ac:dyDescent="0.2">
      <c r="H787"/>
      <c r="AB787" s="40"/>
      <c r="AC787" s="40"/>
      <c r="AD787" s="40"/>
      <c r="AE787" s="40"/>
      <c r="AF787" s="5"/>
    </row>
    <row r="788" spans="8:32" x14ac:dyDescent="0.2">
      <c r="H788" s="13"/>
      <c r="I788" s="13"/>
      <c r="J788" s="13"/>
      <c r="K788" s="13"/>
      <c r="L788" s="13"/>
      <c r="M788" s="13"/>
      <c r="N788" s="13"/>
      <c r="O788" s="13"/>
      <c r="P788" s="13"/>
      <c r="Q788" s="13"/>
      <c r="R788" s="13"/>
      <c r="S788" s="13"/>
      <c r="T788" s="13"/>
      <c r="U788" s="13"/>
      <c r="V788" s="13"/>
      <c r="W788" s="13"/>
      <c r="X788" s="13"/>
      <c r="Y788" s="13"/>
      <c r="Z788" s="13"/>
      <c r="AB788" s="40"/>
      <c r="AC788" s="40"/>
      <c r="AD788" s="40"/>
      <c r="AE788" s="40"/>
      <c r="AF788" s="5"/>
    </row>
    <row r="789" spans="8:32" x14ac:dyDescent="0.2">
      <c r="H789" s="13"/>
      <c r="I789" s="13"/>
      <c r="J789" s="13"/>
      <c r="K789" s="13"/>
      <c r="L789" s="13"/>
      <c r="M789" s="13"/>
      <c r="N789" s="13"/>
      <c r="O789" s="13"/>
      <c r="P789" s="13"/>
      <c r="Q789" s="13"/>
      <c r="R789" s="13"/>
      <c r="S789" s="13"/>
      <c r="T789" s="13"/>
      <c r="U789" s="13"/>
      <c r="V789" s="13"/>
      <c r="W789" s="13"/>
      <c r="X789" s="13"/>
      <c r="Y789" s="13"/>
      <c r="Z789" s="13"/>
      <c r="AB789" s="40"/>
      <c r="AC789" s="40"/>
      <c r="AD789" s="40"/>
      <c r="AE789" s="40"/>
      <c r="AF789" s="5"/>
    </row>
    <row r="790" spans="8:32" x14ac:dyDescent="0.2">
      <c r="H790" s="13"/>
      <c r="I790" s="13"/>
      <c r="J790" s="13"/>
      <c r="K790" s="13"/>
      <c r="L790" s="13"/>
      <c r="M790" s="13"/>
      <c r="N790" s="13"/>
      <c r="O790" s="13"/>
      <c r="P790" s="13"/>
      <c r="Q790" s="13"/>
      <c r="R790" s="13"/>
      <c r="S790" s="13"/>
      <c r="T790" s="13"/>
      <c r="U790" s="13"/>
      <c r="V790" s="13"/>
      <c r="W790" s="13"/>
      <c r="X790" s="13"/>
      <c r="Y790" s="13"/>
      <c r="Z790" s="13"/>
      <c r="AB790" s="40"/>
      <c r="AC790" s="40"/>
      <c r="AD790" s="40"/>
      <c r="AE790" s="40"/>
      <c r="AF790" s="5"/>
    </row>
    <row r="791" spans="8:32" x14ac:dyDescent="0.2">
      <c r="H791" s="13"/>
      <c r="I791" s="13"/>
      <c r="J791" s="13"/>
      <c r="K791" s="13"/>
      <c r="L791" s="13"/>
      <c r="M791" s="13"/>
      <c r="N791" s="13"/>
      <c r="O791" s="13"/>
      <c r="P791" s="13"/>
      <c r="Q791" s="13"/>
      <c r="R791" s="13"/>
      <c r="S791" s="13"/>
      <c r="T791" s="13"/>
      <c r="U791" s="13"/>
      <c r="V791" s="13"/>
      <c r="W791" s="13"/>
      <c r="X791" s="13"/>
      <c r="Y791" s="13"/>
      <c r="Z791" s="13"/>
      <c r="AB791" s="40"/>
      <c r="AC791" s="40"/>
      <c r="AD791" s="40"/>
      <c r="AE791" s="40"/>
      <c r="AF791" s="5"/>
    </row>
    <row r="792" spans="8:32" x14ac:dyDescent="0.2">
      <c r="H792"/>
      <c r="AB792" s="40"/>
      <c r="AC792" s="40"/>
      <c r="AD792" s="40"/>
      <c r="AE792" s="40"/>
      <c r="AF792" s="5"/>
    </row>
    <row r="793" spans="8:32" x14ac:dyDescent="0.2">
      <c r="H793" s="13"/>
      <c r="I793" s="13"/>
      <c r="J793" s="13"/>
      <c r="K793" s="13"/>
      <c r="L793" s="13"/>
      <c r="M793" s="13"/>
      <c r="N793" s="13"/>
      <c r="O793" s="13"/>
      <c r="P793" s="13"/>
      <c r="Q793" s="13"/>
      <c r="R793" s="13"/>
      <c r="S793" s="13"/>
      <c r="T793" s="13"/>
      <c r="U793" s="13"/>
      <c r="V793" s="13"/>
      <c r="W793" s="13"/>
      <c r="X793" s="13"/>
      <c r="Y793" s="13"/>
      <c r="Z793" s="13"/>
      <c r="AB793" s="40"/>
      <c r="AC793" s="40"/>
      <c r="AD793" s="40"/>
      <c r="AE793" s="40"/>
      <c r="AF793" s="5"/>
    </row>
    <row r="794" spans="8:32" x14ac:dyDescent="0.2">
      <c r="H794" s="13"/>
      <c r="I794" s="13"/>
      <c r="J794" s="13"/>
      <c r="K794" s="13"/>
      <c r="L794" s="13"/>
      <c r="M794" s="13"/>
      <c r="N794" s="13"/>
      <c r="O794" s="13"/>
      <c r="P794" s="13"/>
      <c r="Q794" s="13"/>
      <c r="R794" s="13"/>
      <c r="S794" s="13"/>
      <c r="T794" s="13"/>
      <c r="U794" s="13"/>
      <c r="V794" s="13"/>
      <c r="W794" s="13"/>
      <c r="X794" s="13"/>
      <c r="Y794" s="13"/>
      <c r="Z794" s="13"/>
      <c r="AB794" s="40"/>
      <c r="AC794" s="40"/>
      <c r="AD794" s="40"/>
      <c r="AE794" s="40"/>
      <c r="AF794" s="5"/>
    </row>
    <row r="795" spans="8:32" x14ac:dyDescent="0.2">
      <c r="H795" s="13"/>
      <c r="I795" s="13"/>
      <c r="J795" s="13"/>
      <c r="K795" s="13"/>
      <c r="L795" s="13"/>
      <c r="M795" s="13"/>
      <c r="N795" s="13"/>
      <c r="O795" s="13"/>
      <c r="P795" s="13"/>
      <c r="Q795" s="13"/>
      <c r="R795" s="13"/>
      <c r="S795" s="13"/>
      <c r="T795" s="13"/>
      <c r="U795" s="13"/>
      <c r="V795" s="13"/>
      <c r="W795" s="13"/>
      <c r="X795" s="13"/>
      <c r="Y795" s="13"/>
      <c r="Z795" s="13"/>
      <c r="AB795" s="40"/>
      <c r="AC795" s="40"/>
      <c r="AD795" s="40"/>
      <c r="AE795" s="40"/>
      <c r="AF795" s="5"/>
    </row>
    <row r="796" spans="8:32" x14ac:dyDescent="0.2">
      <c r="H796" s="13"/>
      <c r="I796" s="13"/>
      <c r="J796" s="13"/>
      <c r="K796" s="13"/>
      <c r="L796" s="13"/>
      <c r="M796" s="13"/>
      <c r="N796" s="13"/>
      <c r="O796" s="13"/>
      <c r="P796" s="13"/>
      <c r="Q796" s="13"/>
      <c r="R796" s="13"/>
      <c r="S796" s="13"/>
      <c r="T796" s="13"/>
      <c r="U796" s="13"/>
      <c r="V796" s="13"/>
      <c r="W796" s="13"/>
      <c r="X796" s="13"/>
      <c r="Y796" s="13"/>
      <c r="Z796" s="13"/>
      <c r="AB796" s="40"/>
      <c r="AC796" s="40"/>
      <c r="AD796" s="40"/>
      <c r="AE796" s="40"/>
      <c r="AF796" s="5"/>
    </row>
    <row r="797" spans="8:32" x14ac:dyDescent="0.2">
      <c r="H797"/>
      <c r="AB797" s="40"/>
      <c r="AC797" s="40"/>
      <c r="AD797" s="40"/>
      <c r="AE797" s="40"/>
      <c r="AF797" s="5"/>
    </row>
    <row r="798" spans="8:32" x14ac:dyDescent="0.2">
      <c r="H798" s="13"/>
      <c r="I798" s="13"/>
      <c r="J798" s="13"/>
      <c r="K798" s="13"/>
      <c r="L798" s="13"/>
      <c r="M798" s="13"/>
      <c r="N798" s="13"/>
      <c r="O798" s="13"/>
      <c r="P798" s="13"/>
      <c r="Q798" s="13"/>
      <c r="R798" s="13"/>
      <c r="S798" s="13"/>
      <c r="T798" s="13"/>
      <c r="U798" s="13"/>
      <c r="V798" s="13"/>
      <c r="W798" s="13"/>
      <c r="X798" s="13"/>
      <c r="Y798" s="13"/>
      <c r="Z798" s="13"/>
      <c r="AB798" s="40"/>
      <c r="AC798" s="40"/>
      <c r="AD798" s="40"/>
      <c r="AE798" s="40"/>
      <c r="AF798" s="5"/>
    </row>
    <row r="799" spans="8:32" x14ac:dyDescent="0.2">
      <c r="H799" s="13"/>
      <c r="I799" s="13"/>
      <c r="J799" s="13"/>
      <c r="K799" s="13"/>
      <c r="L799" s="13"/>
      <c r="M799" s="13"/>
      <c r="N799" s="13"/>
      <c r="O799" s="13"/>
      <c r="P799" s="13"/>
      <c r="Q799" s="13"/>
      <c r="R799" s="13"/>
      <c r="S799" s="13"/>
      <c r="T799" s="13"/>
      <c r="U799" s="13"/>
      <c r="V799" s="13"/>
      <c r="W799" s="13"/>
      <c r="X799" s="13"/>
      <c r="Y799" s="13"/>
      <c r="Z799" s="13"/>
      <c r="AB799" s="40"/>
      <c r="AC799" s="40"/>
      <c r="AD799" s="40"/>
      <c r="AE799" s="40"/>
      <c r="AF799" s="5"/>
    </row>
    <row r="800" spans="8:32" x14ac:dyDescent="0.2">
      <c r="H800" s="13"/>
      <c r="I800" s="13"/>
      <c r="J800" s="13"/>
      <c r="K800" s="13"/>
      <c r="L800" s="13"/>
      <c r="M800" s="13"/>
      <c r="N800" s="13"/>
      <c r="O800" s="13"/>
      <c r="P800" s="13"/>
      <c r="Q800" s="13"/>
      <c r="R800" s="13"/>
      <c r="S800" s="13"/>
      <c r="T800" s="13"/>
      <c r="U800" s="13"/>
      <c r="V800" s="13"/>
      <c r="W800" s="13"/>
      <c r="X800" s="13"/>
      <c r="Y800" s="13"/>
      <c r="Z800" s="13"/>
      <c r="AB800" s="40"/>
      <c r="AC800" s="40"/>
      <c r="AD800" s="40"/>
      <c r="AE800" s="40"/>
      <c r="AF800" s="5"/>
    </row>
    <row r="801" spans="8:32" x14ac:dyDescent="0.2">
      <c r="H801" s="13"/>
      <c r="I801" s="13"/>
      <c r="J801" s="13"/>
      <c r="K801" s="13"/>
      <c r="L801" s="13"/>
      <c r="M801" s="13"/>
      <c r="N801" s="13"/>
      <c r="O801" s="13"/>
      <c r="P801" s="13"/>
      <c r="Q801" s="13"/>
      <c r="R801" s="13"/>
      <c r="S801" s="13"/>
      <c r="T801" s="13"/>
      <c r="U801" s="13"/>
      <c r="V801" s="13"/>
      <c r="W801" s="13"/>
      <c r="X801" s="13"/>
      <c r="Y801" s="13"/>
      <c r="Z801" s="13"/>
      <c r="AB801" s="40"/>
      <c r="AC801" s="40"/>
      <c r="AD801" s="40"/>
      <c r="AE801" s="40"/>
      <c r="AF801" s="5"/>
    </row>
    <row r="802" spans="8:32" x14ac:dyDescent="0.2">
      <c r="H802" s="13"/>
      <c r="I802" s="13"/>
      <c r="J802" s="13"/>
      <c r="K802" s="13"/>
      <c r="L802" s="13"/>
      <c r="M802" s="13"/>
      <c r="N802" s="13"/>
      <c r="O802" s="13"/>
      <c r="P802" s="13"/>
      <c r="Q802" s="13"/>
      <c r="R802" s="13"/>
      <c r="S802" s="13"/>
      <c r="T802" s="13"/>
      <c r="U802" s="13"/>
      <c r="V802" s="13"/>
      <c r="W802" s="13"/>
      <c r="X802" s="13"/>
      <c r="Y802" s="13"/>
      <c r="Z802" s="13"/>
      <c r="AB802" s="40"/>
      <c r="AC802" s="40"/>
      <c r="AD802" s="40"/>
      <c r="AE802" s="40"/>
      <c r="AF802" s="5"/>
    </row>
    <row r="803" spans="8:32" x14ac:dyDescent="0.2">
      <c r="H803" s="13"/>
      <c r="I803" s="13"/>
      <c r="J803" s="13"/>
      <c r="K803" s="13"/>
      <c r="L803" s="13"/>
      <c r="M803" s="13"/>
      <c r="N803" s="13"/>
      <c r="O803" s="13"/>
      <c r="P803" s="13"/>
      <c r="Q803" s="13"/>
      <c r="R803" s="13"/>
      <c r="S803" s="13"/>
      <c r="T803" s="13"/>
      <c r="U803" s="13"/>
      <c r="V803" s="13"/>
      <c r="W803" s="13"/>
      <c r="X803" s="13"/>
      <c r="Y803" s="13"/>
      <c r="Z803" s="13"/>
      <c r="AB803" s="40"/>
      <c r="AC803" s="40"/>
      <c r="AD803" s="40"/>
      <c r="AE803" s="40"/>
      <c r="AF803" s="5"/>
    </row>
    <row r="804" spans="8:32" x14ac:dyDescent="0.2">
      <c r="H804"/>
      <c r="AB804" s="40"/>
      <c r="AC804" s="40"/>
      <c r="AD804" s="40"/>
      <c r="AE804" s="40"/>
      <c r="AF804" s="5"/>
    </row>
    <row r="805" spans="8:32" x14ac:dyDescent="0.2">
      <c r="H805"/>
      <c r="AB805" s="40"/>
      <c r="AC805" s="40"/>
      <c r="AD805" s="40"/>
      <c r="AE805" s="40"/>
      <c r="AF805" s="5"/>
    </row>
    <row r="806" spans="8:32" x14ac:dyDescent="0.2">
      <c r="H806" s="13"/>
      <c r="I806" s="13"/>
      <c r="J806" s="13"/>
      <c r="K806" s="13"/>
      <c r="L806" s="13"/>
      <c r="M806" s="13"/>
      <c r="N806" s="13"/>
      <c r="O806" s="13"/>
      <c r="P806" s="13"/>
      <c r="Q806" s="13"/>
      <c r="R806" s="13"/>
      <c r="S806" s="13"/>
      <c r="T806" s="13"/>
      <c r="U806" s="13"/>
      <c r="V806" s="13"/>
      <c r="W806" s="13"/>
      <c r="X806" s="13"/>
      <c r="Y806" s="13"/>
      <c r="Z806" s="13"/>
      <c r="AB806" s="40"/>
      <c r="AC806" s="40"/>
      <c r="AD806" s="40"/>
      <c r="AE806" s="40"/>
      <c r="AF806" s="5"/>
    </row>
    <row r="807" spans="8:32" x14ac:dyDescent="0.2">
      <c r="H807" s="13"/>
      <c r="I807" s="13"/>
      <c r="J807" s="13"/>
      <c r="K807" s="13"/>
      <c r="L807" s="13"/>
      <c r="M807" s="13"/>
      <c r="N807" s="13"/>
      <c r="O807" s="13"/>
      <c r="P807" s="13"/>
      <c r="Q807" s="13"/>
      <c r="R807" s="13"/>
      <c r="S807" s="13"/>
      <c r="T807" s="13"/>
      <c r="U807" s="13"/>
      <c r="V807" s="13"/>
      <c r="W807" s="13"/>
      <c r="X807" s="13"/>
      <c r="Y807" s="13"/>
      <c r="Z807" s="13"/>
      <c r="AB807" s="40"/>
      <c r="AC807" s="40"/>
      <c r="AD807" s="40"/>
      <c r="AE807" s="40"/>
      <c r="AF807" s="5"/>
    </row>
    <row r="808" spans="8:32" x14ac:dyDescent="0.2">
      <c r="H808" s="13"/>
      <c r="I808" s="13"/>
      <c r="J808" s="13"/>
      <c r="K808" s="13"/>
      <c r="L808" s="13"/>
      <c r="M808" s="13"/>
      <c r="N808" s="13"/>
      <c r="O808" s="13"/>
      <c r="P808" s="13"/>
      <c r="Q808" s="13"/>
      <c r="R808" s="13"/>
      <c r="S808" s="13"/>
      <c r="T808" s="13"/>
      <c r="U808" s="13"/>
      <c r="V808" s="13"/>
      <c r="W808" s="13"/>
      <c r="X808" s="13"/>
      <c r="Y808" s="13"/>
      <c r="Z808" s="13"/>
      <c r="AB808" s="40"/>
      <c r="AC808" s="40"/>
      <c r="AD808" s="40"/>
      <c r="AE808" s="40"/>
      <c r="AF808" s="5"/>
    </row>
    <row r="809" spans="8:32" x14ac:dyDescent="0.2">
      <c r="H809" s="13"/>
      <c r="I809" s="13"/>
      <c r="J809" s="13"/>
      <c r="K809" s="13"/>
      <c r="L809" s="13"/>
      <c r="M809" s="13"/>
      <c r="N809" s="13"/>
      <c r="O809" s="13"/>
      <c r="P809" s="13"/>
      <c r="Q809" s="13"/>
      <c r="R809" s="13"/>
      <c r="S809" s="13"/>
      <c r="T809" s="13"/>
      <c r="U809" s="13"/>
      <c r="V809" s="13"/>
      <c r="W809" s="13"/>
      <c r="X809" s="13"/>
      <c r="Y809" s="13"/>
      <c r="Z809" s="13"/>
      <c r="AB809" s="40"/>
      <c r="AC809" s="40"/>
      <c r="AD809" s="40"/>
      <c r="AE809" s="40"/>
      <c r="AF809" s="5"/>
    </row>
    <row r="810" spans="8:32" x14ac:dyDescent="0.2">
      <c r="H810" s="13"/>
      <c r="I810" s="13"/>
      <c r="J810" s="13"/>
      <c r="K810" s="13"/>
      <c r="L810" s="13"/>
      <c r="M810" s="13"/>
      <c r="N810" s="13"/>
      <c r="O810" s="13"/>
      <c r="P810" s="13"/>
      <c r="Q810" s="13"/>
      <c r="R810" s="13"/>
      <c r="S810" s="13"/>
      <c r="T810" s="13"/>
      <c r="U810" s="13"/>
      <c r="V810" s="13"/>
      <c r="W810" s="13"/>
      <c r="X810" s="13"/>
      <c r="Y810" s="13"/>
      <c r="Z810" s="13"/>
      <c r="AB810" s="40"/>
      <c r="AC810" s="40"/>
      <c r="AD810" s="40"/>
      <c r="AE810" s="40"/>
      <c r="AF810" s="5"/>
    </row>
    <row r="811" spans="8:32" x14ac:dyDescent="0.2">
      <c r="H811" s="13"/>
      <c r="I811" s="13"/>
      <c r="J811" s="13"/>
      <c r="K811" s="13"/>
      <c r="L811" s="13"/>
      <c r="M811" s="13"/>
      <c r="N811" s="13"/>
      <c r="O811" s="13"/>
      <c r="P811" s="13"/>
      <c r="Q811" s="13"/>
      <c r="R811" s="13"/>
      <c r="S811" s="13"/>
      <c r="T811" s="13"/>
      <c r="U811" s="13"/>
      <c r="V811" s="13"/>
      <c r="W811" s="13"/>
      <c r="X811" s="13"/>
      <c r="Y811" s="13"/>
      <c r="Z811" s="13"/>
      <c r="AB811" s="40"/>
      <c r="AC811" s="40"/>
      <c r="AD811" s="40"/>
      <c r="AE811" s="40"/>
      <c r="AF811" s="5"/>
    </row>
    <row r="812" spans="8:32" x14ac:dyDescent="0.2">
      <c r="H812" s="13"/>
      <c r="I812" s="13"/>
      <c r="J812" s="13"/>
      <c r="K812" s="13"/>
      <c r="L812" s="13"/>
      <c r="M812" s="13"/>
      <c r="N812" s="13"/>
      <c r="O812" s="13"/>
      <c r="P812" s="13"/>
      <c r="Q812" s="13"/>
      <c r="R812" s="13"/>
      <c r="S812" s="13"/>
      <c r="T812" s="13"/>
      <c r="U812" s="13"/>
      <c r="V812" s="13"/>
      <c r="W812" s="13"/>
      <c r="X812" s="13"/>
      <c r="Y812" s="13"/>
      <c r="Z812" s="13"/>
      <c r="AB812" s="40"/>
      <c r="AC812" s="40"/>
      <c r="AD812" s="40"/>
      <c r="AE812" s="40"/>
      <c r="AF812" s="5"/>
    </row>
    <row r="813" spans="8:32" x14ac:dyDescent="0.2">
      <c r="H813"/>
      <c r="AB813" s="40"/>
      <c r="AC813" s="40"/>
      <c r="AD813" s="40"/>
      <c r="AE813" s="40"/>
      <c r="AF813" s="5"/>
    </row>
    <row r="814" spans="8:32" x14ac:dyDescent="0.2">
      <c r="H814" s="13"/>
      <c r="I814" s="13"/>
      <c r="J814" s="13"/>
      <c r="K814" s="13"/>
      <c r="L814" s="13"/>
      <c r="M814" s="13"/>
      <c r="N814" s="13"/>
      <c r="O814" s="13"/>
      <c r="P814" s="13"/>
      <c r="Q814" s="13"/>
      <c r="R814" s="13"/>
      <c r="S814" s="13"/>
      <c r="T814" s="13"/>
      <c r="U814" s="13"/>
      <c r="V814" s="13"/>
      <c r="W814" s="13"/>
      <c r="X814" s="13"/>
      <c r="Y814" s="13"/>
      <c r="Z814" s="13"/>
      <c r="AB814" s="40"/>
      <c r="AC814" s="40"/>
      <c r="AD814" s="40"/>
      <c r="AE814" s="40"/>
      <c r="AF814" s="5"/>
    </row>
    <row r="815" spans="8:32" x14ac:dyDescent="0.2">
      <c r="H815" s="13"/>
      <c r="I815" s="13"/>
      <c r="J815" s="13"/>
      <c r="K815" s="13"/>
      <c r="L815" s="13"/>
      <c r="M815" s="13"/>
      <c r="N815" s="13"/>
      <c r="O815" s="13"/>
      <c r="P815" s="13"/>
      <c r="Q815" s="13"/>
      <c r="R815" s="13"/>
      <c r="S815" s="13"/>
      <c r="T815" s="13"/>
      <c r="U815" s="13"/>
      <c r="V815" s="13"/>
      <c r="W815" s="13"/>
      <c r="X815" s="13"/>
      <c r="Y815" s="13"/>
      <c r="Z815" s="13"/>
      <c r="AB815" s="40"/>
      <c r="AC815" s="40"/>
      <c r="AD815" s="40"/>
      <c r="AE815" s="40"/>
      <c r="AF815" s="5"/>
    </row>
    <row r="816" spans="8:32" x14ac:dyDescent="0.2">
      <c r="H816" s="13"/>
      <c r="I816" s="13"/>
      <c r="J816" s="13"/>
      <c r="K816" s="13"/>
      <c r="L816" s="13"/>
      <c r="M816" s="13"/>
      <c r="N816" s="13"/>
      <c r="O816" s="13"/>
      <c r="P816" s="13"/>
      <c r="Q816" s="13"/>
      <c r="R816" s="13"/>
      <c r="S816" s="13"/>
      <c r="T816" s="13"/>
      <c r="U816" s="13"/>
      <c r="V816" s="13"/>
      <c r="W816" s="13"/>
      <c r="X816" s="13"/>
      <c r="Y816" s="13"/>
      <c r="Z816" s="13"/>
      <c r="AB816" s="40"/>
      <c r="AC816" s="40"/>
      <c r="AD816" s="40"/>
      <c r="AE816" s="40"/>
      <c r="AF816" s="5"/>
    </row>
    <row r="817" spans="8:32" x14ac:dyDescent="0.2">
      <c r="H817" s="13"/>
      <c r="I817" s="13"/>
      <c r="J817" s="13"/>
      <c r="K817" s="13"/>
      <c r="L817" s="13"/>
      <c r="M817" s="13"/>
      <c r="N817" s="13"/>
      <c r="O817" s="13"/>
      <c r="P817" s="13"/>
      <c r="Q817" s="13"/>
      <c r="R817" s="13"/>
      <c r="S817" s="13"/>
      <c r="T817" s="13"/>
      <c r="U817" s="13"/>
      <c r="V817" s="13"/>
      <c r="W817" s="13"/>
      <c r="X817" s="13"/>
      <c r="Y817" s="13"/>
      <c r="Z817" s="13"/>
      <c r="AB817" s="40"/>
      <c r="AC817" s="40"/>
      <c r="AD817" s="40"/>
      <c r="AE817" s="40"/>
      <c r="AF817" s="5"/>
    </row>
    <row r="818" spans="8:32" x14ac:dyDescent="0.2">
      <c r="H818" s="13"/>
      <c r="I818" s="13"/>
      <c r="J818" s="13"/>
      <c r="K818" s="13"/>
      <c r="L818" s="13"/>
      <c r="M818" s="13"/>
      <c r="N818" s="13"/>
      <c r="O818" s="13"/>
      <c r="P818" s="13"/>
      <c r="Q818" s="13"/>
      <c r="R818" s="13"/>
      <c r="S818" s="13"/>
      <c r="T818" s="13"/>
      <c r="U818" s="13"/>
      <c r="V818" s="13"/>
      <c r="W818" s="13"/>
      <c r="X818" s="13"/>
      <c r="Y818" s="13"/>
      <c r="Z818" s="13"/>
      <c r="AB818" s="40"/>
      <c r="AC818" s="40"/>
      <c r="AD818" s="40"/>
      <c r="AE818" s="40"/>
      <c r="AF818" s="5"/>
    </row>
    <row r="819" spans="8:32" x14ac:dyDescent="0.2">
      <c r="H819" s="13"/>
      <c r="I819" s="13"/>
      <c r="J819" s="13"/>
      <c r="K819" s="13"/>
      <c r="L819" s="13"/>
      <c r="M819" s="13"/>
      <c r="N819" s="13"/>
      <c r="O819" s="13"/>
      <c r="P819" s="13"/>
      <c r="Q819" s="13"/>
      <c r="R819" s="13"/>
      <c r="S819" s="13"/>
      <c r="T819" s="13"/>
      <c r="U819" s="13"/>
      <c r="V819" s="13"/>
      <c r="W819" s="13"/>
      <c r="X819" s="13"/>
      <c r="Y819" s="13"/>
      <c r="Z819" s="13"/>
      <c r="AB819" s="40"/>
      <c r="AC819" s="40"/>
      <c r="AD819" s="40"/>
      <c r="AE819" s="40"/>
      <c r="AF819" s="5"/>
    </row>
    <row r="820" spans="8:32" x14ac:dyDescent="0.2">
      <c r="H820" s="13"/>
      <c r="I820" s="13"/>
      <c r="J820" s="13"/>
      <c r="K820" s="13"/>
      <c r="L820" s="13"/>
      <c r="M820" s="13"/>
      <c r="N820" s="13"/>
      <c r="O820" s="13"/>
      <c r="P820" s="13"/>
      <c r="Q820" s="13"/>
      <c r="R820" s="13"/>
      <c r="S820" s="13"/>
      <c r="T820" s="13"/>
      <c r="U820" s="13"/>
      <c r="V820" s="13"/>
      <c r="W820" s="13"/>
      <c r="X820" s="13"/>
      <c r="Y820" s="13"/>
      <c r="Z820" s="13"/>
      <c r="AB820" s="40"/>
      <c r="AC820" s="40"/>
      <c r="AD820" s="40"/>
      <c r="AE820" s="40"/>
      <c r="AF820" s="5"/>
    </row>
    <row r="821" spans="8:32" x14ac:dyDescent="0.2">
      <c r="H821" s="13"/>
      <c r="I821" s="13"/>
      <c r="J821" s="13"/>
      <c r="K821" s="13"/>
      <c r="L821" s="13"/>
      <c r="M821" s="13"/>
      <c r="N821" s="13"/>
      <c r="O821" s="13"/>
      <c r="P821" s="13"/>
      <c r="Q821" s="13"/>
      <c r="R821" s="13"/>
      <c r="S821" s="13"/>
      <c r="T821" s="13"/>
      <c r="U821" s="13"/>
      <c r="V821" s="13"/>
      <c r="W821" s="13"/>
      <c r="X821" s="13"/>
      <c r="Y821" s="13"/>
      <c r="Z821" s="13"/>
      <c r="AB821" s="40"/>
      <c r="AC821" s="40"/>
      <c r="AD821" s="40"/>
      <c r="AE821" s="40"/>
      <c r="AF821" s="5"/>
    </row>
    <row r="822" spans="8:32" x14ac:dyDescent="0.2">
      <c r="H822" s="13"/>
      <c r="I822" s="13"/>
      <c r="J822" s="13"/>
      <c r="K822" s="13"/>
      <c r="L822" s="13"/>
      <c r="M822" s="13"/>
      <c r="N822" s="13"/>
      <c r="O822" s="13"/>
      <c r="P822" s="13"/>
      <c r="Q822" s="13"/>
      <c r="R822" s="13"/>
      <c r="S822" s="13"/>
      <c r="T822" s="13"/>
      <c r="U822" s="13"/>
      <c r="V822" s="13"/>
      <c r="W822" s="13"/>
      <c r="X822" s="13"/>
      <c r="Y822" s="13"/>
      <c r="Z822" s="13"/>
      <c r="AB822" s="40"/>
      <c r="AC822" s="40"/>
      <c r="AD822" s="40"/>
      <c r="AE822" s="40"/>
      <c r="AF822" s="5"/>
    </row>
    <row r="823" spans="8:32" x14ac:dyDescent="0.2">
      <c r="H823" s="13"/>
      <c r="I823" s="13"/>
      <c r="J823" s="13"/>
      <c r="K823" s="13"/>
      <c r="L823" s="13"/>
      <c r="M823" s="13"/>
      <c r="N823" s="13"/>
      <c r="O823" s="13"/>
      <c r="P823" s="13"/>
      <c r="Q823" s="13"/>
      <c r="R823" s="13"/>
      <c r="S823" s="13"/>
      <c r="T823" s="13"/>
      <c r="U823" s="13"/>
      <c r="V823" s="13"/>
      <c r="W823" s="13"/>
      <c r="X823" s="13"/>
      <c r="Y823" s="13"/>
      <c r="Z823" s="13"/>
      <c r="AB823" s="40"/>
      <c r="AC823" s="40"/>
      <c r="AD823" s="40"/>
      <c r="AE823" s="40"/>
      <c r="AF823" s="5"/>
    </row>
    <row r="824" spans="8:32" x14ac:dyDescent="0.2">
      <c r="H824"/>
      <c r="AB824" s="40"/>
      <c r="AC824" s="40"/>
      <c r="AD824" s="40"/>
      <c r="AE824" s="40"/>
      <c r="AF824" s="5"/>
    </row>
    <row r="825" spans="8:32" x14ac:dyDescent="0.2">
      <c r="H825" s="13"/>
      <c r="I825" s="13"/>
      <c r="J825" s="13"/>
      <c r="K825" s="13"/>
      <c r="L825" s="13"/>
      <c r="M825" s="13"/>
      <c r="N825" s="13"/>
      <c r="O825" s="13"/>
      <c r="P825" s="13"/>
      <c r="Q825" s="13"/>
      <c r="R825" s="13"/>
      <c r="S825" s="13"/>
      <c r="T825" s="13"/>
      <c r="U825" s="13"/>
      <c r="V825" s="13"/>
      <c r="W825" s="13"/>
      <c r="X825" s="13"/>
      <c r="Y825" s="13"/>
      <c r="Z825" s="13"/>
      <c r="AB825" s="40"/>
      <c r="AC825" s="40"/>
      <c r="AD825" s="40"/>
      <c r="AE825" s="40"/>
      <c r="AF825" s="5"/>
    </row>
    <row r="826" spans="8:32" x14ac:dyDescent="0.2">
      <c r="H826" s="13"/>
      <c r="I826" s="13"/>
      <c r="J826" s="13"/>
      <c r="K826" s="13"/>
      <c r="L826" s="13"/>
      <c r="M826" s="13"/>
      <c r="N826" s="13"/>
      <c r="O826" s="13"/>
      <c r="P826" s="13"/>
      <c r="Q826" s="13"/>
      <c r="R826" s="13"/>
      <c r="S826" s="13"/>
      <c r="T826" s="13"/>
      <c r="U826" s="13"/>
      <c r="V826" s="13"/>
      <c r="W826" s="13"/>
      <c r="X826" s="13"/>
      <c r="Y826" s="13"/>
      <c r="Z826" s="13"/>
      <c r="AB826" s="40"/>
      <c r="AC826" s="40"/>
      <c r="AD826" s="40"/>
      <c r="AE826" s="40"/>
      <c r="AF826" s="5"/>
    </row>
    <row r="827" spans="8:32" x14ac:dyDescent="0.2">
      <c r="H827" s="13"/>
      <c r="I827" s="13"/>
      <c r="J827" s="13"/>
      <c r="K827" s="13"/>
      <c r="L827" s="13"/>
      <c r="M827" s="13"/>
      <c r="N827" s="13"/>
      <c r="O827" s="13"/>
      <c r="P827" s="13"/>
      <c r="Q827" s="13"/>
      <c r="R827" s="13"/>
      <c r="S827" s="13"/>
      <c r="T827" s="13"/>
      <c r="U827" s="13"/>
      <c r="V827" s="13"/>
      <c r="W827" s="13"/>
      <c r="X827" s="13"/>
      <c r="Y827" s="13"/>
      <c r="Z827" s="13"/>
      <c r="AB827" s="40"/>
      <c r="AC827" s="40"/>
      <c r="AD827" s="40"/>
      <c r="AE827" s="40"/>
      <c r="AF827" s="5"/>
    </row>
    <row r="828" spans="8:32" x14ac:dyDescent="0.2">
      <c r="H828" s="13"/>
      <c r="I828" s="13"/>
      <c r="J828" s="13"/>
      <c r="K828" s="13"/>
      <c r="L828" s="13"/>
      <c r="M828" s="13"/>
      <c r="N828" s="13"/>
      <c r="O828" s="13"/>
      <c r="P828" s="13"/>
      <c r="Q828" s="13"/>
      <c r="R828" s="13"/>
      <c r="S828" s="13"/>
      <c r="T828" s="13"/>
      <c r="U828" s="13"/>
      <c r="V828" s="13"/>
      <c r="W828" s="13"/>
      <c r="X828" s="13"/>
      <c r="Y828" s="13"/>
      <c r="Z828" s="13"/>
      <c r="AB828" s="40"/>
      <c r="AC828" s="40"/>
      <c r="AD828" s="40"/>
      <c r="AE828" s="40"/>
      <c r="AF828" s="5"/>
    </row>
    <row r="829" spans="8:32" x14ac:dyDescent="0.2">
      <c r="H829" s="13"/>
      <c r="I829" s="13"/>
      <c r="J829" s="13"/>
      <c r="K829" s="13"/>
      <c r="L829" s="13"/>
      <c r="M829" s="13"/>
      <c r="N829" s="13"/>
      <c r="O829" s="13"/>
      <c r="P829" s="13"/>
      <c r="Q829" s="13"/>
      <c r="R829" s="13"/>
      <c r="S829" s="13"/>
      <c r="T829" s="13"/>
      <c r="U829" s="13"/>
      <c r="V829" s="13"/>
      <c r="W829" s="13"/>
      <c r="X829" s="13"/>
      <c r="Y829" s="13"/>
      <c r="Z829" s="13"/>
      <c r="AB829" s="40"/>
      <c r="AC829" s="40"/>
      <c r="AD829" s="40"/>
      <c r="AE829" s="40"/>
      <c r="AF829" s="5"/>
    </row>
    <row r="830" spans="8:32" x14ac:dyDescent="0.2">
      <c r="H830" s="13"/>
      <c r="I830" s="13"/>
      <c r="J830" s="13"/>
      <c r="K830" s="13"/>
      <c r="L830" s="13"/>
      <c r="M830" s="13"/>
      <c r="N830" s="13"/>
      <c r="O830" s="13"/>
      <c r="P830" s="13"/>
      <c r="Q830" s="13"/>
      <c r="R830" s="13"/>
      <c r="S830" s="13"/>
      <c r="T830" s="13"/>
      <c r="U830" s="13"/>
      <c r="V830" s="13"/>
      <c r="W830" s="13"/>
      <c r="X830" s="13"/>
      <c r="Y830" s="13"/>
      <c r="Z830" s="13"/>
      <c r="AB830" s="40"/>
      <c r="AC830" s="40"/>
      <c r="AD830" s="40"/>
      <c r="AE830" s="40"/>
      <c r="AF830" s="5"/>
    </row>
    <row r="831" spans="8:32" x14ac:dyDescent="0.2">
      <c r="H831" s="13"/>
      <c r="I831" s="13"/>
      <c r="J831" s="13"/>
      <c r="K831" s="13"/>
      <c r="L831" s="13"/>
      <c r="M831" s="13"/>
      <c r="N831" s="13"/>
      <c r="O831" s="13"/>
      <c r="P831" s="13"/>
      <c r="Q831" s="13"/>
      <c r="R831" s="13"/>
      <c r="S831" s="13"/>
      <c r="T831" s="13"/>
      <c r="U831" s="13"/>
      <c r="V831" s="13"/>
      <c r="W831" s="13"/>
      <c r="X831" s="13"/>
      <c r="Y831" s="13"/>
      <c r="Z831" s="13"/>
      <c r="AB831" s="40"/>
      <c r="AC831" s="40"/>
      <c r="AD831" s="40"/>
      <c r="AE831" s="40"/>
      <c r="AF831" s="5"/>
    </row>
    <row r="832" spans="8:32" x14ac:dyDescent="0.2">
      <c r="H832" s="13"/>
      <c r="I832" s="13"/>
      <c r="J832" s="13"/>
      <c r="K832" s="13"/>
      <c r="L832" s="13"/>
      <c r="M832" s="13"/>
      <c r="N832" s="13"/>
      <c r="O832" s="13"/>
      <c r="P832" s="13"/>
      <c r="Q832" s="13"/>
      <c r="R832" s="13"/>
      <c r="S832" s="13"/>
      <c r="T832" s="13"/>
      <c r="U832" s="13"/>
      <c r="V832" s="13"/>
      <c r="W832" s="13"/>
      <c r="X832" s="13"/>
      <c r="Y832" s="13"/>
      <c r="Z832" s="13"/>
      <c r="AB832" s="40"/>
      <c r="AC832" s="40"/>
      <c r="AD832" s="40"/>
      <c r="AE832" s="40"/>
      <c r="AF832" s="5"/>
    </row>
    <row r="833" spans="8:32" x14ac:dyDescent="0.2">
      <c r="H833" s="13"/>
      <c r="I833" s="13"/>
      <c r="J833" s="13"/>
      <c r="K833" s="13"/>
      <c r="L833" s="13"/>
      <c r="M833" s="13"/>
      <c r="N833" s="13"/>
      <c r="O833" s="13"/>
      <c r="P833" s="13"/>
      <c r="Q833" s="13"/>
      <c r="R833" s="13"/>
      <c r="S833" s="13"/>
      <c r="T833" s="13"/>
      <c r="U833" s="13"/>
      <c r="V833" s="13"/>
      <c r="W833" s="13"/>
      <c r="X833" s="13"/>
      <c r="Y833" s="13"/>
      <c r="Z833" s="13"/>
      <c r="AB833" s="40"/>
      <c r="AC833" s="40"/>
      <c r="AD833" s="40"/>
      <c r="AE833" s="40"/>
      <c r="AF833" s="5"/>
    </row>
    <row r="834" spans="8:32" x14ac:dyDescent="0.2">
      <c r="H834" s="13"/>
      <c r="I834" s="13"/>
      <c r="J834" s="13"/>
      <c r="K834" s="13"/>
      <c r="L834" s="13"/>
      <c r="M834" s="13"/>
      <c r="N834" s="13"/>
      <c r="O834" s="13"/>
      <c r="P834" s="13"/>
      <c r="Q834" s="13"/>
      <c r="R834" s="13"/>
      <c r="S834" s="13"/>
      <c r="T834" s="13"/>
      <c r="U834" s="13"/>
      <c r="V834" s="13"/>
      <c r="W834" s="13"/>
      <c r="X834" s="13"/>
      <c r="Y834" s="13"/>
      <c r="Z834" s="13"/>
      <c r="AB834" s="40"/>
      <c r="AC834" s="40"/>
      <c r="AD834" s="40"/>
      <c r="AE834" s="40"/>
      <c r="AF834" s="5"/>
    </row>
    <row r="835" spans="8:32" x14ac:dyDescent="0.2">
      <c r="H835" s="13"/>
      <c r="I835" s="13"/>
      <c r="J835" s="13"/>
      <c r="K835" s="13"/>
      <c r="L835" s="13"/>
      <c r="M835" s="13"/>
      <c r="N835" s="13"/>
      <c r="O835" s="13"/>
      <c r="P835" s="13"/>
      <c r="Q835" s="13"/>
      <c r="R835" s="13"/>
      <c r="S835" s="13"/>
      <c r="T835" s="13"/>
      <c r="U835" s="13"/>
      <c r="V835" s="13"/>
      <c r="W835" s="13"/>
      <c r="X835" s="13"/>
      <c r="Y835" s="13"/>
      <c r="Z835" s="13"/>
      <c r="AB835" s="40"/>
      <c r="AC835" s="40"/>
      <c r="AD835" s="40"/>
      <c r="AE835" s="40"/>
      <c r="AF835" s="5"/>
    </row>
    <row r="836" spans="8:32" x14ac:dyDescent="0.2">
      <c r="H836" s="13"/>
      <c r="I836" s="13"/>
      <c r="J836" s="13"/>
      <c r="K836" s="13"/>
      <c r="L836" s="13"/>
      <c r="M836" s="13"/>
      <c r="N836" s="13"/>
      <c r="O836" s="13"/>
      <c r="P836" s="13"/>
      <c r="Q836" s="13"/>
      <c r="R836" s="13"/>
      <c r="S836" s="13"/>
      <c r="T836" s="13"/>
      <c r="U836" s="13"/>
      <c r="V836" s="13"/>
      <c r="W836" s="13"/>
      <c r="X836" s="13"/>
      <c r="Y836" s="13"/>
      <c r="Z836" s="13"/>
      <c r="AB836" s="40"/>
      <c r="AC836" s="40"/>
      <c r="AD836" s="40"/>
      <c r="AE836" s="40"/>
      <c r="AF836" s="5"/>
    </row>
    <row r="837" spans="8:32" x14ac:dyDescent="0.2">
      <c r="H837"/>
      <c r="AB837" s="40"/>
      <c r="AC837" s="40"/>
      <c r="AD837" s="40"/>
      <c r="AE837" s="40"/>
      <c r="AF837" s="5"/>
    </row>
    <row r="838" spans="8:32" x14ac:dyDescent="0.2">
      <c r="H838" s="13"/>
      <c r="I838" s="13"/>
      <c r="J838" s="13"/>
      <c r="K838" s="13"/>
      <c r="L838" s="13"/>
      <c r="M838" s="13"/>
      <c r="N838" s="13"/>
      <c r="O838" s="13"/>
      <c r="P838" s="13"/>
      <c r="Q838" s="13"/>
      <c r="R838" s="13"/>
      <c r="S838" s="13"/>
      <c r="T838" s="13"/>
      <c r="U838" s="13"/>
      <c r="V838" s="13"/>
      <c r="W838" s="13"/>
      <c r="X838" s="13"/>
      <c r="Y838" s="13"/>
      <c r="Z838" s="13"/>
      <c r="AB838" s="40"/>
      <c r="AC838" s="40"/>
      <c r="AD838" s="40"/>
      <c r="AE838" s="40"/>
      <c r="AF838" s="5"/>
    </row>
    <row r="839" spans="8:32" x14ac:dyDescent="0.2">
      <c r="H839" s="13"/>
      <c r="I839" s="13"/>
      <c r="J839" s="13"/>
      <c r="K839" s="13"/>
      <c r="L839" s="13"/>
      <c r="M839" s="13"/>
      <c r="N839" s="13"/>
      <c r="O839" s="13"/>
      <c r="P839" s="13"/>
      <c r="Q839" s="13"/>
      <c r="R839" s="13"/>
      <c r="S839" s="13"/>
      <c r="T839" s="13"/>
      <c r="U839" s="13"/>
      <c r="V839" s="13"/>
      <c r="W839" s="13"/>
      <c r="X839" s="13"/>
      <c r="Y839" s="13"/>
      <c r="Z839" s="13"/>
      <c r="AB839" s="40"/>
      <c r="AC839" s="40"/>
      <c r="AD839" s="40"/>
      <c r="AE839" s="40"/>
      <c r="AF839" s="5"/>
    </row>
    <row r="840" spans="8:32" x14ac:dyDescent="0.2">
      <c r="H840" s="13"/>
      <c r="I840" s="13"/>
      <c r="J840" s="13"/>
      <c r="K840" s="13"/>
      <c r="L840" s="13"/>
      <c r="M840" s="13"/>
      <c r="N840" s="13"/>
      <c r="O840" s="13"/>
      <c r="P840" s="13"/>
      <c r="Q840" s="13"/>
      <c r="R840" s="13"/>
      <c r="S840" s="13"/>
      <c r="T840" s="13"/>
      <c r="U840" s="13"/>
      <c r="V840" s="13"/>
      <c r="W840" s="13"/>
      <c r="X840" s="13"/>
      <c r="Y840" s="13"/>
      <c r="Z840" s="13"/>
      <c r="AB840" s="40"/>
      <c r="AC840" s="40"/>
      <c r="AD840" s="40"/>
      <c r="AE840" s="40"/>
      <c r="AF840" s="5"/>
    </row>
    <row r="841" spans="8:32" x14ac:dyDescent="0.2">
      <c r="H841"/>
      <c r="AB841" s="40"/>
      <c r="AC841" s="40"/>
      <c r="AD841" s="40"/>
      <c r="AE841" s="40"/>
      <c r="AF841" s="5"/>
    </row>
    <row r="842" spans="8:32" x14ac:dyDescent="0.2">
      <c r="H842" s="13"/>
      <c r="I842" s="13"/>
      <c r="J842" s="13"/>
      <c r="K842" s="13"/>
      <c r="L842" s="13"/>
      <c r="M842" s="13"/>
      <c r="N842" s="13"/>
      <c r="O842" s="13"/>
      <c r="P842" s="13"/>
      <c r="Q842" s="13"/>
      <c r="R842" s="13"/>
      <c r="S842" s="13"/>
      <c r="T842" s="13"/>
      <c r="U842" s="13"/>
      <c r="V842" s="13"/>
      <c r="W842" s="13"/>
      <c r="X842" s="13"/>
      <c r="Y842" s="13"/>
      <c r="Z842" s="13"/>
      <c r="AB842" s="40"/>
      <c r="AC842" s="40"/>
      <c r="AD842" s="40"/>
      <c r="AE842" s="40"/>
      <c r="AF842" s="5"/>
    </row>
    <row r="843" spans="8:32" x14ac:dyDescent="0.2">
      <c r="H843" s="13"/>
      <c r="I843" s="13"/>
      <c r="J843" s="13"/>
      <c r="K843" s="13"/>
      <c r="L843" s="13"/>
      <c r="M843" s="13"/>
      <c r="N843" s="13"/>
      <c r="O843" s="13"/>
      <c r="P843" s="13"/>
      <c r="Q843" s="13"/>
      <c r="R843" s="13"/>
      <c r="S843" s="13"/>
      <c r="T843" s="13"/>
      <c r="U843" s="13"/>
      <c r="V843" s="13"/>
      <c r="W843" s="13"/>
      <c r="X843" s="13"/>
      <c r="Y843" s="13"/>
      <c r="Z843" s="13"/>
      <c r="AB843" s="40"/>
      <c r="AC843" s="40"/>
      <c r="AD843" s="40"/>
      <c r="AE843" s="40"/>
      <c r="AF843" s="5"/>
    </row>
    <row r="844" spans="8:32" x14ac:dyDescent="0.2">
      <c r="H844" s="13"/>
      <c r="I844" s="13"/>
      <c r="J844" s="13"/>
      <c r="K844" s="13"/>
      <c r="L844" s="13"/>
      <c r="M844" s="13"/>
      <c r="N844" s="13"/>
      <c r="O844" s="13"/>
      <c r="P844" s="13"/>
      <c r="Q844" s="13"/>
      <c r="R844" s="13"/>
      <c r="S844" s="13"/>
      <c r="T844" s="13"/>
      <c r="U844" s="13"/>
      <c r="V844" s="13"/>
      <c r="W844" s="13"/>
      <c r="X844" s="13"/>
      <c r="Y844" s="13"/>
      <c r="Z844" s="13"/>
      <c r="AB844" s="40"/>
      <c r="AC844" s="40"/>
      <c r="AD844" s="40"/>
      <c r="AE844" s="40"/>
      <c r="AF844" s="5"/>
    </row>
    <row r="845" spans="8:32" x14ac:dyDescent="0.2">
      <c r="H845" s="13"/>
      <c r="I845" s="13"/>
      <c r="J845" s="13"/>
      <c r="K845" s="13"/>
      <c r="L845" s="13"/>
      <c r="M845" s="13"/>
      <c r="N845" s="13"/>
      <c r="O845" s="13"/>
      <c r="P845" s="13"/>
      <c r="Q845" s="13"/>
      <c r="R845" s="13"/>
      <c r="S845" s="13"/>
      <c r="T845" s="13"/>
      <c r="U845" s="13"/>
      <c r="V845" s="13"/>
      <c r="W845" s="13"/>
      <c r="X845" s="13"/>
      <c r="Y845" s="13"/>
      <c r="Z845" s="13"/>
      <c r="AB845" s="40"/>
      <c r="AC845" s="40"/>
      <c r="AD845" s="40"/>
      <c r="AE845" s="40"/>
      <c r="AF845" s="5"/>
    </row>
    <row r="846" spans="8:32" x14ac:dyDescent="0.2">
      <c r="H846" s="13"/>
      <c r="I846" s="13"/>
      <c r="J846" s="13"/>
      <c r="K846" s="13"/>
      <c r="L846" s="13"/>
      <c r="M846" s="13"/>
      <c r="N846" s="13"/>
      <c r="O846" s="13"/>
      <c r="P846" s="13"/>
      <c r="Q846" s="13"/>
      <c r="R846" s="13"/>
      <c r="S846" s="13"/>
      <c r="T846" s="13"/>
      <c r="U846" s="13"/>
      <c r="V846" s="13"/>
      <c r="W846" s="13"/>
      <c r="X846" s="13"/>
      <c r="Y846" s="13"/>
      <c r="Z846" s="13"/>
      <c r="AB846" s="40"/>
      <c r="AC846" s="40"/>
      <c r="AD846" s="40"/>
      <c r="AE846" s="40"/>
      <c r="AF846" s="5"/>
    </row>
    <row r="847" spans="8:32" x14ac:dyDescent="0.2">
      <c r="H847" s="13"/>
      <c r="I847" s="13"/>
      <c r="J847" s="13"/>
      <c r="K847" s="13"/>
      <c r="L847" s="13"/>
      <c r="M847" s="13"/>
      <c r="N847" s="13"/>
      <c r="O847" s="13"/>
      <c r="P847" s="13"/>
      <c r="Q847" s="13"/>
      <c r="R847" s="13"/>
      <c r="S847" s="13"/>
      <c r="T847" s="13"/>
      <c r="U847" s="13"/>
      <c r="V847" s="13"/>
      <c r="W847" s="13"/>
      <c r="X847" s="13"/>
      <c r="Y847" s="13"/>
      <c r="Z847" s="13"/>
      <c r="AB847" s="40"/>
      <c r="AC847" s="40"/>
      <c r="AD847" s="40"/>
      <c r="AE847" s="40"/>
      <c r="AF847" s="5"/>
    </row>
    <row r="848" spans="8:32" x14ac:dyDescent="0.2">
      <c r="H848" s="13"/>
      <c r="I848" s="13"/>
      <c r="J848" s="13"/>
      <c r="K848" s="13"/>
      <c r="L848" s="13"/>
      <c r="M848" s="13"/>
      <c r="N848" s="13"/>
      <c r="O848" s="13"/>
      <c r="P848" s="13"/>
      <c r="Q848" s="13"/>
      <c r="R848" s="13"/>
      <c r="S848" s="13"/>
      <c r="T848" s="13"/>
      <c r="U848" s="13"/>
      <c r="V848" s="13"/>
      <c r="W848" s="13"/>
      <c r="X848" s="13"/>
      <c r="Y848" s="13"/>
      <c r="Z848" s="13"/>
      <c r="AB848" s="40"/>
      <c r="AC848" s="40"/>
      <c r="AD848" s="40"/>
      <c r="AE848" s="40"/>
      <c r="AF848" s="5"/>
    </row>
    <row r="849" spans="8:32" x14ac:dyDescent="0.2">
      <c r="H849" s="13"/>
      <c r="I849" s="13"/>
      <c r="J849" s="13"/>
      <c r="K849" s="13"/>
      <c r="L849" s="13"/>
      <c r="M849" s="13"/>
      <c r="N849" s="13"/>
      <c r="O849" s="13"/>
      <c r="P849" s="13"/>
      <c r="Q849" s="13"/>
      <c r="R849" s="13"/>
      <c r="S849" s="13"/>
      <c r="T849" s="13"/>
      <c r="U849" s="13"/>
      <c r="V849" s="13"/>
      <c r="W849" s="13"/>
      <c r="X849" s="13"/>
      <c r="Y849" s="13"/>
      <c r="Z849" s="13"/>
      <c r="AB849" s="40"/>
      <c r="AC849" s="40"/>
      <c r="AD849" s="40"/>
      <c r="AE849" s="40"/>
      <c r="AF849" s="5"/>
    </row>
    <row r="850" spans="8:32" x14ac:dyDescent="0.2">
      <c r="H850" s="13"/>
      <c r="I850" s="13"/>
      <c r="J850" s="13"/>
      <c r="K850" s="13"/>
      <c r="L850" s="13"/>
      <c r="M850" s="13"/>
      <c r="N850" s="13"/>
      <c r="O850" s="13"/>
      <c r="P850" s="13"/>
      <c r="Q850" s="13"/>
      <c r="R850" s="13"/>
      <c r="S850" s="13"/>
      <c r="T850" s="13"/>
      <c r="U850" s="13"/>
      <c r="V850" s="13"/>
      <c r="W850" s="13"/>
      <c r="X850" s="13"/>
      <c r="Y850" s="13"/>
      <c r="Z850" s="13"/>
      <c r="AB850" s="40"/>
      <c r="AC850" s="40"/>
      <c r="AD850" s="40"/>
      <c r="AE850" s="40"/>
      <c r="AF850" s="5"/>
    </row>
    <row r="851" spans="8:32" x14ac:dyDescent="0.2">
      <c r="H851"/>
      <c r="AB851" s="40"/>
      <c r="AC851" s="40"/>
      <c r="AD851" s="40"/>
      <c r="AE851" s="40"/>
      <c r="AF851" s="5"/>
    </row>
    <row r="852" spans="8:32" x14ac:dyDescent="0.2">
      <c r="H852" s="13"/>
      <c r="I852" s="13"/>
      <c r="J852" s="13"/>
      <c r="K852" s="13"/>
      <c r="L852" s="13"/>
      <c r="M852" s="13"/>
      <c r="N852" s="13"/>
      <c r="O852" s="13"/>
      <c r="P852" s="13"/>
      <c r="Q852" s="13"/>
      <c r="R852" s="13"/>
      <c r="S852" s="13"/>
      <c r="T852" s="13"/>
      <c r="U852" s="13"/>
      <c r="V852" s="13"/>
      <c r="W852" s="13"/>
      <c r="X852" s="13"/>
      <c r="Y852" s="13"/>
      <c r="Z852" s="13"/>
      <c r="AB852" s="40"/>
      <c r="AC852" s="40"/>
      <c r="AD852" s="40"/>
      <c r="AE852" s="40"/>
      <c r="AF852" s="5"/>
    </row>
    <row r="853" spans="8:32" x14ac:dyDescent="0.2">
      <c r="H853" s="13"/>
      <c r="I853" s="13"/>
      <c r="J853" s="13"/>
      <c r="K853" s="13"/>
      <c r="L853" s="13"/>
      <c r="M853" s="13"/>
      <c r="N853" s="13"/>
      <c r="O853" s="13"/>
      <c r="P853" s="13"/>
      <c r="Q853" s="13"/>
      <c r="R853" s="13"/>
      <c r="S853" s="13"/>
      <c r="T853" s="13"/>
      <c r="U853" s="13"/>
      <c r="V853" s="13"/>
      <c r="W853" s="13"/>
      <c r="X853" s="13"/>
      <c r="Y853" s="13"/>
      <c r="Z853" s="13"/>
      <c r="AB853" s="40"/>
      <c r="AC853" s="40"/>
      <c r="AD853" s="40"/>
      <c r="AE853" s="40"/>
      <c r="AF853" s="5"/>
    </row>
    <row r="854" spans="8:32" x14ac:dyDescent="0.2">
      <c r="H854" s="13"/>
      <c r="I854" s="13"/>
      <c r="J854" s="13"/>
      <c r="K854" s="13"/>
      <c r="L854" s="13"/>
      <c r="M854" s="13"/>
      <c r="N854" s="13"/>
      <c r="O854" s="13"/>
      <c r="P854" s="13"/>
      <c r="Q854" s="13"/>
      <c r="R854" s="13"/>
      <c r="S854" s="13"/>
      <c r="T854" s="13"/>
      <c r="U854" s="13"/>
      <c r="V854" s="13"/>
      <c r="W854" s="13"/>
      <c r="X854" s="13"/>
      <c r="Y854" s="13"/>
      <c r="Z854" s="13"/>
      <c r="AB854" s="40"/>
      <c r="AC854" s="40"/>
      <c r="AD854" s="40"/>
      <c r="AE854" s="40"/>
      <c r="AF854" s="5"/>
    </row>
    <row r="855" spans="8:32" x14ac:dyDescent="0.2">
      <c r="H855" s="13"/>
      <c r="I855" s="13"/>
      <c r="J855" s="13"/>
      <c r="K855" s="13"/>
      <c r="L855" s="13"/>
      <c r="M855" s="13"/>
      <c r="N855" s="13"/>
      <c r="O855" s="13"/>
      <c r="P855" s="13"/>
      <c r="Q855" s="13"/>
      <c r="R855" s="13"/>
      <c r="S855" s="13"/>
      <c r="T855" s="13"/>
      <c r="U855" s="13"/>
      <c r="V855" s="13"/>
      <c r="W855" s="13"/>
      <c r="X855" s="13"/>
      <c r="Y855" s="13"/>
      <c r="Z855" s="13"/>
      <c r="AB855" s="40"/>
      <c r="AC855" s="40"/>
      <c r="AD855" s="40"/>
      <c r="AE855" s="40"/>
      <c r="AF855" s="5"/>
    </row>
    <row r="856" spans="8:32" x14ac:dyDescent="0.2">
      <c r="H856" s="13"/>
      <c r="I856" s="13"/>
      <c r="J856" s="13"/>
      <c r="K856" s="13"/>
      <c r="L856" s="13"/>
      <c r="M856" s="13"/>
      <c r="N856" s="13"/>
      <c r="O856" s="13"/>
      <c r="P856" s="13"/>
      <c r="Q856" s="13"/>
      <c r="R856" s="13"/>
      <c r="S856" s="13"/>
      <c r="T856" s="13"/>
      <c r="U856" s="13"/>
      <c r="V856" s="13"/>
      <c r="W856" s="13"/>
      <c r="X856" s="13"/>
      <c r="Y856" s="13"/>
      <c r="Z856" s="13"/>
      <c r="AB856" s="40"/>
      <c r="AC856" s="40"/>
      <c r="AD856" s="40"/>
      <c r="AE856" s="40"/>
      <c r="AF856" s="5"/>
    </row>
    <row r="857" spans="8:32" x14ac:dyDescent="0.2">
      <c r="H857" s="13"/>
      <c r="I857" s="13"/>
      <c r="J857" s="13"/>
      <c r="K857" s="13"/>
      <c r="L857" s="13"/>
      <c r="M857" s="13"/>
      <c r="N857" s="13"/>
      <c r="O857" s="13"/>
      <c r="P857" s="13"/>
      <c r="Q857" s="13"/>
      <c r="R857" s="13"/>
      <c r="S857" s="13"/>
      <c r="T857" s="13"/>
      <c r="U857" s="13"/>
      <c r="V857" s="13"/>
      <c r="W857" s="13"/>
      <c r="X857" s="13"/>
      <c r="Y857" s="13"/>
      <c r="Z857" s="13"/>
      <c r="AB857" s="40"/>
      <c r="AC857" s="40"/>
      <c r="AD857" s="40"/>
      <c r="AE857" s="40"/>
      <c r="AF857" s="5"/>
    </row>
    <row r="858" spans="8:32" x14ac:dyDescent="0.2">
      <c r="H858" s="13"/>
      <c r="I858" s="13"/>
      <c r="J858" s="13"/>
      <c r="K858" s="13"/>
      <c r="L858" s="13"/>
      <c r="M858" s="13"/>
      <c r="N858" s="13"/>
      <c r="O858" s="13"/>
      <c r="P858" s="13"/>
      <c r="Q858" s="13"/>
      <c r="R858" s="13"/>
      <c r="S858" s="13"/>
      <c r="T858" s="13"/>
      <c r="U858" s="13"/>
      <c r="V858" s="13"/>
      <c r="W858" s="13"/>
      <c r="X858" s="13"/>
      <c r="Y858" s="13"/>
      <c r="Z858" s="13"/>
      <c r="AB858" s="40"/>
      <c r="AC858" s="40"/>
      <c r="AD858" s="40"/>
      <c r="AE858" s="40"/>
      <c r="AF858" s="5"/>
    </row>
    <row r="859" spans="8:32" x14ac:dyDescent="0.2">
      <c r="H859" s="13"/>
      <c r="I859" s="13"/>
      <c r="J859" s="13"/>
      <c r="K859" s="13"/>
      <c r="L859" s="13"/>
      <c r="M859" s="13"/>
      <c r="N859" s="13"/>
      <c r="O859" s="13"/>
      <c r="P859" s="13"/>
      <c r="Q859" s="13"/>
      <c r="R859" s="13"/>
      <c r="S859" s="13"/>
      <c r="T859" s="13"/>
      <c r="U859" s="13"/>
      <c r="V859" s="13"/>
      <c r="W859" s="13"/>
      <c r="X859" s="13"/>
      <c r="Y859" s="13"/>
      <c r="Z859" s="13"/>
      <c r="AB859" s="40"/>
      <c r="AC859" s="40"/>
      <c r="AD859" s="40"/>
      <c r="AE859" s="40"/>
      <c r="AF859" s="5"/>
    </row>
    <row r="860" spans="8:32" x14ac:dyDescent="0.2">
      <c r="H860" s="13"/>
      <c r="I860" s="13"/>
      <c r="J860" s="13"/>
      <c r="K860" s="13"/>
      <c r="L860" s="13"/>
      <c r="M860" s="13"/>
      <c r="N860" s="13"/>
      <c r="O860" s="13"/>
      <c r="P860" s="13"/>
      <c r="Q860" s="13"/>
      <c r="R860" s="13"/>
      <c r="S860" s="13"/>
      <c r="T860" s="13"/>
      <c r="U860" s="13"/>
      <c r="V860" s="13"/>
      <c r="W860" s="13"/>
      <c r="X860" s="13"/>
      <c r="Y860" s="13"/>
      <c r="Z860" s="13"/>
      <c r="AB860" s="40"/>
      <c r="AC860" s="40"/>
      <c r="AD860" s="40"/>
      <c r="AE860" s="40"/>
      <c r="AF860" s="5"/>
    </row>
    <row r="861" spans="8:32" x14ac:dyDescent="0.2">
      <c r="H861" s="13"/>
      <c r="I861" s="13"/>
      <c r="J861" s="13"/>
      <c r="K861" s="13"/>
      <c r="L861" s="13"/>
      <c r="M861" s="13"/>
      <c r="N861" s="13"/>
      <c r="O861" s="13"/>
      <c r="P861" s="13"/>
      <c r="Q861" s="13"/>
      <c r="R861" s="13"/>
      <c r="S861" s="13"/>
      <c r="T861" s="13"/>
      <c r="U861" s="13"/>
      <c r="V861" s="13"/>
      <c r="W861" s="13"/>
      <c r="X861" s="13"/>
      <c r="Y861" s="13"/>
      <c r="Z861" s="13"/>
      <c r="AB861" s="40"/>
      <c r="AC861" s="40"/>
      <c r="AD861" s="40"/>
      <c r="AE861" s="40"/>
      <c r="AF861" s="5"/>
    </row>
    <row r="862" spans="8:32" x14ac:dyDescent="0.2">
      <c r="H862" s="13"/>
      <c r="I862" s="13"/>
      <c r="J862" s="13"/>
      <c r="K862" s="13"/>
      <c r="L862" s="13"/>
      <c r="M862" s="13"/>
      <c r="N862" s="13"/>
      <c r="O862" s="13"/>
      <c r="P862" s="13"/>
      <c r="Q862" s="13"/>
      <c r="R862" s="13"/>
      <c r="S862" s="13"/>
      <c r="T862" s="13"/>
      <c r="U862" s="13"/>
      <c r="V862" s="13"/>
      <c r="W862" s="13"/>
      <c r="X862" s="13"/>
      <c r="Y862" s="13"/>
      <c r="Z862" s="13"/>
      <c r="AB862" s="40"/>
      <c r="AC862" s="40"/>
      <c r="AD862" s="40"/>
      <c r="AE862" s="40"/>
      <c r="AF862" s="5"/>
    </row>
    <row r="863" spans="8:32" x14ac:dyDescent="0.2">
      <c r="H863" s="13"/>
      <c r="I863" s="13"/>
      <c r="J863" s="13"/>
      <c r="K863" s="13"/>
      <c r="L863" s="13"/>
      <c r="M863" s="13"/>
      <c r="N863" s="13"/>
      <c r="O863" s="13"/>
      <c r="P863" s="13"/>
      <c r="Q863" s="13"/>
      <c r="R863" s="13"/>
      <c r="S863" s="13"/>
      <c r="T863" s="13"/>
      <c r="U863" s="13"/>
      <c r="V863" s="13"/>
      <c r="W863" s="13"/>
      <c r="X863" s="13"/>
      <c r="Y863" s="13"/>
      <c r="Z863" s="13"/>
      <c r="AB863" s="40"/>
      <c r="AC863" s="40"/>
      <c r="AD863" s="40"/>
      <c r="AE863" s="40"/>
      <c r="AF863" s="5"/>
    </row>
    <row r="864" spans="8:32" x14ac:dyDescent="0.2">
      <c r="H864" s="13"/>
      <c r="I864" s="13"/>
      <c r="J864" s="13"/>
      <c r="K864" s="13"/>
      <c r="L864" s="13"/>
      <c r="M864" s="13"/>
      <c r="N864" s="13"/>
      <c r="O864" s="13"/>
      <c r="P864" s="13"/>
      <c r="Q864" s="13"/>
      <c r="R864" s="13"/>
      <c r="S864" s="13"/>
      <c r="T864" s="13"/>
      <c r="U864" s="13"/>
      <c r="V864" s="13"/>
      <c r="W864" s="13"/>
      <c r="X864" s="13"/>
      <c r="Y864" s="13"/>
      <c r="Z864" s="13"/>
      <c r="AB864" s="40"/>
      <c r="AC864" s="40"/>
      <c r="AD864" s="40"/>
      <c r="AE864" s="40"/>
      <c r="AF864" s="5"/>
    </row>
    <row r="865" spans="2:32" x14ac:dyDescent="0.2">
      <c r="H865"/>
      <c r="AB865" s="40"/>
      <c r="AC865" s="40"/>
      <c r="AD865" s="40"/>
      <c r="AE865" s="40"/>
      <c r="AF865" s="5"/>
    </row>
    <row r="866" spans="2:32" x14ac:dyDescent="0.2">
      <c r="H866" s="13"/>
      <c r="I866" s="13"/>
      <c r="J866" s="13"/>
      <c r="K866" s="13"/>
      <c r="L866" s="13"/>
      <c r="M866" s="13"/>
      <c r="N866" s="13"/>
      <c r="O866" s="13"/>
      <c r="P866" s="13"/>
      <c r="Q866" s="13"/>
      <c r="R866" s="13"/>
      <c r="S866" s="13"/>
      <c r="T866" s="13"/>
      <c r="U866" s="13"/>
      <c r="V866" s="13"/>
      <c r="W866" s="13"/>
      <c r="X866" s="13"/>
      <c r="Y866" s="13"/>
      <c r="Z866" s="13"/>
      <c r="AB866" s="40"/>
      <c r="AC866" s="40"/>
      <c r="AD866" s="40"/>
      <c r="AE866" s="40"/>
      <c r="AF866" s="5"/>
    </row>
    <row r="867" spans="2:32" x14ac:dyDescent="0.2">
      <c r="H867" s="13"/>
      <c r="I867" s="13"/>
      <c r="J867" s="13"/>
      <c r="K867" s="13"/>
      <c r="L867" s="13"/>
      <c r="M867" s="13"/>
      <c r="N867" s="13"/>
      <c r="O867" s="13"/>
      <c r="P867" s="13"/>
      <c r="Q867" s="13"/>
      <c r="R867" s="13"/>
      <c r="S867" s="13"/>
      <c r="T867" s="13"/>
      <c r="U867" s="13"/>
      <c r="V867" s="13"/>
      <c r="W867" s="13"/>
      <c r="X867" s="13"/>
      <c r="Y867" s="13"/>
      <c r="Z867" s="13"/>
      <c r="AB867" s="40"/>
      <c r="AC867" s="40"/>
      <c r="AD867" s="40"/>
      <c r="AE867" s="40"/>
      <c r="AF867" s="5"/>
    </row>
    <row r="868" spans="2:32" x14ac:dyDescent="0.2">
      <c r="H868" s="13"/>
      <c r="I868" s="13"/>
      <c r="J868" s="13"/>
      <c r="K868" s="13"/>
      <c r="L868" s="13"/>
      <c r="M868" s="13"/>
      <c r="N868" s="13"/>
      <c r="O868" s="13"/>
      <c r="P868" s="13"/>
      <c r="Q868" s="13"/>
      <c r="R868" s="13"/>
      <c r="S868" s="13"/>
      <c r="T868" s="13"/>
      <c r="U868" s="13"/>
      <c r="V868" s="13"/>
      <c r="W868" s="13"/>
      <c r="X868" s="13"/>
      <c r="Y868" s="13"/>
      <c r="Z868" s="13"/>
      <c r="AB868" s="40"/>
      <c r="AC868" s="40"/>
      <c r="AD868" s="40"/>
      <c r="AE868" s="40"/>
      <c r="AF868" s="5"/>
    </row>
    <row r="869" spans="2:32" x14ac:dyDescent="0.2">
      <c r="H869" s="13"/>
      <c r="I869" s="13"/>
      <c r="J869" s="13"/>
      <c r="K869" s="13"/>
      <c r="L869" s="13"/>
      <c r="M869" s="13"/>
      <c r="N869" s="13"/>
      <c r="O869" s="13"/>
      <c r="P869" s="13"/>
      <c r="Q869" s="13"/>
      <c r="R869" s="13"/>
      <c r="S869" s="13"/>
      <c r="T869" s="13"/>
      <c r="U869" s="13"/>
      <c r="V869" s="13"/>
      <c r="W869" s="13"/>
      <c r="X869" s="13"/>
      <c r="Y869" s="13"/>
      <c r="Z869" s="13"/>
      <c r="AB869" s="40"/>
      <c r="AC869" s="40"/>
      <c r="AD869" s="40"/>
      <c r="AE869" s="40"/>
      <c r="AF869" s="5"/>
    </row>
    <row r="870" spans="2:32" x14ac:dyDescent="0.2">
      <c r="H870" s="13"/>
      <c r="I870" s="13"/>
      <c r="J870" s="13"/>
      <c r="K870" s="13"/>
      <c r="L870" s="13"/>
      <c r="M870" s="13"/>
      <c r="N870" s="13"/>
      <c r="O870" s="13"/>
      <c r="P870" s="13"/>
      <c r="Q870" s="13"/>
      <c r="R870" s="13"/>
      <c r="S870" s="13"/>
      <c r="T870" s="13"/>
      <c r="U870" s="13"/>
      <c r="V870" s="13"/>
      <c r="W870" s="13"/>
      <c r="X870" s="13"/>
      <c r="Y870" s="13"/>
      <c r="Z870" s="13"/>
      <c r="AB870" s="40"/>
      <c r="AC870" s="40"/>
      <c r="AD870" s="40"/>
      <c r="AE870" s="40"/>
      <c r="AF870" s="5"/>
    </row>
    <row r="871" spans="2:32" x14ac:dyDescent="0.2">
      <c r="H871" s="13"/>
      <c r="I871" s="13"/>
      <c r="J871" s="13"/>
      <c r="K871" s="13"/>
      <c r="L871" s="13"/>
      <c r="M871" s="13"/>
      <c r="N871" s="13"/>
      <c r="O871" s="13"/>
      <c r="P871" s="13"/>
      <c r="Q871" s="13"/>
      <c r="R871" s="13"/>
      <c r="S871" s="13"/>
      <c r="T871" s="13"/>
      <c r="U871" s="13"/>
      <c r="V871" s="13"/>
      <c r="W871" s="13"/>
      <c r="X871" s="13"/>
      <c r="Y871" s="13"/>
      <c r="Z871" s="13"/>
      <c r="AB871" s="40"/>
      <c r="AC871" s="40"/>
      <c r="AD871" s="40"/>
      <c r="AE871" s="40"/>
      <c r="AF871" s="5"/>
    </row>
    <row r="872" spans="2:32" x14ac:dyDescent="0.2">
      <c r="H872" s="13"/>
      <c r="I872" s="13"/>
      <c r="J872" s="13"/>
      <c r="K872" s="13"/>
      <c r="L872" s="13"/>
      <c r="M872" s="13"/>
      <c r="N872" s="13"/>
      <c r="O872" s="13"/>
      <c r="P872" s="13"/>
      <c r="Q872" s="13"/>
      <c r="R872" s="13"/>
      <c r="S872" s="13"/>
      <c r="T872" s="13"/>
      <c r="U872" s="13"/>
      <c r="V872" s="13"/>
      <c r="W872" s="13"/>
      <c r="X872" s="13"/>
      <c r="Y872" s="13"/>
      <c r="Z872" s="13"/>
      <c r="AB872" s="40"/>
      <c r="AC872" s="40"/>
      <c r="AD872" s="40"/>
      <c r="AE872" s="40"/>
      <c r="AF872" s="5"/>
    </row>
    <row r="873" spans="2:32" x14ac:dyDescent="0.2">
      <c r="H873"/>
      <c r="AB873" s="40"/>
      <c r="AC873" s="40"/>
      <c r="AD873" s="40"/>
      <c r="AE873" s="40"/>
      <c r="AF873" s="5"/>
    </row>
    <row r="874" spans="2:32" x14ac:dyDescent="0.2">
      <c r="H874" s="13"/>
      <c r="I874" s="13"/>
      <c r="J874" s="13"/>
      <c r="K874" s="13"/>
      <c r="L874" s="13"/>
      <c r="M874" s="13"/>
      <c r="N874" s="13"/>
      <c r="O874" s="13"/>
      <c r="P874" s="13"/>
      <c r="Q874" s="13"/>
      <c r="R874" s="13"/>
      <c r="S874" s="13"/>
      <c r="T874" s="13"/>
      <c r="U874" s="13"/>
      <c r="V874" s="13"/>
      <c r="W874" s="13"/>
      <c r="X874" s="13"/>
      <c r="Y874" s="13"/>
      <c r="Z874" s="13"/>
      <c r="AB874" s="40"/>
      <c r="AC874" s="40"/>
      <c r="AD874" s="40"/>
      <c r="AE874" s="40"/>
      <c r="AF874" s="5"/>
    </row>
    <row r="875" spans="2:32" x14ac:dyDescent="0.2">
      <c r="H875"/>
      <c r="AB875" s="40"/>
      <c r="AC875" s="40"/>
      <c r="AD875" s="40"/>
      <c r="AE875" s="40"/>
      <c r="AF875" s="5"/>
    </row>
    <row r="876" spans="2:32" x14ac:dyDescent="0.2">
      <c r="H876" s="13"/>
      <c r="I876" s="13"/>
      <c r="J876" s="13"/>
      <c r="K876" s="13"/>
      <c r="L876" s="13"/>
      <c r="M876" s="13"/>
      <c r="N876" s="13"/>
      <c r="O876" s="13"/>
      <c r="P876" s="13"/>
      <c r="Q876" s="13"/>
      <c r="R876" s="13"/>
      <c r="S876" s="13"/>
      <c r="T876" s="13"/>
      <c r="U876" s="13"/>
      <c r="V876" s="13"/>
      <c r="W876" s="13"/>
      <c r="X876" s="13"/>
      <c r="Y876" s="13"/>
      <c r="Z876" s="13"/>
      <c r="AB876" s="40"/>
      <c r="AC876" s="40"/>
      <c r="AD876" s="40"/>
      <c r="AE876" s="40"/>
      <c r="AF876" s="5"/>
    </row>
    <row r="877" spans="2:32" x14ac:dyDescent="0.2">
      <c r="Q877" s="13"/>
      <c r="AC877" s="47"/>
      <c r="AF877" s="5"/>
    </row>
    <row r="878" spans="2:32" x14ac:dyDescent="0.2">
      <c r="H878"/>
      <c r="AF878" s="5"/>
    </row>
    <row r="879" spans="2:32" x14ac:dyDescent="0.2">
      <c r="H879"/>
      <c r="AF879" s="5"/>
    </row>
    <row r="880" spans="2:32" x14ac:dyDescent="0.2">
      <c r="B880"/>
      <c r="H880" s="13"/>
      <c r="I880" s="13"/>
      <c r="J880" s="13"/>
      <c r="K880" s="13"/>
      <c r="L880" s="13"/>
      <c r="M880" s="13"/>
      <c r="N880" s="13"/>
      <c r="O880" s="13"/>
      <c r="P880" s="13"/>
      <c r="Q880" s="13"/>
      <c r="R880" s="13"/>
      <c r="S880" s="13"/>
      <c r="T880" s="13"/>
      <c r="U880" s="13"/>
      <c r="V880" s="13"/>
      <c r="W880" s="13"/>
      <c r="X880" s="13"/>
      <c r="Y880" s="13"/>
      <c r="Z880" s="13"/>
      <c r="AB880" s="13"/>
      <c r="AC880" s="13"/>
      <c r="AD880" s="13"/>
      <c r="AF880" s="5"/>
    </row>
    <row r="881" spans="8:32" x14ac:dyDescent="0.2">
      <c r="H881" s="39"/>
      <c r="U881" s="39"/>
      <c r="V881" s="39"/>
      <c r="W881" s="39"/>
      <c r="X881" s="39"/>
      <c r="Y881" s="39"/>
      <c r="Z881" s="39"/>
      <c r="AB881" s="39"/>
      <c r="AC881" s="39"/>
      <c r="AD881" s="39"/>
      <c r="AF881" s="5"/>
    </row>
    <row r="882" spans="8:32" x14ac:dyDescent="0.2">
      <c r="H882"/>
      <c r="AF882" s="5"/>
    </row>
    <row r="883" spans="8:32" x14ac:dyDescent="0.2">
      <c r="H883"/>
      <c r="AF883" s="5"/>
    </row>
    <row r="884" spans="8:32" x14ac:dyDescent="0.2">
      <c r="H884"/>
      <c r="AF884" s="5"/>
    </row>
    <row r="885" spans="8:32" x14ac:dyDescent="0.2">
      <c r="H885"/>
      <c r="AF885" s="5"/>
    </row>
    <row r="886" spans="8:32" x14ac:dyDescent="0.2">
      <c r="H886"/>
      <c r="AF886" s="5"/>
    </row>
    <row r="887" spans="8:32" x14ac:dyDescent="0.2">
      <c r="U887" s="47"/>
      <c r="V887" s="47"/>
      <c r="W887" s="47"/>
      <c r="X887" s="47"/>
      <c r="Y887" s="47"/>
      <c r="Z887" s="47"/>
      <c r="AB887" s="47"/>
      <c r="AC887" s="47"/>
      <c r="AD887" s="47"/>
      <c r="AF887" s="5"/>
    </row>
    <row r="888" spans="8:32" x14ac:dyDescent="0.2">
      <c r="U888" s="47"/>
      <c r="V888" s="47"/>
      <c r="W888" s="47"/>
      <c r="X888" s="47"/>
      <c r="Y888" s="47"/>
      <c r="Z888" s="47"/>
      <c r="AB888" s="47"/>
      <c r="AC888" s="47"/>
      <c r="AD888" s="47"/>
      <c r="AF888" s="5"/>
    </row>
    <row r="889" spans="8:32" x14ac:dyDescent="0.2">
      <c r="H889"/>
      <c r="AF889" s="5"/>
    </row>
    <row r="890" spans="8:32" x14ac:dyDescent="0.2">
      <c r="U890" s="47"/>
      <c r="V890" s="47"/>
      <c r="W890" s="47"/>
      <c r="X890" s="47"/>
      <c r="Y890" s="47"/>
      <c r="Z890" s="47"/>
      <c r="AB890" s="47"/>
      <c r="AC890" s="47"/>
      <c r="AD890" s="47"/>
      <c r="AE890" s="47"/>
      <c r="AF890" s="5"/>
    </row>
    <row r="891" spans="8:32" x14ac:dyDescent="0.2">
      <c r="U891" s="47"/>
      <c r="V891" s="47"/>
      <c r="W891" s="47"/>
      <c r="X891" s="47"/>
      <c r="Y891" s="47"/>
      <c r="Z891" s="47"/>
      <c r="AB891" s="47"/>
      <c r="AC891" s="47"/>
      <c r="AD891" s="47"/>
      <c r="AF891" s="5"/>
    </row>
    <row r="892" spans="8:32" x14ac:dyDescent="0.2">
      <c r="U892" s="47"/>
      <c r="V892" s="47"/>
      <c r="W892" s="47"/>
      <c r="X892" s="47"/>
      <c r="Y892" s="47"/>
      <c r="Z892" s="47"/>
      <c r="AB892" s="47"/>
      <c r="AC892" s="47"/>
      <c r="AD892" s="47"/>
      <c r="AF892" s="5"/>
    </row>
    <row r="893" spans="8:32" x14ac:dyDescent="0.2">
      <c r="U893" s="47"/>
      <c r="V893" s="47"/>
      <c r="W893" s="47"/>
      <c r="X893" s="47"/>
      <c r="Y893" s="47"/>
      <c r="Z893" s="47"/>
      <c r="AB893" s="47"/>
      <c r="AC893" s="47"/>
      <c r="AD893" s="47"/>
      <c r="AF893" s="5"/>
    </row>
    <row r="894" spans="8:32" x14ac:dyDescent="0.2">
      <c r="U894" s="47"/>
      <c r="V894" s="47"/>
      <c r="W894" s="47"/>
      <c r="X894" s="47"/>
      <c r="Y894" s="47"/>
      <c r="Z894" s="47"/>
      <c r="AB894" s="47"/>
      <c r="AC894" s="47"/>
      <c r="AD894" s="47"/>
      <c r="AF894" s="5"/>
    </row>
    <row r="895" spans="8:32" x14ac:dyDescent="0.2">
      <c r="U895" s="47"/>
      <c r="V895" s="47"/>
      <c r="W895" s="47"/>
      <c r="X895" s="47"/>
      <c r="Y895" s="47"/>
      <c r="Z895" s="47"/>
      <c r="AB895" s="47"/>
      <c r="AC895" s="47"/>
      <c r="AD895" s="47"/>
      <c r="AF895" s="5"/>
    </row>
    <row r="896" spans="8:32" x14ac:dyDescent="0.2">
      <c r="U896" s="47"/>
      <c r="V896" s="47"/>
      <c r="W896" s="47"/>
      <c r="X896" s="47"/>
      <c r="Y896" s="47"/>
      <c r="Z896" s="47"/>
      <c r="AB896" s="47"/>
      <c r="AC896" s="47"/>
      <c r="AD896" s="47"/>
      <c r="AF896" s="5"/>
    </row>
    <row r="897" spans="2:32" x14ac:dyDescent="0.2">
      <c r="U897" s="47"/>
      <c r="V897" s="47"/>
      <c r="W897" s="47"/>
      <c r="X897" s="47"/>
      <c r="Y897" s="47"/>
      <c r="Z897" s="47"/>
      <c r="AB897" s="47"/>
      <c r="AC897" s="47"/>
      <c r="AD897" s="47"/>
      <c r="AF897" s="5"/>
    </row>
    <row r="898" spans="2:32" x14ac:dyDescent="0.2">
      <c r="U898" s="47"/>
      <c r="V898" s="47"/>
      <c r="W898" s="47"/>
      <c r="X898" s="47"/>
      <c r="Y898" s="47"/>
      <c r="Z898" s="47"/>
      <c r="AB898" s="47"/>
      <c r="AC898" s="47"/>
      <c r="AD898" s="47"/>
      <c r="AF898" s="5"/>
    </row>
    <row r="899" spans="2:32" x14ac:dyDescent="0.2">
      <c r="U899" s="47"/>
      <c r="V899" s="47"/>
      <c r="W899" s="47"/>
      <c r="X899" s="47"/>
      <c r="Y899" s="47"/>
      <c r="Z899" s="47"/>
      <c r="AB899" s="13"/>
      <c r="AF899" s="5"/>
    </row>
    <row r="900" spans="2:32" x14ac:dyDescent="0.2">
      <c r="AF900" s="5"/>
    </row>
    <row r="901" spans="2:32" x14ac:dyDescent="0.2">
      <c r="B901"/>
      <c r="AF901" s="5"/>
    </row>
    <row r="902" spans="2:32" x14ac:dyDescent="0.2">
      <c r="B902"/>
      <c r="AF902" s="5"/>
    </row>
    <row r="903" spans="2:32" x14ac:dyDescent="0.2">
      <c r="B903"/>
      <c r="AF903" s="5"/>
    </row>
    <row r="904" spans="2:32" x14ac:dyDescent="0.2">
      <c r="B904"/>
      <c r="AF904" s="5"/>
    </row>
    <row r="905" spans="2:32" x14ac:dyDescent="0.2">
      <c r="B905"/>
      <c r="AF905" s="5"/>
    </row>
    <row r="906" spans="2:32" x14ac:dyDescent="0.2">
      <c r="B906"/>
      <c r="AF906" s="5"/>
    </row>
    <row r="907" spans="2:32" x14ac:dyDescent="0.2">
      <c r="B907"/>
      <c r="AF907" s="5"/>
    </row>
    <row r="908" spans="2:32" x14ac:dyDescent="0.2">
      <c r="B908"/>
      <c r="AF908" s="5"/>
    </row>
    <row r="909" spans="2:32" x14ac:dyDescent="0.2">
      <c r="B909"/>
      <c r="AF909" s="5"/>
    </row>
    <row r="910" spans="2:32" x14ac:dyDescent="0.2">
      <c r="B910"/>
      <c r="AF910" s="5"/>
    </row>
    <row r="911" spans="2:32" x14ac:dyDescent="0.2">
      <c r="B911"/>
      <c r="AF911" s="5"/>
    </row>
    <row r="912" spans="2:32" x14ac:dyDescent="0.2">
      <c r="B912"/>
      <c r="AF912" s="5"/>
    </row>
    <row r="913" spans="2:32" x14ac:dyDescent="0.2">
      <c r="B913"/>
      <c r="AF913" s="5"/>
    </row>
    <row r="914" spans="2:32" x14ac:dyDescent="0.2">
      <c r="B914"/>
      <c r="AF914" s="5"/>
    </row>
    <row r="915" spans="2:32" x14ac:dyDescent="0.2">
      <c r="B915"/>
      <c r="AF915" s="5"/>
    </row>
    <row r="916" spans="2:32" x14ac:dyDescent="0.2">
      <c r="B916"/>
      <c r="AF916" s="5"/>
    </row>
    <row r="917" spans="2:32" x14ac:dyDescent="0.2">
      <c r="B917"/>
      <c r="AF917" s="5"/>
    </row>
    <row r="918" spans="2:32" x14ac:dyDescent="0.2">
      <c r="B918"/>
      <c r="AF918" s="5"/>
    </row>
    <row r="919" spans="2:32" x14ac:dyDescent="0.2">
      <c r="B919"/>
      <c r="AF919" s="5"/>
    </row>
    <row r="920" spans="2:32" x14ac:dyDescent="0.2">
      <c r="B920"/>
      <c r="AF920" s="5"/>
    </row>
    <row r="921" spans="2:32" x14ac:dyDescent="0.2">
      <c r="B921"/>
      <c r="AF921" s="5"/>
    </row>
    <row r="922" spans="2:32" x14ac:dyDescent="0.2">
      <c r="B922"/>
      <c r="AF922" s="5"/>
    </row>
    <row r="923" spans="2:32" x14ac:dyDescent="0.2">
      <c r="B923"/>
      <c r="AF923" s="5"/>
    </row>
    <row r="924" spans="2:32" x14ac:dyDescent="0.2">
      <c r="B924"/>
      <c r="AF924" s="5"/>
    </row>
    <row r="925" spans="2:32" x14ac:dyDescent="0.2">
      <c r="B925"/>
      <c r="AF925" s="5"/>
    </row>
    <row r="926" spans="2:32" x14ac:dyDescent="0.2">
      <c r="B926"/>
      <c r="AF926" s="5"/>
    </row>
    <row r="927" spans="2:32" x14ac:dyDescent="0.2">
      <c r="B927"/>
      <c r="AF927" s="5"/>
    </row>
    <row r="928" spans="2:32" x14ac:dyDescent="0.2">
      <c r="B928"/>
      <c r="AF928" s="5"/>
    </row>
    <row r="929" spans="2:32" x14ac:dyDescent="0.2">
      <c r="B929"/>
      <c r="AF929" s="5"/>
    </row>
    <row r="930" spans="2:32" x14ac:dyDescent="0.2">
      <c r="B930"/>
      <c r="AF930" s="5"/>
    </row>
    <row r="931" spans="2:32" x14ac:dyDescent="0.2">
      <c r="B931"/>
      <c r="AF931" s="5"/>
    </row>
    <row r="932" spans="2:32" x14ac:dyDescent="0.2">
      <c r="B932"/>
      <c r="AF932" s="5"/>
    </row>
    <row r="933" spans="2:32" x14ac:dyDescent="0.2">
      <c r="B933"/>
      <c r="AF933" s="5"/>
    </row>
    <row r="934" spans="2:32" x14ac:dyDescent="0.2">
      <c r="B934"/>
      <c r="AF934" s="5"/>
    </row>
    <row r="935" spans="2:32" x14ac:dyDescent="0.2">
      <c r="B935"/>
      <c r="AF935" s="5"/>
    </row>
    <row r="936" spans="2:32" x14ac:dyDescent="0.2">
      <c r="B936"/>
      <c r="AF936" s="5"/>
    </row>
    <row r="937" spans="2:32" x14ac:dyDescent="0.2">
      <c r="B937"/>
      <c r="AF937" s="5"/>
    </row>
    <row r="938" spans="2:32" x14ac:dyDescent="0.2">
      <c r="B938"/>
      <c r="AF938" s="5"/>
    </row>
    <row r="939" spans="2:32" x14ac:dyDescent="0.2">
      <c r="B939"/>
      <c r="AF939" s="5"/>
    </row>
    <row r="940" spans="2:32" x14ac:dyDescent="0.2">
      <c r="B940"/>
      <c r="AF940" s="5"/>
    </row>
    <row r="941" spans="2:32" x14ac:dyDescent="0.2">
      <c r="B941"/>
      <c r="AF941" s="5"/>
    </row>
    <row r="942" spans="2:32" x14ac:dyDescent="0.2">
      <c r="B942"/>
      <c r="H942"/>
      <c r="AF942" s="5"/>
    </row>
    <row r="943" spans="2:32" x14ac:dyDescent="0.2">
      <c r="B943"/>
      <c r="AF943" s="5"/>
    </row>
    <row r="944" spans="2:32" x14ac:dyDescent="0.2">
      <c r="B944"/>
      <c r="AF944" s="5"/>
    </row>
    <row r="945" spans="2:32" x14ac:dyDescent="0.2">
      <c r="B945"/>
      <c r="AF945" s="5"/>
    </row>
    <row r="946" spans="2:32" x14ac:dyDescent="0.2">
      <c r="B946"/>
      <c r="AF946" s="5"/>
    </row>
    <row r="947" spans="2:32" x14ac:dyDescent="0.2">
      <c r="B947"/>
      <c r="AF947" s="5"/>
    </row>
    <row r="948" spans="2:32" x14ac:dyDescent="0.2">
      <c r="B948"/>
      <c r="AF948" s="5"/>
    </row>
    <row r="949" spans="2:32" x14ac:dyDescent="0.2">
      <c r="B949"/>
      <c r="AF949" s="5"/>
    </row>
    <row r="950" spans="2:32" x14ac:dyDescent="0.2">
      <c r="B950"/>
      <c r="AF950" s="5"/>
    </row>
    <row r="951" spans="2:32" x14ac:dyDescent="0.2">
      <c r="B951"/>
      <c r="AF951" s="5"/>
    </row>
    <row r="952" spans="2:32" x14ac:dyDescent="0.2">
      <c r="B952"/>
      <c r="AF952" s="5"/>
    </row>
    <row r="953" spans="2:32" x14ac:dyDescent="0.2">
      <c r="B953"/>
      <c r="AF953" s="5"/>
    </row>
    <row r="954" spans="2:32" x14ac:dyDescent="0.2">
      <c r="B954"/>
      <c r="AF954" s="5"/>
    </row>
    <row r="955" spans="2:32" x14ac:dyDescent="0.2">
      <c r="B955"/>
      <c r="AF955" s="5"/>
    </row>
    <row r="956" spans="2:32" x14ac:dyDescent="0.2">
      <c r="B956"/>
      <c r="AF956" s="5"/>
    </row>
    <row r="957" spans="2:32" x14ac:dyDescent="0.2">
      <c r="B957"/>
      <c r="AF957" s="5"/>
    </row>
    <row r="958" spans="2:32" x14ac:dyDescent="0.2">
      <c r="B958"/>
      <c r="AF958" s="5"/>
    </row>
    <row r="959" spans="2:32" x14ac:dyDescent="0.2">
      <c r="B959"/>
      <c r="AF959" s="5"/>
    </row>
    <row r="960" spans="2:32" x14ac:dyDescent="0.2">
      <c r="B960"/>
      <c r="AF960" s="5"/>
    </row>
    <row r="961" spans="2:32" x14ac:dyDescent="0.2">
      <c r="B961"/>
      <c r="AF961" s="5"/>
    </row>
    <row r="962" spans="2:32" x14ac:dyDescent="0.2">
      <c r="B962"/>
      <c r="AF962" s="5"/>
    </row>
    <row r="963" spans="2:32" x14ac:dyDescent="0.2">
      <c r="B963"/>
      <c r="AF963" s="5"/>
    </row>
    <row r="964" spans="2:32" x14ac:dyDescent="0.2">
      <c r="B964"/>
      <c r="AF964" s="5"/>
    </row>
    <row r="965" spans="2:32" x14ac:dyDescent="0.2">
      <c r="B965"/>
      <c r="AF965" s="5"/>
    </row>
    <row r="966" spans="2:32" x14ac:dyDescent="0.2">
      <c r="B966"/>
      <c r="AF966" s="5"/>
    </row>
    <row r="967" spans="2:32" x14ac:dyDescent="0.2">
      <c r="B967"/>
      <c r="AF967" s="5"/>
    </row>
    <row r="968" spans="2:32" x14ac:dyDescent="0.2">
      <c r="B968"/>
      <c r="AF968" s="5"/>
    </row>
    <row r="969" spans="2:32" x14ac:dyDescent="0.2">
      <c r="B969"/>
      <c r="AF969" s="5"/>
    </row>
    <row r="970" spans="2:32" x14ac:dyDescent="0.2">
      <c r="B970"/>
      <c r="AF970" s="5"/>
    </row>
    <row r="971" spans="2:32" x14ac:dyDescent="0.2">
      <c r="B971"/>
      <c r="AF971" s="5"/>
    </row>
    <row r="972" spans="2:32" x14ac:dyDescent="0.2">
      <c r="B972"/>
      <c r="AF972" s="5"/>
    </row>
    <row r="973" spans="2:32" x14ac:dyDescent="0.2">
      <c r="B973"/>
      <c r="AF973" s="5"/>
    </row>
    <row r="974" spans="2:32" x14ac:dyDescent="0.2">
      <c r="B974"/>
      <c r="AF974" s="5"/>
    </row>
    <row r="975" spans="2:32" x14ac:dyDescent="0.2">
      <c r="B975"/>
      <c r="AF975" s="5"/>
    </row>
    <row r="976" spans="2:32" x14ac:dyDescent="0.2">
      <c r="B976"/>
      <c r="AF976" s="5"/>
    </row>
    <row r="977" spans="2:32" x14ac:dyDescent="0.2">
      <c r="B977"/>
      <c r="AF977" s="5"/>
    </row>
    <row r="978" spans="2:32" x14ac:dyDescent="0.2">
      <c r="B978"/>
      <c r="AF978" s="5"/>
    </row>
    <row r="979" spans="2:32" x14ac:dyDescent="0.2">
      <c r="B979"/>
      <c r="AF979" s="5"/>
    </row>
    <row r="980" spans="2:32" x14ac:dyDescent="0.2">
      <c r="B980"/>
      <c r="AF980" s="5"/>
    </row>
    <row r="981" spans="2:32" x14ac:dyDescent="0.2">
      <c r="B981"/>
      <c r="AF981" s="5"/>
    </row>
    <row r="982" spans="2:32" x14ac:dyDescent="0.2">
      <c r="B982"/>
      <c r="AF982" s="5"/>
    </row>
    <row r="983" spans="2:32" x14ac:dyDescent="0.2">
      <c r="B983"/>
      <c r="AF983" s="5"/>
    </row>
    <row r="984" spans="2:32" x14ac:dyDescent="0.2">
      <c r="B984"/>
      <c r="AF984" s="5"/>
    </row>
    <row r="985" spans="2:32" x14ac:dyDescent="0.2">
      <c r="B985"/>
      <c r="AF985" s="5"/>
    </row>
    <row r="986" spans="2:32" x14ac:dyDescent="0.2">
      <c r="B986"/>
      <c r="AF986" s="5"/>
    </row>
    <row r="987" spans="2:32" x14ac:dyDescent="0.2">
      <c r="B987"/>
      <c r="AF987" s="5"/>
    </row>
    <row r="988" spans="2:32" x14ac:dyDescent="0.2">
      <c r="B988"/>
      <c r="AF988" s="5"/>
    </row>
    <row r="989" spans="2:32" x14ac:dyDescent="0.2">
      <c r="B989"/>
      <c r="AF989" s="5"/>
    </row>
    <row r="990" spans="2:32" x14ac:dyDescent="0.2">
      <c r="B990"/>
      <c r="AF990" s="5"/>
    </row>
    <row r="991" spans="2:32" x14ac:dyDescent="0.2">
      <c r="B991"/>
      <c r="AF991" s="5"/>
    </row>
    <row r="992" spans="2:32" x14ac:dyDescent="0.2">
      <c r="B992"/>
      <c r="AF992" s="5"/>
    </row>
    <row r="993" spans="2:32" x14ac:dyDescent="0.2">
      <c r="B993"/>
      <c r="AF993" s="5"/>
    </row>
    <row r="994" spans="2:32" x14ac:dyDescent="0.2">
      <c r="B994"/>
      <c r="AF994" s="5"/>
    </row>
    <row r="995" spans="2:32" x14ac:dyDescent="0.2">
      <c r="B995"/>
      <c r="AF995" s="5"/>
    </row>
    <row r="996" spans="2:32" x14ac:dyDescent="0.2">
      <c r="B996"/>
      <c r="AF996" s="5"/>
    </row>
    <row r="997" spans="2:32" x14ac:dyDescent="0.2">
      <c r="B997"/>
      <c r="AF997" s="5"/>
    </row>
    <row r="998" spans="2:32" x14ac:dyDescent="0.2">
      <c r="B998"/>
      <c r="AF998" s="5"/>
    </row>
    <row r="999" spans="2:32" x14ac:dyDescent="0.2">
      <c r="B999"/>
      <c r="AF999" s="5"/>
    </row>
    <row r="1000" spans="2:32" x14ac:dyDescent="0.2">
      <c r="B1000"/>
      <c r="AF1000" s="5"/>
    </row>
    <row r="1001" spans="2:32" x14ac:dyDescent="0.2">
      <c r="B1001"/>
      <c r="AF1001" s="5"/>
    </row>
    <row r="1002" spans="2:32" x14ac:dyDescent="0.2">
      <c r="B1002"/>
      <c r="AF1002" s="5"/>
    </row>
    <row r="1003" spans="2:32" x14ac:dyDescent="0.2">
      <c r="B1003"/>
      <c r="AF1003" s="5"/>
    </row>
    <row r="1004" spans="2:32" x14ac:dyDescent="0.2">
      <c r="B1004"/>
      <c r="AF1004" s="5"/>
    </row>
    <row r="1005" spans="2:32" x14ac:dyDescent="0.2">
      <c r="B1005"/>
      <c r="AF1005" s="5"/>
    </row>
    <row r="1006" spans="2:32" x14ac:dyDescent="0.2">
      <c r="B1006"/>
      <c r="AF1006" s="5"/>
    </row>
    <row r="1007" spans="2:32" x14ac:dyDescent="0.2">
      <c r="B1007"/>
      <c r="AF1007" s="5"/>
    </row>
    <row r="1008" spans="2:32" x14ac:dyDescent="0.2">
      <c r="B1008"/>
      <c r="AF1008" s="5"/>
    </row>
    <row r="1009" spans="2:32" x14ac:dyDescent="0.2">
      <c r="B1009"/>
      <c r="AF1009" s="5"/>
    </row>
    <row r="1010" spans="2:32" x14ac:dyDescent="0.2">
      <c r="B1010"/>
      <c r="AF1010" s="5"/>
    </row>
    <row r="1011" spans="2:32" x14ac:dyDescent="0.2">
      <c r="B1011"/>
      <c r="AF1011" s="5"/>
    </row>
    <row r="1012" spans="2:32" x14ac:dyDescent="0.2">
      <c r="B1012"/>
      <c r="AF1012" s="5"/>
    </row>
    <row r="1013" spans="2:32" x14ac:dyDescent="0.2">
      <c r="B1013"/>
      <c r="AF1013" s="5"/>
    </row>
    <row r="1014" spans="2:32" x14ac:dyDescent="0.2">
      <c r="B1014"/>
      <c r="AF1014" s="5"/>
    </row>
    <row r="1015" spans="2:32" x14ac:dyDescent="0.2">
      <c r="B1015"/>
      <c r="AF1015" s="5"/>
    </row>
    <row r="1016" spans="2:32" x14ac:dyDescent="0.2">
      <c r="B1016"/>
      <c r="AF1016" s="5"/>
    </row>
    <row r="1017" spans="2:32" x14ac:dyDescent="0.2">
      <c r="B1017"/>
      <c r="AF1017" s="5"/>
    </row>
    <row r="1018" spans="2:32" x14ac:dyDescent="0.2">
      <c r="B1018"/>
      <c r="AF1018" s="5"/>
    </row>
    <row r="1019" spans="2:32" x14ac:dyDescent="0.2">
      <c r="B1019"/>
      <c r="AF1019" s="5"/>
    </row>
    <row r="1020" spans="2:32" x14ac:dyDescent="0.2">
      <c r="B1020"/>
      <c r="AF1020" s="5"/>
    </row>
    <row r="1021" spans="2:32" x14ac:dyDescent="0.2">
      <c r="B1021"/>
      <c r="AF1021" s="5"/>
    </row>
    <row r="1022" spans="2:32" x14ac:dyDescent="0.2">
      <c r="B1022"/>
      <c r="AF1022" s="5"/>
    </row>
    <row r="1023" spans="2:32" x14ac:dyDescent="0.2">
      <c r="B1023"/>
      <c r="AF1023" s="5"/>
    </row>
    <row r="1024" spans="2:32" x14ac:dyDescent="0.2">
      <c r="B1024"/>
      <c r="AF1024" s="5"/>
    </row>
    <row r="1025" spans="2:32" x14ac:dyDescent="0.2">
      <c r="B1025"/>
      <c r="AF1025" s="5"/>
    </row>
    <row r="1026" spans="2:32" x14ac:dyDescent="0.2">
      <c r="B1026"/>
      <c r="AF1026" s="5"/>
    </row>
    <row r="1027" spans="2:32" x14ac:dyDescent="0.2">
      <c r="B1027"/>
      <c r="AF1027" s="5"/>
    </row>
    <row r="1028" spans="2:32" x14ac:dyDescent="0.2">
      <c r="B1028"/>
      <c r="AF1028" s="5"/>
    </row>
    <row r="1029" spans="2:32" x14ac:dyDescent="0.2">
      <c r="B1029"/>
      <c r="AF1029" s="5"/>
    </row>
    <row r="1030" spans="2:32" x14ac:dyDescent="0.2">
      <c r="B1030"/>
      <c r="AF1030" s="5"/>
    </row>
    <row r="1031" spans="2:32" x14ac:dyDescent="0.2">
      <c r="B1031"/>
      <c r="AF1031" s="5"/>
    </row>
    <row r="1032" spans="2:32" x14ac:dyDescent="0.2">
      <c r="B1032"/>
      <c r="AF1032" s="5"/>
    </row>
    <row r="1033" spans="2:32" x14ac:dyDescent="0.2">
      <c r="B1033"/>
      <c r="AF1033" s="5"/>
    </row>
    <row r="1034" spans="2:32" x14ac:dyDescent="0.2">
      <c r="B1034"/>
      <c r="AF1034" s="5"/>
    </row>
    <row r="1035" spans="2:32" x14ac:dyDescent="0.2">
      <c r="B1035"/>
      <c r="AF1035" s="5"/>
    </row>
    <row r="1036" spans="2:32" x14ac:dyDescent="0.2">
      <c r="B1036"/>
      <c r="AF1036" s="5"/>
    </row>
    <row r="1037" spans="2:32" x14ac:dyDescent="0.2">
      <c r="B1037"/>
      <c r="AF1037" s="5"/>
    </row>
    <row r="1038" spans="2:32" x14ac:dyDescent="0.2">
      <c r="B1038"/>
      <c r="AF1038" s="5"/>
    </row>
    <row r="1039" spans="2:32" x14ac:dyDescent="0.2">
      <c r="B1039"/>
      <c r="AF1039" s="5"/>
    </row>
    <row r="1040" spans="2:32" x14ac:dyDescent="0.2">
      <c r="B1040"/>
      <c r="AF1040" s="5"/>
    </row>
    <row r="1041" spans="2:32" x14ac:dyDescent="0.2">
      <c r="B1041"/>
      <c r="AF1041" s="5"/>
    </row>
    <row r="1042" spans="2:32" x14ac:dyDescent="0.2">
      <c r="B1042"/>
      <c r="AF1042" s="5"/>
    </row>
    <row r="1043" spans="2:32" x14ac:dyDescent="0.2">
      <c r="B1043"/>
      <c r="AF1043" s="5"/>
    </row>
    <row r="1044" spans="2:32" x14ac:dyDescent="0.2">
      <c r="B1044"/>
      <c r="AF1044" s="5"/>
    </row>
    <row r="1045" spans="2:32" x14ac:dyDescent="0.2">
      <c r="B1045"/>
      <c r="AF1045" s="5"/>
    </row>
    <row r="1046" spans="2:32" x14ac:dyDescent="0.2">
      <c r="B1046"/>
      <c r="AF1046" s="5"/>
    </row>
    <row r="1047" spans="2:32" x14ac:dyDescent="0.2">
      <c r="B1047"/>
      <c r="AF1047" s="5"/>
    </row>
    <row r="1048" spans="2:32" x14ac:dyDescent="0.2">
      <c r="B1048"/>
      <c r="AF1048" s="5"/>
    </row>
    <row r="1049" spans="2:32" x14ac:dyDescent="0.2">
      <c r="B1049"/>
      <c r="AF1049" s="5"/>
    </row>
    <row r="1050" spans="2:32" x14ac:dyDescent="0.2">
      <c r="B1050"/>
      <c r="AF1050" s="5"/>
    </row>
    <row r="1051" spans="2:32" x14ac:dyDescent="0.2">
      <c r="B1051"/>
      <c r="AF1051" s="5"/>
    </row>
    <row r="1052" spans="2:32" x14ac:dyDescent="0.2">
      <c r="B1052"/>
      <c r="AF1052" s="5"/>
    </row>
    <row r="1053" spans="2:32" x14ac:dyDescent="0.2">
      <c r="B1053"/>
      <c r="AF1053" s="5"/>
    </row>
    <row r="1054" spans="2:32" x14ac:dyDescent="0.2">
      <c r="AF1054" s="5"/>
    </row>
    <row r="1055" spans="2:32" x14ac:dyDescent="0.2">
      <c r="B1055"/>
      <c r="AF1055" s="5"/>
    </row>
    <row r="1056" spans="2:32" x14ac:dyDescent="0.2">
      <c r="B1056"/>
      <c r="AF1056" s="5"/>
    </row>
    <row r="1057" spans="2:32" x14ac:dyDescent="0.2">
      <c r="B1057"/>
      <c r="AF1057" s="5"/>
    </row>
    <row r="1058" spans="2:32" x14ac:dyDescent="0.2">
      <c r="B1058"/>
      <c r="AF1058" s="5"/>
    </row>
    <row r="1059" spans="2:32" x14ac:dyDescent="0.2">
      <c r="B1059"/>
      <c r="AF1059" s="5"/>
    </row>
    <row r="1060" spans="2:32" x14ac:dyDescent="0.2">
      <c r="B1060"/>
      <c r="AF1060" s="5"/>
    </row>
    <row r="1061" spans="2:32" x14ac:dyDescent="0.2">
      <c r="B1061"/>
      <c r="AF1061" s="5"/>
    </row>
    <row r="1062" spans="2:32" x14ac:dyDescent="0.2">
      <c r="B1062"/>
      <c r="AF1062" s="5"/>
    </row>
    <row r="1063" spans="2:32" x14ac:dyDescent="0.2">
      <c r="B1063"/>
      <c r="AF1063" s="5"/>
    </row>
    <row r="1064" spans="2:32" x14ac:dyDescent="0.2">
      <c r="B1064"/>
      <c r="AF1064" s="5"/>
    </row>
    <row r="1065" spans="2:32" x14ac:dyDescent="0.2">
      <c r="B1065"/>
      <c r="AF1065" s="5"/>
    </row>
    <row r="1066" spans="2:32" x14ac:dyDescent="0.2">
      <c r="B1066"/>
      <c r="AF1066" s="5"/>
    </row>
    <row r="1067" spans="2:32" x14ac:dyDescent="0.2">
      <c r="B1067"/>
      <c r="AF1067" s="5"/>
    </row>
    <row r="1068" spans="2:32" x14ac:dyDescent="0.2">
      <c r="B1068"/>
      <c r="AF1068" s="5"/>
    </row>
    <row r="1069" spans="2:32" x14ac:dyDescent="0.2">
      <c r="B1069"/>
      <c r="AF1069" s="5"/>
    </row>
    <row r="1070" spans="2:32" x14ac:dyDescent="0.2">
      <c r="B1070"/>
      <c r="AF1070" s="5"/>
    </row>
    <row r="1071" spans="2:32" x14ac:dyDescent="0.2">
      <c r="B1071"/>
      <c r="AF1071" s="5"/>
    </row>
    <row r="1072" spans="2:32" x14ac:dyDescent="0.2">
      <c r="B1072"/>
      <c r="AF1072" s="5"/>
    </row>
    <row r="1073" spans="2:32" x14ac:dyDescent="0.2">
      <c r="B1073"/>
      <c r="AF1073" s="5"/>
    </row>
    <row r="1074" spans="2:32" x14ac:dyDescent="0.2">
      <c r="B1074"/>
      <c r="AF1074" s="5"/>
    </row>
    <row r="1075" spans="2:32" x14ac:dyDescent="0.2">
      <c r="B1075"/>
      <c r="AF1075" s="5"/>
    </row>
    <row r="1076" spans="2:32" x14ac:dyDescent="0.2">
      <c r="B1076"/>
      <c r="AF1076" s="5"/>
    </row>
    <row r="1077" spans="2:32" x14ac:dyDescent="0.2">
      <c r="B1077"/>
      <c r="AF1077" s="5"/>
    </row>
    <row r="1078" spans="2:32" x14ac:dyDescent="0.2">
      <c r="B1078"/>
      <c r="AF1078" s="5"/>
    </row>
    <row r="1079" spans="2:32" x14ac:dyDescent="0.2">
      <c r="B1079"/>
      <c r="AF1079" s="5"/>
    </row>
    <row r="1080" spans="2:32" x14ac:dyDescent="0.2">
      <c r="B1080"/>
      <c r="AF1080" s="5"/>
    </row>
    <row r="1081" spans="2:32" x14ac:dyDescent="0.2">
      <c r="B1081"/>
      <c r="AF1081" s="5"/>
    </row>
    <row r="1082" spans="2:32" x14ac:dyDescent="0.2">
      <c r="B1082"/>
      <c r="AF1082" s="5"/>
    </row>
    <row r="1083" spans="2:32" x14ac:dyDescent="0.2">
      <c r="B1083"/>
      <c r="AF1083" s="5"/>
    </row>
    <row r="1084" spans="2:32" x14ac:dyDescent="0.2">
      <c r="B1084"/>
      <c r="AF1084" s="5"/>
    </row>
    <row r="1085" spans="2:32" x14ac:dyDescent="0.2">
      <c r="B1085"/>
      <c r="AF1085" s="5"/>
    </row>
    <row r="1086" spans="2:32" x14ac:dyDescent="0.2">
      <c r="B1086"/>
      <c r="AF1086" s="5"/>
    </row>
    <row r="1087" spans="2:32" x14ac:dyDescent="0.2">
      <c r="B1087"/>
      <c r="AF1087" s="5"/>
    </row>
    <row r="1088" spans="2:32" x14ac:dyDescent="0.2">
      <c r="B1088"/>
      <c r="AF1088" s="5"/>
    </row>
    <row r="1089" spans="2:32" x14ac:dyDescent="0.2">
      <c r="B1089"/>
      <c r="AF1089" s="5"/>
    </row>
    <row r="1090" spans="2:32" x14ac:dyDescent="0.2">
      <c r="B1090"/>
      <c r="AF1090" s="5"/>
    </row>
    <row r="1091" spans="2:32" x14ac:dyDescent="0.2">
      <c r="B1091"/>
      <c r="AF1091" s="5"/>
    </row>
    <row r="1092" spans="2:32" x14ac:dyDescent="0.2">
      <c r="B1092"/>
      <c r="AF1092" s="5"/>
    </row>
    <row r="1093" spans="2:32" x14ac:dyDescent="0.2">
      <c r="AF1093" s="5"/>
    </row>
    <row r="1094" spans="2:32" x14ac:dyDescent="0.2">
      <c r="AF1094" s="5"/>
    </row>
    <row r="1095" spans="2:32" x14ac:dyDescent="0.2">
      <c r="AF1095" s="5"/>
    </row>
    <row r="1096" spans="2:32" x14ac:dyDescent="0.2">
      <c r="AF1096" s="5"/>
    </row>
    <row r="1097" spans="2:32" x14ac:dyDescent="0.2">
      <c r="B1097"/>
      <c r="AF1097" s="5"/>
    </row>
    <row r="1098" spans="2:32" x14ac:dyDescent="0.2">
      <c r="B1098"/>
      <c r="AF1098" s="5"/>
    </row>
    <row r="1099" spans="2:32" x14ac:dyDescent="0.2">
      <c r="B1099"/>
      <c r="AF1099" s="5"/>
    </row>
    <row r="1100" spans="2:32" x14ac:dyDescent="0.2">
      <c r="B1100"/>
      <c r="AF1100" s="5"/>
    </row>
    <row r="1101" spans="2:32" x14ac:dyDescent="0.2">
      <c r="B1101"/>
      <c r="AF1101" s="5"/>
    </row>
    <row r="1102" spans="2:32" x14ac:dyDescent="0.2">
      <c r="B1102"/>
      <c r="AF1102" s="5"/>
    </row>
    <row r="1103" spans="2:32" x14ac:dyDescent="0.2">
      <c r="B1103"/>
      <c r="AF1103" s="5"/>
    </row>
    <row r="1104" spans="2:32" x14ac:dyDescent="0.2">
      <c r="B1104"/>
      <c r="AF1104" s="5"/>
    </row>
    <row r="1105" spans="2:32" x14ac:dyDescent="0.2">
      <c r="B1105"/>
      <c r="AF1105" s="5"/>
    </row>
    <row r="1106" spans="2:32" x14ac:dyDescent="0.2">
      <c r="B1106"/>
      <c r="AF1106" s="5"/>
    </row>
    <row r="1107" spans="2:32" x14ac:dyDescent="0.2">
      <c r="B1107"/>
      <c r="AF1107" s="5"/>
    </row>
    <row r="1108" spans="2:32" x14ac:dyDescent="0.2">
      <c r="B1108"/>
      <c r="AF1108" s="5"/>
    </row>
    <row r="1109" spans="2:32" x14ac:dyDescent="0.2">
      <c r="B1109"/>
      <c r="AF1109" s="5"/>
    </row>
    <row r="1110" spans="2:32" x14ac:dyDescent="0.2">
      <c r="B1110"/>
      <c r="AF1110" s="5"/>
    </row>
    <row r="1111" spans="2:32" x14ac:dyDescent="0.2">
      <c r="B1111"/>
      <c r="AF1111" s="5"/>
    </row>
    <row r="1112" spans="2:32" x14ac:dyDescent="0.2">
      <c r="B1112"/>
      <c r="AF1112" s="5"/>
    </row>
    <row r="1113" spans="2:32" x14ac:dyDescent="0.2">
      <c r="B1113"/>
      <c r="AF1113" s="5"/>
    </row>
    <row r="1114" spans="2:32" x14ac:dyDescent="0.2">
      <c r="B1114"/>
      <c r="AF1114" s="5"/>
    </row>
    <row r="1115" spans="2:32" x14ac:dyDescent="0.2">
      <c r="B1115"/>
      <c r="AF1115" s="5"/>
    </row>
    <row r="1116" spans="2:32" x14ac:dyDescent="0.2">
      <c r="B1116"/>
      <c r="AF1116" s="5"/>
    </row>
    <row r="1117" spans="2:32" x14ac:dyDescent="0.2">
      <c r="B1117"/>
      <c r="AF1117" s="5"/>
    </row>
    <row r="1118" spans="2:32" x14ac:dyDescent="0.2">
      <c r="B1118"/>
      <c r="AF1118" s="5"/>
    </row>
    <row r="1119" spans="2:32" x14ac:dyDescent="0.2">
      <c r="B1119"/>
      <c r="AF1119" s="5"/>
    </row>
    <row r="1120" spans="2:32" x14ac:dyDescent="0.2">
      <c r="B1120"/>
      <c r="AF1120" s="5"/>
    </row>
    <row r="1121" spans="2:32" x14ac:dyDescent="0.2">
      <c r="B1121"/>
      <c r="AF1121" s="5"/>
    </row>
    <row r="1122" spans="2:32" x14ac:dyDescent="0.2">
      <c r="B1122"/>
      <c r="AF1122" s="5"/>
    </row>
    <row r="1123" spans="2:32" x14ac:dyDescent="0.2">
      <c r="B1123"/>
      <c r="AF1123" s="5"/>
    </row>
    <row r="1124" spans="2:32" x14ac:dyDescent="0.2">
      <c r="B1124"/>
      <c r="AF1124" s="5"/>
    </row>
    <row r="1125" spans="2:32" x14ac:dyDescent="0.2">
      <c r="B1125"/>
      <c r="AF1125" s="5"/>
    </row>
    <row r="1126" spans="2:32" x14ac:dyDescent="0.2">
      <c r="B1126"/>
      <c r="AF1126" s="5"/>
    </row>
    <row r="1127" spans="2:32" x14ac:dyDescent="0.2">
      <c r="B1127"/>
      <c r="AF1127" s="5"/>
    </row>
    <row r="1128" spans="2:32" x14ac:dyDescent="0.2">
      <c r="B1128"/>
      <c r="AF1128" s="5"/>
    </row>
    <row r="1129" spans="2:32" x14ac:dyDescent="0.2">
      <c r="B1129"/>
      <c r="AF1129" s="5"/>
    </row>
    <row r="1130" spans="2:32" x14ac:dyDescent="0.2">
      <c r="B1130"/>
      <c r="AF1130" s="5"/>
    </row>
    <row r="1131" spans="2:32" x14ac:dyDescent="0.2">
      <c r="B1131"/>
      <c r="AF1131" s="5"/>
    </row>
    <row r="1132" spans="2:32" x14ac:dyDescent="0.2">
      <c r="B1132"/>
      <c r="AF1132" s="5"/>
    </row>
    <row r="1133" spans="2:32" x14ac:dyDescent="0.2">
      <c r="B1133"/>
      <c r="AF1133" s="5"/>
    </row>
    <row r="1134" spans="2:32" x14ac:dyDescent="0.2">
      <c r="B1134"/>
      <c r="AF1134" s="5"/>
    </row>
    <row r="1135" spans="2:32" x14ac:dyDescent="0.2">
      <c r="B1135"/>
      <c r="AF1135" s="5"/>
    </row>
    <row r="1136" spans="2:32" x14ac:dyDescent="0.2">
      <c r="B1136"/>
      <c r="AF1136" s="5"/>
    </row>
    <row r="1137" spans="2:32" x14ac:dyDescent="0.2">
      <c r="B1137"/>
      <c r="AF1137" s="5"/>
    </row>
    <row r="1138" spans="2:32" x14ac:dyDescent="0.2">
      <c r="B1138"/>
      <c r="AF1138" s="5"/>
    </row>
    <row r="1139" spans="2:32" x14ac:dyDescent="0.2">
      <c r="B1139"/>
      <c r="AF1139" s="5"/>
    </row>
    <row r="1140" spans="2:32" x14ac:dyDescent="0.2">
      <c r="B1140"/>
      <c r="AF1140" s="5"/>
    </row>
    <row r="1141" spans="2:32" x14ac:dyDescent="0.2">
      <c r="B1141"/>
      <c r="AF1141" s="5"/>
    </row>
    <row r="1142" spans="2:32" x14ac:dyDescent="0.2">
      <c r="B1142"/>
      <c r="AF1142" s="5"/>
    </row>
    <row r="1143" spans="2:32" x14ac:dyDescent="0.2">
      <c r="B1143"/>
      <c r="AF1143" s="5"/>
    </row>
    <row r="1144" spans="2:32" x14ac:dyDescent="0.2">
      <c r="B1144"/>
      <c r="AF1144" s="5"/>
    </row>
    <row r="1145" spans="2:32" x14ac:dyDescent="0.2">
      <c r="B1145"/>
      <c r="AF1145" s="5"/>
    </row>
    <row r="1146" spans="2:32" x14ac:dyDescent="0.2">
      <c r="B1146"/>
      <c r="AF1146" s="5"/>
    </row>
    <row r="1147" spans="2:32" x14ac:dyDescent="0.2">
      <c r="B1147"/>
      <c r="AF1147" s="5"/>
    </row>
    <row r="1148" spans="2:32" x14ac:dyDescent="0.2">
      <c r="B1148"/>
      <c r="AF1148" s="5"/>
    </row>
    <row r="1149" spans="2:32" x14ac:dyDescent="0.2">
      <c r="B1149"/>
      <c r="AF1149" s="5"/>
    </row>
    <row r="1150" spans="2:32" x14ac:dyDescent="0.2">
      <c r="B1150"/>
      <c r="AF1150" s="5"/>
    </row>
    <row r="1151" spans="2:32" x14ac:dyDescent="0.2">
      <c r="B1151"/>
      <c r="AF1151" s="5"/>
    </row>
    <row r="1152" spans="2:32" x14ac:dyDescent="0.2">
      <c r="B1152"/>
      <c r="AF1152" s="5"/>
    </row>
    <row r="1153" spans="2:32" x14ac:dyDescent="0.2">
      <c r="B1153"/>
      <c r="AF1153" s="5"/>
    </row>
    <row r="1154" spans="2:32" x14ac:dyDescent="0.2">
      <c r="B1154"/>
      <c r="AF1154" s="5"/>
    </row>
    <row r="1155" spans="2:32" x14ac:dyDescent="0.2">
      <c r="B1155"/>
      <c r="AF1155" s="5"/>
    </row>
    <row r="1156" spans="2:32" x14ac:dyDescent="0.2">
      <c r="B1156"/>
      <c r="AF1156" s="5"/>
    </row>
    <row r="1157" spans="2:32" x14ac:dyDescent="0.2">
      <c r="B1157"/>
      <c r="AF1157" s="5"/>
    </row>
    <row r="1158" spans="2:32" x14ac:dyDescent="0.2">
      <c r="B1158"/>
      <c r="AF1158" s="5"/>
    </row>
    <row r="1159" spans="2:32" x14ac:dyDescent="0.2">
      <c r="B1159"/>
      <c r="AF1159" s="5"/>
    </row>
    <row r="1160" spans="2:32" x14ac:dyDescent="0.2">
      <c r="B1160"/>
      <c r="AF1160" s="5"/>
    </row>
    <row r="1161" spans="2:32" x14ac:dyDescent="0.2">
      <c r="B1161"/>
      <c r="AF1161" s="5"/>
    </row>
    <row r="1162" spans="2:32" x14ac:dyDescent="0.2">
      <c r="B1162"/>
      <c r="AF1162" s="5"/>
    </row>
    <row r="1163" spans="2:32" x14ac:dyDescent="0.2">
      <c r="B1163"/>
      <c r="AF1163" s="5"/>
    </row>
    <row r="1164" spans="2:32" x14ac:dyDescent="0.2">
      <c r="B1164"/>
      <c r="AF1164" s="5"/>
    </row>
    <row r="1165" spans="2:32" x14ac:dyDescent="0.2">
      <c r="B1165"/>
      <c r="AF1165" s="5"/>
    </row>
    <row r="1166" spans="2:32" x14ac:dyDescent="0.2">
      <c r="B1166"/>
      <c r="AF1166" s="5"/>
    </row>
    <row r="1167" spans="2:32" x14ac:dyDescent="0.2">
      <c r="B1167"/>
      <c r="AF1167" s="5"/>
    </row>
    <row r="1168" spans="2:32" x14ac:dyDescent="0.2">
      <c r="B1168"/>
      <c r="AF1168" s="5"/>
    </row>
    <row r="1169" spans="2:32" x14ac:dyDescent="0.2">
      <c r="B1169"/>
      <c r="AF1169" s="5"/>
    </row>
    <row r="1170" spans="2:32" x14ac:dyDescent="0.2">
      <c r="B1170"/>
    </row>
    <row r="1171" spans="2:32" x14ac:dyDescent="0.2">
      <c r="B1171"/>
    </row>
    <row r="1172" spans="2:32" x14ac:dyDescent="0.2">
      <c r="B1172"/>
    </row>
    <row r="1173" spans="2:32" x14ac:dyDescent="0.2">
      <c r="B1173"/>
    </row>
    <row r="1174" spans="2:32" x14ac:dyDescent="0.2">
      <c r="B1174"/>
    </row>
    <row r="1175" spans="2:32" x14ac:dyDescent="0.2">
      <c r="B1175"/>
    </row>
    <row r="1176" spans="2:32" x14ac:dyDescent="0.2">
      <c r="B1176"/>
    </row>
    <row r="1177" spans="2:32" x14ac:dyDescent="0.2">
      <c r="B1177"/>
    </row>
    <row r="1178" spans="2:32" x14ac:dyDescent="0.2">
      <c r="B1178"/>
    </row>
    <row r="1179" spans="2:32" x14ac:dyDescent="0.2">
      <c r="B1179"/>
    </row>
    <row r="1180" spans="2:32" x14ac:dyDescent="0.2">
      <c r="B1180"/>
    </row>
    <row r="1181" spans="2:32" x14ac:dyDescent="0.2">
      <c r="B1181"/>
    </row>
    <row r="1182" spans="2:32" x14ac:dyDescent="0.2">
      <c r="B1182"/>
    </row>
    <row r="1183" spans="2:32" x14ac:dyDescent="0.2">
      <c r="B1183"/>
    </row>
    <row r="1184" spans="2:32" x14ac:dyDescent="0.2">
      <c r="B1184"/>
      <c r="H1184"/>
      <c r="S1184" s="13"/>
      <c r="Z1184" s="13"/>
    </row>
    <row r="1185" spans="2:32" x14ac:dyDescent="0.2">
      <c r="B1185"/>
    </row>
    <row r="1186" spans="2:32" x14ac:dyDescent="0.2">
      <c r="B1186"/>
    </row>
    <row r="1187" spans="2:32" x14ac:dyDescent="0.2">
      <c r="B1187"/>
    </row>
    <row r="1188" spans="2:32" x14ac:dyDescent="0.2">
      <c r="B1188"/>
    </row>
    <row r="1189" spans="2:32" x14ac:dyDescent="0.2">
      <c r="B1189"/>
      <c r="AF1189" s="13"/>
    </row>
    <row r="1190" spans="2:32" x14ac:dyDescent="0.2">
      <c r="B1190"/>
      <c r="AF1190" s="13"/>
    </row>
    <row r="1191" spans="2:32" x14ac:dyDescent="0.2">
      <c r="B1191"/>
      <c r="AF1191" s="13"/>
    </row>
    <row r="1193" spans="2:32" x14ac:dyDescent="0.2">
      <c r="B1193"/>
      <c r="AF1193" s="13"/>
    </row>
    <row r="1194" spans="2:32" x14ac:dyDescent="0.2">
      <c r="B1194"/>
      <c r="H1194"/>
      <c r="S1194" s="13"/>
      <c r="Z1194" s="13"/>
      <c r="AF1194" s="13"/>
    </row>
    <row r="1195" spans="2:32" x14ac:dyDescent="0.2">
      <c r="B1195"/>
      <c r="AF1195" s="13"/>
    </row>
    <row r="1196" spans="2:32" x14ac:dyDescent="0.2">
      <c r="B1196"/>
      <c r="AF1196" s="13"/>
    </row>
    <row r="1197" spans="2:32" x14ac:dyDescent="0.2">
      <c r="B1197"/>
      <c r="AF1197" s="13"/>
    </row>
    <row r="1198" spans="2:32" x14ac:dyDescent="0.2">
      <c r="B1198"/>
      <c r="AF1198" s="13"/>
    </row>
    <row r="1199" spans="2:32" x14ac:dyDescent="0.2">
      <c r="B1199"/>
      <c r="AF1199" s="13"/>
    </row>
    <row r="1200" spans="2:32" x14ac:dyDescent="0.2">
      <c r="B1200"/>
      <c r="AF1200" s="13"/>
    </row>
    <row r="1201" spans="2:35" x14ac:dyDescent="0.2">
      <c r="B1201"/>
      <c r="AF1201" s="13"/>
    </row>
    <row r="1202" spans="2:35" x14ac:dyDescent="0.2">
      <c r="B1202"/>
      <c r="AF1202" s="13"/>
    </row>
    <row r="1203" spans="2:35" x14ac:dyDescent="0.2">
      <c r="B1203"/>
      <c r="AF1203" s="13"/>
    </row>
    <row r="1204" spans="2:35" x14ac:dyDescent="0.2">
      <c r="B1204"/>
      <c r="AF1204" s="13"/>
    </row>
    <row r="1205" spans="2:35" x14ac:dyDescent="0.2">
      <c r="B1205"/>
      <c r="AF1205" s="13"/>
    </row>
    <row r="1206" spans="2:35" x14ac:dyDescent="0.2">
      <c r="B1206"/>
      <c r="AF1206" s="13"/>
    </row>
    <row r="1207" spans="2:35" x14ac:dyDescent="0.2">
      <c r="B1207"/>
      <c r="AF1207" s="13"/>
    </row>
    <row r="1208" spans="2:35" x14ac:dyDescent="0.2">
      <c r="B1208"/>
      <c r="AF1208" s="13"/>
      <c r="AH1208" s="39"/>
      <c r="AI1208" s="5"/>
    </row>
    <row r="1209" spans="2:35" x14ac:dyDescent="0.2">
      <c r="B1209"/>
      <c r="AF1209" s="13"/>
      <c r="AH1209" s="39"/>
      <c r="AI1209" s="5"/>
    </row>
    <row r="1210" spans="2:35" x14ac:dyDescent="0.2">
      <c r="B1210"/>
      <c r="AF1210" s="13"/>
    </row>
    <row r="1211" spans="2:35" x14ac:dyDescent="0.2">
      <c r="B1211"/>
      <c r="AF1211" s="13"/>
    </row>
    <row r="1212" spans="2:35" x14ac:dyDescent="0.2">
      <c r="B1212"/>
      <c r="AF1212" s="13"/>
      <c r="AI1212" s="5"/>
    </row>
    <row r="1213" spans="2:35" x14ac:dyDescent="0.2">
      <c r="B1213"/>
      <c r="AF1213" s="13"/>
    </row>
    <row r="1214" spans="2:35" x14ac:dyDescent="0.2">
      <c r="B1214"/>
      <c r="AF1214" s="13"/>
    </row>
    <row r="1215" spans="2:35" x14ac:dyDescent="0.2">
      <c r="B1215"/>
      <c r="H1215"/>
      <c r="AF1215" s="13"/>
    </row>
    <row r="1216" spans="2:35" x14ac:dyDescent="0.2">
      <c r="B1216"/>
      <c r="H1216"/>
      <c r="AF1216" s="13"/>
    </row>
    <row r="1217" spans="2:32" x14ac:dyDescent="0.2">
      <c r="B1217"/>
      <c r="H1217"/>
      <c r="AF1217" s="13"/>
    </row>
    <row r="1218" spans="2:32" x14ac:dyDescent="0.2">
      <c r="B1218"/>
      <c r="H1218"/>
      <c r="AF1218" s="13"/>
    </row>
    <row r="1219" spans="2:32" x14ac:dyDescent="0.2">
      <c r="B1219"/>
      <c r="H1219"/>
      <c r="AF1219" s="13"/>
    </row>
    <row r="1220" spans="2:32" x14ac:dyDescent="0.2">
      <c r="B1220"/>
      <c r="H1220"/>
      <c r="AF1220" s="13"/>
    </row>
    <row r="1221" spans="2:32" x14ac:dyDescent="0.2">
      <c r="B1221"/>
      <c r="H1221"/>
      <c r="AF1221" s="13"/>
    </row>
    <row r="1222" spans="2:32" x14ac:dyDescent="0.2">
      <c r="B1222"/>
      <c r="H1222"/>
      <c r="AF1222" s="13"/>
    </row>
    <row r="1223" spans="2:32" x14ac:dyDescent="0.2">
      <c r="B1223"/>
      <c r="H1223"/>
      <c r="AF1223" s="13"/>
    </row>
    <row r="1224" spans="2:32" x14ac:dyDescent="0.2">
      <c r="B1224"/>
      <c r="H1224"/>
      <c r="AF1224" s="13"/>
    </row>
    <row r="1225" spans="2:32" x14ac:dyDescent="0.2">
      <c r="B1225"/>
      <c r="H1225"/>
      <c r="AF1225" s="13"/>
    </row>
    <row r="1226" spans="2:32" x14ac:dyDescent="0.2">
      <c r="B1226"/>
      <c r="H1226"/>
      <c r="AF1226" s="13"/>
    </row>
    <row r="1227" spans="2:32" x14ac:dyDescent="0.2">
      <c r="B1227"/>
      <c r="H1227"/>
      <c r="AF1227" s="13"/>
    </row>
    <row r="1228" spans="2:32" x14ac:dyDescent="0.2">
      <c r="B1228"/>
      <c r="H1228"/>
      <c r="AF1228" s="13"/>
    </row>
    <row r="1229" spans="2:32" x14ac:dyDescent="0.2">
      <c r="B1229"/>
      <c r="H1229"/>
      <c r="AF1229" s="13"/>
    </row>
    <row r="1230" spans="2:32" x14ac:dyDescent="0.2">
      <c r="B1230"/>
      <c r="H1230"/>
      <c r="AF1230" s="13"/>
    </row>
    <row r="1231" spans="2:32" x14ac:dyDescent="0.2">
      <c r="B1231"/>
      <c r="H1231"/>
      <c r="AF1231" s="13"/>
    </row>
    <row r="1232" spans="2:32" x14ac:dyDescent="0.2">
      <c r="B1232"/>
      <c r="H1232"/>
      <c r="AF1232" s="13"/>
    </row>
    <row r="1233" spans="2:32" x14ac:dyDescent="0.2">
      <c r="B1233"/>
      <c r="H1233"/>
      <c r="AF1233" s="13"/>
    </row>
    <row r="1234" spans="2:32" x14ac:dyDescent="0.2">
      <c r="B1234"/>
      <c r="H1234"/>
      <c r="AF1234" s="13"/>
    </row>
    <row r="1235" spans="2:32" x14ac:dyDescent="0.2">
      <c r="B1235"/>
      <c r="H1235"/>
      <c r="AF1235" s="13"/>
    </row>
    <row r="1236" spans="2:32" x14ac:dyDescent="0.2">
      <c r="B1236"/>
      <c r="H1236"/>
      <c r="AF1236" s="13"/>
    </row>
    <row r="1237" spans="2:32" x14ac:dyDescent="0.2">
      <c r="B1237"/>
      <c r="H1237"/>
      <c r="AF1237" s="13"/>
    </row>
    <row r="1238" spans="2:32" x14ac:dyDescent="0.2">
      <c r="B1238"/>
      <c r="H1238"/>
      <c r="AF1238" s="13"/>
    </row>
    <row r="1239" spans="2:32" x14ac:dyDescent="0.2">
      <c r="B1239"/>
      <c r="H1239"/>
      <c r="AF1239" s="13"/>
    </row>
    <row r="1240" spans="2:32" x14ac:dyDescent="0.2">
      <c r="B1240"/>
      <c r="H1240"/>
      <c r="AF1240" s="13"/>
    </row>
    <row r="1241" spans="2:32" x14ac:dyDescent="0.2">
      <c r="B1241"/>
      <c r="H1241"/>
      <c r="AF1241" s="13"/>
    </row>
    <row r="1242" spans="2:32" x14ac:dyDescent="0.2">
      <c r="B1242"/>
      <c r="H1242"/>
      <c r="AF1242" s="13"/>
    </row>
    <row r="1243" spans="2:32" x14ac:dyDescent="0.2">
      <c r="B1243"/>
      <c r="H1243"/>
      <c r="AF1243" s="13"/>
    </row>
    <row r="1244" spans="2:32" x14ac:dyDescent="0.2">
      <c r="B1244"/>
      <c r="H1244"/>
      <c r="AF1244" s="13"/>
    </row>
    <row r="1245" spans="2:32" x14ac:dyDescent="0.2">
      <c r="B1245"/>
      <c r="H1245"/>
      <c r="AF1245" s="13"/>
    </row>
    <row r="1246" spans="2:32" x14ac:dyDescent="0.2">
      <c r="B1246"/>
      <c r="H1246"/>
      <c r="AF1246" s="13"/>
    </row>
    <row r="1247" spans="2:32" x14ac:dyDescent="0.2">
      <c r="B1247"/>
      <c r="H1247"/>
      <c r="AF1247" s="13"/>
    </row>
    <row r="1248" spans="2:32" x14ac:dyDescent="0.2">
      <c r="B1248"/>
      <c r="H1248"/>
      <c r="AF1248" s="13"/>
    </row>
    <row r="1249" spans="2:32" x14ac:dyDescent="0.2">
      <c r="B1249"/>
      <c r="H1249"/>
      <c r="AF1249" s="13"/>
    </row>
    <row r="1251" spans="2:32" x14ac:dyDescent="0.2">
      <c r="C1251" s="39"/>
      <c r="D1251" s="47"/>
      <c r="E1251" s="39"/>
      <c r="F1251" s="39"/>
      <c r="G1251" s="39"/>
      <c r="AF1251" s="13"/>
    </row>
    <row r="1252" spans="2:32" x14ac:dyDescent="0.2">
      <c r="C1252" s="39"/>
      <c r="D1252" s="47"/>
      <c r="E1252" s="39"/>
      <c r="F1252" s="39"/>
      <c r="G1252" s="39"/>
      <c r="AF1252" s="13"/>
    </row>
    <row r="1253" spans="2:32" x14ac:dyDescent="0.2">
      <c r="C1253" s="39"/>
      <c r="D1253" s="47"/>
      <c r="E1253" s="39"/>
      <c r="F1253" s="39"/>
      <c r="G1253" s="39"/>
      <c r="AF1253" s="13"/>
    </row>
    <row r="1254" spans="2:32" x14ac:dyDescent="0.2">
      <c r="C1254" s="39"/>
      <c r="D1254" s="47"/>
      <c r="E1254" s="39"/>
      <c r="F1254" s="39"/>
      <c r="G1254" s="39"/>
      <c r="AF1254" s="13"/>
    </row>
    <row r="1255" spans="2:32" x14ac:dyDescent="0.2">
      <c r="C1255" s="39"/>
      <c r="D1255" s="47"/>
      <c r="E1255" s="39"/>
      <c r="F1255" s="39"/>
      <c r="G1255" s="39"/>
      <c r="AF1255" s="13"/>
    </row>
    <row r="1256" spans="2:32" x14ac:dyDescent="0.2">
      <c r="C1256" s="39"/>
      <c r="D1256" s="47"/>
      <c r="E1256" s="39"/>
      <c r="F1256" s="39"/>
      <c r="G1256" s="39"/>
      <c r="AF1256" s="13"/>
    </row>
    <row r="1257" spans="2:32" x14ac:dyDescent="0.2">
      <c r="C1257" s="39"/>
      <c r="D1257" s="47"/>
      <c r="E1257" s="39"/>
      <c r="F1257" s="39"/>
      <c r="G1257" s="39"/>
      <c r="AF1257" s="13"/>
    </row>
    <row r="1258" spans="2:32" x14ac:dyDescent="0.2">
      <c r="C1258" s="39"/>
      <c r="D1258" s="47"/>
      <c r="E1258" s="39"/>
      <c r="F1258" s="39"/>
      <c r="G1258" s="39"/>
      <c r="AF1258" s="13"/>
    </row>
    <row r="1259" spans="2:32" x14ac:dyDescent="0.2">
      <c r="C1259" s="39"/>
      <c r="D1259" s="47"/>
      <c r="E1259" s="39"/>
      <c r="F1259" s="39"/>
      <c r="G1259" s="39"/>
      <c r="AF1259" s="13"/>
    </row>
    <row r="1260" spans="2:32" x14ac:dyDescent="0.2">
      <c r="C1260" s="39"/>
      <c r="D1260" s="47"/>
      <c r="E1260" s="39"/>
      <c r="F1260" s="39"/>
      <c r="G1260" s="39"/>
      <c r="AF1260" s="13"/>
    </row>
    <row r="1261" spans="2:32" x14ac:dyDescent="0.2">
      <c r="C1261" s="39"/>
      <c r="D1261" s="47"/>
      <c r="E1261" s="39"/>
      <c r="F1261" s="39"/>
      <c r="G1261" s="39"/>
      <c r="AF1261" s="13"/>
    </row>
    <row r="1262" spans="2:32" x14ac:dyDescent="0.2">
      <c r="C1262" s="39"/>
      <c r="D1262" s="47"/>
      <c r="E1262" s="39"/>
      <c r="F1262" s="39"/>
      <c r="G1262" s="39"/>
      <c r="AF1262" s="13"/>
    </row>
    <row r="1263" spans="2:32" x14ac:dyDescent="0.2">
      <c r="C1263" s="39"/>
      <c r="D1263" s="47"/>
      <c r="E1263" s="39"/>
      <c r="F1263" s="39"/>
      <c r="G1263" s="39"/>
      <c r="AF1263" s="13"/>
    </row>
    <row r="1264" spans="2:32" x14ac:dyDescent="0.2">
      <c r="C1264" s="39"/>
      <c r="D1264" s="47"/>
      <c r="E1264" s="39"/>
      <c r="F1264" s="39"/>
      <c r="G1264" s="39"/>
      <c r="AF1264" s="13"/>
    </row>
    <row r="1265" spans="3:32" x14ac:dyDescent="0.2">
      <c r="C1265" s="39"/>
      <c r="D1265" s="47"/>
      <c r="E1265" s="39"/>
      <c r="F1265" s="39"/>
      <c r="G1265" s="39"/>
      <c r="AF1265" s="13"/>
    </row>
    <row r="1266" spans="3:32" x14ac:dyDescent="0.2">
      <c r="C1266" s="39"/>
      <c r="D1266" s="47"/>
      <c r="E1266" s="39"/>
      <c r="F1266" s="39"/>
      <c r="G1266" s="39"/>
      <c r="AF1266" s="13"/>
    </row>
    <row r="1267" spans="3:32" x14ac:dyDescent="0.2">
      <c r="C1267" s="39"/>
      <c r="D1267" s="47"/>
      <c r="E1267" s="39"/>
      <c r="F1267" s="39"/>
      <c r="G1267" s="39"/>
      <c r="AF1267" s="13"/>
    </row>
    <row r="1268" spans="3:32" x14ac:dyDescent="0.2">
      <c r="C1268" s="39"/>
      <c r="D1268" s="47"/>
      <c r="E1268" s="39"/>
      <c r="F1268" s="39"/>
      <c r="G1268" s="39"/>
      <c r="AF1268" s="13"/>
    </row>
    <row r="1269" spans="3:32" x14ac:dyDescent="0.2">
      <c r="C1269" s="39"/>
      <c r="D1269" s="47"/>
      <c r="E1269" s="39"/>
      <c r="F1269" s="39"/>
      <c r="G1269" s="39"/>
      <c r="AF1269" s="13"/>
    </row>
    <row r="1270" spans="3:32" x14ac:dyDescent="0.2">
      <c r="C1270" s="39"/>
      <c r="D1270" s="47"/>
      <c r="E1270" s="39"/>
      <c r="F1270" s="39"/>
      <c r="G1270" s="39"/>
      <c r="AF1270" s="13"/>
    </row>
    <row r="1271" spans="3:32" x14ac:dyDescent="0.2">
      <c r="C1271" s="39"/>
      <c r="D1271" s="47"/>
      <c r="E1271" s="39"/>
      <c r="F1271" s="39"/>
      <c r="G1271" s="39"/>
      <c r="AF1271" s="13"/>
    </row>
    <row r="1272" spans="3:32" x14ac:dyDescent="0.2">
      <c r="C1272" s="39"/>
      <c r="D1272" s="47"/>
      <c r="E1272" s="39"/>
      <c r="F1272" s="39"/>
      <c r="G1272" s="39"/>
      <c r="AF1272" s="13"/>
    </row>
    <row r="1273" spans="3:32" x14ac:dyDescent="0.2">
      <c r="C1273" s="39"/>
      <c r="D1273" s="47"/>
      <c r="E1273" s="39"/>
      <c r="F1273" s="39"/>
      <c r="G1273" s="39"/>
      <c r="AF1273" s="13"/>
    </row>
    <row r="1274" spans="3:32" x14ac:dyDescent="0.2">
      <c r="C1274" s="39"/>
      <c r="D1274" s="47"/>
      <c r="E1274" s="39"/>
      <c r="F1274" s="39"/>
      <c r="G1274" s="39"/>
      <c r="AF1274" s="13"/>
    </row>
    <row r="1275" spans="3:32" x14ac:dyDescent="0.2">
      <c r="C1275" s="39"/>
      <c r="D1275" s="47"/>
      <c r="E1275" s="39"/>
      <c r="F1275" s="39"/>
      <c r="G1275" s="39"/>
      <c r="AF1275" s="13"/>
    </row>
    <row r="1276" spans="3:32" x14ac:dyDescent="0.2">
      <c r="C1276" s="39"/>
      <c r="D1276" s="47"/>
      <c r="E1276" s="39"/>
      <c r="F1276" s="39"/>
      <c r="G1276" s="39"/>
      <c r="AF1276" s="13"/>
    </row>
    <row r="1277" spans="3:32" x14ac:dyDescent="0.2">
      <c r="C1277" s="39"/>
      <c r="D1277" s="47"/>
      <c r="E1277" s="39"/>
      <c r="F1277" s="39"/>
      <c r="G1277" s="39"/>
      <c r="AF1277" s="13"/>
    </row>
    <row r="1278" spans="3:32" x14ac:dyDescent="0.2">
      <c r="C1278" s="39"/>
      <c r="D1278" s="47"/>
      <c r="E1278" s="39"/>
      <c r="F1278" s="39"/>
      <c r="G1278" s="39"/>
      <c r="AF1278" s="13"/>
    </row>
    <row r="1279" spans="3:32" x14ac:dyDescent="0.2">
      <c r="C1279" s="39"/>
      <c r="D1279" s="47"/>
      <c r="E1279" s="39"/>
      <c r="F1279" s="39"/>
      <c r="G1279" s="39"/>
      <c r="AF1279" s="13"/>
    </row>
    <row r="1280" spans="3:32" x14ac:dyDescent="0.2">
      <c r="C1280" s="39"/>
      <c r="D1280" s="47"/>
      <c r="E1280" s="39"/>
      <c r="F1280" s="39"/>
      <c r="G1280" s="39"/>
      <c r="AF1280" s="13"/>
    </row>
    <row r="1281" spans="3:32" x14ac:dyDescent="0.2">
      <c r="C1281" s="39"/>
      <c r="D1281" s="47"/>
      <c r="E1281" s="39"/>
      <c r="F1281" s="39"/>
      <c r="G1281" s="39"/>
      <c r="AF1281" s="13"/>
    </row>
    <row r="1282" spans="3:32" x14ac:dyDescent="0.2">
      <c r="C1282" s="39"/>
      <c r="D1282" s="47"/>
      <c r="E1282" s="39"/>
      <c r="F1282" s="39"/>
      <c r="G1282" s="39"/>
      <c r="AF1282" s="13"/>
    </row>
    <row r="1283" spans="3:32" x14ac:dyDescent="0.2">
      <c r="C1283" s="39"/>
      <c r="D1283" s="47"/>
      <c r="E1283" s="39"/>
      <c r="F1283" s="39"/>
      <c r="G1283" s="39"/>
      <c r="AF1283" s="13"/>
    </row>
    <row r="1284" spans="3:32" x14ac:dyDescent="0.2">
      <c r="C1284" s="39"/>
      <c r="D1284" s="47"/>
      <c r="E1284" s="39"/>
      <c r="F1284" s="39"/>
      <c r="G1284" s="39"/>
      <c r="AF1284" s="13"/>
    </row>
    <row r="1285" spans="3:32" x14ac:dyDescent="0.2">
      <c r="C1285" s="39"/>
      <c r="D1285" s="47"/>
      <c r="E1285" s="39"/>
      <c r="F1285" s="39"/>
      <c r="G1285" s="39"/>
      <c r="AF1285" s="13"/>
    </row>
    <row r="1286" spans="3:32" x14ac:dyDescent="0.2">
      <c r="C1286" s="39"/>
      <c r="D1286" s="47"/>
      <c r="E1286" s="39"/>
      <c r="F1286" s="39"/>
      <c r="G1286" s="39"/>
      <c r="AF1286" s="13"/>
    </row>
    <row r="1287" spans="3:32" x14ac:dyDescent="0.2">
      <c r="C1287" s="39"/>
      <c r="D1287" s="47"/>
      <c r="E1287" s="39"/>
      <c r="F1287" s="39"/>
      <c r="G1287" s="39"/>
      <c r="AF1287" s="13"/>
    </row>
    <row r="1288" spans="3:32" x14ac:dyDescent="0.2">
      <c r="C1288" s="39"/>
      <c r="D1288" s="47"/>
      <c r="E1288" s="39"/>
      <c r="F1288" s="39"/>
      <c r="G1288" s="39"/>
      <c r="AF1288" s="13"/>
    </row>
    <row r="1289" spans="3:32" x14ac:dyDescent="0.2">
      <c r="C1289" s="39"/>
      <c r="D1289" s="47"/>
      <c r="E1289" s="39"/>
      <c r="F1289" s="39"/>
      <c r="G1289" s="39"/>
      <c r="AF1289" s="13"/>
    </row>
    <row r="1290" spans="3:32" x14ac:dyDescent="0.2">
      <c r="C1290" s="39"/>
      <c r="D1290" s="47"/>
      <c r="E1290" s="39"/>
      <c r="F1290" s="39"/>
      <c r="G1290" s="39"/>
      <c r="AF1290" s="13"/>
    </row>
    <row r="1291" spans="3:32" x14ac:dyDescent="0.2">
      <c r="C1291" s="39"/>
      <c r="D1291" s="47"/>
      <c r="E1291" s="39"/>
      <c r="F1291" s="39"/>
      <c r="G1291" s="39"/>
      <c r="AF1291" s="13"/>
    </row>
    <row r="1292" spans="3:32" x14ac:dyDescent="0.2">
      <c r="C1292" s="39"/>
      <c r="D1292" s="47"/>
      <c r="E1292" s="39"/>
      <c r="F1292" s="39"/>
      <c r="G1292" s="39"/>
      <c r="AF1292" s="13"/>
    </row>
    <row r="1293" spans="3:32" x14ac:dyDescent="0.2">
      <c r="C1293" s="39"/>
      <c r="D1293" s="47"/>
      <c r="E1293" s="39"/>
      <c r="F1293" s="39"/>
      <c r="G1293" s="39"/>
      <c r="AF1293" s="13"/>
    </row>
    <row r="1294" spans="3:32" x14ac:dyDescent="0.2">
      <c r="C1294" s="39"/>
      <c r="D1294" s="47"/>
      <c r="E1294" s="39"/>
      <c r="F1294" s="39"/>
      <c r="G1294" s="39"/>
      <c r="AF1294" s="13"/>
    </row>
    <row r="1295" spans="3:32" x14ac:dyDescent="0.2">
      <c r="C1295" s="39"/>
      <c r="D1295" s="47"/>
      <c r="E1295" s="39"/>
      <c r="F1295" s="39"/>
      <c r="G1295" s="39"/>
      <c r="AF1295" s="13"/>
    </row>
    <row r="1296" spans="3:32" x14ac:dyDescent="0.2">
      <c r="C1296" s="39"/>
      <c r="D1296" s="47"/>
      <c r="E1296" s="39"/>
      <c r="F1296" s="39"/>
      <c r="G1296" s="39"/>
      <c r="AF1296" s="13"/>
    </row>
    <row r="1297" spans="3:32" x14ac:dyDescent="0.2">
      <c r="C1297" s="39"/>
      <c r="D1297" s="47"/>
      <c r="E1297" s="39"/>
      <c r="F1297" s="39"/>
      <c r="G1297" s="39"/>
      <c r="AF1297" s="13"/>
    </row>
    <row r="1298" spans="3:32" x14ac:dyDescent="0.2">
      <c r="C1298" s="39"/>
      <c r="D1298" s="47"/>
      <c r="E1298" s="39"/>
      <c r="F1298" s="39"/>
      <c r="G1298" s="39"/>
      <c r="AF1298" s="13"/>
    </row>
    <row r="1299" spans="3:32" x14ac:dyDescent="0.2">
      <c r="C1299" s="39"/>
      <c r="D1299" s="47"/>
      <c r="E1299" s="39"/>
      <c r="F1299" s="39"/>
      <c r="G1299" s="39"/>
      <c r="AF1299" s="13"/>
    </row>
  </sheetData>
  <pageMargins left="0.7" right="0.7" top="0.75" bottom="0.75" header="0.3" footer="0.3"/>
  <pageSetup paperSize="9" orientation="portrait" horizontalDpi="0" verticalDpi="0"/>
  <headerFooter>
    <oddFooter>&amp;L_x000D_&amp;1#&amp;"Calibri"&amp;10&amp;K000000 Intern gebruik</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9F6CB-C6A5-C146-8E04-EBB2AEC32911}">
  <sheetPr>
    <tabColor rgb="FFFFC000"/>
  </sheetPr>
  <dimension ref="B1:L81"/>
  <sheetViews>
    <sheetView zoomScale="125" workbookViewId="0">
      <selection activeCell="B12" sqref="B12"/>
    </sheetView>
  </sheetViews>
  <sheetFormatPr baseColWidth="10" defaultRowHeight="16" x14ac:dyDescent="0.2"/>
  <cols>
    <col min="2" max="2" width="58.5" customWidth="1"/>
    <col min="5" max="5" width="26.1640625" customWidth="1"/>
    <col min="6" max="6" width="31" customWidth="1"/>
  </cols>
  <sheetData>
    <row r="1" spans="2:12" s="118" customFormat="1" x14ac:dyDescent="0.2">
      <c r="B1" s="118">
        <v>0</v>
      </c>
      <c r="C1" s="119">
        <v>1</v>
      </c>
      <c r="D1" s="119">
        <v>2</v>
      </c>
      <c r="E1" s="118">
        <v>3</v>
      </c>
      <c r="F1" s="118">
        <v>4</v>
      </c>
      <c r="G1" s="118">
        <v>5</v>
      </c>
      <c r="H1" s="118">
        <v>6</v>
      </c>
      <c r="I1" s="118">
        <v>7</v>
      </c>
      <c r="J1" s="118">
        <v>8</v>
      </c>
      <c r="K1" s="118">
        <v>9</v>
      </c>
      <c r="L1" s="118">
        <v>10</v>
      </c>
    </row>
    <row r="2" spans="2:12" x14ac:dyDescent="0.2">
      <c r="C2" s="57"/>
      <c r="D2" s="57"/>
    </row>
    <row r="3" spans="2:12" x14ac:dyDescent="0.2">
      <c r="B3" s="62" t="str">
        <f>nodes!C2</f>
        <v>bron_aardgas</v>
      </c>
      <c r="C3" s="5" t="str">
        <f>E3&amp;G3&amp;I3&amp;K3</f>
        <v>&lt;bron&gt;&lt;strong&gt;[Rotterdam-Moerdijk]&lt;/strong&gt; Het totaalvolume aardgasverbruik is overgenomen uit de CES. Dit is het volume aardgasverbruik exclusief elektriciteitscentrales (pagina 17).&lt;/bron&gt;&lt;aanname&gt;&lt;strong&gt;[Rotterdam-Moerdijk]&lt;/strong&gt; De CES noteert voor 2021 alleen een totaalvolume industrieel aardgasverbruik en geeft geen uitsplitsing van dit aardgasverbruik naar specifieke toepassingen. De uitsplitsing van dit totaalvolume naar waterstofproductie en andere industriele toepassingen is daarom gebaseerd op een aantal aannames. Voor het aandeel aardgas wat wordt aangewend voor waterstofproductie is aangenomen dat 50% van de waterstofvraag in 2021 met waterstofproductie uit aardgas wordt voorzien en is aangenomen dat hiebij een conversie-efficientie van 0.65 van toepassing is. Het volume aardgas wat wordt aangewend voor overige industriele processen is vervolgens berekend door het aangenomen volume aardgas voor waterstofproductie op het het in de CES opgegeven totale aardgasverbruik in mindering te brengen.&lt;/aanname&gt;&lt;aanname&gt;&lt;strong&gt;[Zeeland]&lt;/strong&gt; Uit het PBL rapport &lt;a href="https://www.pbl.nl/publicaties/reflectie-op-cluster-energiestrategieen-2024-ces-30" target="_blank" &gt;Reflectie op Cluster Energiestrategieën 2024 (CES 3.0)&lt;/a&gt; is een totaalvraag naar aardgas van 157 PJ overgenomen (pagina 35, figuur 3.12). Dit volume is inclusief het aardgasverbruik van elektriciteitscentrales. Op basis van de elektriciteitsbalans in figuur 2.6 op pagina 24 van de CES is een inschatting gemaakt van het aardgasverbruik van gasgestookte elektriciteitscentrales (22 PJ aardgas, gebaseerd op aangenomen conversie-efficientie van 59%). Dit volume is in mindering gebracht op de totaalvraag om tot een inschatting van de netto vraag naar aardgas voor industriele toepassingen te komen (157 - 22 = 135 PJ aardgas).&lt;br&gt;&lt;br&gt; Vervolgens is het totaalvolume aardgasverbruik voor industriele toepassingen verder uitgesplitst naar waterstofproductie en andere industriele toepassingen op basis van een aantal aannames. De CES geeft geen informatie over de bronnen waaruit grijze waterstof wordt geproduceerd. Aangenomen is dat 70% van de waterstofvraag in 2021 met waterstofproductie uit aardgas wordt voorzien (Zie (12) voor additionele toelichting). Dit percentage leidt in combinatie met een aantal andere aannames tot een goede fit op ordegrootte op de gerapporteerde CO2-emissies (zie (59) voor nadere toelichting). Het volume aardgas wat wordt aangewend voor overige industriele processen (directe verbranding) is vervolgens berekend door het aangenomen volume aardgas voor waterstofproductie op het het in de CES opgegeven totale aardgasverbruik in mindering te brengen.&lt;/aanname&gt;&lt;aanname&gt;&lt;strong&gt;[Zeeland]&lt;/strong&gt; Uit de CES is een totaalvolume aardgasverbruik van 55 PJ overgenomen (pagina 42, figuur 9). Dit volume is inclusief het aardgasverbruik van elektriciteitscentrales. Op basis van de elektriciteitsbalans in figuur 12 op pagina 48 van de CES is een inschatting gemaakt van het aardgasverbruik van gasgestookte elektriciteitscentrales (19 PJ aardgas, gebaseerd op aangenomen conversie-efficientie van 50%). Dit volume is in mindering gebracht op de totaalvraag om tot een inschatting van de netto vraag naar aardgas voor industriele toepassingen te komen (55 - 38 = 17 PJ aardgas).&lt;/aanname&gt;&lt;bron&gt;&lt;strong&gt;[Noord-Nederland]&lt;/strong&gt; Het totaalvolume aardgasverbruik (inclusief elektriciteitscentrales) en het volume aardgasverbruik voor industriele processen (inclusief WKK's) zijn overgenomen uit de CES (pagina 20, figuur 4.1).&lt;/bron&gt;</v>
      </c>
      <c r="D3" s="5" t="str">
        <f>F3&amp;H3&amp;J3&amp;L3</f>
        <v>&lt;aanname&gt;&lt;strong&gt;[Rotterdam-Moerdijk]&lt;/strong&gt; Het totaalvolume aardgasverbruik is overgenomen uit de CES (pagina 17), de uitsplitsing naar waterstofproductie en ander industrieel verbruik zijn ingeschat op basis van het uit de CES overgenomen volume waterstof wat uit methaan wordt geproduceerd en een aangenomen conversie-efficientie van 65%. Het volume aardgas wat wordt aangewend voor het industrieel verbruik naast waterstofproductie is berekend door het aangenomen volume aardgas voor waterstofproductie op het totale aardgasverbruik in mindering te brengen.&lt;/aanname&gt;&lt;aanname&gt;&lt;strong&gt;[Zeeland]&lt;/strong&gt; Uit het PBL rapport &lt;a href="https://www.pbl.nl/publicaties/reflectie-op-cluster-energiestrategieen-2024-ces-30" target="_blank" &gt;Reflectie op Cluster Energiestrategieën 2024 (CES 3.0)&lt;/a&gt; is een totaalvraag naar aardgas van 119 PJ overgenomen (pagina 35, figuur 3.12). Dit volume is inclusief het aardgasverbruik van elektriciteitscentrales. Op basis van de elektriciteitsbalans in figuur 2.6 op pagina 24 van de CES is een inschatting gemaakt van het aardgasverbruik van aardgasgestookte elektriciteitscentrales (15 PJ aardgas, uitgaande van een aangenomen conversie-efficientie van 59%). Dit volume is in mindering gebracht op de totaalvraag om tot een inschatting van de netto vraag naar aardgas voor industriele toepassingen te komen (119 - 15 = 104 PJ aardgas). &lt;br&gt;&lt;br&gt;Vervolgens is dit totaalvolume aardgasverbruik voor industriele toepassingen (104 PJ) nader uitgesplitst naar waterstofproductie en andere industriele toepassingen op basis van een een aantal aannames. Voor het aandeel aardgas wat wordt aangewend voor waterstofproductie is aangenomen dat van de in de CES genoteerde 71 PJ blauwe waterstofproductie 51 PJ uit aardgas wordt geproduceerd (zie (12) voor additionele toelichting), is aangenomen dat de volgens de CES nog in 2035 resterende 20 PJ grijze waterstofproductie wordt geproduceerd uit aardgas en is aangenomen dat hierbij een conversie-efficientie van 0.70 van toepassing is. Dit betekent dat er in totaal 101 PJ aardgas wordt aangewend voor waterstofproductie. Het volume aardgas wat wordt aangewend voor overige industriele processen (directe verbranding) is vervolgens berekend door het aangenomen volume aardgas voor waterstofproductie in mindering te brengen op het aangenomen aardgasverbruik voor industriele toepassingen.&lt;/aanname&gt;&lt;aanname&gt;&lt;strong&gt;[Noordzeekanaalgebied]&lt;/strong&gt; Uit de CES is een totaalvolume aardgasverbruik van 41 PJ overgenomen (pagina 42, figuur 9). Dit volume is inclusief het aardgasverbruik van elektriciteitscentrales. Op basis van de elektriciteitsbalans in figuur 12 op pagina 48 van de CES is een inschatting gemaakt van het aardgasverbruik van aardgasgestookte elektriciteitscentrales (24 PJ aardgas, gebaseerd op een aangenomen conversie-efficientie van 50%). Dit resulteert in een aangenomen 41 - 24 = 17 PJ aardgasverbruik voor industriele toepassingen.&lt;/aanname&gt;&lt;bron&gt;&lt;strong&gt;[Noord-Nederland]&lt;/strong&gt; Het totaalvolume aardgasverbruik (inclusief elektriciteitscentrales), het volume aardgasverbruik voor industriele processen (inclusief WKK's) en het aardgasverbruik voor waterstofproductie zijn overgenomen uit de CES (pagina 21 figuur 4.3, pagina 22 figuur 4.4).&lt;/bron&gt;</v>
      </c>
      <c r="E3" t="str">
        <f>data_rotterdam_moerdijk!D266</f>
        <v>&lt;bron&gt;&lt;strong&gt;[Rotterdam-Moerdijk]&lt;/strong&gt; Het totaalvolume aardgasverbruik is overgenomen uit de CES. Dit is het volume aardgasverbruik exclusief elektriciteitscentrales (pagina 17).&lt;/bron&gt;&lt;aanname&gt;&lt;strong&gt;[Rotterdam-Moerdijk]&lt;/strong&gt; De CES noteert voor 2021 alleen een totaalvolume industrieel aardgasverbruik en geeft geen uitsplitsing van dit aardgasverbruik naar specifieke toepassingen. De uitsplitsing van dit totaalvolume naar waterstofproductie en andere industriele toepassingen is daarom gebaseerd op een aantal aannames. Voor het aandeel aardgas wat wordt aangewend voor waterstofproductie is aangenomen dat 50% van de waterstofvraag in 2021 met waterstofproductie uit aardgas wordt voorzien en is aangenomen dat hiebij een conversie-efficientie van 0.65 van toepassing is. Het volume aardgas wat wordt aangewend voor overige industriele processen is vervolgens berekend door het aangenomen volume aardgas voor waterstofproductie op het het in de CES opgegeven totale aardgasverbruik in mindering te brengen.&lt;/aanname&gt;</v>
      </c>
      <c r="F3" t="str">
        <f>data_rotterdam_moerdijk!D344</f>
        <v>&lt;aanname&gt;&lt;strong&gt;[Rotterdam-Moerdijk]&lt;/strong&gt; Het totaalvolume aardgasverbruik is overgenomen uit de CES (pagina 17), de uitsplitsing naar waterstofproductie en ander industrieel verbruik zijn ingeschat op basis van het uit de CES overgenomen volume waterstof wat uit methaan wordt geproduceerd en een aangenomen conversie-efficientie van 65%. Het volume aardgas wat wordt aangewend voor het industrieel verbruik naast waterstofproductie is berekend door het aangenomen volume aardgas voor waterstofproductie op het totale aardgasverbruik in mindering te brengen.&lt;/aanname&gt;</v>
      </c>
      <c r="G3" t="str">
        <f>data_zeeland!D269</f>
        <v>&lt;aanname&gt;&lt;strong&gt;[Zeeland]&lt;/strong&gt; Uit het PBL rapport &lt;a href="https://www.pbl.nl/publicaties/reflectie-op-cluster-energiestrategieen-2024-ces-30" target="_blank" &gt;Reflectie op Cluster Energiestrategieën 2024 (CES 3.0)&lt;/a&gt; is een totaalvraag naar aardgas van 157 PJ overgenomen (pagina 35, figuur 3.12). Dit volume is inclusief het aardgasverbruik van elektriciteitscentrales. Op basis van de elektriciteitsbalans in figuur 2.6 op pagina 24 van de CES is een inschatting gemaakt van het aardgasverbruik van gasgestookte elektriciteitscentrales (22 PJ aardgas, gebaseerd op aangenomen conversie-efficientie van 59%). Dit volume is in mindering gebracht op de totaalvraag om tot een inschatting van de netto vraag naar aardgas voor industriele toepassingen te komen (157 - 22 = 135 PJ aardgas).&lt;br&gt;&lt;br&gt; Vervolgens is het totaalvolume aardgasverbruik voor industriele toepassingen verder uitgesplitst naar waterstofproductie en andere industriele toepassingen op basis van een aantal aannames. De CES geeft geen informatie over de bronnen waaruit grijze waterstof wordt geproduceerd. Aangenomen is dat 70% van de waterstofvraag in 2021 met waterstofproductie uit aardgas wordt voorzien (Zie (12) voor additionele toelichting). Dit percentage leidt in combinatie met een aantal andere aannames tot een goede fit op ordegrootte op de gerapporteerde CO2-emissies (zie (59) voor nadere toelichting). Het volume aardgas wat wordt aangewend voor overige industriele processen (directe verbranding) is vervolgens berekend door het aangenomen volume aardgas voor waterstofproductie op het het in de CES opgegeven totale aardgasverbruik in mindering te brengen.&lt;/aanname&gt;</v>
      </c>
      <c r="H3" t="str">
        <f>data_zeeland!D347</f>
        <v>&lt;aanname&gt;&lt;strong&gt;[Zeeland]&lt;/strong&gt; Uit het PBL rapport &lt;a href="https://www.pbl.nl/publicaties/reflectie-op-cluster-energiestrategieen-2024-ces-30" target="_blank" &gt;Reflectie op Cluster Energiestrategieën 2024 (CES 3.0)&lt;/a&gt; is een totaalvraag naar aardgas van 119 PJ overgenomen (pagina 35, figuur 3.12). Dit volume is inclusief het aardgasverbruik van elektriciteitscentrales. Op basis van de elektriciteitsbalans in figuur 2.6 op pagina 24 van de CES is een inschatting gemaakt van het aardgasverbruik van aardgasgestookte elektriciteitscentrales (15 PJ aardgas, uitgaande van een aangenomen conversie-efficientie van 59%). Dit volume is in mindering gebracht op de totaalvraag om tot een inschatting van de netto vraag naar aardgas voor industriele toepassingen te komen (119 - 15 = 104 PJ aardgas). &lt;br&gt;&lt;br&gt;Vervolgens is dit totaalvolume aardgasverbruik voor industriele toepassingen (104 PJ) nader uitgesplitst naar waterstofproductie en andere industriele toepassingen op basis van een een aantal aannames. Voor het aandeel aardgas wat wordt aangewend voor waterstofproductie is aangenomen dat van de in de CES genoteerde 71 PJ blauwe waterstofproductie 51 PJ uit aardgas wordt geproduceerd (zie (12) voor additionele toelichting), is aangenomen dat de volgens de CES nog in 2035 resterende 20 PJ grijze waterstofproductie wordt geproduceerd uit aardgas en is aangenomen dat hierbij een conversie-efficientie van 0.70 van toepassing is. Dit betekent dat er in totaal 101 PJ aardgas wordt aangewend voor waterstofproductie. Het volume aardgas wat wordt aangewend voor overige industriele processen (directe verbranding) is vervolgens berekend door het aangenomen volume aardgas voor waterstofproductie in mindering te brengen op het aangenomen aardgasverbruik voor industriele toepassingen.&lt;/aanname&gt;</v>
      </c>
      <c r="I3" t="str">
        <f>data_noordzeekanaalgebied!D206</f>
        <v>&lt;aanname&gt;&lt;strong&gt;[Zeeland]&lt;/strong&gt; Uit de CES is een totaalvolume aardgasverbruik van 55 PJ overgenomen (pagina 42, figuur 9). Dit volume is inclusief het aardgasverbruik van elektriciteitscentrales. Op basis van de elektriciteitsbalans in figuur 12 op pagina 48 van de CES is een inschatting gemaakt van het aardgasverbruik van gasgestookte elektriciteitscentrales (19 PJ aardgas, gebaseerd op aangenomen conversie-efficientie van 50%). Dit volume is in mindering gebracht op de totaalvraag om tot een inschatting van de netto vraag naar aardgas voor industriele toepassingen te komen (55 - 38 = 17 PJ aardgas).&lt;/aanname&gt;</v>
      </c>
      <c r="J3" t="str">
        <f>data_noordzeekanaalgebied!D284</f>
        <v>&lt;aanname&gt;&lt;strong&gt;[Noordzeekanaalgebied]&lt;/strong&gt; Uit de CES is een totaalvolume aardgasverbruik van 41 PJ overgenomen (pagina 42, figuur 9). Dit volume is inclusief het aardgasverbruik van elektriciteitscentrales. Op basis van de elektriciteitsbalans in figuur 12 op pagina 48 van de CES is een inschatting gemaakt van het aardgasverbruik van aardgasgestookte elektriciteitscentrales (24 PJ aardgas, gebaseerd op een aangenomen conversie-efficientie van 50%). Dit resulteert in een aangenomen 41 - 24 = 17 PJ aardgasverbruik voor industriele toepassingen.&lt;/aanname&gt;</v>
      </c>
      <c r="K3" t="str">
        <f>data_noord_nederland!D215</f>
        <v>&lt;bron&gt;&lt;strong&gt;[Noord-Nederland]&lt;/strong&gt; Het totaalvolume aardgasverbruik (inclusief elektriciteitscentrales) en het volume aardgasverbruik voor industriele processen (inclusief WKK's) zijn overgenomen uit de CES (pagina 20, figuur 4.1).&lt;/bron&gt;</v>
      </c>
      <c r="L3" t="str">
        <f>data_noord_nederland!D293</f>
        <v>&lt;bron&gt;&lt;strong&gt;[Noord-Nederland]&lt;/strong&gt; Het totaalvolume aardgasverbruik (inclusief elektriciteitscentrales), het volume aardgasverbruik voor industriele processen (inclusief WKK's) en het aardgasverbruik voor waterstofproductie zijn overgenomen uit de CES (pagina 21 figuur 4.3, pagina 22 figuur 4.4).&lt;/bron&gt;</v>
      </c>
    </row>
    <row r="4" spans="2:12" x14ac:dyDescent="0.2">
      <c r="B4" s="62" t="str">
        <f>nodes!C3</f>
        <v>bron_restgas</v>
      </c>
      <c r="C4" s="5" t="str">
        <f t="shared" ref="C4:C67" si="0">E4&amp;G4&amp;I4&amp;K4</f>
        <v>&lt;aanname&gt;&lt;strong&gt;[Rotterdam-Moerdijk]&lt;/strong&gt; De CES bevat geen informatie over restgassen. Het restgasverbruik is bijgeschat om de productie van proceswarmte en waterstof uit restgas en de daaraan gerelateerde CO&lt;sub&gt;2&lt;/sub&gt;-emissies in de analyse te ondervangen. Aangenomen is dat een deel van de restgassen wordt aangewend voor waterstofproductie (zie (12) voor toelichting bij het restgasverbruik voor waterstofproductie).&lt;br&gt;&lt;br&gt; Aangenomen is dat het overige restgasverbruik (anders dan voor waterstofproductie) wordt aangewend voor de productie van proceswarmte. Dit volume (61 PJ) is ingeschat op basis van een fit op de totale in de CES gerapporteerde industriele fossiele CO2-uitstoot van 16.000 kton in 2021 (pagina 17).&lt;/aanname&gt;&lt;aanname&gt;&lt;strong&gt;[Zeeland]&lt;/strong&gt; De CES bevat geen informatie over restgassen. Het restgasverbruik is bijgeschat om de productie van proceswarmte en waterstof uit restgas en de daaraan gerelateerde CO&lt;sub&gt;2&lt;/sub&gt;-emissies in de analyse te ondervangen.&lt;br&gt;&lt;br&gt;Aangenomen is dat een deel van de restgassen wordt aangewend voor waterstofproductie. Zie (12) voor toelichting bij het restgasverbruik voor waterstofproductie.&lt;br&gt;&lt;br&gt; Aangenomen is dat er geen directe verbranding van restgassen voor de productie van proceswarmte wordt toegepast, omdat dit tot een te hoge berekende CO&lt;sub&gt;2&lt;/sub&gt;-emissie zou leiden in toevoeging op de emissies die voortkomen uit het aangenomen volume van aardgas wat wordt ingezet voor de productie van elektriciteit, proceswarmte en de aangenomen volumes aardgas en restgas voor inzet van waterstofproductie. &lt;/aanname&gt;nvtnvt</v>
      </c>
      <c r="D4" s="5" t="str">
        <f t="shared" ref="D4:D67" si="1">F4&amp;H4&amp;J4&amp;L4</f>
        <v>&lt;aanname&gt;&lt;strong&gt;[Rotterdam-Moerdijk]&lt;/strong&gt; De CES bevat geen informatie over restgassen.  Het restgasverbruik is bijgeschat om de productie van proceswarmte en waterstof uit restgas en de daaraan gerelateerde CO&lt;sub&gt;2&lt;/sub&gt;-emissies in de analyse te ondervangen. Zie onderdeel (12) voor toelichting bij het restgasverbruik voor waterstofproductie. Het overige restgasverbruik wordt aangewend voor de productie van proceswarmte. Dit volume (41 PJ) is een schatting, gebaseerd op de aanname dat het totaalvolume restgasverbruik wat wordt aangewend voor directe verbrading en voor waterstofproductie in 2035 gelijk blijft aan het totaalvolume restgasverbruik in 2021.&lt;/aanname&gt;&lt;aanname&gt;&lt;strong&gt;[Zeeland]&lt;/strong&gt; De CES bevat geen informatie over restgassen.  Het restgasverbruik is bijgeschat om de productie van proceswarmte en waterstof uit restgas en de daaraan gerelateerde CO&lt;sub&gt;2&lt;/sub&gt;-emissies in de analyse te ondervangen. Aangenomen is dat het volume restgas in 2035 gelijk blijft aan dat in 2021, en aangenomen is dat dit volume conform de aanname voor 2021 volledig wordt ingezet voor waterstofproductie en aangenomen is dat in 2035 CCS wordt toegepast op de volledige productie van waterstof uit restgas. Zie onderdeel (12) voor nadere toelichting bij het restgasverbruik voor waterstofproductie.&lt;/aanname&gt;0nvt</v>
      </c>
      <c r="E4" t="str">
        <f>data_rotterdam_moerdijk!D267</f>
        <v>&lt;aanname&gt;&lt;strong&gt;[Rotterdam-Moerdijk]&lt;/strong&gt; De CES bevat geen informatie over restgassen. Het restgasverbruik is bijgeschat om de productie van proceswarmte en waterstof uit restgas en de daaraan gerelateerde CO&lt;sub&gt;2&lt;/sub&gt;-emissies in de analyse te ondervangen. Aangenomen is dat een deel van de restgassen wordt aangewend voor waterstofproductie (zie (12) voor toelichting bij het restgasverbruik voor waterstofproductie).&lt;br&gt;&lt;br&gt; Aangenomen is dat het overige restgasverbruik (anders dan voor waterstofproductie) wordt aangewend voor de productie van proceswarmte. Dit volume (61 PJ) is ingeschat op basis van een fit op de totale in de CES gerapporteerde industriele fossiele CO2-uitstoot van 16.000 kton in 2021 (pagina 17).&lt;/aanname&gt;</v>
      </c>
      <c r="F4" t="str">
        <f>data_rotterdam_moerdijk!D345</f>
        <v>&lt;aanname&gt;&lt;strong&gt;[Rotterdam-Moerdijk]&lt;/strong&gt; De CES bevat geen informatie over restgassen.  Het restgasverbruik is bijgeschat om de productie van proceswarmte en waterstof uit restgas en de daaraan gerelateerde CO&lt;sub&gt;2&lt;/sub&gt;-emissies in de analyse te ondervangen. Zie onderdeel (12) voor toelichting bij het restgasverbruik voor waterstofproductie. Het overige restgasverbruik wordt aangewend voor de productie van proceswarmte. Dit volume (41 PJ) is een schatting, gebaseerd op de aanname dat het totaalvolume restgasverbruik wat wordt aangewend voor directe verbrading en voor waterstofproductie in 2035 gelijk blijft aan het totaalvolume restgasverbruik in 2021.&lt;/aanname&gt;</v>
      </c>
      <c r="G4" t="str">
        <f>data_zeeland!D270</f>
        <v>&lt;aanname&gt;&lt;strong&gt;[Zeeland]&lt;/strong&gt; De CES bevat geen informatie over restgassen. Het restgasverbruik is bijgeschat om de productie van proceswarmte en waterstof uit restgas en de daaraan gerelateerde CO&lt;sub&gt;2&lt;/sub&gt;-emissies in de analyse te ondervangen.&lt;br&gt;&lt;br&gt;Aangenomen is dat een deel van de restgassen wordt aangewend voor waterstofproductie. Zie (12) voor toelichting bij het restgasverbruik voor waterstofproductie.&lt;br&gt;&lt;br&gt; Aangenomen is dat er geen directe verbranding van restgassen voor de productie van proceswarmte wordt toegepast, omdat dit tot een te hoge berekende CO&lt;sub&gt;2&lt;/sub&gt;-emissie zou leiden in toevoeging op de emissies die voortkomen uit het aangenomen volume van aardgas wat wordt ingezet voor de productie van elektriciteit, proceswarmte en de aangenomen volumes aardgas en restgas voor inzet van waterstofproductie. &lt;/aanname&gt;</v>
      </c>
      <c r="H4" t="str">
        <f>data_zeeland!D348</f>
        <v>&lt;aanname&gt;&lt;strong&gt;[Zeeland]&lt;/strong&gt; De CES bevat geen informatie over restgassen.  Het restgasverbruik is bijgeschat om de productie van proceswarmte en waterstof uit restgas en de daaraan gerelateerde CO&lt;sub&gt;2&lt;/sub&gt;-emissies in de analyse te ondervangen. Aangenomen is dat het volume restgas in 2035 gelijk blijft aan dat in 2021, en aangenomen is dat dit volume conform de aanname voor 2021 volledig wordt ingezet voor waterstofproductie en aangenomen is dat in 2035 CCS wordt toegepast op de volledige productie van waterstof uit restgas. Zie onderdeel (12) voor nadere toelichting bij het restgasverbruik voor waterstofproductie.&lt;/aanname&gt;</v>
      </c>
      <c r="I4" t="str">
        <f>data_noordzeekanaalgebied!D207</f>
        <v>nvt</v>
      </c>
      <c r="J4">
        <f>data_noordzeekanaalgebied!D285</f>
        <v>0</v>
      </c>
      <c r="K4" t="str">
        <f>data_noord_nederland!D216</f>
        <v>nvt</v>
      </c>
      <c r="L4" t="str">
        <f>data_noord_nederland!D294</f>
        <v>nvt</v>
      </c>
    </row>
    <row r="5" spans="2:12" x14ac:dyDescent="0.2">
      <c r="B5" s="62" t="str">
        <f>nodes!C4</f>
        <v>bron_kolen</v>
      </c>
      <c r="C5" s="5" t="str">
        <f t="shared" si="0"/>
        <v>00&lt;bron&gt;&lt;strong&gt;[Noordzeekanaalgebied]&lt;/strong&gt; Het totaalvolume kolenverbruik is overgenomen uit de CES (pagina 42, figuur 9).&lt;/bron&gt;0</v>
      </c>
      <c r="D5" s="5" t="str">
        <f t="shared" si="1"/>
        <v>0000</v>
      </c>
      <c r="E5">
        <f>data_rotterdam_moerdijk!D268</f>
        <v>0</v>
      </c>
      <c r="F5">
        <f>data_rotterdam_moerdijk!D346</f>
        <v>0</v>
      </c>
      <c r="G5">
        <f>data_zeeland!D271</f>
        <v>0</v>
      </c>
      <c r="H5">
        <f>data_zeeland!D349</f>
        <v>0</v>
      </c>
      <c r="I5" t="str">
        <f>data_noordzeekanaalgebied!D208</f>
        <v>&lt;bron&gt;&lt;strong&gt;[Noordzeekanaalgebied]&lt;/strong&gt; Het totaalvolume kolenverbruik is overgenomen uit de CES (pagina 42, figuur 9).&lt;/bron&gt;</v>
      </c>
      <c r="J5">
        <f>data_noordzeekanaalgebied!D286</f>
        <v>0</v>
      </c>
      <c r="K5">
        <f>data_noord_nederland!D217</f>
        <v>0</v>
      </c>
      <c r="L5">
        <f>data_noord_nederland!D295</f>
        <v>0</v>
      </c>
    </row>
    <row r="6" spans="2:12" x14ac:dyDescent="0.2">
      <c r="B6" s="62" t="str">
        <f>nodes!C5</f>
        <v>bron_cokes</v>
      </c>
      <c r="C6" s="5" t="str">
        <f t="shared" si="0"/>
        <v>0000</v>
      </c>
      <c r="D6" s="5" t="str">
        <f t="shared" si="1"/>
        <v>0000</v>
      </c>
      <c r="E6">
        <f>data_rotterdam_moerdijk!D269</f>
        <v>0</v>
      </c>
      <c r="F6">
        <f>data_rotterdam_moerdijk!D347</f>
        <v>0</v>
      </c>
      <c r="G6">
        <f>data_zeeland!D272</f>
        <v>0</v>
      </c>
      <c r="H6">
        <f>data_zeeland!D350</f>
        <v>0</v>
      </c>
      <c r="I6">
        <f>data_noordzeekanaalgebied!D209</f>
        <v>0</v>
      </c>
      <c r="J6">
        <f>data_noordzeekanaalgebied!D287</f>
        <v>0</v>
      </c>
      <c r="K6">
        <f>data_noord_nederland!D218</f>
        <v>0</v>
      </c>
      <c r="L6">
        <f>data_noord_nederland!D296</f>
        <v>0</v>
      </c>
    </row>
    <row r="7" spans="2:12" x14ac:dyDescent="0.2">
      <c r="B7" s="62" t="str">
        <f>nodes!C6</f>
        <v>bron_aardolie</v>
      </c>
      <c r="C7" s="5" t="str">
        <f t="shared" si="0"/>
        <v>0000</v>
      </c>
      <c r="D7" s="5" t="str">
        <f t="shared" si="1"/>
        <v>0000</v>
      </c>
      <c r="E7">
        <f>data_rotterdam_moerdijk!D270</f>
        <v>0</v>
      </c>
      <c r="F7">
        <f>data_rotterdam_moerdijk!D348</f>
        <v>0</v>
      </c>
      <c r="G7">
        <f>data_zeeland!D273</f>
        <v>0</v>
      </c>
      <c r="H7">
        <f>data_zeeland!D351</f>
        <v>0</v>
      </c>
      <c r="I7">
        <f>data_noordzeekanaalgebied!D210</f>
        <v>0</v>
      </c>
      <c r="J7">
        <f>data_noordzeekanaalgebied!D288</f>
        <v>0</v>
      </c>
      <c r="K7">
        <f>data_noord_nederland!D219</f>
        <v>0</v>
      </c>
      <c r="L7">
        <f>data_noord_nederland!D297</f>
        <v>0</v>
      </c>
    </row>
    <row r="8" spans="2:12" x14ac:dyDescent="0.2">
      <c r="B8" s="62" t="str">
        <f>nodes!C7</f>
        <v>bron_biomassa</v>
      </c>
      <c r="C8" s="5" t="str">
        <f t="shared" si="0"/>
        <v>000&lt;bron&gt;&lt;strong&gt;[Noord-Nederland]&lt;/strong&gt; Het totaalvolume biomassaverbruik (voor industrie exclusief elektriciteitscentrales) is overgenomen uit de CES (pagina 20, figuur 4.1).&lt;/bron&gt;</v>
      </c>
      <c r="D8" s="5" t="str">
        <f t="shared" si="1"/>
        <v>000&lt;bron&gt;&lt;strong&gt;[Noord-Nederland]&lt;/strong&gt; Het totaalvolume biomassaverbruik (voor industrie exclusief elektriciteitscentrales) is overgenomen uit de CES (pagina 22, figuur 4.4).&lt;/bron&gt;</v>
      </c>
      <c r="E8">
        <f>data_rotterdam_moerdijk!D271</f>
        <v>0</v>
      </c>
      <c r="F8">
        <f>data_rotterdam_moerdijk!D349</f>
        <v>0</v>
      </c>
      <c r="G8">
        <f>data_zeeland!D274</f>
        <v>0</v>
      </c>
      <c r="H8">
        <f>data_zeeland!D352</f>
        <v>0</v>
      </c>
      <c r="I8">
        <f>data_noordzeekanaalgebied!D211</f>
        <v>0</v>
      </c>
      <c r="J8">
        <f>data_noordzeekanaalgebied!D289</f>
        <v>0</v>
      </c>
      <c r="K8" t="str">
        <f>data_noord_nederland!D220</f>
        <v>&lt;bron&gt;&lt;strong&gt;[Noord-Nederland]&lt;/strong&gt; Het totaalvolume biomassaverbruik (voor industrie exclusief elektriciteitscentrales) is overgenomen uit de CES (pagina 20, figuur 4.1).&lt;/bron&gt;</v>
      </c>
      <c r="L8" t="str">
        <f>data_noord_nederland!D298</f>
        <v>&lt;bron&gt;&lt;strong&gt;[Noord-Nederland]&lt;/strong&gt; Het totaalvolume biomassaverbruik (voor industrie exclusief elektriciteitscentrales) is overgenomen uit de CES (pagina 22, figuur 4.4).&lt;/bron&gt;</v>
      </c>
    </row>
    <row r="9" spans="2:12" x14ac:dyDescent="0.2">
      <c r="B9" s="62" t="str">
        <f>nodes!C8</f>
        <v>bron_biogas</v>
      </c>
      <c r="C9" s="5" t="str">
        <f t="shared" si="0"/>
        <v>0000</v>
      </c>
      <c r="D9" s="5" t="str">
        <f t="shared" si="1"/>
        <v>0000</v>
      </c>
      <c r="E9">
        <f>data_rotterdam_moerdijk!D272</f>
        <v>0</v>
      </c>
      <c r="F9">
        <f>data_rotterdam_moerdijk!D350</f>
        <v>0</v>
      </c>
      <c r="G9">
        <f>data_zeeland!D275</f>
        <v>0</v>
      </c>
      <c r="H9">
        <f>data_zeeland!D353</f>
        <v>0</v>
      </c>
      <c r="I9">
        <f>data_noordzeekanaalgebied!D212</f>
        <v>0</v>
      </c>
      <c r="J9">
        <f>data_noordzeekanaalgebied!D290</f>
        <v>0</v>
      </c>
      <c r="K9">
        <f>data_noord_nederland!D221</f>
        <v>0</v>
      </c>
      <c r="L9">
        <f>data_noord_nederland!D299</f>
        <v>0</v>
      </c>
    </row>
    <row r="10" spans="2:12" x14ac:dyDescent="0.2">
      <c r="B10" s="62" t="str">
        <f>nodes!C9</f>
        <v>bron_elektriciteit</v>
      </c>
      <c r="C10" s="5" t="str">
        <f t="shared" si="0"/>
        <v>&lt;bron&gt;&lt;strong&gt;[Rotterdam-Moerdijk]&lt;/strong&gt; Het totaalvolume elektriciteitsverbruik is overgenomen uit de CES (pagina 17).&lt;/bron&gt;&lt;bron&gt;&lt;strong&gt;[Zeeland]&lt;/strong&gt; Het totaalvolume elektriciteitsverbruik is overgenomen uit de CES (pagina 24, figuur 2.6)&lt;/bron&gt;&lt;bron&gt;&lt;strong&gt;[Noordzeekanaalgebied]&lt;/strong&gt; Het totaalvolume elektriciteitsverbruik is overgenomen uit de CES (pagina 48, figuur 12).&lt;/bron&gt;&lt;bron&gt;&lt;strong&gt;[Noord-Nederland]&lt;/strong&gt; Het totaalvolume elektriciteitsverbruik is overgenomen uit de CES (pagina 21 figuur 4.3, pagina 22 figuur 4.4).&lt;/bron&gt;</v>
      </c>
      <c r="D10" s="5" t="str">
        <f t="shared" si="1"/>
        <v>&lt;bron&gt;&lt;strong&gt;[Rotterdam-Moerdijk]&lt;/strong&gt; Het totaalvolume elektriciteitsverbruik is overgenomen uit de CES.&lt;/bron&gt;&lt;bron&gt;&lt;strong&gt;[Zeeland]&lt;/strong&gt; Het totaalvolume elektriciteitsverbruik is overgenomen uit de CES (pagina 24, figuur 2.6).&lt;/bron&gt;&lt;bron&gt;&lt;strong&gt;[Noordzeekanaalgebied]&lt;/strong&gt; Het totaalvolume elektriciteitsverbruik is overgenomen uit de CES (pagina 48, figuur 12).&lt;/bron&gt;&lt;bron&gt;&lt;strong&gt;[Noord-Nederland]&lt;/strong&gt; Het totaalvolume elektriciteitsverbruik is overgenomen uit de CES.&lt;/bron&gt;</v>
      </c>
      <c r="E10" t="str">
        <f>data_rotterdam_moerdijk!D273</f>
        <v>&lt;bron&gt;&lt;strong&gt;[Rotterdam-Moerdijk]&lt;/strong&gt; Het totaalvolume elektriciteitsverbruik is overgenomen uit de CES (pagina 17).&lt;/bron&gt;</v>
      </c>
      <c r="F10" t="str">
        <f>data_rotterdam_moerdijk!D351</f>
        <v>&lt;bron&gt;&lt;strong&gt;[Rotterdam-Moerdijk]&lt;/strong&gt; Het totaalvolume elektriciteitsverbruik is overgenomen uit de CES.&lt;/bron&gt;</v>
      </c>
      <c r="G10" t="str">
        <f>data_zeeland!D276</f>
        <v>&lt;bron&gt;&lt;strong&gt;[Zeeland]&lt;/strong&gt; Het totaalvolume elektriciteitsverbruik is overgenomen uit de CES (pagina 24, figuur 2.6)&lt;/bron&gt;</v>
      </c>
      <c r="H10" t="str">
        <f>data_zeeland!D354</f>
        <v>&lt;bron&gt;&lt;strong&gt;[Zeeland]&lt;/strong&gt; Het totaalvolume elektriciteitsverbruik is overgenomen uit de CES (pagina 24, figuur 2.6).&lt;/bron&gt;</v>
      </c>
      <c r="I10" t="str">
        <f>data_noordzeekanaalgebied!D213</f>
        <v>&lt;bron&gt;&lt;strong&gt;[Noordzeekanaalgebied]&lt;/strong&gt; Het totaalvolume elektriciteitsverbruik is overgenomen uit de CES (pagina 48, figuur 12).&lt;/bron&gt;</v>
      </c>
      <c r="J10" t="str">
        <f>data_noordzeekanaalgebied!D291</f>
        <v>&lt;bron&gt;&lt;strong&gt;[Noordzeekanaalgebied]&lt;/strong&gt; Het totaalvolume elektriciteitsverbruik is overgenomen uit de CES (pagina 48, figuur 12).&lt;/bron&gt;</v>
      </c>
      <c r="K10" t="str">
        <f>data_noord_nederland!D222</f>
        <v>&lt;bron&gt;&lt;strong&gt;[Noord-Nederland]&lt;/strong&gt; Het totaalvolume elektriciteitsverbruik is overgenomen uit de CES (pagina 21 figuur 4.3, pagina 22 figuur 4.4).&lt;/bron&gt;</v>
      </c>
      <c r="L10" t="str">
        <f>data_noord_nederland!D300</f>
        <v>&lt;bron&gt;&lt;strong&gt;[Noord-Nederland]&lt;/strong&gt; Het totaalvolume elektriciteitsverbruik is overgenomen uit de CES.&lt;/bron&gt;</v>
      </c>
    </row>
    <row r="11" spans="2:12" x14ac:dyDescent="0.2">
      <c r="B11" s="62" t="str">
        <f>nodes!C10</f>
        <v>bron_waterstof</v>
      </c>
      <c r="C11" s="5" t="str">
        <f t="shared" si="0"/>
        <v>0000</v>
      </c>
      <c r="D11" s="5" t="str">
        <f t="shared" si="1"/>
        <v>&lt;bron&gt;&lt;strong&gt;[Rotterdam-Moerdijk]&lt;/strong&gt; Het importvolume waterstof is overgenomen uit de CES (pagina 17).&lt;/bron&gt;&lt;bron&gt;&lt;strong&gt;[Zeeland]&lt;/strong&gt; Het importvolume waterstof is overgenomen uit de CES (pagina 32, figuur 2.10).&lt;/bron&gt;&lt;bron&gt;&lt;strong&gt;[Noordzeekanaalgebied]&lt;/strong&gt; Het importvolume waterstof is overgenomen uit de CES (pagina 39, figuur 13).&lt;/bron&gt;&lt;bron&gt;&lt;strong&gt;[Noord-Nederland]&lt;/strong&gt; Het importvolume waterstof is overgenomen uit de CES (pagina 21, figuur 4.3).&lt;/bron&gt;</v>
      </c>
      <c r="E11">
        <f>data_rotterdam_moerdijk!D274</f>
        <v>0</v>
      </c>
      <c r="F11" t="str">
        <f>data_rotterdam_moerdijk!D352</f>
        <v>&lt;bron&gt;&lt;strong&gt;[Rotterdam-Moerdijk]&lt;/strong&gt; Het importvolume waterstof is overgenomen uit de CES (pagina 17).&lt;/bron&gt;</v>
      </c>
      <c r="G11">
        <f>data_zeeland!D277</f>
        <v>0</v>
      </c>
      <c r="H11" t="str">
        <f>data_zeeland!D355</f>
        <v>&lt;bron&gt;&lt;strong&gt;[Zeeland]&lt;/strong&gt; Het importvolume waterstof is overgenomen uit de CES (pagina 32, figuur 2.10).&lt;/bron&gt;</v>
      </c>
      <c r="I11">
        <f>data_noordzeekanaalgebied!D214</f>
        <v>0</v>
      </c>
      <c r="J11" t="str">
        <f>data_noordzeekanaalgebied!D292</f>
        <v>&lt;bron&gt;&lt;strong&gt;[Noordzeekanaalgebied]&lt;/strong&gt; Het importvolume waterstof is overgenomen uit de CES (pagina 39, figuur 13).&lt;/bron&gt;</v>
      </c>
      <c r="K11">
        <f>data_noord_nederland!D223</f>
        <v>0</v>
      </c>
      <c r="L11" t="str">
        <f>data_noord_nederland!D301</f>
        <v>&lt;bron&gt;&lt;strong&gt;[Noord-Nederland]&lt;/strong&gt; Het importvolume waterstof is overgenomen uit de CES (pagina 21, figuur 4.3).&lt;/bron&gt;</v>
      </c>
    </row>
    <row r="12" spans="2:12" x14ac:dyDescent="0.2">
      <c r="B12" s="62" t="str">
        <f>nodes!C11</f>
        <v>bron_warmte</v>
      </c>
      <c r="C12" s="5" t="str">
        <f t="shared" si="0"/>
        <v>0000</v>
      </c>
      <c r="D12" s="5" t="str">
        <f t="shared" si="1"/>
        <v>0000</v>
      </c>
      <c r="E12">
        <f>data_rotterdam_moerdijk!D275</f>
        <v>0</v>
      </c>
      <c r="F12">
        <f>data_rotterdam_moerdijk!D353</f>
        <v>0</v>
      </c>
      <c r="G12">
        <f>data_zeeland!D278</f>
        <v>0</v>
      </c>
      <c r="H12">
        <f>data_zeeland!D356</f>
        <v>0</v>
      </c>
      <c r="I12">
        <f>data_noordzeekanaalgebied!D215</f>
        <v>0</v>
      </c>
      <c r="J12">
        <f>data_noordzeekanaalgebied!D293</f>
        <v>0</v>
      </c>
      <c r="K12">
        <f>data_noord_nederland!D224</f>
        <v>0</v>
      </c>
      <c r="L12">
        <f>data_noord_nederland!D302</f>
        <v>0</v>
      </c>
    </row>
    <row r="13" spans="2:12" x14ac:dyDescent="0.2">
      <c r="B13" s="62" t="str">
        <f>nodes!C12</f>
        <v>bron_afval</v>
      </c>
      <c r="C13" s="5" t="str">
        <f t="shared" si="0"/>
        <v>000&lt;bron&gt;&lt;strong&gt;[Noord-Nederland]&lt;/strong&gt; Het totaalvolume non-biogeen afval (voor industrie exclusief elektriciteitscentrales) is overgenomen uit de CES (pagina 20, figuur 4.1).&lt;/bron&gt;</v>
      </c>
      <c r="D13" s="5" t="str">
        <f t="shared" si="1"/>
        <v>000&lt;bron&gt;&lt;strong&gt;[Noord-Nederland]&lt;/strong&gt; Het totaalvolume non-biogeen afval (voor industrie exclusief elektriciteitscentrales) is overgenomen uit de CES (pagina 22, figuur 4.4).&lt;/bron&gt;</v>
      </c>
      <c r="E13">
        <f>data_rotterdam_moerdijk!D276</f>
        <v>0</v>
      </c>
      <c r="F13">
        <f>data_rotterdam_moerdijk!D354</f>
        <v>0</v>
      </c>
      <c r="G13">
        <f>data_zeeland!D279</f>
        <v>0</v>
      </c>
      <c r="H13">
        <f>data_zeeland!D357</f>
        <v>0</v>
      </c>
      <c r="I13">
        <f>data_noordzeekanaalgebied!D216</f>
        <v>0</v>
      </c>
      <c r="J13">
        <f>data_noordzeekanaalgebied!D294</f>
        <v>0</v>
      </c>
      <c r="K13" t="str">
        <f>data_noord_nederland!D225</f>
        <v>&lt;bron&gt;&lt;strong&gt;[Noord-Nederland]&lt;/strong&gt; Het totaalvolume non-biogeen afval (voor industrie exclusief elektriciteitscentrales) is overgenomen uit de CES (pagina 20, figuur 4.1).&lt;/bron&gt;</v>
      </c>
      <c r="L13" t="str">
        <f>data_noord_nederland!D303</f>
        <v>&lt;bron&gt;&lt;strong&gt;[Noord-Nederland]&lt;/strong&gt; Het totaalvolume non-biogeen afval (voor industrie exclusief elektriciteitscentrales) is overgenomen uit de CES (pagina 22, figuur 4.4).&lt;/bron&gt;</v>
      </c>
    </row>
    <row r="14" spans="2:12" x14ac:dyDescent="0.2">
      <c r="B14" s="62"/>
      <c r="C14" s="5"/>
      <c r="D14" s="5"/>
    </row>
    <row r="15" spans="2:12" x14ac:dyDescent="0.2">
      <c r="B15" s="62" t="str">
        <f>nodes!C14</f>
        <v>smr_atr</v>
      </c>
      <c r="C15" s="5" t="str">
        <f t="shared" si="0"/>
        <v>&lt;aanname&gt;&lt;strong&gt;[Rotterdam-Moerdijk]&lt;/strong&gt; De CES noteert 50 PJ waterstofvraag in 2021, waarin volgens de CES wordt voorzien met grijze waterstofproductie. Aangenomen is dat 50% van deze waterstof wordt geproduceerd uit aardgas en 50% wordt geproduceerd uit restgas, beide met een aangenomen conversie-efficientie van 65%.&lt;/aanname&gt;&lt;aanname&gt;&lt;strong&gt;[Zeeland]&lt;/strong&gt; De aandelen van waterstofproductie uit aardgas en uit restgas zijn gebaseerd op aannames. Aangenomen is dat 70% van de waterstofvraag in 2021 met waterstofproductie uit aardgas wordt voorzien met een aangenomen conversie-efficientie van 0.70 en dat de overige 30% van de waterstofvraag met waterstofproductie uit restgas wordt voorzien met een aangenomen conversie-efficientie van 0.65. Deze percentages en rendementen leiden in combinatie met een aantal andere aannames tot een goede fit op ordegrootte op de gerapporteerde CO2-emissies (zie (59) voor nadere toelichting).&lt;/aanname&gt;nvtnvtnvtnvtnvtnvtnvtnvtnvtnvt</v>
      </c>
      <c r="D15" s="5" t="str">
        <f t="shared" si="1"/>
        <v>&lt;aanname&gt;&lt;strong&gt;[Rotterdam-Moerdijk]&lt;/strong&gt; Het grootste deel van de in het cluster voorziene waterstofproductie wordt in 2035 net als in 2021 geproduceerd uit aardgas en restgassen met Steam Methane Reforming (SMR). De aandelen aardgas en restgassen die hiervoor worden aangewend zijn niet specifiek vermeld in de CES. Wel noteert de CES een methaanverbruik voor de productie van blauwe waterstof van circa 100 PJ, aangenomen is dat volledig uit aardgas bestaat. Op basis van een aangenomen SMR conversie-efficiëntie van 65% is ingeschat dat hieruit 65 PJ blauwe waterstof wordt geproduceerd. Volgens de CES wordt er in 2035 in totaal 128 PJ blauwe waterstof in het cluster geproduceerd. Het resterende deel (128 - 65 = 63 PJ) van het totale blauwe waterstofproductievolume is verondersteld te worden geproduceerd uit restgas, eveneens met een aangenomen conversie-efficiëntie van 65%.&lt;/aanname&gt;&lt;aanname&gt;&lt;strong&gt;[Zeeland]&lt;/strong&gt; Het grootste deel van de in het cluster voorziene waterstofproductie wordt in 2035 geproduceerd uit aardgas en restgas. De aandelen aardgas en restgas die hiervoor worden aangewend zijn niet specifiek vermeld in de CES. De CES noteert dat er in 2035 71 PJ blauwe en 20 PJ grijze waterstof in het cluster wordt geproduceerd voor een totaal van 91 PJ waterstofproductie uit fossiele bronnen. Aangenomen is dat het totale veronderstele volume restgassen van 54 PJ wat in het cluster vrijkomt in 2035 volledig wordt aangewend voor blauwe waterstofproductie, wat bij een conversie-rendement van 0.65 circa 20 PJ blauwe waterstofproductie oplevert. Aangenomen is dat de resterende 71-20 = 51 PJ blauwe waterstof uit aardgas wordt geproduceerd. Deze aannames zijn gebaseerd op een fit op het totale industriele aardgasverbruik - een hoger aandeel waterstofproductie uit aardgas zou het totaalvolume industrieel verbruik van aardgas doen overschrijden (zie (1) voor nadere toelichting bij dit aangenomen totaalvolume industrieel verbruik van aardgas). &lt;/aanname&gt;nvtnvt</v>
      </c>
      <c r="E15" t="str">
        <f>data_rotterdam_moerdijk!D278</f>
        <v>&lt;aanname&gt;&lt;strong&gt;[Rotterdam-Moerdijk]&lt;/strong&gt; De CES noteert 50 PJ waterstofvraag in 2021, waarin volgens de CES wordt voorzien met grijze waterstofproductie. Aangenomen is dat 50% van deze waterstof wordt geproduceerd uit aardgas en 50% wordt geproduceerd uit restgas, beide met een aangenomen conversie-efficientie van 65%.&lt;/aanname&gt;</v>
      </c>
      <c r="F15" t="str">
        <f>data_rotterdam_moerdijk!D356</f>
        <v>&lt;aanname&gt;&lt;strong&gt;[Rotterdam-Moerdijk]&lt;/strong&gt; Het grootste deel van de in het cluster voorziene waterstofproductie wordt in 2035 net als in 2021 geproduceerd uit aardgas en restgassen met Steam Methane Reforming (SMR). De aandelen aardgas en restgassen die hiervoor worden aangewend zijn niet specifiek vermeld in de CES. Wel noteert de CES een methaanverbruik voor de productie van blauwe waterstof van circa 100 PJ, aangenomen is dat volledig uit aardgas bestaat. Op basis van een aangenomen SMR conversie-efficiëntie van 65% is ingeschat dat hieruit 65 PJ blauwe waterstof wordt geproduceerd. Volgens de CES wordt er in 2035 in totaal 128 PJ blauwe waterstof in het cluster geproduceerd. Het resterende deel (128 - 65 = 63 PJ) van het totale blauwe waterstofproductievolume is verondersteld te worden geproduceerd uit restgas, eveneens met een aangenomen conversie-efficiëntie van 65%.&lt;/aanname&gt;</v>
      </c>
      <c r="G15" t="str">
        <f>data_zeeland!D281</f>
        <v>&lt;aanname&gt;&lt;strong&gt;[Zeeland]&lt;/strong&gt; De aandelen van waterstofproductie uit aardgas en uit restgas zijn gebaseerd op aannames. Aangenomen is dat 70% van de waterstofvraag in 2021 met waterstofproductie uit aardgas wordt voorzien met een aangenomen conversie-efficientie van 0.70 en dat de overige 30% van de waterstofvraag met waterstofproductie uit restgas wordt voorzien met een aangenomen conversie-efficientie van 0.65. Deze percentages en rendementen leiden in combinatie met een aantal andere aannames tot een goede fit op ordegrootte op de gerapporteerde CO2-emissies (zie (59) voor nadere toelichting).&lt;/aanname&gt;</v>
      </c>
      <c r="H15" t="str">
        <f>data_zeeland!D359</f>
        <v>&lt;aanname&gt;&lt;strong&gt;[Zeeland]&lt;/strong&gt; Het grootste deel van de in het cluster voorziene waterstofproductie wordt in 2035 geproduceerd uit aardgas en restgas. De aandelen aardgas en restgas die hiervoor worden aangewend zijn niet specifiek vermeld in de CES. De CES noteert dat er in 2035 71 PJ blauwe en 20 PJ grijze waterstof in het cluster wordt geproduceerd voor een totaal van 91 PJ waterstofproductie uit fossiele bronnen. Aangenomen is dat het totale veronderstele volume restgassen van 54 PJ wat in het cluster vrijkomt in 2035 volledig wordt aangewend voor blauwe waterstofproductie, wat bij een conversie-rendement van 0.65 circa 20 PJ blauwe waterstofproductie oplevert. Aangenomen is dat de resterende 71-20 = 51 PJ blauwe waterstof uit aardgas wordt geproduceerd. Deze aannames zijn gebaseerd op een fit op het totale industriele aardgasverbruik - een hoger aandeel waterstofproductie uit aardgas zou het totaalvolume industrieel verbruik van aardgas doen overschrijden (zie (1) voor nadere toelichting bij dit aangenomen totaalvolume industrieel verbruik van aardgas). &lt;/aanname&gt;</v>
      </c>
      <c r="I15" t="str">
        <f>data_noordzeekanaalgebied!D218</f>
        <v>nvtnvtnvtnvtnvt</v>
      </c>
      <c r="J15" t="str">
        <f>data_noordzeekanaalgebied!D296</f>
        <v/>
      </c>
      <c r="K15" t="str">
        <f>data_noord_nederland!D227</f>
        <v>nvtnvtnvtnvtnvt</v>
      </c>
      <c r="L15" t="str">
        <f>data_noord_nederland!D305</f>
        <v>nvtnvt</v>
      </c>
    </row>
    <row r="16" spans="2:12" x14ac:dyDescent="0.2">
      <c r="B16" s="62" t="str">
        <f>nodes!C15</f>
        <v>smr_atr_verlies</v>
      </c>
      <c r="C16" s="5" t="str">
        <f t="shared" si="0"/>
        <v>0000</v>
      </c>
      <c r="D16" s="5" t="str">
        <f t="shared" si="1"/>
        <v>0000</v>
      </c>
      <c r="E16">
        <f>data_rotterdam_moerdijk!D279</f>
        <v>0</v>
      </c>
      <c r="F16">
        <f>data_rotterdam_moerdijk!D357</f>
        <v>0</v>
      </c>
      <c r="G16">
        <f>data_zeeland!D282</f>
        <v>0</v>
      </c>
      <c r="H16">
        <f>data_zeeland!D360</f>
        <v>0</v>
      </c>
      <c r="I16">
        <f>data_noordzeekanaalgebied!D219</f>
        <v>0</v>
      </c>
      <c r="J16">
        <f>data_noordzeekanaalgebied!D297</f>
        <v>0</v>
      </c>
      <c r="K16">
        <f>data_noord_nederland!D228</f>
        <v>0</v>
      </c>
      <c r="L16">
        <f>data_noord_nederland!D306</f>
        <v>0</v>
      </c>
    </row>
    <row r="17" spans="2:12" x14ac:dyDescent="0.2">
      <c r="B17" s="62"/>
      <c r="C17" s="5"/>
      <c r="D17" s="5"/>
    </row>
    <row r="18" spans="2:12" x14ac:dyDescent="0.2">
      <c r="B18" s="62" t="str">
        <f>nodes!C17</f>
        <v>elektriciteit_vraag_2021</v>
      </c>
      <c r="C18" s="5" t="str">
        <f t="shared" si="0"/>
        <v>000</v>
      </c>
      <c r="D18" s="5" t="str">
        <f t="shared" si="1"/>
        <v/>
      </c>
      <c r="E18" t="str">
        <f>data_rotterdam_moerdijk!D281</f>
        <v/>
      </c>
      <c r="F18" t="str">
        <f>data_rotterdam_moerdijk!D359</f>
        <v/>
      </c>
      <c r="G18">
        <f>data_zeeland!D284</f>
        <v>0</v>
      </c>
      <c r="H18" t="str">
        <f>data_zeeland!D362</f>
        <v/>
      </c>
      <c r="I18">
        <f>data_noordzeekanaalgebied!D221</f>
        <v>0</v>
      </c>
      <c r="J18" t="str">
        <f>data_noordzeekanaalgebied!D299</f>
        <v/>
      </c>
      <c r="K18">
        <f>data_noord_nederland!D230</f>
        <v>0</v>
      </c>
      <c r="L18" t="str">
        <f>data_noord_nederland!D308</f>
        <v/>
      </c>
    </row>
    <row r="19" spans="2:12" x14ac:dyDescent="0.2">
      <c r="B19" s="62" t="str">
        <f>nodes!C18</f>
        <v>elektriciteit_aardgassubstitutie_directe_elektrificatie</v>
      </c>
      <c r="C19" s="5" t="str">
        <f t="shared" si="0"/>
        <v>nvtnvt</v>
      </c>
      <c r="D19" s="5" t="str">
        <f t="shared" si="1"/>
        <v>&lt;aanname&gt;&lt;strong&gt;[Rotterdam-Moerdijk]&lt;/strong&gt; De CES stelt dat circa een kwart van de toegenomen vraag is toe te schrijven aan directe elektrificatie van bestaande fabrieken. &lt;strong&gt;Aangenomen&lt;/strong&gt; is dat dit een kwart betreft ten opzichte van de totale toename in elektriciteitsvebruik inclusief elektrolyse.&lt;/aanname&gt;0</v>
      </c>
      <c r="E19" t="str">
        <f>data_rotterdam_moerdijk!D282</f>
        <v/>
      </c>
      <c r="F19" t="str">
        <f>data_rotterdam_moerdijk!D360</f>
        <v>&lt;aanname&gt;&lt;strong&gt;[Rotterdam-Moerdijk]&lt;/strong&gt; De CES stelt dat circa een kwart van de toegenomen vraag is toe te schrijven aan directe elektrificatie van bestaande fabrieken. &lt;strong&gt;Aangenomen&lt;/strong&gt; is dat dit een kwart betreft ten opzichte van de totale toename in elektriciteitsvebruik inclusief elektrolyse.&lt;/aanname&gt;</v>
      </c>
      <c r="G19" t="str">
        <f>data_zeeland!D285</f>
        <v/>
      </c>
      <c r="H19">
        <f>data_zeeland!D363</f>
        <v>0</v>
      </c>
      <c r="I19" t="str">
        <f>data_noordzeekanaalgebied!D222</f>
        <v>nvt</v>
      </c>
      <c r="J19" t="str">
        <f>data_noordzeekanaalgebied!D300</f>
        <v/>
      </c>
      <c r="K19" t="str">
        <f>data_noord_nederland!D231</f>
        <v>nvt</v>
      </c>
      <c r="L19" t="str">
        <f>data_noord_nederland!D309</f>
        <v/>
      </c>
    </row>
    <row r="20" spans="2:12" x14ac:dyDescent="0.2">
      <c r="B20" s="62" t="str">
        <f>nodes!C19</f>
        <v>elektriciteit_additioneel_overige</v>
      </c>
      <c r="C20" s="5" t="str">
        <f t="shared" si="0"/>
        <v>nvtnvt</v>
      </c>
      <c r="D20" s="5" t="str">
        <f t="shared" si="1"/>
        <v/>
      </c>
      <c r="E20" t="str">
        <f>data_rotterdam_moerdijk!D283</f>
        <v/>
      </c>
      <c r="F20" t="str">
        <f>data_rotterdam_moerdijk!D361</f>
        <v/>
      </c>
      <c r="G20" t="str">
        <f>data_zeeland!D286</f>
        <v/>
      </c>
      <c r="H20" t="str">
        <f>data_zeeland!D364</f>
        <v/>
      </c>
      <c r="I20" t="str">
        <f>data_noordzeekanaalgebied!D223</f>
        <v>nvt</v>
      </c>
      <c r="J20" t="str">
        <f>data_noordzeekanaalgebied!D301</f>
        <v/>
      </c>
      <c r="K20" t="str">
        <f>data_noord_nederland!D232</f>
        <v>nvt</v>
      </c>
      <c r="L20" t="str">
        <f>data_noord_nederland!D310</f>
        <v/>
      </c>
    </row>
    <row r="21" spans="2:12" x14ac:dyDescent="0.2">
      <c r="B21" s="62" t="str">
        <f>nodes!C20</f>
        <v>elektrolysers</v>
      </c>
      <c r="C21" s="5" t="str">
        <f t="shared" si="0"/>
        <v>nvtnvt</v>
      </c>
      <c r="D21" s="5" t="str">
        <f t="shared" si="1"/>
        <v>&lt;bron&gt;&lt;strong&gt;[Rotterdam-Moerdijk]&lt;/strong&gt; Het volume elektriciteitsverbruik voor groene waterstofproductie is overgenomen uit de CES (pagina 17).&lt;/bron&gt;&lt;bron&gt;&lt;strong&gt;[Zeeland]&lt;/strong&gt; Het volume elektriciteitsverbruik voor groene waterstofproductie is overgenomen uit de CES (pagina 24, figuur 2.6).&lt;/bron&gt;&lt;aanname&gt;&lt;strong&gt;[Noordzeekanaalgebied]&lt;/strong&gt; De CES noteert 11 PJ groene waterstofproductie (pagina 39, figuur 13). Het volume elektriciteitsverbruik voor groene waterstofproductie is ingeschat op basis van een &lt;strong&gt;aangenomen&lt;/strong&gt; conversie-rendement van 70%.&lt;/aanname&gt;&lt;bron&gt;&lt;strong&gt;[Noord-Nederland]&lt;/strong&gt; Het volume elektriciteitsverbruik voor groene waterstofproductie is overgenomen uit de CES (pagina 21, figuur 4.3).&lt;/bron&gt;</v>
      </c>
      <c r="E21" t="str">
        <f>data_rotterdam_moerdijk!D284</f>
        <v/>
      </c>
      <c r="F21" t="str">
        <f>data_rotterdam_moerdijk!D362</f>
        <v>&lt;bron&gt;&lt;strong&gt;[Rotterdam-Moerdijk]&lt;/strong&gt; Het volume elektriciteitsverbruik voor groene waterstofproductie is overgenomen uit de CES (pagina 17).&lt;/bron&gt;</v>
      </c>
      <c r="G21" t="str">
        <f>data_zeeland!D287</f>
        <v/>
      </c>
      <c r="H21" t="str">
        <f>data_zeeland!D365</f>
        <v>&lt;bron&gt;&lt;strong&gt;[Zeeland]&lt;/strong&gt; Het volume elektriciteitsverbruik voor groene waterstofproductie is overgenomen uit de CES (pagina 24, figuur 2.6).&lt;/bron&gt;</v>
      </c>
      <c r="I21" t="str">
        <f>data_noordzeekanaalgebied!D224</f>
        <v>nvt</v>
      </c>
      <c r="J21" t="str">
        <f>data_noordzeekanaalgebied!D302</f>
        <v>&lt;aanname&gt;&lt;strong&gt;[Noordzeekanaalgebied]&lt;/strong&gt; De CES noteert 11 PJ groene waterstofproductie (pagina 39, figuur 13). Het volume elektriciteitsverbruik voor groene waterstofproductie is ingeschat op basis van een &lt;strong&gt;aangenomen&lt;/strong&gt; conversie-rendement van 70%.&lt;/aanname&gt;</v>
      </c>
      <c r="K21" t="str">
        <f>data_noord_nederland!D233</f>
        <v>nvt</v>
      </c>
      <c r="L21" t="str">
        <f>data_noord_nederland!D311</f>
        <v>&lt;bron&gt;&lt;strong&gt;[Noord-Nederland]&lt;/strong&gt; Het volume elektriciteitsverbruik voor groene waterstofproductie is overgenomen uit de CES (pagina 21, figuur 4.3).&lt;/bron&gt;</v>
      </c>
    </row>
    <row r="22" spans="2:12" x14ac:dyDescent="0.2">
      <c r="B22" s="62"/>
      <c r="C22" s="5"/>
      <c r="D22" s="5"/>
    </row>
    <row r="23" spans="2:12" x14ac:dyDescent="0.2">
      <c r="B23" s="62" t="str">
        <f>nodes!C22</f>
        <v>elektrolyse_verlies</v>
      </c>
      <c r="C23" s="5" t="str">
        <f t="shared" si="0"/>
        <v>0000</v>
      </c>
      <c r="D23" s="5" t="str">
        <f t="shared" si="1"/>
        <v>0000</v>
      </c>
      <c r="E23">
        <f>data_rotterdam_moerdijk!D286</f>
        <v>0</v>
      </c>
      <c r="F23">
        <f>data_rotterdam_moerdijk!D364</f>
        <v>0</v>
      </c>
      <c r="G23">
        <f>data_zeeland!D289</f>
        <v>0</v>
      </c>
      <c r="H23">
        <f>data_zeeland!D367</f>
        <v>0</v>
      </c>
      <c r="I23">
        <f>data_noordzeekanaalgebied!D226</f>
        <v>0</v>
      </c>
      <c r="J23">
        <f>data_noordzeekanaalgebied!D304</f>
        <v>0</v>
      </c>
      <c r="K23">
        <f>data_noord_nederland!D235</f>
        <v>0</v>
      </c>
      <c r="L23">
        <f>data_noord_nederland!D313</f>
        <v>0</v>
      </c>
    </row>
    <row r="24" spans="2:12" x14ac:dyDescent="0.2">
      <c r="B24" s="62"/>
      <c r="C24" s="5"/>
      <c r="D24" s="5"/>
    </row>
    <row r="25" spans="2:12" x14ac:dyDescent="0.2">
      <c r="B25" s="62" t="str">
        <f>nodes!C24</f>
        <v>waterstof_vraag_2021</v>
      </c>
      <c r="C25" s="5" t="str">
        <f t="shared" si="0"/>
        <v>&lt;bron&gt;&lt;strong&gt;[Rotterdam-Moerdijk]&lt;/strong&gt; Het totaalvolume waterstofvraag is overgenomen uit de CES (pagina 16).&lt;/bron&gt;&lt;bron&gt;&lt;strong&gt;[Zeeland]&lt;/strong&gt; Het totaalvolume waterstofvraag is overgenomen uit de CES (pagina 32, figuur 2.10).&lt;/bron&gt;nvtnvt</v>
      </c>
      <c r="D25" s="5" t="str">
        <f t="shared" si="1"/>
        <v/>
      </c>
      <c r="E25" t="str">
        <f>data_rotterdam_moerdijk!D288</f>
        <v>&lt;bron&gt;&lt;strong&gt;[Rotterdam-Moerdijk]&lt;/strong&gt; Het totaalvolume waterstofvraag is overgenomen uit de CES (pagina 16).&lt;/bron&gt;</v>
      </c>
      <c r="F25" t="str">
        <f>data_rotterdam_moerdijk!D366</f>
        <v/>
      </c>
      <c r="G25" t="str">
        <f>data_zeeland!D291</f>
        <v>&lt;bron&gt;&lt;strong&gt;[Zeeland]&lt;/strong&gt; Het totaalvolume waterstofvraag is overgenomen uit de CES (pagina 32, figuur 2.10).&lt;/bron&gt;</v>
      </c>
      <c r="H25" t="str">
        <f>data_zeeland!D369</f>
        <v/>
      </c>
      <c r="I25" t="str">
        <f>data_noordzeekanaalgebied!D228</f>
        <v>nvt</v>
      </c>
      <c r="J25" t="str">
        <f>data_noordzeekanaalgebied!D306</f>
        <v/>
      </c>
      <c r="K25" t="str">
        <f>data_noord_nederland!D237</f>
        <v>nvt</v>
      </c>
      <c r="L25" t="str">
        <f>data_noord_nederland!D315</f>
        <v/>
      </c>
    </row>
    <row r="26" spans="2:12" x14ac:dyDescent="0.2">
      <c r="B26" s="62" t="str">
        <f>nodes!C25</f>
        <v>waterstof_aardgassubstitutie</v>
      </c>
      <c r="C26" s="5" t="str">
        <f t="shared" si="0"/>
        <v>0000</v>
      </c>
      <c r="D26" s="5" t="str">
        <f t="shared" si="1"/>
        <v>0000</v>
      </c>
      <c r="E26">
        <f>data_rotterdam_moerdijk!D289</f>
        <v>0</v>
      </c>
      <c r="F26">
        <f>data_rotterdam_moerdijk!D367</f>
        <v>0</v>
      </c>
      <c r="G26">
        <f>data_zeeland!D292</f>
        <v>0</v>
      </c>
      <c r="H26">
        <f>data_zeeland!D370</f>
        <v>0</v>
      </c>
      <c r="I26">
        <f>data_noordzeekanaalgebied!D229</f>
        <v>0</v>
      </c>
      <c r="J26">
        <f>data_noordzeekanaalgebied!D307</f>
        <v>0</v>
      </c>
      <c r="K26">
        <f>data_noord_nederland!D238</f>
        <v>0</v>
      </c>
      <c r="L26">
        <f>data_noord_nederland!D316</f>
        <v>0</v>
      </c>
    </row>
    <row r="27" spans="2:12" x14ac:dyDescent="0.2">
      <c r="B27" s="62" t="str">
        <f>nodes!C26</f>
        <v>waterstof_additioneel_overige</v>
      </c>
      <c r="C27" s="5" t="str">
        <f t="shared" si="0"/>
        <v>nvtnvt</v>
      </c>
      <c r="D27" s="5" t="str">
        <f t="shared" si="1"/>
        <v/>
      </c>
      <c r="E27" t="str">
        <f>data_rotterdam_moerdijk!D290</f>
        <v/>
      </c>
      <c r="F27" t="str">
        <f>data_rotterdam_moerdijk!D368</f>
        <v/>
      </c>
      <c r="G27" t="str">
        <f>data_zeeland!D293</f>
        <v/>
      </c>
      <c r="H27" t="str">
        <f>data_zeeland!D371</f>
        <v/>
      </c>
      <c r="I27" t="str">
        <f>data_noordzeekanaalgebied!D230</f>
        <v>nvt</v>
      </c>
      <c r="J27" t="str">
        <f>data_noordzeekanaalgebied!D308</f>
        <v/>
      </c>
      <c r="K27" t="str">
        <f>data_noord_nederland!D239</f>
        <v>nvt</v>
      </c>
      <c r="L27" t="str">
        <f>data_noord_nederland!D317</f>
        <v/>
      </c>
    </row>
    <row r="28" spans="2:12" x14ac:dyDescent="0.2">
      <c r="B28" s="62" t="str">
        <f>nodes!C27</f>
        <v>waterstof_restgassubstitutie</v>
      </c>
      <c r="C28" s="5" t="str">
        <f t="shared" si="0"/>
        <v>0000</v>
      </c>
      <c r="D28" s="5" t="str">
        <f t="shared" si="1"/>
        <v>0000</v>
      </c>
      <c r="E28">
        <f>data_rotterdam_moerdijk!D291</f>
        <v>0</v>
      </c>
      <c r="F28">
        <f>data_rotterdam_moerdijk!D369</f>
        <v>0</v>
      </c>
      <c r="G28">
        <f>data_zeeland!D294</f>
        <v>0</v>
      </c>
      <c r="H28">
        <f>data_zeeland!D372</f>
        <v>0</v>
      </c>
      <c r="I28">
        <f>data_noordzeekanaalgebied!D231</f>
        <v>0</v>
      </c>
      <c r="J28">
        <f>data_noordzeekanaalgebied!D309</f>
        <v>0</v>
      </c>
      <c r="K28">
        <f>data_noord_nederland!D240</f>
        <v>0</v>
      </c>
      <c r="L28">
        <f>data_noord_nederland!D318</f>
        <v>0</v>
      </c>
    </row>
    <row r="29" spans="2:12" x14ac:dyDescent="0.2">
      <c r="B29" s="62"/>
      <c r="C29" s="5"/>
      <c r="D29" s="5"/>
    </row>
    <row r="30" spans="2:12" x14ac:dyDescent="0.2">
      <c r="B30" s="62" t="str">
        <f>nodes!C29</f>
        <v>blauwe_waterstof</v>
      </c>
      <c r="C30" s="5" t="str">
        <f t="shared" si="0"/>
        <v>nvtnvt</v>
      </c>
      <c r="D30" s="5" t="str">
        <f t="shared" si="1"/>
        <v>&lt;bron&gt;&lt;strong&gt;[Rotterdam-Moerdijk]&lt;/strong&gt; Het productievolume blauwe waterstof is overgenomen uit de CES (pagina 19).&lt;/bron&gt;&lt;bron&gt;&lt;strong&gt;[Zeeland]&lt;/strong&gt; Het productievolume blauwe waterstof is overgenomen uit de CES (pagina 29 figuur 2.9).&lt;/bron&gt;&lt;aanname&gt;&lt;strong&gt;[Noord-Nederland]&lt;/strong&gt; Het productievolume blauwe waterstof is berekend op basis van het aardgasverbruik voor waterstofproductie vermeld in figuur 4.3, pagina 21 en een aangenomen conversierendement van 0.65.&lt;/aanname&gt;</v>
      </c>
      <c r="E30" t="str">
        <f>data_rotterdam_moerdijk!D293</f>
        <v/>
      </c>
      <c r="F30" t="str">
        <f>data_rotterdam_moerdijk!D371</f>
        <v>&lt;bron&gt;&lt;strong&gt;[Rotterdam-Moerdijk]&lt;/strong&gt; Het productievolume blauwe waterstof is overgenomen uit de CES (pagina 19).&lt;/bron&gt;</v>
      </c>
      <c r="G30" t="str">
        <f>data_zeeland!D296</f>
        <v/>
      </c>
      <c r="H30" t="str">
        <f>data_zeeland!D374</f>
        <v>&lt;bron&gt;&lt;strong&gt;[Zeeland]&lt;/strong&gt; Het productievolume blauwe waterstof is overgenomen uit de CES (pagina 29 figuur 2.9).&lt;/bron&gt;</v>
      </c>
      <c r="I30" t="str">
        <f>data_noordzeekanaalgebied!D233</f>
        <v>nvt</v>
      </c>
      <c r="J30" t="str">
        <f>data_noordzeekanaalgebied!D311</f>
        <v/>
      </c>
      <c r="K30" t="str">
        <f>data_noord_nederland!D242</f>
        <v>nvt</v>
      </c>
      <c r="L30" t="str">
        <f>data_noord_nederland!D320</f>
        <v>&lt;aanname&gt;&lt;strong&gt;[Noord-Nederland]&lt;/strong&gt; Het productievolume blauwe waterstof is berekend op basis van het aardgasverbruik voor waterstofproductie vermeld in figuur 4.3, pagina 21 en een aangenomen conversierendement van 0.65.&lt;/aanname&gt;</v>
      </c>
    </row>
    <row r="31" spans="2:12" x14ac:dyDescent="0.2">
      <c r="B31" s="62" t="str">
        <f>nodes!C30</f>
        <v>grijze_waterstof</v>
      </c>
      <c r="C31" s="5" t="str">
        <f t="shared" ref="C31" si="2">E31&amp;G31&amp;I31&amp;K31</f>
        <v>&lt;bron&gt;&lt;strong&gt;[Rotterdam-Moerdijk]&lt;/strong&gt; Het productievolume grijze waterstof Is overgenomen uit de CES (pagina 19).&lt;/bron&gt;&lt;bron&gt;&lt;strong&gt;[Zeeland]&lt;/strong&gt; Het productievolume grijze waterstof Is overgenomen uit de CES (pagina 32 figuur 2.10, pagina 29 figuur 2.9).&lt;/bron&gt;00</v>
      </c>
      <c r="D31" s="5" t="str">
        <f t="shared" ref="D31" si="3">F31&amp;H31&amp;J31&amp;L31</f>
        <v>0&lt;bron&gt;&lt;strong&gt;[Zeeland]&lt;/strong&gt; Het productievolume grijze waterstof Is overgenomen uit de CES (pagina 32 figuur 2.10, pagina 29 figuur 2.9).&lt;/bron&gt;00</v>
      </c>
      <c r="E31" t="str">
        <f>data_rotterdam_moerdijk!D294</f>
        <v>&lt;bron&gt;&lt;strong&gt;[Rotterdam-Moerdijk]&lt;/strong&gt; Het productievolume grijze waterstof Is overgenomen uit de CES (pagina 19).&lt;/bron&gt;</v>
      </c>
      <c r="F31">
        <f>data_rotterdam_moerdijk!D372</f>
        <v>0</v>
      </c>
      <c r="G31" t="str">
        <f>data_zeeland!D297</f>
        <v>&lt;bron&gt;&lt;strong&gt;[Zeeland]&lt;/strong&gt; Het productievolume grijze waterstof Is overgenomen uit de CES (pagina 32 figuur 2.10, pagina 29 figuur 2.9).&lt;/bron&gt;</v>
      </c>
      <c r="H31" t="str">
        <f>data_zeeland!D375</f>
        <v>&lt;bron&gt;&lt;strong&gt;[Zeeland]&lt;/strong&gt; Het productievolume grijze waterstof Is overgenomen uit de CES (pagina 32 figuur 2.10, pagina 29 figuur 2.9).&lt;/bron&gt;</v>
      </c>
      <c r="I31">
        <f>data_noordzeekanaalgebied!D234</f>
        <v>0</v>
      </c>
      <c r="J31">
        <f>data_noordzeekanaalgebied!D312</f>
        <v>0</v>
      </c>
      <c r="K31">
        <f>data_noord_nederland!D243</f>
        <v>0</v>
      </c>
      <c r="L31">
        <f>data_noord_nederland!D321</f>
        <v>0</v>
      </c>
    </row>
    <row r="32" spans="2:12" x14ac:dyDescent="0.2">
      <c r="B32" s="62" t="str">
        <f>nodes!C31</f>
        <v>groene_waterstof</v>
      </c>
      <c r="C32" s="5" t="str">
        <f t="shared" si="0"/>
        <v>nvtnvt</v>
      </c>
      <c r="D32" s="5" t="str">
        <f t="shared" si="1"/>
        <v>&lt;bron&gt;&lt;strong&gt;[Rotterdam-Moerdijk]&lt;/strong&gt; Het productievolume groene waterstof is overgenomen uit de CES (pagina 17, pagina 19).&lt;/bron&gt;&lt;bron&gt;&lt;strong&gt;[Zeeland]&lt;/strong&gt; Het productievolume groene waterstof is overgenomen uit de CES (pagina 32 figuur 2.10, pagina 29 figuur 2.9).&lt;/bron&gt;&lt;bron&gt;&lt;strong&gt;[Noordzeekanaalgebied]&lt;/strong&gt; Het productievolume groene waterstof is overgenomen uit de CES (pagina 39, figuur 13).&lt;/bron&gt;&lt;aanname&gt;&lt;strong&gt;[Noord-Nederland]&lt;/strong&gt; Het productievolume groene waterstof is berekend op basis van het volume elektriciteitsverbruik voor waterstofproductie vermeld in figuur 4.3, pagina 21 en een aangenomen conversie-rendement van 0.65.&lt;/aanname&gt;</v>
      </c>
      <c r="E32" t="str">
        <f>data_rotterdam_moerdijk!D295</f>
        <v/>
      </c>
      <c r="F32" t="str">
        <f>data_rotterdam_moerdijk!D373</f>
        <v>&lt;bron&gt;&lt;strong&gt;[Rotterdam-Moerdijk]&lt;/strong&gt; Het productievolume groene waterstof is overgenomen uit de CES (pagina 17, pagina 19).&lt;/bron&gt;</v>
      </c>
      <c r="G32" t="str">
        <f>data_zeeland!D298</f>
        <v/>
      </c>
      <c r="H32" t="str">
        <f>data_zeeland!D376</f>
        <v>&lt;bron&gt;&lt;strong&gt;[Zeeland]&lt;/strong&gt; Het productievolume groene waterstof is overgenomen uit de CES (pagina 32 figuur 2.10, pagina 29 figuur 2.9).&lt;/bron&gt;</v>
      </c>
      <c r="I32" t="str">
        <f>data_noordzeekanaalgebied!D235</f>
        <v>nvt</v>
      </c>
      <c r="J32" t="str">
        <f>data_noordzeekanaalgebied!D313</f>
        <v>&lt;bron&gt;&lt;strong&gt;[Noordzeekanaalgebied]&lt;/strong&gt; Het productievolume groene waterstof is overgenomen uit de CES (pagina 39, figuur 13).&lt;/bron&gt;</v>
      </c>
      <c r="K32" t="str">
        <f>data_noord_nederland!D244</f>
        <v>nvt</v>
      </c>
      <c r="L32" t="str">
        <f>data_noord_nederland!D322</f>
        <v>&lt;aanname&gt;&lt;strong&gt;[Noord-Nederland]&lt;/strong&gt; Het productievolume groene waterstof is berekend op basis van het volume elektriciteitsverbruik voor waterstofproductie vermeld in figuur 4.3, pagina 21 en een aangenomen conversie-rendement van 0.65.&lt;/aanname&gt;</v>
      </c>
    </row>
    <row r="33" spans="2:12" x14ac:dyDescent="0.2">
      <c r="B33" s="62"/>
      <c r="C33" s="5"/>
      <c r="D33" s="5"/>
    </row>
    <row r="34" spans="2:12" x14ac:dyDescent="0.2">
      <c r="B34" s="62" t="str">
        <f>nodes!C33</f>
        <v>waterstof_mixer</v>
      </c>
      <c r="C34" s="5" t="str">
        <f t="shared" si="0"/>
        <v>0000</v>
      </c>
      <c r="D34" s="5" t="str">
        <f t="shared" si="1"/>
        <v>0000</v>
      </c>
      <c r="E34">
        <f>data_rotterdam_moerdijk!D297</f>
        <v>0</v>
      </c>
      <c r="F34">
        <f>data_rotterdam_moerdijk!D375</f>
        <v>0</v>
      </c>
      <c r="G34">
        <f>data_zeeland!D300</f>
        <v>0</v>
      </c>
      <c r="H34">
        <f>data_zeeland!D378</f>
        <v>0</v>
      </c>
      <c r="I34">
        <f>data_noordzeekanaalgebied!D237</f>
        <v>0</v>
      </c>
      <c r="J34">
        <f>data_noordzeekanaalgebied!D315</f>
        <v>0</v>
      </c>
      <c r="K34">
        <f>data_noord_nederland!D246</f>
        <v>0</v>
      </c>
      <c r="L34">
        <f>data_noord_nederland!D324</f>
        <v>0</v>
      </c>
    </row>
    <row r="35" spans="2:12" x14ac:dyDescent="0.2">
      <c r="B35" s="62"/>
      <c r="C35" s="5"/>
      <c r="D35" s="5"/>
    </row>
    <row r="36" spans="2:12" x14ac:dyDescent="0.2">
      <c r="B36" s="62" t="str">
        <f>nodes!C35</f>
        <v>industrie</v>
      </c>
      <c r="C36" s="5" t="str">
        <f t="shared" si="0"/>
        <v>0000</v>
      </c>
      <c r="D36" s="5" t="str">
        <f t="shared" si="1"/>
        <v>0000</v>
      </c>
      <c r="E36">
        <f>data_rotterdam_moerdijk!D299</f>
        <v>0</v>
      </c>
      <c r="F36">
        <f>data_rotterdam_moerdijk!D377</f>
        <v>0</v>
      </c>
      <c r="G36">
        <f>data_zeeland!D302</f>
        <v>0</v>
      </c>
      <c r="H36">
        <f>data_zeeland!D380</f>
        <v>0</v>
      </c>
      <c r="I36">
        <f>data_noordzeekanaalgebied!D239</f>
        <v>0</v>
      </c>
      <c r="J36">
        <f>data_noordzeekanaalgebied!D317</f>
        <v>0</v>
      </c>
      <c r="K36">
        <f>data_noord_nederland!D248</f>
        <v>0</v>
      </c>
      <c r="L36">
        <f>data_noord_nederland!D326</f>
        <v>0</v>
      </c>
    </row>
    <row r="37" spans="2:12" x14ac:dyDescent="0.2">
      <c r="B37" s="62" t="str">
        <f>nodes!C36</f>
        <v>export</v>
      </c>
      <c r="C37" s="5" t="str">
        <f t="shared" si="0"/>
        <v>0000</v>
      </c>
      <c r="D37" s="5" t="str">
        <f t="shared" si="1"/>
        <v>&lt;bron&gt;&lt;strong&gt;[Rotterdam-Moerdijk]&lt;/strong&gt; Het exportvolume waterstof is overgenomen uit de CES (pagina 17).&lt;/bron&gt;&lt;bron&gt;&lt;strong&gt;[Zeeland]&lt;/strong&gt; Het exportvolume waterstof is overgenomen uit de CES (pagina 32, figuur 2.10).&lt;/bron&gt;&lt;bron&gt;&lt;strong&gt;[Noordzeekanaalgebied]&lt;/strong&gt; Het exportvolume waterstof is overgenomen uit de CES (pagina 39, figuur 13).&lt;/bron&gt;&lt;bron&gt;&lt;strong&gt;[Noord-Nederland]&lt;/strong&gt; Het exportvolume waterstof is overgenomen uit de CES pagina 21, figuur 4.3).&lt;/bron&gt;</v>
      </c>
      <c r="E37">
        <f>data_rotterdam_moerdijk!D300</f>
        <v>0</v>
      </c>
      <c r="F37" t="str">
        <f>data_rotterdam_moerdijk!D378</f>
        <v>&lt;bron&gt;&lt;strong&gt;[Rotterdam-Moerdijk]&lt;/strong&gt; Het exportvolume waterstof is overgenomen uit de CES (pagina 17).&lt;/bron&gt;</v>
      </c>
      <c r="G37">
        <f>data_zeeland!D303</f>
        <v>0</v>
      </c>
      <c r="H37" t="str">
        <f>data_zeeland!D381</f>
        <v>&lt;bron&gt;&lt;strong&gt;[Zeeland]&lt;/strong&gt; Het exportvolume waterstof is overgenomen uit de CES (pagina 32, figuur 2.10).&lt;/bron&gt;</v>
      </c>
      <c r="I37">
        <f>data_noordzeekanaalgebied!D240</f>
        <v>0</v>
      </c>
      <c r="J37" t="str">
        <f>data_noordzeekanaalgebied!D318</f>
        <v>&lt;bron&gt;&lt;strong&gt;[Noordzeekanaalgebied]&lt;/strong&gt; Het exportvolume waterstof is overgenomen uit de CES (pagina 39, figuur 13).&lt;/bron&gt;</v>
      </c>
      <c r="K37">
        <f>data_noord_nederland!D249</f>
        <v>0</v>
      </c>
      <c r="L37" t="str">
        <f>data_noord_nederland!D327</f>
        <v>&lt;bron&gt;&lt;strong&gt;[Noord-Nederland]&lt;/strong&gt; Het exportvolume waterstof is overgenomen uit de CES pagina 21, figuur 4.3).&lt;/bron&gt;</v>
      </c>
    </row>
    <row r="38" spans="2:12" x14ac:dyDescent="0.2">
      <c r="B38" s="62"/>
      <c r="C38" s="5"/>
      <c r="D38" s="5"/>
    </row>
    <row r="39" spans="2:12" x14ac:dyDescent="0.2">
      <c r="B39" s="62" t="str">
        <f>nodes!C38</f>
        <v>waterstof_naar_elektriciteitscentrales</v>
      </c>
      <c r="C39" s="5" t="str">
        <f t="shared" si="0"/>
        <v>0000</v>
      </c>
      <c r="D39" s="5" t="str">
        <f t="shared" si="1"/>
        <v>0000</v>
      </c>
      <c r="E39">
        <f>data_rotterdam_moerdijk!D302</f>
        <v>0</v>
      </c>
      <c r="F39">
        <f>data_rotterdam_moerdijk!D380</f>
        <v>0</v>
      </c>
      <c r="G39">
        <f>data_zeeland!D305</f>
        <v>0</v>
      </c>
      <c r="H39">
        <f>data_zeeland!D383</f>
        <v>0</v>
      </c>
      <c r="I39">
        <f>data_noordzeekanaalgebied!D242</f>
        <v>0</v>
      </c>
      <c r="J39">
        <f>data_noordzeekanaalgebied!D320</f>
        <v>0</v>
      </c>
      <c r="K39">
        <f>data_noord_nederland!D251</f>
        <v>0</v>
      </c>
      <c r="L39">
        <f>data_noord_nederland!D329</f>
        <v>0</v>
      </c>
    </row>
    <row r="40" spans="2:12" x14ac:dyDescent="0.2">
      <c r="B40" s="62"/>
      <c r="C40" s="5"/>
      <c r="D40" s="5"/>
    </row>
    <row r="41" spans="2:12" x14ac:dyDescent="0.2">
      <c r="B41" s="62" t="str">
        <f>nodes!C40</f>
        <v>reserveslot_1</v>
      </c>
      <c r="C41" s="5" t="str">
        <f t="shared" si="0"/>
        <v>0000</v>
      </c>
      <c r="D41" s="5" t="str">
        <f t="shared" si="1"/>
        <v>0000</v>
      </c>
      <c r="E41">
        <f>data_rotterdam_moerdijk!D304</f>
        <v>0</v>
      </c>
      <c r="F41">
        <f>data_rotterdam_moerdijk!D382</f>
        <v>0</v>
      </c>
      <c r="G41">
        <f>data_zeeland!D307</f>
        <v>0</v>
      </c>
      <c r="H41">
        <f>data_zeeland!D385</f>
        <v>0</v>
      </c>
      <c r="I41">
        <f>data_noordzeekanaalgebied!D244</f>
        <v>0</v>
      </c>
      <c r="J41">
        <f>data_noordzeekanaalgebied!D322</f>
        <v>0</v>
      </c>
      <c r="K41">
        <f>data_noord_nederland!D253</f>
        <v>0</v>
      </c>
      <c r="L41">
        <f>data_noord_nederland!D331</f>
        <v>0</v>
      </c>
    </row>
    <row r="42" spans="2:12" x14ac:dyDescent="0.2">
      <c r="B42" s="62" t="str">
        <f>nodes!C41</f>
        <v>reserveslot_2</v>
      </c>
      <c r="C42" s="5" t="str">
        <f t="shared" si="0"/>
        <v>0000</v>
      </c>
      <c r="D42" s="5" t="str">
        <f t="shared" si="1"/>
        <v>0000</v>
      </c>
      <c r="E42">
        <f>data_rotterdam_moerdijk!D305</f>
        <v>0</v>
      </c>
      <c r="F42">
        <f>data_rotterdam_moerdijk!D383</f>
        <v>0</v>
      </c>
      <c r="G42">
        <f>data_zeeland!D308</f>
        <v>0</v>
      </c>
      <c r="H42">
        <f>data_zeeland!D386</f>
        <v>0</v>
      </c>
      <c r="I42">
        <f>data_noordzeekanaalgebied!D245</f>
        <v>0</v>
      </c>
      <c r="J42">
        <f>data_noordzeekanaalgebied!D323</f>
        <v>0</v>
      </c>
      <c r="K42">
        <f>data_noord_nederland!D254</f>
        <v>0</v>
      </c>
      <c r="L42">
        <f>data_noord_nederland!D332</f>
        <v>0</v>
      </c>
    </row>
    <row r="43" spans="2:12" x14ac:dyDescent="0.2">
      <c r="B43" s="62" t="str">
        <f>nodes!C42</f>
        <v>reserveslot_3</v>
      </c>
      <c r="C43" s="5" t="str">
        <f t="shared" si="0"/>
        <v>0000</v>
      </c>
      <c r="D43" s="5" t="str">
        <f t="shared" si="1"/>
        <v>0000</v>
      </c>
      <c r="E43">
        <f>data_rotterdam_moerdijk!D306</f>
        <v>0</v>
      </c>
      <c r="F43">
        <f>data_rotterdam_moerdijk!D384</f>
        <v>0</v>
      </c>
      <c r="G43">
        <f>data_zeeland!D309</f>
        <v>0</v>
      </c>
      <c r="H43">
        <f>data_zeeland!D387</f>
        <v>0</v>
      </c>
      <c r="I43">
        <f>data_noordzeekanaalgebied!D246</f>
        <v>0</v>
      </c>
      <c r="J43">
        <f>data_noordzeekanaalgebied!D324</f>
        <v>0</v>
      </c>
      <c r="K43">
        <f>data_noord_nederland!D255</f>
        <v>0</v>
      </c>
      <c r="L43">
        <f>data_noord_nederland!D333</f>
        <v>0</v>
      </c>
    </row>
    <row r="44" spans="2:12" x14ac:dyDescent="0.2">
      <c r="B44" s="62" t="str">
        <f>nodes!C43</f>
        <v>reserveslot_4</v>
      </c>
      <c r="C44" s="5" t="str">
        <f t="shared" si="0"/>
        <v>0000</v>
      </c>
      <c r="D44" s="5" t="str">
        <f t="shared" si="1"/>
        <v>0000</v>
      </c>
      <c r="E44">
        <f>data_rotterdam_moerdijk!D307</f>
        <v>0</v>
      </c>
      <c r="F44">
        <f>data_rotterdam_moerdijk!D385</f>
        <v>0</v>
      </c>
      <c r="G44">
        <f>data_zeeland!D310</f>
        <v>0</v>
      </c>
      <c r="H44">
        <f>data_zeeland!D388</f>
        <v>0</v>
      </c>
      <c r="I44">
        <f>data_noordzeekanaalgebied!D247</f>
        <v>0</v>
      </c>
      <c r="J44">
        <f>data_noordzeekanaalgebied!D325</f>
        <v>0</v>
      </c>
      <c r="K44">
        <f>data_noord_nederland!D256</f>
        <v>0</v>
      </c>
      <c r="L44">
        <f>data_noord_nederland!D334</f>
        <v>0</v>
      </c>
    </row>
    <row r="45" spans="2:12" x14ac:dyDescent="0.2">
      <c r="B45" s="62" t="str">
        <f>nodes!C44</f>
        <v>reserveslot_5</v>
      </c>
      <c r="C45" s="5" t="str">
        <f t="shared" si="0"/>
        <v>0000</v>
      </c>
      <c r="D45" s="5" t="str">
        <f t="shared" si="1"/>
        <v>0000</v>
      </c>
      <c r="E45">
        <f>data_rotterdam_moerdijk!D308</f>
        <v>0</v>
      </c>
      <c r="F45">
        <f>data_rotterdam_moerdijk!D386</f>
        <v>0</v>
      </c>
      <c r="G45">
        <f>data_zeeland!D311</f>
        <v>0</v>
      </c>
      <c r="H45">
        <f>data_zeeland!D389</f>
        <v>0</v>
      </c>
      <c r="I45">
        <f>data_noordzeekanaalgebied!D248</f>
        <v>0</v>
      </c>
      <c r="J45">
        <f>data_noordzeekanaalgebied!D326</f>
        <v>0</v>
      </c>
      <c r="K45">
        <f>data_noord_nederland!D257</f>
        <v>0</v>
      </c>
      <c r="L45">
        <f>data_noord_nederland!D335</f>
        <v>0</v>
      </c>
    </row>
    <row r="46" spans="2:12" x14ac:dyDescent="0.2">
      <c r="B46" s="62" t="str">
        <f>nodes!C45</f>
        <v>reserveslot_6</v>
      </c>
      <c r="C46" s="5" t="str">
        <f t="shared" si="0"/>
        <v>0000</v>
      </c>
      <c r="D46" s="5" t="str">
        <f t="shared" si="1"/>
        <v>0000</v>
      </c>
      <c r="E46">
        <f>data_rotterdam_moerdijk!D309</f>
        <v>0</v>
      </c>
      <c r="F46">
        <f>data_rotterdam_moerdijk!D387</f>
        <v>0</v>
      </c>
      <c r="G46">
        <f>data_zeeland!D312</f>
        <v>0</v>
      </c>
      <c r="H46">
        <f>data_zeeland!D390</f>
        <v>0</v>
      </c>
      <c r="I46">
        <f>data_noordzeekanaalgebied!D249</f>
        <v>0</v>
      </c>
      <c r="J46">
        <f>data_noordzeekanaalgebied!D327</f>
        <v>0</v>
      </c>
      <c r="K46">
        <f>data_noord_nederland!D258</f>
        <v>0</v>
      </c>
      <c r="L46">
        <f>data_noord_nederland!D336</f>
        <v>0</v>
      </c>
    </row>
    <row r="47" spans="2:12" x14ac:dyDescent="0.2">
      <c r="B47" s="62" t="str">
        <f>nodes!C46</f>
        <v>reserveslot_7</v>
      </c>
      <c r="C47" s="5" t="str">
        <f t="shared" si="0"/>
        <v>0000</v>
      </c>
      <c r="D47" s="5" t="str">
        <f t="shared" si="1"/>
        <v>0000</v>
      </c>
      <c r="E47">
        <f>data_rotterdam_moerdijk!D310</f>
        <v>0</v>
      </c>
      <c r="F47">
        <f>data_rotterdam_moerdijk!D388</f>
        <v>0</v>
      </c>
      <c r="G47">
        <f>data_zeeland!D313</f>
        <v>0</v>
      </c>
      <c r="H47">
        <f>data_zeeland!D391</f>
        <v>0</v>
      </c>
      <c r="I47">
        <f>data_noordzeekanaalgebied!D250</f>
        <v>0</v>
      </c>
      <c r="J47">
        <f>data_noordzeekanaalgebied!D328</f>
        <v>0</v>
      </c>
      <c r="K47">
        <f>data_noord_nederland!D259</f>
        <v>0</v>
      </c>
      <c r="L47">
        <f>data_noord_nederland!D337</f>
        <v>0</v>
      </c>
    </row>
    <row r="48" spans="2:12" x14ac:dyDescent="0.2">
      <c r="B48" s="62" t="str">
        <f>nodes!C47</f>
        <v>reserveslot_8</v>
      </c>
      <c r="C48" s="5" t="str">
        <f t="shared" si="0"/>
        <v>0000</v>
      </c>
      <c r="D48" s="5" t="str">
        <f t="shared" si="1"/>
        <v>0000</v>
      </c>
      <c r="E48">
        <f>data_rotterdam_moerdijk!D311</f>
        <v>0</v>
      </c>
      <c r="F48">
        <f>data_rotterdam_moerdijk!D389</f>
        <v>0</v>
      </c>
      <c r="G48">
        <f>data_zeeland!D314</f>
        <v>0</v>
      </c>
      <c r="H48">
        <f>data_zeeland!D392</f>
        <v>0</v>
      </c>
      <c r="I48">
        <f>data_noordzeekanaalgebied!D251</f>
        <v>0</v>
      </c>
      <c r="J48">
        <f>data_noordzeekanaalgebied!D329</f>
        <v>0</v>
      </c>
      <c r="K48">
        <f>data_noord_nederland!D260</f>
        <v>0</v>
      </c>
      <c r="L48">
        <f>data_noord_nederland!D338</f>
        <v>0</v>
      </c>
    </row>
    <row r="49" spans="2:12" x14ac:dyDescent="0.2">
      <c r="B49" s="62" t="str">
        <f>nodes!C48</f>
        <v>reserveslot_9</v>
      </c>
      <c r="C49" s="5" t="str">
        <f t="shared" si="0"/>
        <v>0000</v>
      </c>
      <c r="D49" s="5" t="str">
        <f t="shared" si="1"/>
        <v>0000</v>
      </c>
      <c r="E49">
        <f>data_rotterdam_moerdijk!D312</f>
        <v>0</v>
      </c>
      <c r="F49">
        <f>data_rotterdam_moerdijk!D390</f>
        <v>0</v>
      </c>
      <c r="G49">
        <f>data_zeeland!D315</f>
        <v>0</v>
      </c>
      <c r="H49">
        <f>data_zeeland!D393</f>
        <v>0</v>
      </c>
      <c r="I49">
        <f>data_noordzeekanaalgebied!D252</f>
        <v>0</v>
      </c>
      <c r="J49">
        <f>data_noordzeekanaalgebied!D330</f>
        <v>0</v>
      </c>
      <c r="K49">
        <f>data_noord_nederland!D261</f>
        <v>0</v>
      </c>
      <c r="L49">
        <f>data_noord_nederland!D339</f>
        <v>0</v>
      </c>
    </row>
    <row r="50" spans="2:12" x14ac:dyDescent="0.2">
      <c r="B50" s="62" t="str">
        <f>nodes!C49</f>
        <v>reserveslot_10</v>
      </c>
      <c r="C50" s="5" t="str">
        <f t="shared" si="0"/>
        <v>0000</v>
      </c>
      <c r="D50" s="5" t="str">
        <f t="shared" si="1"/>
        <v>0000</v>
      </c>
      <c r="E50">
        <f>data_rotterdam_moerdijk!D313</f>
        <v>0</v>
      </c>
      <c r="F50">
        <f>data_rotterdam_moerdijk!D391</f>
        <v>0</v>
      </c>
      <c r="G50">
        <f>data_zeeland!D316</f>
        <v>0</v>
      </c>
      <c r="H50">
        <f>data_zeeland!D394</f>
        <v>0</v>
      </c>
      <c r="I50">
        <f>data_noordzeekanaalgebied!D253</f>
        <v>0</v>
      </c>
      <c r="J50">
        <f>data_noordzeekanaalgebied!D331</f>
        <v>0</v>
      </c>
      <c r="K50">
        <f>data_noord_nederland!D262</f>
        <v>0</v>
      </c>
      <c r="L50">
        <f>data_noord_nederland!D340</f>
        <v>0</v>
      </c>
    </row>
    <row r="51" spans="2:12" x14ac:dyDescent="0.2">
      <c r="B51" s="62"/>
      <c r="C51" s="5"/>
      <c r="D51" s="5"/>
    </row>
    <row r="52" spans="2:12" x14ac:dyDescent="0.2">
      <c r="B52" s="62" t="str">
        <f>nodes!C51</f>
        <v>co2_bron_aardgasverbranding</v>
      </c>
      <c r="C52" s="5" t="str">
        <f t="shared" si="0"/>
        <v>&lt;aanname&gt;&lt;strong&gt;[Rotterdam-Moerdijk]&lt;/strong&gt; Berekende CO&lt;sub&gt;2&lt;/sub&gt;-emissie bij verbranding van 61 PJ aardgas @ 56.4 ktonCO&lt;sub&gt;2&lt;/sub&gt;/PJ.&lt;/aanname&gt;&lt;aanname&gt;&lt;strong&gt;[Zeeland]&lt;/strong&gt; Berekende CO&lt;sub&gt;2&lt;/sub&gt;-emissie bij verbranding van 70 PJ aardgas @ 56.4 ktonCO&lt;sub&gt;2&lt;/sub&gt;/PJ.&lt;/aanname&gt;&lt;aanname&gt;&lt;strong&gt;[Noordzeekanaalgebied]&lt;/strong&gt; Berekende CO&lt;sub&gt;2&lt;/sub&gt;-emissie bij verbranding van 17 PJ aardgas @ 56.4 ktonCO&lt;sub&gt;2&lt;/sub&gt;/PJ.&lt;/aanname&gt;&lt;aanname&gt;&lt;strong&gt;[Noord-Nederland]&lt;/strong&gt; Berekende CO&lt;sub&gt;2&lt;/sub&gt;-emissie bij verbranding van 18 PJ aardgas @ 56.4 ktonCO&lt;sub&gt;2&lt;/sub&gt;/PJ.&lt;/aanname&gt;</v>
      </c>
      <c r="D52" s="5" t="str">
        <f t="shared" si="1"/>
        <v>&lt;aanname&gt;&lt;strong&gt;[Rotterdam-Moerdijk]&lt;/strong&gt; Berekende CO&lt;sub&gt;2&lt;/sub&gt;-emissie bij verbranding van 53 PJ aardgas @ 56.4 ktonCO&lt;sub&gt;2&lt;/sub&gt;/PJ.&lt;/aanname&gt;&lt;aanname&gt;&lt;strong&gt;[Zeeland]&lt;/strong&gt; Berekende CO&lt;sub&gt;2&lt;/sub&gt;-emissie bij verbranding van 2 PJ aardgas @ 56.4 ktonCO&lt;sub&gt;2&lt;/sub&gt;/PJ.&lt;/aanname&gt;&lt;aanname&gt;&lt;strong&gt;[Noordzeekanaalgebied]&lt;/strong&gt; Berekende CO&lt;sub&gt;2&lt;/sub&gt;-emissie bij verbranding van 18 PJ aardgas @ 56.4 ktonCO&lt;sub&gt;2&lt;/sub&gt;/PJ.&lt;/aanname&gt;&lt;aanname&gt;&lt;strong&gt;[Noord-Nederland]&lt;/strong&gt; Berekende CO&lt;sub&gt;2&lt;/sub&gt;-emissie bij verbranding van 9 PJ aardgas @ 56.4 ktonCO&lt;sub&gt;2&lt;/sub&gt;/PJ.&lt;/aanname&gt;</v>
      </c>
      <c r="E52" t="str">
        <f>data_rotterdam_moerdijk!D315</f>
        <v>&lt;aanname&gt;&lt;strong&gt;[Rotterdam-Moerdijk]&lt;/strong&gt; Berekende CO&lt;sub&gt;2&lt;/sub&gt;-emissie bij verbranding van 61 PJ aardgas @ 56.4 ktonCO&lt;sub&gt;2&lt;/sub&gt;/PJ.&lt;/aanname&gt;</v>
      </c>
      <c r="F52" t="str">
        <f>data_rotterdam_moerdijk!D393</f>
        <v>&lt;aanname&gt;&lt;strong&gt;[Rotterdam-Moerdijk]&lt;/strong&gt; Berekende CO&lt;sub&gt;2&lt;/sub&gt;-emissie bij verbranding van 53 PJ aardgas @ 56.4 ktonCO&lt;sub&gt;2&lt;/sub&gt;/PJ.&lt;/aanname&gt;</v>
      </c>
      <c r="G52" t="str">
        <f>data_zeeland!D318</f>
        <v>&lt;aanname&gt;&lt;strong&gt;[Zeeland]&lt;/strong&gt; Berekende CO&lt;sub&gt;2&lt;/sub&gt;-emissie bij verbranding van 70 PJ aardgas @ 56.4 ktonCO&lt;sub&gt;2&lt;/sub&gt;/PJ.&lt;/aanname&gt;</v>
      </c>
      <c r="H52" t="str">
        <f>data_zeeland!D396</f>
        <v>&lt;aanname&gt;&lt;strong&gt;[Zeeland]&lt;/strong&gt; Berekende CO&lt;sub&gt;2&lt;/sub&gt;-emissie bij verbranding van 2 PJ aardgas @ 56.4 ktonCO&lt;sub&gt;2&lt;/sub&gt;/PJ.&lt;/aanname&gt;</v>
      </c>
      <c r="I52" t="str">
        <f>data_noordzeekanaalgebied!D255</f>
        <v>&lt;aanname&gt;&lt;strong&gt;[Noordzeekanaalgebied]&lt;/strong&gt; Berekende CO&lt;sub&gt;2&lt;/sub&gt;-emissie bij verbranding van 17 PJ aardgas @ 56.4 ktonCO&lt;sub&gt;2&lt;/sub&gt;/PJ.&lt;/aanname&gt;</v>
      </c>
      <c r="J52" t="str">
        <f>data_noordzeekanaalgebied!D333</f>
        <v>&lt;aanname&gt;&lt;strong&gt;[Noordzeekanaalgebied]&lt;/strong&gt; Berekende CO&lt;sub&gt;2&lt;/sub&gt;-emissie bij verbranding van 18 PJ aardgas @ 56.4 ktonCO&lt;sub&gt;2&lt;/sub&gt;/PJ.&lt;/aanname&gt;</v>
      </c>
      <c r="K52" t="str">
        <f>data_noord_nederland!D264</f>
        <v>&lt;aanname&gt;&lt;strong&gt;[Noord-Nederland]&lt;/strong&gt; Berekende CO&lt;sub&gt;2&lt;/sub&gt;-emissie bij verbranding van 18 PJ aardgas @ 56.4 ktonCO&lt;sub&gt;2&lt;/sub&gt;/PJ.&lt;/aanname&gt;</v>
      </c>
      <c r="L52" t="str">
        <f>data_noord_nederland!D342</f>
        <v>&lt;aanname&gt;&lt;strong&gt;[Noord-Nederland]&lt;/strong&gt; Berekende CO&lt;sub&gt;2&lt;/sub&gt;-emissie bij verbranding van 9 PJ aardgas @ 56.4 ktonCO&lt;sub&gt;2&lt;/sub&gt;/PJ.&lt;/aanname&gt;</v>
      </c>
    </row>
    <row r="53" spans="2:12" x14ac:dyDescent="0.2">
      <c r="B53" s="62" t="str">
        <f>nodes!C52</f>
        <v>co2_bron_restgasverbranding</v>
      </c>
      <c r="C53" s="5" t="str">
        <f t="shared" si="0"/>
        <v>&lt;aanname&gt;&lt;strong&gt;[Rotterdam-Moerdijk]&lt;/strong&gt; Berekende CO&lt;sub&gt;2&lt;/sub&gt;-emissie bij verbranding van 99 PJ restgas @ 64.6 ktonCO&lt;sub&gt;2&lt;/sub&gt;/PJ.&lt;/aanname&gt;&lt;aanname&gt;&lt;strong&gt;[Zeeland]&lt;/strong&gt; Berekende CO&lt;sub&gt;2&lt;/sub&gt;-emissie bij verbranding van 0 PJ restgas @ 64.6 ktonCO&lt;sub&gt;2&lt;/sub&gt;/PJ.&lt;/aanname&gt;00</v>
      </c>
      <c r="D53" s="5" t="str">
        <f t="shared" si="1"/>
        <v>&lt;aanname&gt;&lt;strong&gt;[Rotterdam-Moerdijk]&lt;/strong&gt; Berekende CO&lt;sub&gt;2&lt;/sub&gt;-emissie bij verbranding van 41 PJ restgas @ 64.6 ktonCO&lt;sub&gt;2&lt;/sub&gt;/PJ.&lt;/aanname&gt;000</v>
      </c>
      <c r="E53" t="str">
        <f>data_rotterdam_moerdijk!D316</f>
        <v>&lt;aanname&gt;&lt;strong&gt;[Rotterdam-Moerdijk]&lt;/strong&gt; Berekende CO&lt;sub&gt;2&lt;/sub&gt;-emissie bij verbranding van 99 PJ restgas @ 64.6 ktonCO&lt;sub&gt;2&lt;/sub&gt;/PJ.&lt;/aanname&gt;</v>
      </c>
      <c r="F53" t="str">
        <f>data_rotterdam_moerdijk!D394</f>
        <v>&lt;aanname&gt;&lt;strong&gt;[Rotterdam-Moerdijk]&lt;/strong&gt; Berekende CO&lt;sub&gt;2&lt;/sub&gt;-emissie bij verbranding van 41 PJ restgas @ 64.6 ktonCO&lt;sub&gt;2&lt;/sub&gt;/PJ.&lt;/aanname&gt;</v>
      </c>
      <c r="G53" t="str">
        <f>data_zeeland!D319</f>
        <v>&lt;aanname&gt;&lt;strong&gt;[Zeeland]&lt;/strong&gt; Berekende CO&lt;sub&gt;2&lt;/sub&gt;-emissie bij verbranding van 0 PJ restgas @ 64.6 ktonCO&lt;sub&gt;2&lt;/sub&gt;/PJ.&lt;/aanname&gt;</v>
      </c>
      <c r="H53">
        <f>data_zeeland!D397</f>
        <v>0</v>
      </c>
      <c r="I53">
        <f>data_noordzeekanaalgebied!D256</f>
        <v>0</v>
      </c>
      <c r="J53">
        <f>data_noordzeekanaalgebied!D334</f>
        <v>0</v>
      </c>
      <c r="K53">
        <f>data_noord_nederland!D265</f>
        <v>0</v>
      </c>
      <c r="L53">
        <f>data_noord_nederland!D343</f>
        <v>0</v>
      </c>
    </row>
    <row r="54" spans="2:12" x14ac:dyDescent="0.2">
      <c r="B54" s="62" t="str">
        <f>nodes!C53</f>
        <v>co2_bron_smr_restgas</v>
      </c>
      <c r="C54" s="5" t="str">
        <f t="shared" si="0"/>
        <v>&lt;aanname&gt;&lt;strong&gt;[Rotterdam-Moerdijk]&lt;/strong&gt; Berekende CO&lt;sub&gt;2&lt;/sub&gt;-productie bij Steam Methane Reforming van 38 PJ restgas @ 64.6 ktonCO&lt;sub&gt;2&lt;/sub&gt;/PJ.&lt;/aanname&gt;&lt;aanname&gt;&lt;strong&gt;[Zeeland]&lt;/strong&gt; Berekende CO&lt;sub&gt;2&lt;/sub&gt;-productie bij Steam Methane Reforming van 30 PJ restgas @ 64.6 ktonCO&lt;sub&gt;2&lt;/sub&gt;/PJ.&lt;/aanname&gt;00</v>
      </c>
      <c r="D54" s="5" t="str">
        <f t="shared" si="1"/>
        <v>&lt;aanname&gt;&lt;strong&gt;[Rotterdam-Moerdijk]&lt;/strong&gt; Berekende CO&lt;sub&gt;2&lt;/sub&gt;-productie bij Steam Methane Reforming van 101 PJ restgas @ 64.6 ktonCO&lt;sub&gt;2&lt;/sub&gt;/PJ.&lt;/aanname&gt;&lt;aanname&gt;&lt;strong&gt;[Zeeland]&lt;/strong&gt; Berekende CO&lt;sub&gt;2&lt;/sub&gt;-productie bij Steam Methane Reforming van 30 PJ restgas @ 64.6 ktonCO&lt;sub&gt;2&lt;/sub&gt;/PJ.&lt;/aanname&gt;00</v>
      </c>
      <c r="E54" t="str">
        <f>data_rotterdam_moerdijk!D317</f>
        <v>&lt;aanname&gt;&lt;strong&gt;[Rotterdam-Moerdijk]&lt;/strong&gt; Berekende CO&lt;sub&gt;2&lt;/sub&gt;-productie bij Steam Methane Reforming van 38 PJ restgas @ 64.6 ktonCO&lt;sub&gt;2&lt;/sub&gt;/PJ.&lt;/aanname&gt;</v>
      </c>
      <c r="F54" t="str">
        <f>data_rotterdam_moerdijk!D395</f>
        <v>&lt;aanname&gt;&lt;strong&gt;[Rotterdam-Moerdijk]&lt;/strong&gt; Berekende CO&lt;sub&gt;2&lt;/sub&gt;-productie bij Steam Methane Reforming van 101 PJ restgas @ 64.6 ktonCO&lt;sub&gt;2&lt;/sub&gt;/PJ.&lt;/aanname&gt;</v>
      </c>
      <c r="G54" t="str">
        <f>data_zeeland!D320</f>
        <v>&lt;aanname&gt;&lt;strong&gt;[Zeeland]&lt;/strong&gt; Berekende CO&lt;sub&gt;2&lt;/sub&gt;-productie bij Steam Methane Reforming van 30 PJ restgas @ 64.6 ktonCO&lt;sub&gt;2&lt;/sub&gt;/PJ.&lt;/aanname&gt;</v>
      </c>
      <c r="H54" t="str">
        <f>data_zeeland!D398</f>
        <v>&lt;aanname&gt;&lt;strong&gt;[Zeeland]&lt;/strong&gt; Berekende CO&lt;sub&gt;2&lt;/sub&gt;-productie bij Steam Methane Reforming van 30 PJ restgas @ 64.6 ktonCO&lt;sub&gt;2&lt;/sub&gt;/PJ.&lt;/aanname&gt;</v>
      </c>
      <c r="I54">
        <f>data_noordzeekanaalgebied!D257</f>
        <v>0</v>
      </c>
      <c r="J54">
        <f>data_noordzeekanaalgebied!D335</f>
        <v>0</v>
      </c>
      <c r="K54">
        <f>data_noord_nederland!D266</f>
        <v>0</v>
      </c>
      <c r="L54">
        <f>data_noord_nederland!D344</f>
        <v>0</v>
      </c>
    </row>
    <row r="55" spans="2:12" x14ac:dyDescent="0.2">
      <c r="B55" s="62" t="str">
        <f>nodes!C54</f>
        <v>co2_bron_smr_aardgas</v>
      </c>
      <c r="C55" s="5" t="str">
        <f t="shared" si="0"/>
        <v>&lt;aanname&gt;&lt;strong&gt;[Rotterdam-Moerdijk]&lt;/strong&gt; Berekende CO&lt;sub&gt;2&lt;/sub&gt;-productie bij Steam Methane Reforming van 38 PJ aardgas @ 56.4 ktonCO&lt;sub&gt;2&lt;/sub&gt;/PJ.&lt;/aanname&gt;&lt;aanname&gt;&lt;strong&gt;[Zeeland]&lt;/strong&gt; Berekende CO&lt;sub&gt;2&lt;/sub&gt;-productie bij Steam Methane Reforming van 65 PJ aardgas @ 56.4 ktonCO&lt;sub&gt;2&lt;/sub&gt;/PJ.&lt;/aanname&gt;00</v>
      </c>
      <c r="D55" s="5" t="str">
        <f t="shared" si="1"/>
        <v>&lt;aanname&gt;&lt;strong&gt;[Rotterdam-Moerdijk]&lt;/strong&gt; Berekende CO&lt;sub&gt;2&lt;/sub&gt;-productie bij Steam Methane Reforming van 96 PJ aardgas @ 56.4 ktonCO&lt;sub&gt;2&lt;/sub&gt;/PJ.&lt;/aanname&gt;&lt;aanname&gt;&lt;strong&gt;[Zeeland]&lt;/strong&gt; Berekende CO&lt;sub&gt;2&lt;/sub&gt;-productie bij Steam Methane Reforming van 102 PJ aardgas @ 56.4 ktonCO&lt;sub&gt;2&lt;/sub&gt;/PJ.&lt;/aanname&gt;0&lt;aanname&gt;&lt;strong&gt;[Noord-Nederland]&lt;/strong&gt; Berekende CO&lt;sub&gt;2&lt;/sub&gt;-emissie bij verbranding van 36 PJ aardgas @ 56.4 ktonCO&lt;sub&gt;2&lt;/sub&gt;/PJ.&lt;/aaname&gt;</v>
      </c>
      <c r="E55" t="str">
        <f>data_rotterdam_moerdijk!D318</f>
        <v>&lt;aanname&gt;&lt;strong&gt;[Rotterdam-Moerdijk]&lt;/strong&gt; Berekende CO&lt;sub&gt;2&lt;/sub&gt;-productie bij Steam Methane Reforming van 38 PJ aardgas @ 56.4 ktonCO&lt;sub&gt;2&lt;/sub&gt;/PJ.&lt;/aanname&gt;</v>
      </c>
      <c r="F55" t="str">
        <f>data_rotterdam_moerdijk!D396</f>
        <v>&lt;aanname&gt;&lt;strong&gt;[Rotterdam-Moerdijk]&lt;/strong&gt; Berekende CO&lt;sub&gt;2&lt;/sub&gt;-productie bij Steam Methane Reforming van 96 PJ aardgas @ 56.4 ktonCO&lt;sub&gt;2&lt;/sub&gt;/PJ.&lt;/aanname&gt;</v>
      </c>
      <c r="G55" t="str">
        <f>data_zeeland!D321</f>
        <v>&lt;aanname&gt;&lt;strong&gt;[Zeeland]&lt;/strong&gt; Berekende CO&lt;sub&gt;2&lt;/sub&gt;-productie bij Steam Methane Reforming van 65 PJ aardgas @ 56.4 ktonCO&lt;sub&gt;2&lt;/sub&gt;/PJ.&lt;/aanname&gt;</v>
      </c>
      <c r="H55" t="str">
        <f>data_zeeland!D399</f>
        <v>&lt;aanname&gt;&lt;strong&gt;[Zeeland]&lt;/strong&gt; Berekende CO&lt;sub&gt;2&lt;/sub&gt;-productie bij Steam Methane Reforming van 102 PJ aardgas @ 56.4 ktonCO&lt;sub&gt;2&lt;/sub&gt;/PJ.&lt;/aanname&gt;</v>
      </c>
      <c r="I55">
        <f>data_noordzeekanaalgebied!D258</f>
        <v>0</v>
      </c>
      <c r="J55">
        <f>data_noordzeekanaalgebied!D336</f>
        <v>0</v>
      </c>
      <c r="K55">
        <f>data_noord_nederland!D267</f>
        <v>0</v>
      </c>
      <c r="L55" t="str">
        <f>data_noord_nederland!D345</f>
        <v>&lt;aanname&gt;&lt;strong&gt;[Noord-Nederland]&lt;/strong&gt; Berekende CO&lt;sub&gt;2&lt;/sub&gt;-emissie bij verbranding van 36 PJ aardgas @ 56.4 ktonCO&lt;sub&gt;2&lt;/sub&gt;/PJ.&lt;/aaname&gt;</v>
      </c>
    </row>
    <row r="56" spans="2:12" x14ac:dyDescent="0.2">
      <c r="B56" s="62" t="str">
        <f>nodes!C55</f>
        <v>co2_bron_overige</v>
      </c>
      <c r="C56" s="5" t="str">
        <f t="shared" si="0"/>
        <v>0000</v>
      </c>
      <c r="D56" s="5" t="str">
        <f t="shared" si="1"/>
        <v>000&lt;bron&gt;&lt;strong&gt;[Noord-Nederland]&lt;/strong&gt; CO&lt;sub&gt;2&lt;/sub&gt;-afvang vermeld in CES maar ongespecificeerd (pagina 30, figuur 4.8).&lt;/bron&gt;</v>
      </c>
      <c r="E56">
        <f>data_rotterdam_moerdijk!D319</f>
        <v>0</v>
      </c>
      <c r="F56">
        <f>data_rotterdam_moerdijk!D397</f>
        <v>0</v>
      </c>
      <c r="G56">
        <f>data_zeeland!D322</f>
        <v>0</v>
      </c>
      <c r="H56">
        <f>data_zeeland!D400</f>
        <v>0</v>
      </c>
      <c r="I56">
        <f>data_noordzeekanaalgebied!D259</f>
        <v>0</v>
      </c>
      <c r="J56">
        <f>data_noordzeekanaalgebied!D337</f>
        <v>0</v>
      </c>
      <c r="K56">
        <f>data_noord_nederland!D268</f>
        <v>0</v>
      </c>
      <c r="L56" t="str">
        <f>data_noord_nederland!D346</f>
        <v>&lt;bron&gt;&lt;strong&gt;[Noord-Nederland]&lt;/strong&gt; CO&lt;sub&gt;2&lt;/sub&gt;-afvang vermeld in CES maar ongespecificeerd (pagina 30, figuur 4.8).&lt;/bron&gt;</v>
      </c>
    </row>
    <row r="57" spans="2:12" x14ac:dyDescent="0.2">
      <c r="B57" s="62" t="str">
        <f>nodes!C56</f>
        <v>co2_bron_reserve_slot1</v>
      </c>
      <c r="C57" s="5" t="str">
        <f t="shared" si="0"/>
        <v>00&lt;aanname&gt;&lt;strong&gt;[Noordzeekanaalgebied]&lt;/strong&gt; Berekende CO&lt;sub&gt;2&lt;/sub&gt;-emissie bij verwerking van 130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elders.&lt;/aanname&gt;0</v>
      </c>
      <c r="D57" s="5" t="str">
        <f t="shared" si="1"/>
        <v>00&lt;aanname&gt;&lt;strong&gt;[Noordzeekanaalgebied]&lt;/strong&gt; Berekende CO&lt;sub&gt;2&lt;/sub&gt;-emissie bij verwerking van 58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elders.&lt;/aanname&gt;0</v>
      </c>
      <c r="E57">
        <f>data_rotterdam_moerdijk!D320</f>
        <v>0</v>
      </c>
      <c r="F57">
        <f>data_rotterdam_moerdijk!D398</f>
        <v>0</v>
      </c>
      <c r="G57">
        <f>data_zeeland!D323</f>
        <v>0</v>
      </c>
      <c r="H57">
        <f>data_zeeland!D401</f>
        <v>0</v>
      </c>
      <c r="I57" t="str">
        <f>data_noordzeekanaalgebied!D260</f>
        <v>&lt;aanname&gt;&lt;strong&gt;[Noordzeekanaalgebied]&lt;/strong&gt; Berekende CO&lt;sub&gt;2&lt;/sub&gt;-emissie bij verwerking van 130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v>
      </c>
      <c r="J57" t="str">
        <f>data_noordzeekanaalgebied!D338</f>
        <v>&lt;aanname&gt;&lt;strong&gt;[Noordzeekanaalgebied]&lt;/strong&gt; Berekende CO&lt;sub&gt;2&lt;/sub&gt;-emissie bij verwerking van 58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v>
      </c>
      <c r="K57">
        <f>data_noord_nederland!D269</f>
        <v>0</v>
      </c>
      <c r="L57">
        <f>data_noord_nederland!D347</f>
        <v>0</v>
      </c>
    </row>
    <row r="58" spans="2:12" x14ac:dyDescent="0.2">
      <c r="B58" s="62" t="str">
        <f>nodes!C57</f>
        <v>co2_bron_reserve_slot2</v>
      </c>
      <c r="C58" s="5" t="str">
        <f t="shared" si="0"/>
        <v>00&lt;aanname&gt;&lt;strong&gt;[Noordzeekanaalgebied]&lt;/strong&gt; De CO2-uitstoot van de AEB centrale is overgenomen uit een &lt;a href=https://www.binnenlandsbestuur.nl/ruimte-en-milieu/klimaatambitie-amsterdam-alleen-haalbaar-met-grote-ingrepen#:~:text=Maar%20AEB%20heeft%20een%20totale,koolstofdioxide%20worden%20afgevangen%20en%20opgeslagen&gt;artikel van binnenlandsbestuur.nl&lt;/a&gt;.&lt;/aanname&gt;0</v>
      </c>
      <c r="D58" s="5" t="str">
        <f t="shared" si="1"/>
        <v>00&lt;aanname&gt;&lt;strong&gt;[Noordzeekanaalgebied]&lt;/strong&gt; De CO2-uitstoot van de AEB centrale is overgenomen uit een &lt;a href=&gt;artikel van binnenlandsbestuur.nl&lt;/a&gt;.&lt;/aanname&gt;0</v>
      </c>
      <c r="E58">
        <f>data_rotterdam_moerdijk!D321</f>
        <v>0</v>
      </c>
      <c r="F58">
        <f>data_rotterdam_moerdijk!D399</f>
        <v>0</v>
      </c>
      <c r="G58">
        <f>data_zeeland!D324</f>
        <v>0</v>
      </c>
      <c r="H58">
        <f>data_zeeland!D402</f>
        <v>0</v>
      </c>
      <c r="I58" t="str">
        <f>data_noordzeekanaalgebied!D261</f>
        <v>&lt;aanname&gt;&lt;strong&gt;[Noordzeekanaalgebied]&lt;/strong&gt; De CO2-uitstoot van de AEB centrale is overgenomen uit een &lt;a href=https://www.binnenlandsbestuur.nl/ruimte-en-milieu/klimaatambitie-amsterdam-alleen-haalbaar-met-grote-ingrepen#:~:text=Maar%20AEB%20heeft%20een%20totale,koolstofdioxide%20worden%20afgevangen%20en%20opgeslagen&gt;artikel van binnenlandsbestuur.nl&lt;/a&gt;.&lt;/aanname&gt;</v>
      </c>
      <c r="J58" t="str">
        <f>data_noordzeekanaalgebied!D339</f>
        <v>&lt;aanname&gt;&lt;strong&gt;[Noordzeekanaalgebied]&lt;/strong&gt; De CO2-uitstoot van de AEB centrale is overgenomen uit een &lt;a href=&gt;artikel van binnenlandsbestuur.nl&lt;/a&gt;.&lt;/aanname&gt;</v>
      </c>
      <c r="K58">
        <f>data_noord_nederland!D270</f>
        <v>0</v>
      </c>
      <c r="L58">
        <f>data_noord_nederland!D348</f>
        <v>0</v>
      </c>
    </row>
    <row r="59" spans="2:12" x14ac:dyDescent="0.2">
      <c r="B59" s="62" t="str">
        <f>nodes!C58</f>
        <v>co2_bron_reserve_slot3</v>
      </c>
      <c r="C59" s="5" t="str">
        <f t="shared" si="0"/>
        <v>000&lt;aanname&gt;&lt;strong&gt;[Noord-Nederland]&lt;/strong&gt; Berekende CO&lt;sub&gt;2&lt;/sub&gt;-emissie bij verbranding van 3 PJ afval @ 107.4 ktonCO&lt;sub&gt;2&lt;/sub&gt;/PJ.&lt;/aanname&gt;</v>
      </c>
      <c r="D59" s="5" t="str">
        <f t="shared" si="1"/>
        <v>000&lt;aanname&gt;&lt;strong&gt;[Noord-Nederland]&lt;/strong&gt; Berekende CO&lt;sub&gt;2&lt;/sub&gt;-emissie bij verbranding van 3 PJ afval @ 107.4 ktonCO&lt;sub&gt;2&lt;/sub&gt;/PJ.&lt;/aanname&gt;</v>
      </c>
      <c r="E59">
        <f>data_rotterdam_moerdijk!D322</f>
        <v>0</v>
      </c>
      <c r="F59">
        <f>data_rotterdam_moerdijk!D400</f>
        <v>0</v>
      </c>
      <c r="G59">
        <f>data_zeeland!D325</f>
        <v>0</v>
      </c>
      <c r="H59">
        <f>data_zeeland!D403</f>
        <v>0</v>
      </c>
      <c r="I59">
        <f>data_noordzeekanaalgebied!D262</f>
        <v>0</v>
      </c>
      <c r="J59">
        <f>data_noordzeekanaalgebied!D340</f>
        <v>0</v>
      </c>
      <c r="K59" t="str">
        <f>data_noord_nederland!D271</f>
        <v>&lt;aanname&gt;&lt;strong&gt;[Noord-Nederland]&lt;/strong&gt; Berekende CO&lt;sub&gt;2&lt;/sub&gt;-emissie bij verbranding van 3 PJ afval @ 107.4 ktonCO&lt;sub&gt;2&lt;/sub&gt;/PJ.&lt;/aanname&gt;</v>
      </c>
      <c r="L59" t="str">
        <f>data_noord_nederland!D349</f>
        <v>&lt;aanname&gt;&lt;strong&gt;[Noord-Nederland]&lt;/strong&gt; Berekende CO&lt;sub&gt;2&lt;/sub&gt;-emissie bij verbranding van 3 PJ afval @ 107.4 ktonCO&lt;sub&gt;2&lt;/sub&gt;/PJ.&lt;/aanname&gt;</v>
      </c>
    </row>
    <row r="60" spans="2:12" x14ac:dyDescent="0.2">
      <c r="B60" s="62" t="str">
        <f>nodes!C59</f>
        <v>co2_bron_reserve_slot4</v>
      </c>
      <c r="C60" s="5" t="str">
        <f t="shared" si="0"/>
        <v>0000</v>
      </c>
      <c r="D60" s="5" t="str">
        <f t="shared" si="1"/>
        <v>0000</v>
      </c>
      <c r="E60">
        <f>data_rotterdam_moerdijk!D323</f>
        <v>0</v>
      </c>
      <c r="F60">
        <f>data_rotterdam_moerdijk!D401</f>
        <v>0</v>
      </c>
      <c r="G60">
        <f>data_zeeland!D326</f>
        <v>0</v>
      </c>
      <c r="H60">
        <f>data_zeeland!D404</f>
        <v>0</v>
      </c>
      <c r="I60">
        <f>data_noordzeekanaalgebied!D263</f>
        <v>0</v>
      </c>
      <c r="J60">
        <f>data_noordzeekanaalgebied!D341</f>
        <v>0</v>
      </c>
      <c r="K60">
        <f>data_noord_nederland!D272</f>
        <v>0</v>
      </c>
      <c r="L60">
        <f>data_noord_nederland!D350</f>
        <v>0</v>
      </c>
    </row>
    <row r="61" spans="2:12" x14ac:dyDescent="0.2">
      <c r="B61" s="62" t="str">
        <f>nodes!C60</f>
        <v>co2_bron_reserve_slot5</v>
      </c>
      <c r="C61" s="5" t="str">
        <f t="shared" si="0"/>
        <v>0000</v>
      </c>
      <c r="D61" s="5" t="str">
        <f t="shared" si="1"/>
        <v>0000</v>
      </c>
      <c r="E61">
        <f>data_rotterdam_moerdijk!D324</f>
        <v>0</v>
      </c>
      <c r="F61">
        <f>data_rotterdam_moerdijk!D402</f>
        <v>0</v>
      </c>
      <c r="G61">
        <f>data_zeeland!D327</f>
        <v>0</v>
      </c>
      <c r="H61">
        <f>data_zeeland!D405</f>
        <v>0</v>
      </c>
      <c r="I61">
        <f>data_noordzeekanaalgebied!D264</f>
        <v>0</v>
      </c>
      <c r="J61">
        <f>data_noordzeekanaalgebied!D342</f>
        <v>0</v>
      </c>
      <c r="K61">
        <f>data_noord_nederland!D273</f>
        <v>0</v>
      </c>
      <c r="L61">
        <f>data_noord_nederland!D351</f>
        <v>0</v>
      </c>
    </row>
    <row r="62" spans="2:12" x14ac:dyDescent="0.2">
      <c r="B62" s="62"/>
      <c r="C62" s="5"/>
      <c r="D62" s="5"/>
    </row>
    <row r="63" spans="2:12" x14ac:dyDescent="0.2">
      <c r="B63" s="62" t="str">
        <f>nodes!C62</f>
        <v>co2_afvang_smr_restgas</v>
      </c>
      <c r="C63" s="5" t="str">
        <f t="shared" si="0"/>
        <v>0000</v>
      </c>
      <c r="D63" s="5" t="str">
        <f t="shared" si="1"/>
        <v>0000</v>
      </c>
      <c r="E63">
        <f>data_rotterdam_moerdijk!D326</f>
        <v>0</v>
      </c>
      <c r="F63">
        <f>data_rotterdam_moerdijk!D404</f>
        <v>0</v>
      </c>
      <c r="G63">
        <f>data_zeeland!D329</f>
        <v>0</v>
      </c>
      <c r="H63">
        <f>data_zeeland!D407</f>
        <v>0</v>
      </c>
      <c r="I63">
        <f>data_noordzeekanaalgebied!D266</f>
        <v>0</v>
      </c>
      <c r="J63">
        <f>data_noordzeekanaalgebied!D344</f>
        <v>0</v>
      </c>
      <c r="K63">
        <f>data_noord_nederland!D275</f>
        <v>0</v>
      </c>
      <c r="L63">
        <f>data_noord_nederland!D353</f>
        <v>0</v>
      </c>
    </row>
    <row r="64" spans="2:12" x14ac:dyDescent="0.2">
      <c r="B64" s="62" t="str">
        <f>nodes!C63</f>
        <v>co2_afvang_smr_aardgas</v>
      </c>
      <c r="C64" s="5" t="str">
        <f t="shared" si="0"/>
        <v>0000</v>
      </c>
      <c r="D64" s="5" t="str">
        <f t="shared" si="1"/>
        <v>0000</v>
      </c>
      <c r="E64">
        <f>data_rotterdam_moerdijk!D327</f>
        <v>0</v>
      </c>
      <c r="F64">
        <f>data_rotterdam_moerdijk!D405</f>
        <v>0</v>
      </c>
      <c r="G64">
        <f>data_zeeland!D330</f>
        <v>0</v>
      </c>
      <c r="H64">
        <f>data_zeeland!D408</f>
        <v>0</v>
      </c>
      <c r="I64">
        <f>data_noordzeekanaalgebied!D267</f>
        <v>0</v>
      </c>
      <c r="J64">
        <f>data_noordzeekanaalgebied!D345</f>
        <v>0</v>
      </c>
      <c r="K64">
        <f>data_noord_nederland!D276</f>
        <v>0</v>
      </c>
      <c r="L64">
        <f>data_noord_nederland!D354</f>
        <v>0</v>
      </c>
    </row>
    <row r="65" spans="2:12" x14ac:dyDescent="0.2">
      <c r="B65" s="62" t="str">
        <f>nodes!C64</f>
        <v>co2_afvang_overige</v>
      </c>
      <c r="C65" s="5" t="str">
        <f t="shared" si="0"/>
        <v>0000</v>
      </c>
      <c r="D65" s="5" t="str">
        <f t="shared" si="1"/>
        <v>0000</v>
      </c>
      <c r="E65">
        <f>data_rotterdam_moerdijk!D328</f>
        <v>0</v>
      </c>
      <c r="F65">
        <f>data_rotterdam_moerdijk!D406</f>
        <v>0</v>
      </c>
      <c r="G65">
        <f>data_zeeland!D331</f>
        <v>0</v>
      </c>
      <c r="H65">
        <f>data_zeeland!D409</f>
        <v>0</v>
      </c>
      <c r="I65">
        <f>data_noordzeekanaalgebied!D268</f>
        <v>0</v>
      </c>
      <c r="J65">
        <f>data_noordzeekanaalgebied!D346</f>
        <v>0</v>
      </c>
      <c r="K65">
        <f>data_noord_nederland!D277</f>
        <v>0</v>
      </c>
      <c r="L65">
        <f>data_noord_nederland!D355</f>
        <v>0</v>
      </c>
    </row>
    <row r="66" spans="2:12" x14ac:dyDescent="0.2">
      <c r="B66" s="62" t="str">
        <f>nodes!C65</f>
        <v>co2_afvang_reserve_slot1</v>
      </c>
      <c r="C66" s="5" t="str">
        <f t="shared" si="0"/>
        <v>0000</v>
      </c>
      <c r="D66" s="5" t="str">
        <f t="shared" si="1"/>
        <v>00&lt;bron&gt;&lt;strong&gt;[Noordzeekanaalgebied]&lt;/strong&gt; De 600 kton CO&lt;sub&gt;2&lt;/sub&gt; afvangst bij TSN is overgenomen uit de CES (pagina 37).&lt;/bron&gt;0</v>
      </c>
      <c r="E66">
        <f>data_rotterdam_moerdijk!D329</f>
        <v>0</v>
      </c>
      <c r="F66">
        <f>data_rotterdam_moerdijk!D407</f>
        <v>0</v>
      </c>
      <c r="G66">
        <f>data_zeeland!D332</f>
        <v>0</v>
      </c>
      <c r="H66">
        <f>data_zeeland!D410</f>
        <v>0</v>
      </c>
      <c r="I66">
        <f>data_noordzeekanaalgebied!D269</f>
        <v>0</v>
      </c>
      <c r="J66" t="str">
        <f>data_noordzeekanaalgebied!D347</f>
        <v>&lt;bron&gt;&lt;strong&gt;[Noordzeekanaalgebied]&lt;/strong&gt; De 600 kton CO&lt;sub&gt;2&lt;/sub&gt; afvangst bij TSN is overgenomen uit de CES (pagina 37).&lt;/bron&gt;</v>
      </c>
      <c r="K66">
        <f>data_noord_nederland!D278</f>
        <v>0</v>
      </c>
      <c r="L66">
        <f>data_noord_nederland!D356</f>
        <v>0</v>
      </c>
    </row>
    <row r="67" spans="2:12" x14ac:dyDescent="0.2">
      <c r="B67" s="62" t="str">
        <f>nodes!C66</f>
        <v>co2_afvang_reserve_slot2</v>
      </c>
      <c r="C67" s="5" t="str">
        <f t="shared" si="0"/>
        <v>0000</v>
      </c>
      <c r="D67" s="5" t="str">
        <f t="shared" si="1"/>
        <v>00&lt;bron&gt;&lt;strong&gt;[Noordzeekanaalgebied]&lt;/strong&gt; De 500 kton CO&lt;sub&gt;2&lt;/sub&gt; afvangst bij AEB is overgenomen uit de CES (pagina 37).&lt;/bron&gt;0</v>
      </c>
      <c r="E67">
        <f>data_rotterdam_moerdijk!D330</f>
        <v>0</v>
      </c>
      <c r="F67">
        <f>data_rotterdam_moerdijk!D408</f>
        <v>0</v>
      </c>
      <c r="G67">
        <f>data_zeeland!D333</f>
        <v>0</v>
      </c>
      <c r="H67">
        <f>data_zeeland!D411</f>
        <v>0</v>
      </c>
      <c r="I67">
        <f>data_noordzeekanaalgebied!D270</f>
        <v>0</v>
      </c>
      <c r="J67" t="str">
        <f>data_noordzeekanaalgebied!D348</f>
        <v>&lt;bron&gt;&lt;strong&gt;[Noordzeekanaalgebied]&lt;/strong&gt; De 500 kton CO&lt;sub&gt;2&lt;/sub&gt; afvangst bij AEB is overgenomen uit de CES (pagina 37).&lt;/bron&gt;</v>
      </c>
      <c r="K67">
        <f>data_noord_nederland!D279</f>
        <v>0</v>
      </c>
      <c r="L67">
        <f>data_noord_nederland!D357</f>
        <v>0</v>
      </c>
    </row>
    <row r="68" spans="2:12" x14ac:dyDescent="0.2">
      <c r="B68" s="62" t="str">
        <f>nodes!C67</f>
        <v>co2_afvang_reserve_slot3</v>
      </c>
      <c r="C68" s="5" t="str">
        <f t="shared" ref="C68:C75" si="4">E68&amp;G68&amp;I68&amp;K68</f>
        <v>0000</v>
      </c>
      <c r="D68" s="5" t="str">
        <f t="shared" ref="D68:D75" si="5">F68&amp;H68&amp;J68&amp;L68</f>
        <v>0000</v>
      </c>
      <c r="E68">
        <f>data_rotterdam_moerdijk!D331</f>
        <v>0</v>
      </c>
      <c r="F68">
        <f>data_rotterdam_moerdijk!D409</f>
        <v>0</v>
      </c>
      <c r="G68">
        <f>data_zeeland!D334</f>
        <v>0</v>
      </c>
      <c r="H68">
        <f>data_zeeland!D412</f>
        <v>0</v>
      </c>
      <c r="I68">
        <f>data_noordzeekanaalgebied!D271</f>
        <v>0</v>
      </c>
      <c r="J68">
        <f>data_noordzeekanaalgebied!D349</f>
        <v>0</v>
      </c>
      <c r="K68">
        <f>data_noord_nederland!D280</f>
        <v>0</v>
      </c>
      <c r="L68">
        <f>data_noord_nederland!D358</f>
        <v>0</v>
      </c>
    </row>
    <row r="69" spans="2:12" x14ac:dyDescent="0.2">
      <c r="B69" s="62" t="str">
        <f>nodes!C68</f>
        <v>co2_afvang_reserve_slot4</v>
      </c>
      <c r="C69" s="5" t="str">
        <f t="shared" si="4"/>
        <v>0000</v>
      </c>
      <c r="D69" s="5" t="str">
        <f t="shared" si="5"/>
        <v>0000</v>
      </c>
      <c r="E69">
        <f>data_rotterdam_moerdijk!D332</f>
        <v>0</v>
      </c>
      <c r="F69">
        <f>data_rotterdam_moerdijk!D410</f>
        <v>0</v>
      </c>
      <c r="G69">
        <f>data_zeeland!D335</f>
        <v>0</v>
      </c>
      <c r="H69">
        <f>data_zeeland!D413</f>
        <v>0</v>
      </c>
      <c r="I69">
        <f>data_noordzeekanaalgebied!D272</f>
        <v>0</v>
      </c>
      <c r="J69">
        <f>data_noordzeekanaalgebied!D350</f>
        <v>0</v>
      </c>
      <c r="K69">
        <f>data_noord_nederland!D281</f>
        <v>0</v>
      </c>
      <c r="L69">
        <f>data_noord_nederland!D359</f>
        <v>0</v>
      </c>
    </row>
    <row r="70" spans="2:12" x14ac:dyDescent="0.2">
      <c r="B70" s="62" t="str">
        <f>nodes!C69</f>
        <v>co2_afvang_reserve_slot5</v>
      </c>
      <c r="C70" s="5" t="str">
        <f t="shared" si="4"/>
        <v>0000</v>
      </c>
      <c r="D70" s="5" t="str">
        <f t="shared" si="5"/>
        <v>0000</v>
      </c>
      <c r="E70">
        <f>data_rotterdam_moerdijk!D333</f>
        <v>0</v>
      </c>
      <c r="F70">
        <f>data_rotterdam_moerdijk!D411</f>
        <v>0</v>
      </c>
      <c r="G70">
        <f>data_zeeland!D336</f>
        <v>0</v>
      </c>
      <c r="H70">
        <f>data_zeeland!D414</f>
        <v>0</v>
      </c>
      <c r="I70">
        <f>data_noordzeekanaalgebied!D273</f>
        <v>0</v>
      </c>
      <c r="J70">
        <f>data_noordzeekanaalgebied!D351</f>
        <v>0</v>
      </c>
      <c r="K70">
        <f>data_noord_nederland!D282</f>
        <v>0</v>
      </c>
      <c r="L70">
        <f>data_noord_nederland!D360</f>
        <v>0</v>
      </c>
    </row>
    <row r="71" spans="2:12" x14ac:dyDescent="0.2">
      <c r="B71" s="62"/>
      <c r="C71" s="5"/>
      <c r="D71" s="5"/>
    </row>
    <row r="72" spans="2:12" x14ac:dyDescent="0.2">
      <c r="B72" s="62" t="str">
        <f>nodes!C71</f>
        <v>co2_productie_totaal</v>
      </c>
      <c r="C72" s="5" t="str">
        <f t="shared" si="4"/>
        <v>0000</v>
      </c>
      <c r="D72" s="5" t="str">
        <f t="shared" si="5"/>
        <v>0000</v>
      </c>
      <c r="E72">
        <f>data_rotterdam_moerdijk!D335</f>
        <v>0</v>
      </c>
      <c r="F72">
        <f>data_rotterdam_moerdijk!D413</f>
        <v>0</v>
      </c>
      <c r="G72">
        <f>data_zeeland!D338</f>
        <v>0</v>
      </c>
      <c r="H72">
        <f>data_zeeland!D416</f>
        <v>0</v>
      </c>
      <c r="I72">
        <f>data_noordzeekanaalgebied!D275</f>
        <v>0</v>
      </c>
      <c r="J72">
        <f>data_noordzeekanaalgebied!D353</f>
        <v>0</v>
      </c>
      <c r="K72">
        <f>data_noord_nederland!D284</f>
        <v>0</v>
      </c>
      <c r="L72">
        <f>data_noord_nederland!D362</f>
        <v>0</v>
      </c>
    </row>
    <row r="73" spans="2:12" x14ac:dyDescent="0.2">
      <c r="B73" s="62" t="str">
        <f>nodes!C72</f>
        <v>co2_emissies_totaal</v>
      </c>
      <c r="C73" s="5" t="str">
        <f t="shared" si="4"/>
        <v>&lt;aanname&gt;&lt;strong&gt;[Rotterdam-Moerdijk]&lt;/strong&gt; De berekende CO&lt;sub&gt;2&lt;/sub&gt; uitstoot is via het aangenomen volume directe verbranding van restgassen gefit op de in de CES genoteerde CO2-uitstoot van industrie voor 2021 (16.000 kton, pagina 17).&lt;/aanname&gt;&lt;aanname&gt;&lt;strong&gt;[Zeeland]&lt;/strong&gt; De berekende totale CO&lt;sub&gt;2&lt;/sub&gt; uitstoot van de industrie bedraagt 9.600 kton CO&lt;sub&gt;2&lt;/sub&gt;. In de energiebalans en de berekende emissies is van een aardgasverbruik van 23 PJ voor elektriciteitscentrales uitgegaan, waarbij circa 1.300 CO&lt;sub&gt;2&lt;/sub&gt; emissie vrijkomt. De totale berekende CO&lt;sub&gt;2&lt;/sub&gt; uitstoot van het cluster komt daarmee op 10.900 kton CO&lt;sub&gt;2&lt;/sub&gt;. Dit wijkt af van de in de CES gerapporteerde CO2-uitstoot van 9.300 kton CO&lt;sub&gt;2&lt;/sub&gt; (pagina 49, figuur 3.1), maar komt wel dichter in de buurt van de CO&lt;sub&gt;2&lt;/sub&gt; uitstoot van 10.300 kton gerapporteerd door de &lt;a href="https://www.emissieautoriteit.nl/binaries/nederlandse-emissieautoriteit/documenten/publicatie/2022/04/14/factsheet-ets-uitstoot-2021/Factsheet+CO2-uitstoot_2021.pdf"&gt;NEa&lt;/a&gt; en &lt;a href="https://www.bedrijvenbeleidinbeeld.nl/strategische-doelen/verduurzaming-van-het-nederlandse-bedrijfsleven/hoe-staat-nederland-ervoor#:~:text=Emissies%20industrieclusters,procent%20ten%20opzichte%20van%201990."&gt;EZK&lt;/a&gt;. &lt;/aanname&gt;&lt;aanname&gt;&lt;strong&gt;[Noordzeekanaalgebied]&lt;/strong&gt; De berekende totale CO&lt;sub&gt;2&lt;/sub&gt; uitstoot van de industrie bedraagt 13.000 kton CO&lt;sub&gt;2&lt;/sub&gt;. &lt;em&gt;Dit is inclusief de emissies die voortkomen uit de verbranding van hoogovengas elders voor de productie van elektriciteit&lt;/em&gt;. Bij het opstellen van de energiebalans is van een aardgasverbruik van 38 PJ voor elektriciteitscentrales uitgegaan, waarbij circa 2.100 kton CO&lt;sub&gt;2&lt;/sub&gt; emissie vrijkomt. De totale berekende CO&lt;sub&gt;2&lt;/sub&gt; uitstoot van het cluster komt daarmee op 15.100 kton CO&lt;sub&gt;2&lt;/sub&gt;, wat goed overeenstemt met de 15.200 kton CO&lt;sub&gt;2&lt;/sub&gt; genoteerd in de CES (pagina 51, figuur 15).&lt;/aanname&gt;&lt;aanname&gt;&lt;strong&gt;[Noord-Nederland]&lt;/strong&gt; De berekende totale CO&lt;sub&gt;2&lt;/sub&gt; uitstoot van de industrie (exclusief elektriciteitscentrales en waterstofproductie) bedraagt 1.300 kton CO&lt;sub&gt;2&lt;/sub&gt;, de CES noteert in figuur 4.8 op pagina 30 een CO&lt;sub&gt;2&lt;/sub&gt; uitstoot van de industrie (exclusief elektriciteitscentrales en waterstofproductie) van 1.100 kton CO&lt;sub&gt;2&lt;/sub&gt; (200 kton mismatch). De berekende totale CO&lt;sub&gt;2&lt;/sub&gt; uitstoot inclusief elektriciteitscentrales en waterstofproductie bedraagt 8.400 kton CO&lt;sub&gt;2&lt;/sub&gt;, de CES noteert in figuur 4.7 op pagina 29 een CO&lt;sub&gt;2&lt;/sub&gt; uitstoot inclusief elektriciteitscentrales en waterstofproductie van 9.000 kton CO&lt;sub&gt;2&lt;/sub&gt; (600 kton mismatch).&lt;/aanname&gt;</v>
      </c>
      <c r="D73" s="5" t="str">
        <f t="shared" si="5"/>
        <v>&lt;aanname&gt;&lt;strong&gt;[Rotterdam-Moerdijk]&lt;/strong&gt; De berekende CO&lt;sub&gt;2&lt;/sub&gt; uitstoot voor 2035 (8.100 kton) komt niet volledig overeen met de in de CES genoteerde CO2-uitstoot voor 2035 (8.300 kton (pagina 17), 200 kton verschil).&lt;/aanname&gt;&lt;aanname&gt;&lt;strong&gt;[Zeeland]&lt;/strong&gt; De berekende totale CO&lt;sub&gt;2&lt;/sub&gt; uitstoot van de industrie bedraagt 3.200 kton CO&lt;sub&gt;2&lt;/sub&gt;. In de energiebalans en de berekende emissies is van een aardgasverbruik van 15 PJ voor elektriciteitscentrales uitgegaan, waarbij circa 800 kton CO&lt;sub&gt;2&lt;/sub&gt; emissie vrijkomt. De totale berekende CO&lt;sub&gt;2&lt;/sub&gt; uitstoot van het cluster komt daarmee voor 2035 uit op 4.000 kton CO&lt;sub&gt;2&lt;/sub&gt;. Dit is in overeenstemming met de 4.000 kton in 2035 resterende CO&lt;sub&gt;2&lt;/sub&gt; emissie genoteerd in de CES (pagina 49, figuur 3.1).&lt;/aanname&gt;&lt;aanname&gt;&lt;strong&gt;[Noordzeekanaalgebied]&lt;/strong&gt; De berekende totale CO&lt;sub&gt;2&lt;/sub&gt; uitstoot van de industrie bedraagt 6.100 kton CO&lt;sub&gt;2&lt;/sub&gt;. &lt;em&gt;Dit is inclusief de emissies die voortkomen uit de verbranding van hoogovengas elders voor de productie van elektriciteit&lt;/em&gt;. Bij het opstellen van de energiebalans is van een aardgasverbruik van 24 PJ voor elektriciteitscentrales uitgegaan, waarbij circa 1.400 kton CO&lt;sub&gt;2&lt;/sub&gt; emissie vrijkomt. De totale berekende resterende CO&lt;sub&gt;2&lt;/sub&gt; uitstoot van het cluster komt daarmee uit op 7.500 kton CO&lt;sub&gt;2&lt;/sub&gt;, wat goed overeenstemt met de in de CES genoteerde resterende CO&lt;sub&gt;2&lt;/sub&gt; emissie van 7.500 kton (pagina 51, figuur 15).&lt;/aanname&gt;&lt;aanname&gt;&lt;strong&gt;[Noord-Nederland]&lt;/strong&gt; De berekende totale CO&lt;sub&gt;2&lt;/sub&gt; uitstoot van de industrie (exclusief elektriciteitscentrales en waterstofproductie) bedraagt 800 kton CO&lt;sub&gt;2&lt;/sub&gt;, de CES noteert in figuur 4.8 op pagina 30 een CO&lt;sub&gt;2&lt;/sub&gt; uitstoot van de industrie (exclusief elektriciteitscentrales en waterstofproductie) van 400 kton CO&lt;sub&gt;2&lt;/sub&gt; (400 kton mismatch). De berekende totale CO&lt;sub&gt;2&lt;/sub&gt; uitstoot inclusief elektriciteitscentrales en waterstofproductie bedraagt 1.600 kton CO&lt;sub&gt;2&lt;/sub&gt;, de CES noteert in figuur 4.7 op pagina 29 een CO&lt;sub&gt;2&lt;/sub&gt; uitstoot inclusief elektriciteitscentrales en waterstofproductie van 1.000 kton CO&lt;sub&gt;2&lt;/sub&gt; (600 kton mismatch).&lt;/aanname&gt;</v>
      </c>
      <c r="E73" t="str">
        <f>data_rotterdam_moerdijk!D336</f>
        <v>&lt;aanname&gt;&lt;strong&gt;[Rotterdam-Moerdijk]&lt;/strong&gt; De berekende CO&lt;sub&gt;2&lt;/sub&gt; uitstoot is via het aangenomen volume directe verbranding van restgassen gefit op de in de CES genoteerde CO2-uitstoot van industrie voor 2021 (16.000 kton, pagina 17).&lt;/aanname&gt;</v>
      </c>
      <c r="F73" t="str">
        <f>data_rotterdam_moerdijk!D414</f>
        <v>&lt;aanname&gt;&lt;strong&gt;[Rotterdam-Moerdijk]&lt;/strong&gt; De berekende CO&lt;sub&gt;2&lt;/sub&gt; uitstoot voor 2035 (8.100 kton) komt niet volledig overeen met de in de CES genoteerde CO2-uitstoot voor 2035 (8.300 kton (pagina 17), 200 kton verschil).&lt;/aanname&gt;</v>
      </c>
      <c r="G73" t="str">
        <f>data_zeeland!D339</f>
        <v>&lt;aanname&gt;&lt;strong&gt;[Zeeland]&lt;/strong&gt; De berekende totale CO&lt;sub&gt;2&lt;/sub&gt; uitstoot van de industrie bedraagt 9.600 kton CO&lt;sub&gt;2&lt;/sub&gt;. In de energiebalans en de berekende emissies is van een aardgasverbruik van 23 PJ voor elektriciteitscentrales uitgegaan, waarbij circa 1.300 CO&lt;sub&gt;2&lt;/sub&gt; emissie vrijkomt. De totale berekende CO&lt;sub&gt;2&lt;/sub&gt; uitstoot van het cluster komt daarmee op 10.900 kton CO&lt;sub&gt;2&lt;/sub&gt;. Dit wijkt af van de in de CES gerapporteerde CO2-uitstoot van 9.300 kton CO&lt;sub&gt;2&lt;/sub&gt; (pagina 49, figuur 3.1), maar komt wel dichter in de buurt van de CO&lt;sub&gt;2&lt;/sub&gt; uitstoot van 10.300 kton gerapporteerd door de &lt;a href="https://www.emissieautoriteit.nl/binaries/nederlandse-emissieautoriteit/documenten/publicatie/2022/04/14/factsheet-ets-uitstoot-2021/Factsheet+CO2-uitstoot_2021.pdf"&gt;NEa&lt;/a&gt; en &lt;a href="https://www.bedrijvenbeleidinbeeld.nl/strategische-doelen/verduurzaming-van-het-nederlandse-bedrijfsleven/hoe-staat-nederland-ervoor#:~:text=Emissies%20industrieclusters,procent%20ten%20opzichte%20van%201990."&gt;EZK&lt;/a&gt;. &lt;/aanname&gt;</v>
      </c>
      <c r="H73" t="str">
        <f>data_zeeland!D417</f>
        <v>&lt;aanname&gt;&lt;strong&gt;[Zeeland]&lt;/strong&gt; De berekende totale CO&lt;sub&gt;2&lt;/sub&gt; uitstoot van de industrie bedraagt 3.200 kton CO&lt;sub&gt;2&lt;/sub&gt;. In de energiebalans en de berekende emissies is van een aardgasverbruik van 15 PJ voor elektriciteitscentrales uitgegaan, waarbij circa 800 kton CO&lt;sub&gt;2&lt;/sub&gt; emissie vrijkomt. De totale berekende CO&lt;sub&gt;2&lt;/sub&gt; uitstoot van het cluster komt daarmee voor 2035 uit op 4.000 kton CO&lt;sub&gt;2&lt;/sub&gt;. Dit is in overeenstemming met de 4.000 kton in 2035 resterende CO&lt;sub&gt;2&lt;/sub&gt; emissie genoteerd in de CES (pagina 49, figuur 3.1).&lt;/aanname&gt;</v>
      </c>
      <c r="I73" t="str">
        <f>data_noordzeekanaalgebied!D276</f>
        <v>&lt;aanname&gt;&lt;strong&gt;[Noordzeekanaalgebied]&lt;/strong&gt; De berekende totale CO&lt;sub&gt;2&lt;/sub&gt; uitstoot van de industrie bedraagt 13.000 kton CO&lt;sub&gt;2&lt;/sub&gt;. &lt;em&gt;Dit is inclusief de emissies die voortkomen uit de verbranding van hoogovengas elders voor de productie van elektriciteit&lt;/em&gt;. Bij het opstellen van de energiebalans is van een aardgasverbruik van 38 PJ voor elektriciteitscentrales uitgegaan, waarbij circa 2.100 kton CO&lt;sub&gt;2&lt;/sub&gt; emissie vrijkomt. De totale berekende CO&lt;sub&gt;2&lt;/sub&gt; uitstoot van het cluster komt daarmee op 15.100 kton CO&lt;sub&gt;2&lt;/sub&gt;, wat goed overeenstemt met de 15.200 kton CO&lt;sub&gt;2&lt;/sub&gt; genoteerd in de CES (pagina 51, figuur 15).&lt;/aanname&gt;</v>
      </c>
      <c r="J73" t="str">
        <f>data_noordzeekanaalgebied!D354</f>
        <v>&lt;aanname&gt;&lt;strong&gt;[Noordzeekanaalgebied]&lt;/strong&gt; De berekende totale CO&lt;sub&gt;2&lt;/sub&gt; uitstoot van de industrie bedraagt 6.100 kton CO&lt;sub&gt;2&lt;/sub&gt;. &lt;em&gt;Dit is inclusief de emissies die voortkomen uit de verbranding van hoogovengas elders voor de productie van elektriciteit&lt;/em&gt;. Bij het opstellen van de energiebalans is van een aardgasverbruik van 24 PJ voor elektriciteitscentrales uitgegaan, waarbij circa 1.400 kton CO&lt;sub&gt;2&lt;/sub&gt; emissie vrijkomt. De totale berekende resterende CO&lt;sub&gt;2&lt;/sub&gt; uitstoot van het cluster komt daarmee uit op 7.500 kton CO&lt;sub&gt;2&lt;/sub&gt;, wat goed overeenstemt met de in de CES genoteerde resterende CO&lt;sub&gt;2&lt;/sub&gt; emissie van 7.500 kton (pagina 51, figuur 15).&lt;/aanname&gt;</v>
      </c>
      <c r="K73" t="str">
        <f>data_noord_nederland!D285</f>
        <v>&lt;aanname&gt;&lt;strong&gt;[Noord-Nederland]&lt;/strong&gt; De berekende totale CO&lt;sub&gt;2&lt;/sub&gt; uitstoot van de industrie (exclusief elektriciteitscentrales en waterstofproductie) bedraagt 1.300 kton CO&lt;sub&gt;2&lt;/sub&gt;, de CES noteert in figuur 4.8 op pagina 30 een CO&lt;sub&gt;2&lt;/sub&gt; uitstoot van de industrie (exclusief elektriciteitscentrales en waterstofproductie) van 1.100 kton CO&lt;sub&gt;2&lt;/sub&gt; (200 kton mismatch). De berekende totale CO&lt;sub&gt;2&lt;/sub&gt; uitstoot inclusief elektriciteitscentrales en waterstofproductie bedraagt 8.400 kton CO&lt;sub&gt;2&lt;/sub&gt;, de CES noteert in figuur 4.7 op pagina 29 een CO&lt;sub&gt;2&lt;/sub&gt; uitstoot inclusief elektriciteitscentrales en waterstofproductie van 9.000 kton CO&lt;sub&gt;2&lt;/sub&gt; (600 kton mismatch).&lt;/aanname&gt;</v>
      </c>
      <c r="L73" t="str">
        <f>data_noord_nederland!D363</f>
        <v>&lt;aanname&gt;&lt;strong&gt;[Noord-Nederland]&lt;/strong&gt; De berekende totale CO&lt;sub&gt;2&lt;/sub&gt; uitstoot van de industrie (exclusief elektriciteitscentrales en waterstofproductie) bedraagt 800 kton CO&lt;sub&gt;2&lt;/sub&gt;, de CES noteert in figuur 4.8 op pagina 30 een CO&lt;sub&gt;2&lt;/sub&gt; uitstoot van de industrie (exclusief elektriciteitscentrales en waterstofproductie) van 400 kton CO&lt;sub&gt;2&lt;/sub&gt; (400 kton mismatch). De berekende totale CO&lt;sub&gt;2&lt;/sub&gt; uitstoot inclusief elektriciteitscentrales en waterstofproductie bedraagt 1.600 kton CO&lt;sub&gt;2&lt;/sub&gt;, de CES noteert in figuur 4.7 op pagina 29 een CO&lt;sub&gt;2&lt;/sub&gt; uitstoot inclusief elektriciteitscentrales en waterstofproductie van 1.000 kton CO&lt;sub&gt;2&lt;/sub&gt; (600 kton mismatch).&lt;/aanname&gt;</v>
      </c>
    </row>
    <row r="74" spans="2:12" x14ac:dyDescent="0.2">
      <c r="B74" s="62" t="str">
        <f>nodes!C73</f>
        <v>co2_afvang_totaal</v>
      </c>
      <c r="C74" s="5" t="str">
        <f t="shared" si="4"/>
        <v>0000</v>
      </c>
      <c r="D74" s="5" t="str">
        <f t="shared" si="5"/>
        <v>&lt;aanname&gt;&lt;strong&gt;[Rotterdam-Moerdijk]&lt;/strong&gt; Volgens de CES wordt in 2035 9.500 kton CO&lt;sub&gt;2&lt;/sub&gt; afgevangen uit industriele processen (exclusief elektriciteitscentrales) (pagina 17). Aangenomen is dat deze afvang volledig van toepassing is op de productie van blauwe waterstof uit aardgas en restgas (n= 65%) met een aangenomen CO&lt;sub&gt;2&lt;/sub&gt; capture rate van 80%.&lt;/aanname&gt;&lt;aanname&gt;&lt;strong&gt;[Zeeland]&lt;/strong&gt; [MISMATCH] Volgens de CES wordt in 2035 3.100 kton CO&lt;sub&gt;2&lt;/sub&gt; CCS toegepast (pagina 35, figuur 2.12). De berekende totale netto afvangst van CO2 met aangenomen capture-rate van 80% komt uit op 4557 kton CO&lt;sub&gt;2&lt;/sub&gt;. Wat verklaart dit verschil? CCU?&lt;/aanname&gt;00</v>
      </c>
      <c r="E74">
        <f>data_rotterdam_moerdijk!D337</f>
        <v>0</v>
      </c>
      <c r="F74" t="str">
        <f>data_rotterdam_moerdijk!D415</f>
        <v>&lt;aanname&gt;&lt;strong&gt;[Rotterdam-Moerdijk]&lt;/strong&gt; Volgens de CES wordt in 2035 9.500 kton CO&lt;sub&gt;2&lt;/sub&gt; afgevangen uit industriele processen (exclusief elektriciteitscentrales) (pagina 17). Aangenomen is dat deze afvang volledig van toepassing is op de productie van blauwe waterstof uit aardgas en restgas (n= 65%) met een aangenomen CO&lt;sub&gt;2&lt;/sub&gt; capture rate van 80%.&lt;/aanname&gt;</v>
      </c>
      <c r="G74">
        <f>data_zeeland!D340</f>
        <v>0</v>
      </c>
      <c r="H74" t="str">
        <f>data_zeeland!D418</f>
        <v>&lt;aanname&gt;&lt;strong&gt;[Zeeland]&lt;/strong&gt; [MISMATCH] Volgens de CES wordt in 2035 3.100 kton CO&lt;sub&gt;2&lt;/sub&gt; CCS toegepast (pagina 35, figuur 2.12). De berekende totale netto afvangst van CO2 met aangenomen capture-rate van 80% komt uit op 4557 kton CO&lt;sub&gt;2&lt;/sub&gt;. Wat verklaart dit verschil? CCU?&lt;/aanname&gt;</v>
      </c>
      <c r="I74">
        <f>data_noordzeekanaalgebied!D277</f>
        <v>0</v>
      </c>
      <c r="J74">
        <f>data_noordzeekanaalgebied!D355</f>
        <v>0</v>
      </c>
      <c r="K74">
        <f>data_noord_nederland!D286</f>
        <v>0</v>
      </c>
      <c r="L74">
        <f>data_noord_nederland!D364</f>
        <v>0</v>
      </c>
    </row>
    <row r="75" spans="2:12" x14ac:dyDescent="0.2">
      <c r="B75" s="62" t="str">
        <f>nodes!C74</f>
        <v>co2_afgevangen_totaal</v>
      </c>
      <c r="C75" s="5" t="str">
        <f t="shared" si="4"/>
        <v>0000</v>
      </c>
      <c r="D75" s="5" t="str">
        <f t="shared" si="5"/>
        <v>0000</v>
      </c>
      <c r="E75">
        <f>data_rotterdam_moerdijk!D338</f>
        <v>0</v>
      </c>
      <c r="F75">
        <f>data_rotterdam_moerdijk!D416</f>
        <v>0</v>
      </c>
      <c r="G75">
        <f>data_zeeland!D341</f>
        <v>0</v>
      </c>
      <c r="H75">
        <f>data_zeeland!D419</f>
        <v>0</v>
      </c>
      <c r="I75">
        <f>data_noordzeekanaalgebied!D278</f>
        <v>0</v>
      </c>
      <c r="J75">
        <f>data_noordzeekanaalgebied!D356</f>
        <v>0</v>
      </c>
      <c r="K75">
        <f>data_noord_nederland!D287</f>
        <v>0</v>
      </c>
      <c r="L75">
        <f>data_noord_nederland!D365</f>
        <v>0</v>
      </c>
    </row>
    <row r="76" spans="2:12" x14ac:dyDescent="0.2">
      <c r="B76" s="62"/>
      <c r="C76" s="5"/>
    </row>
    <row r="77" spans="2:12" x14ac:dyDescent="0.2">
      <c r="B77" s="62"/>
      <c r="C77" s="5"/>
    </row>
    <row r="78" spans="2:12" x14ac:dyDescent="0.2">
      <c r="B78" s="62"/>
      <c r="C78" s="5"/>
    </row>
    <row r="79" spans="2:12" x14ac:dyDescent="0.2">
      <c r="B79" s="62"/>
      <c r="C79" s="5"/>
    </row>
    <row r="80" spans="2:12" x14ac:dyDescent="0.2">
      <c r="B80" s="62"/>
      <c r="C80" s="5"/>
    </row>
    <row r="81" spans="3:3" x14ac:dyDescent="0.2">
      <c r="C81" s="5"/>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0F258-650A-A74B-B53C-E4DDA22DE802}">
  <sheetPr>
    <tabColor rgb="FFFFC000"/>
  </sheetPr>
  <dimension ref="A1:B29"/>
  <sheetViews>
    <sheetView tabSelected="1" zoomScale="125" workbookViewId="0">
      <selection activeCell="B7" sqref="B7"/>
    </sheetView>
  </sheetViews>
  <sheetFormatPr baseColWidth="10" defaultRowHeight="16" x14ac:dyDescent="0.2"/>
  <cols>
    <col min="1" max="1" width="15.1640625" bestFit="1" customWidth="1"/>
    <col min="2" max="2" width="19.33203125" customWidth="1"/>
    <col min="3" max="3" width="16.5" bestFit="1" customWidth="1"/>
    <col min="4" max="4" width="16.33203125" bestFit="1" customWidth="1"/>
    <col min="5" max="5" width="16.33203125" customWidth="1"/>
    <col min="7" max="7" width="38.1640625" bestFit="1" customWidth="1"/>
    <col min="8" max="9" width="12" bestFit="1" customWidth="1"/>
    <col min="10" max="10" width="15.83203125" bestFit="1" customWidth="1"/>
    <col min="12" max="13" width="22.1640625" bestFit="1" customWidth="1"/>
    <col min="14" max="14" width="16.33203125" customWidth="1"/>
    <col min="15" max="15" width="15.83203125" customWidth="1"/>
    <col min="22" max="22" width="11.1640625" bestFit="1" customWidth="1"/>
  </cols>
  <sheetData>
    <row r="1" spans="1:2" x14ac:dyDescent="0.2">
      <c r="A1" s="109" t="s">
        <v>395</v>
      </c>
      <c r="B1" s="109" t="s">
        <v>396</v>
      </c>
    </row>
    <row r="2" spans="1:2" x14ac:dyDescent="0.2">
      <c r="A2" t="s">
        <v>397</v>
      </c>
      <c r="B2" s="6" t="s">
        <v>402</v>
      </c>
    </row>
    <row r="3" spans="1:2" x14ac:dyDescent="0.2">
      <c r="A3" t="s">
        <v>398</v>
      </c>
      <c r="B3" s="6" t="s">
        <v>399</v>
      </c>
    </row>
    <row r="4" spans="1:2" x14ac:dyDescent="0.2">
      <c r="A4" t="s">
        <v>400</v>
      </c>
      <c r="B4" s="6" t="s">
        <v>401</v>
      </c>
    </row>
    <row r="5" spans="1:2" x14ac:dyDescent="0.2">
      <c r="A5" t="s">
        <v>102</v>
      </c>
      <c r="B5">
        <v>0</v>
      </c>
    </row>
    <row r="6" spans="1:2" x14ac:dyDescent="0.2">
      <c r="A6" t="s">
        <v>103</v>
      </c>
      <c r="B6">
        <v>0</v>
      </c>
    </row>
    <row r="7" spans="1:2" x14ac:dyDescent="0.2">
      <c r="A7" t="s">
        <v>104</v>
      </c>
      <c r="B7">
        <v>35</v>
      </c>
    </row>
    <row r="8" spans="1:2" x14ac:dyDescent="0.2">
      <c r="A8" t="s">
        <v>105</v>
      </c>
      <c r="B8">
        <v>13</v>
      </c>
    </row>
    <row r="9" spans="1:2" x14ac:dyDescent="0.2">
      <c r="A9" t="s">
        <v>106</v>
      </c>
      <c r="B9">
        <v>0</v>
      </c>
    </row>
    <row r="10" spans="1:2" x14ac:dyDescent="0.2">
      <c r="A10" t="s">
        <v>107</v>
      </c>
      <c r="B10">
        <v>50</v>
      </c>
    </row>
    <row r="11" spans="1:2" x14ac:dyDescent="0.2">
      <c r="A11" t="s">
        <v>76</v>
      </c>
      <c r="B11" t="s">
        <v>567</v>
      </c>
    </row>
    <row r="12" spans="1:2" x14ac:dyDescent="0.2">
      <c r="A12" t="s">
        <v>108</v>
      </c>
      <c r="B12">
        <v>15</v>
      </c>
    </row>
    <row r="13" spans="1:2" x14ac:dyDescent="0.2">
      <c r="A13" t="s">
        <v>109</v>
      </c>
      <c r="B13">
        <v>27</v>
      </c>
    </row>
    <row r="14" spans="1:2" x14ac:dyDescent="0.2">
      <c r="A14" t="s">
        <v>110</v>
      </c>
      <c r="B14" t="s">
        <v>124</v>
      </c>
    </row>
    <row r="15" spans="1:2" x14ac:dyDescent="0.2">
      <c r="A15" t="s">
        <v>111</v>
      </c>
      <c r="B15">
        <v>9</v>
      </c>
    </row>
    <row r="16" spans="1:2" x14ac:dyDescent="0.2">
      <c r="A16" t="s">
        <v>112</v>
      </c>
      <c r="B16">
        <v>30</v>
      </c>
    </row>
    <row r="17" spans="1:2" x14ac:dyDescent="0.2">
      <c r="A17" t="s">
        <v>113</v>
      </c>
      <c r="B17">
        <v>10</v>
      </c>
    </row>
    <row r="18" spans="1:2" x14ac:dyDescent="0.2">
      <c r="A18" t="s">
        <v>114</v>
      </c>
      <c r="B18" t="s">
        <v>125</v>
      </c>
    </row>
    <row r="19" spans="1:2" x14ac:dyDescent="0.2">
      <c r="A19" t="s">
        <v>115</v>
      </c>
      <c r="B19" t="s">
        <v>126</v>
      </c>
    </row>
    <row r="20" spans="1:2" x14ac:dyDescent="0.2">
      <c r="A20" t="s">
        <v>116</v>
      </c>
      <c r="B20">
        <v>0.15</v>
      </c>
    </row>
    <row r="21" spans="1:2" x14ac:dyDescent="0.2">
      <c r="A21" t="s">
        <v>117</v>
      </c>
      <c r="B21">
        <v>1500</v>
      </c>
    </row>
    <row r="22" spans="1:2" x14ac:dyDescent="0.2">
      <c r="A22" t="s">
        <v>118</v>
      </c>
      <c r="B22">
        <v>1360</v>
      </c>
    </row>
    <row r="23" spans="1:2" x14ac:dyDescent="0.2">
      <c r="A23" t="s">
        <v>119</v>
      </c>
      <c r="B23">
        <v>0</v>
      </c>
    </row>
    <row r="24" spans="1:2" x14ac:dyDescent="0.2">
      <c r="A24" t="s">
        <v>120</v>
      </c>
      <c r="B24">
        <v>0</v>
      </c>
    </row>
    <row r="25" spans="1:2" x14ac:dyDescent="0.2">
      <c r="A25" t="s">
        <v>121</v>
      </c>
      <c r="B25">
        <v>1</v>
      </c>
    </row>
    <row r="26" spans="1:2" x14ac:dyDescent="0.2">
      <c r="A26" t="s">
        <v>122</v>
      </c>
      <c r="B26">
        <v>1</v>
      </c>
    </row>
    <row r="27" spans="1:2" x14ac:dyDescent="0.2">
      <c r="A27" t="s">
        <v>123</v>
      </c>
      <c r="B27">
        <v>0</v>
      </c>
    </row>
    <row r="28" spans="1:2" x14ac:dyDescent="0.2">
      <c r="A28" t="s">
        <v>319</v>
      </c>
      <c r="B28">
        <v>100</v>
      </c>
    </row>
    <row r="29" spans="1:2" x14ac:dyDescent="0.2">
      <c r="A29" t="s">
        <v>403</v>
      </c>
      <c r="B29" s="110" t="s">
        <v>566</v>
      </c>
    </row>
  </sheetData>
  <pageMargins left="0.7" right="0.7" top="0.75" bottom="0.75" header="0.3" footer="0.3"/>
  <pageSetup paperSize="9" orientation="portrait" horizontalDpi="0" verticalDpi="0"/>
  <headerFooter>
    <oddFooter>&amp;L_x000D_&amp;1#&amp;"Calibri"&amp;10&amp;K000000 Intern gebruik</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5785C-FCCF-7742-9127-C94872A13C5B}">
  <sheetPr>
    <tabColor rgb="FFFFC000"/>
  </sheetPr>
  <dimension ref="A1:C23"/>
  <sheetViews>
    <sheetView zoomScale="134" workbookViewId="0">
      <selection activeCell="B5" sqref="B5"/>
    </sheetView>
  </sheetViews>
  <sheetFormatPr baseColWidth="10" defaultRowHeight="16" x14ac:dyDescent="0.2"/>
  <cols>
    <col min="1" max="1" width="16.1640625" customWidth="1"/>
    <col min="2" max="2" width="24.5" customWidth="1"/>
  </cols>
  <sheetData>
    <row r="1" spans="1:3" s="29" customFormat="1" x14ac:dyDescent="0.2">
      <c r="A1" s="46" t="s">
        <v>77</v>
      </c>
      <c r="B1" s="46" t="s">
        <v>127</v>
      </c>
    </row>
    <row r="2" spans="1:3" x14ac:dyDescent="0.2">
      <c r="A2" t="s">
        <v>128</v>
      </c>
      <c r="B2" t="s">
        <v>129</v>
      </c>
      <c r="C2" t="s">
        <v>129</v>
      </c>
    </row>
    <row r="3" spans="1:3" x14ac:dyDescent="0.2">
      <c r="A3" t="s">
        <v>130</v>
      </c>
      <c r="B3" t="s">
        <v>131</v>
      </c>
      <c r="C3" s="12" t="s">
        <v>131</v>
      </c>
    </row>
    <row r="4" spans="1:3" x14ac:dyDescent="0.2">
      <c r="A4" t="s">
        <v>16</v>
      </c>
      <c r="B4" t="s">
        <v>338</v>
      </c>
      <c r="C4" t="s">
        <v>132</v>
      </c>
    </row>
    <row r="5" spans="1:3" x14ac:dyDescent="0.2">
      <c r="A5" t="s">
        <v>18</v>
      </c>
      <c r="B5" t="s">
        <v>133</v>
      </c>
      <c r="C5" t="s">
        <v>134</v>
      </c>
    </row>
    <row r="6" spans="1:3" x14ac:dyDescent="0.2">
      <c r="A6" t="s">
        <v>135</v>
      </c>
      <c r="B6" t="s">
        <v>136</v>
      </c>
      <c r="C6" t="s">
        <v>133</v>
      </c>
    </row>
    <row r="7" spans="1:3" x14ac:dyDescent="0.2">
      <c r="A7" t="s">
        <v>15</v>
      </c>
      <c r="B7" s="64" t="s">
        <v>137</v>
      </c>
      <c r="C7" t="s">
        <v>138</v>
      </c>
    </row>
    <row r="8" spans="1:3" x14ac:dyDescent="0.2">
      <c r="A8" t="s">
        <v>17</v>
      </c>
      <c r="B8" s="64" t="s">
        <v>139</v>
      </c>
      <c r="C8" t="s">
        <v>140</v>
      </c>
    </row>
    <row r="9" spans="1:3" x14ac:dyDescent="0.2">
      <c r="A9" t="s">
        <v>141</v>
      </c>
      <c r="B9" t="s">
        <v>142</v>
      </c>
      <c r="C9" t="s">
        <v>143</v>
      </c>
    </row>
    <row r="10" spans="1:3" x14ac:dyDescent="0.2">
      <c r="A10" t="s">
        <v>144</v>
      </c>
      <c r="B10" s="64" t="s">
        <v>145</v>
      </c>
      <c r="C10" t="s">
        <v>146</v>
      </c>
    </row>
    <row r="11" spans="1:3" x14ac:dyDescent="0.2">
      <c r="A11" t="s">
        <v>19</v>
      </c>
      <c r="B11" t="s">
        <v>147</v>
      </c>
      <c r="C11" t="s">
        <v>148</v>
      </c>
    </row>
    <row r="12" spans="1:3" x14ac:dyDescent="0.2">
      <c r="A12" t="s">
        <v>149</v>
      </c>
      <c r="B12" t="s">
        <v>150</v>
      </c>
      <c r="C12" t="s">
        <v>150</v>
      </c>
    </row>
    <row r="13" spans="1:3" x14ac:dyDescent="0.2">
      <c r="A13" t="s">
        <v>58</v>
      </c>
      <c r="B13" t="s">
        <v>151</v>
      </c>
      <c r="C13" t="s">
        <v>151</v>
      </c>
    </row>
    <row r="14" spans="1:3" x14ac:dyDescent="0.2">
      <c r="A14" t="s">
        <v>152</v>
      </c>
      <c r="B14" t="s">
        <v>153</v>
      </c>
      <c r="C14" t="s">
        <v>153</v>
      </c>
    </row>
    <row r="15" spans="1:3" x14ac:dyDescent="0.2">
      <c r="A15" t="s">
        <v>154</v>
      </c>
      <c r="B15" t="s">
        <v>155</v>
      </c>
      <c r="C15" t="s">
        <v>155</v>
      </c>
    </row>
    <row r="16" spans="1:3" x14ac:dyDescent="0.2">
      <c r="A16" t="s">
        <v>156</v>
      </c>
      <c r="B16" t="s">
        <v>131</v>
      </c>
    </row>
    <row r="17" spans="1:2" x14ac:dyDescent="0.2">
      <c r="A17" t="s">
        <v>157</v>
      </c>
      <c r="B17" t="s">
        <v>131</v>
      </c>
    </row>
    <row r="18" spans="1:2" x14ac:dyDescent="0.2">
      <c r="A18" t="s">
        <v>6</v>
      </c>
      <c r="B18" t="s">
        <v>129</v>
      </c>
    </row>
    <row r="19" spans="1:2" x14ac:dyDescent="0.2">
      <c r="A19" t="s">
        <v>100</v>
      </c>
      <c r="B19" t="s">
        <v>136</v>
      </c>
    </row>
    <row r="20" spans="1:2" x14ac:dyDescent="0.2">
      <c r="A20" t="s">
        <v>99</v>
      </c>
      <c r="B20" t="s">
        <v>158</v>
      </c>
    </row>
    <row r="21" spans="1:2" ht="17" x14ac:dyDescent="0.2">
      <c r="A21" t="s">
        <v>101</v>
      </c>
      <c r="B21" s="16" t="s">
        <v>142</v>
      </c>
    </row>
    <row r="22" spans="1:2" x14ac:dyDescent="0.2">
      <c r="A22" t="s">
        <v>250</v>
      </c>
      <c r="B22" t="s">
        <v>267</v>
      </c>
    </row>
    <row r="23" spans="1:2" x14ac:dyDescent="0.2">
      <c r="A23" t="s">
        <v>320</v>
      </c>
      <c r="B23" t="s">
        <v>132</v>
      </c>
    </row>
  </sheetData>
  <pageMargins left="0.7" right="0.7" top="0.75" bottom="0.75" header="0.3" footer="0.3"/>
  <pageSetup paperSize="9" orientation="portrait" horizontalDpi="0" verticalDpi="0"/>
  <headerFooter>
    <oddFooter>&amp;L_x000D_&amp;1#&amp;"Calibri"&amp;10&amp;K000000 Intern gebruik</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C43BE-E656-3B42-BBB8-82E52301DC56}">
  <sheetPr>
    <tabColor theme="8" tint="0.39997558519241921"/>
  </sheetPr>
  <dimension ref="A2:R416"/>
  <sheetViews>
    <sheetView topLeftCell="A232" zoomScaleNormal="100" workbookViewId="0">
      <selection activeCell="C31" sqref="C31"/>
    </sheetView>
  </sheetViews>
  <sheetFormatPr baseColWidth="10" defaultRowHeight="16" x14ac:dyDescent="0.2"/>
  <cols>
    <col min="1" max="1" width="13.33203125" customWidth="1"/>
    <col min="2" max="2" width="106.6640625" customWidth="1"/>
    <col min="3" max="3" width="24.5" customWidth="1"/>
    <col min="4" max="4" width="16.33203125" customWidth="1"/>
    <col min="5" max="5" width="16.6640625" style="5" customWidth="1"/>
    <col min="8" max="8" width="43.83203125" customWidth="1"/>
    <col min="9" max="9" width="29.6640625" customWidth="1"/>
    <col min="10" max="10" width="10.83203125" customWidth="1"/>
    <col min="15" max="15" width="10.83203125" customWidth="1"/>
    <col min="18" max="19" width="10.83203125" customWidth="1"/>
    <col min="24" max="24" width="10.83203125" customWidth="1"/>
  </cols>
  <sheetData>
    <row r="2" spans="2:18" ht="38" customHeight="1" x14ac:dyDescent="0.2">
      <c r="B2" s="73" t="s">
        <v>166</v>
      </c>
      <c r="C2" s="27"/>
      <c r="D2" s="27"/>
      <c r="E2" s="27"/>
      <c r="F2" s="27"/>
      <c r="G2" s="27"/>
      <c r="H2" s="27"/>
      <c r="I2" s="27"/>
      <c r="J2" s="27"/>
      <c r="K2" s="27"/>
      <c r="L2" s="27"/>
      <c r="M2" s="27"/>
      <c r="N2" s="27"/>
      <c r="O2" s="27"/>
    </row>
    <row r="3" spans="2:18" x14ac:dyDescent="0.2">
      <c r="D3" s="5"/>
    </row>
    <row r="4" spans="2:18" ht="24" customHeight="1" x14ac:dyDescent="0.2">
      <c r="B4" s="72" t="s">
        <v>22</v>
      </c>
      <c r="C4" s="72" t="s">
        <v>25</v>
      </c>
      <c r="D4" s="72" t="s">
        <v>24</v>
      </c>
      <c r="E4" s="72" t="s">
        <v>23</v>
      </c>
      <c r="F4" s="75"/>
      <c r="G4" s="75"/>
      <c r="H4" s="75"/>
      <c r="I4" s="75"/>
      <c r="J4" s="75"/>
      <c r="K4" s="75"/>
      <c r="L4" s="75"/>
      <c r="M4" s="75"/>
      <c r="N4" s="75"/>
      <c r="O4" s="75"/>
    </row>
    <row r="5" spans="2:18" x14ac:dyDescent="0.2">
      <c r="B5" s="3" t="s">
        <v>560</v>
      </c>
      <c r="C5" t="s">
        <v>8</v>
      </c>
      <c r="D5" s="32">
        <v>0.7</v>
      </c>
      <c r="E5" t="s">
        <v>37</v>
      </c>
      <c r="R5" s="14" t="s">
        <v>322</v>
      </c>
    </row>
    <row r="6" spans="2:18" x14ac:dyDescent="0.2">
      <c r="B6" s="3" t="s">
        <v>561</v>
      </c>
      <c r="C6" t="s">
        <v>8</v>
      </c>
      <c r="D6" s="32">
        <v>0.65</v>
      </c>
      <c r="E6" t="s">
        <v>37</v>
      </c>
      <c r="R6" s="14" t="s">
        <v>323</v>
      </c>
    </row>
    <row r="7" spans="2:18" x14ac:dyDescent="0.2">
      <c r="B7" s="3" t="s">
        <v>562</v>
      </c>
      <c r="C7" t="s">
        <v>8</v>
      </c>
      <c r="D7" s="86">
        <v>0.65</v>
      </c>
      <c r="E7" t="s">
        <v>37</v>
      </c>
      <c r="R7" s="14" t="s">
        <v>324</v>
      </c>
    </row>
    <row r="8" spans="2:18" x14ac:dyDescent="0.2">
      <c r="B8" s="3" t="s">
        <v>563</v>
      </c>
      <c r="C8" t="s">
        <v>8</v>
      </c>
      <c r="D8" s="32">
        <v>0.65</v>
      </c>
      <c r="E8" s="5" t="s">
        <v>37</v>
      </c>
    </row>
    <row r="9" spans="2:18" x14ac:dyDescent="0.2">
      <c r="B9" s="3"/>
      <c r="D9" s="32"/>
      <c r="E9"/>
    </row>
    <row r="10" spans="2:18" x14ac:dyDescent="0.2">
      <c r="B10" s="3" t="s">
        <v>564</v>
      </c>
      <c r="C10" s="3" t="s">
        <v>8</v>
      </c>
      <c r="D10" s="41">
        <v>0.80001388850021826</v>
      </c>
      <c r="E10" t="s">
        <v>37</v>
      </c>
    </row>
    <row r="11" spans="2:18" x14ac:dyDescent="0.2">
      <c r="B11" t="s">
        <v>40</v>
      </c>
      <c r="C11" t="s">
        <v>39</v>
      </c>
      <c r="D11" s="31">
        <v>56.4</v>
      </c>
      <c r="E11" t="s">
        <v>38</v>
      </c>
    </row>
    <row r="12" spans="2:18" x14ac:dyDescent="0.2">
      <c r="B12" t="s">
        <v>41</v>
      </c>
      <c r="C12" t="s">
        <v>39</v>
      </c>
      <c r="D12" s="31">
        <v>61.8</v>
      </c>
      <c r="E12" t="s">
        <v>38</v>
      </c>
    </row>
    <row r="13" spans="2:18" x14ac:dyDescent="0.2">
      <c r="B13" t="s">
        <v>42</v>
      </c>
      <c r="C13" t="s">
        <v>39</v>
      </c>
      <c r="D13" s="31">
        <v>64.599999999999994</v>
      </c>
      <c r="E13" t="s">
        <v>38</v>
      </c>
      <c r="F13" s="5"/>
    </row>
    <row r="14" spans="2:18" x14ac:dyDescent="0.2">
      <c r="D14" s="5"/>
      <c r="F14" s="5"/>
    </row>
    <row r="15" spans="2:18" ht="38" customHeight="1" x14ac:dyDescent="0.2">
      <c r="B15" s="73" t="s">
        <v>552</v>
      </c>
      <c r="C15" s="28"/>
      <c r="D15" s="28"/>
      <c r="E15" s="30"/>
      <c r="F15" s="28"/>
      <c r="G15" s="28"/>
      <c r="H15" s="28"/>
      <c r="I15" s="28"/>
      <c r="J15" s="28"/>
      <c r="K15" s="28"/>
      <c r="L15" s="28"/>
      <c r="M15" s="28"/>
      <c r="N15" s="28"/>
      <c r="O15" s="28"/>
    </row>
    <row r="17" spans="2:15" s="2" customFormat="1" ht="25" customHeight="1" x14ac:dyDescent="0.2">
      <c r="B17" s="72" t="s">
        <v>168</v>
      </c>
      <c r="C17" s="72" t="s">
        <v>25</v>
      </c>
      <c r="D17" s="72" t="s">
        <v>29</v>
      </c>
      <c r="E17" s="74" t="s">
        <v>30</v>
      </c>
      <c r="F17" s="72" t="s">
        <v>23</v>
      </c>
      <c r="G17" s="72" t="s">
        <v>176</v>
      </c>
      <c r="H17" s="72"/>
      <c r="I17" s="72"/>
      <c r="J17" s="72"/>
      <c r="K17" s="72"/>
      <c r="L17" s="72"/>
      <c r="M17" s="72"/>
      <c r="N17" s="72"/>
      <c r="O17" s="72"/>
    </row>
    <row r="19" spans="2:15" x14ac:dyDescent="0.2">
      <c r="B19" s="31" t="s">
        <v>225</v>
      </c>
    </row>
    <row r="20" spans="2:15" x14ac:dyDescent="0.2">
      <c r="B20" s="33" t="s">
        <v>557</v>
      </c>
    </row>
    <row r="22" spans="2:15" x14ac:dyDescent="0.2">
      <c r="B22" s="1" t="s">
        <v>89</v>
      </c>
    </row>
    <row r="23" spans="2:15" x14ac:dyDescent="0.2">
      <c r="B23" t="s">
        <v>21</v>
      </c>
      <c r="C23" t="s">
        <v>33</v>
      </c>
      <c r="D23" s="65">
        <v>0</v>
      </c>
      <c r="E23" s="34">
        <v>57.6</v>
      </c>
      <c r="F23" t="s">
        <v>174</v>
      </c>
    </row>
    <row r="24" spans="2:15" x14ac:dyDescent="0.2">
      <c r="B24" t="s">
        <v>27</v>
      </c>
      <c r="C24" t="s">
        <v>33</v>
      </c>
      <c r="D24" s="34">
        <f>4*3.6</f>
        <v>14.4</v>
      </c>
      <c r="E24" s="34">
        <v>72.72</v>
      </c>
      <c r="F24" t="s">
        <v>269</v>
      </c>
    </row>
    <row r="25" spans="2:15" x14ac:dyDescent="0.2">
      <c r="B25" s="42" t="s">
        <v>163</v>
      </c>
      <c r="C25" s="19" t="s">
        <v>33</v>
      </c>
      <c r="D25" s="45"/>
      <c r="E25" s="35">
        <v>28.979999999999997</v>
      </c>
      <c r="F25" t="s">
        <v>175</v>
      </c>
      <c r="K25" s="39"/>
      <c r="L25" s="40"/>
    </row>
    <row r="27" spans="2:15" x14ac:dyDescent="0.2">
      <c r="B27" s="1" t="s">
        <v>91</v>
      </c>
    </row>
    <row r="28" spans="2:15" x14ac:dyDescent="0.2">
      <c r="B28" s="19" t="s">
        <v>226</v>
      </c>
      <c r="C28" t="s">
        <v>43</v>
      </c>
      <c r="D28" s="31">
        <v>0</v>
      </c>
      <c r="E28" s="34">
        <v>127.8</v>
      </c>
      <c r="F28" t="s">
        <v>174</v>
      </c>
    </row>
    <row r="29" spans="2:15" x14ac:dyDescent="0.2">
      <c r="B29" t="s">
        <v>177</v>
      </c>
      <c r="C29" t="s">
        <v>35</v>
      </c>
      <c r="D29" s="34">
        <v>49.680000000000007</v>
      </c>
      <c r="E29" s="34">
        <v>94.32</v>
      </c>
      <c r="F29" s="11" t="s">
        <v>273</v>
      </c>
      <c r="G29" s="14"/>
    </row>
    <row r="30" spans="2:15" x14ac:dyDescent="0.2">
      <c r="B30" t="s">
        <v>274</v>
      </c>
      <c r="C30" t="s">
        <v>35</v>
      </c>
      <c r="D30" s="34">
        <v>0</v>
      </c>
      <c r="E30" s="34">
        <f>1.7*3.6</f>
        <v>6.12</v>
      </c>
      <c r="F30" t="s">
        <v>174</v>
      </c>
      <c r="G30" s="14"/>
    </row>
    <row r="31" spans="2:15" x14ac:dyDescent="0.2">
      <c r="B31" t="s">
        <v>275</v>
      </c>
      <c r="C31" t="s">
        <v>35</v>
      </c>
      <c r="D31" s="34">
        <v>0</v>
      </c>
      <c r="E31" s="37">
        <f>E29-E30</f>
        <v>88.199999999999989</v>
      </c>
      <c r="F31" t="s">
        <v>276</v>
      </c>
      <c r="G31" s="14"/>
    </row>
    <row r="32" spans="2:15" x14ac:dyDescent="0.2">
      <c r="B32" t="s">
        <v>26</v>
      </c>
      <c r="C32" t="s">
        <v>32</v>
      </c>
      <c r="D32" s="65">
        <v>0</v>
      </c>
      <c r="E32" s="34">
        <v>38.880000000000003</v>
      </c>
      <c r="F32" t="s">
        <v>174</v>
      </c>
    </row>
    <row r="33" spans="2:12" x14ac:dyDescent="0.2">
      <c r="B33" t="s">
        <v>208</v>
      </c>
      <c r="C33" t="s">
        <v>36</v>
      </c>
      <c r="D33" s="80">
        <f>D29*0.5</f>
        <v>24.840000000000003</v>
      </c>
      <c r="E33"/>
      <c r="F33" t="s">
        <v>270</v>
      </c>
      <c r="K33" s="39"/>
      <c r="L33" s="39"/>
    </row>
    <row r="34" spans="2:12" x14ac:dyDescent="0.2">
      <c r="B34" t="s">
        <v>209</v>
      </c>
      <c r="C34" t="s">
        <v>36</v>
      </c>
      <c r="D34" s="37">
        <f>D29*0.5</f>
        <v>24.840000000000003</v>
      </c>
      <c r="E34" s="88"/>
      <c r="F34" t="s">
        <v>270</v>
      </c>
      <c r="K34" s="39"/>
      <c r="L34" s="39"/>
    </row>
    <row r="35" spans="2:12" x14ac:dyDescent="0.2">
      <c r="B35" t="s">
        <v>210</v>
      </c>
      <c r="C35" t="s">
        <v>43</v>
      </c>
      <c r="D35" s="65">
        <v>0</v>
      </c>
      <c r="E35" s="80">
        <f>100.8*data_rotterdam_moerdijk!D6</f>
        <v>65.52</v>
      </c>
      <c r="F35" t="s">
        <v>271</v>
      </c>
      <c r="K35" s="39"/>
      <c r="L35" s="40"/>
    </row>
    <row r="36" spans="2:12" x14ac:dyDescent="0.2">
      <c r="B36" t="s">
        <v>211</v>
      </c>
      <c r="C36" t="s">
        <v>43</v>
      </c>
      <c r="D36" s="31">
        <v>0</v>
      </c>
      <c r="E36" s="37">
        <f>E28-E35</f>
        <v>62.28</v>
      </c>
      <c r="F36" t="s">
        <v>272</v>
      </c>
    </row>
    <row r="37" spans="2:12" x14ac:dyDescent="0.2">
      <c r="B37" t="s">
        <v>14</v>
      </c>
      <c r="C37" t="s">
        <v>35</v>
      </c>
      <c r="D37" s="31">
        <v>0</v>
      </c>
      <c r="E37" s="34">
        <v>112.68</v>
      </c>
      <c r="F37" t="s">
        <v>161</v>
      </c>
    </row>
    <row r="39" spans="2:12" x14ac:dyDescent="0.2">
      <c r="B39" s="1" t="s">
        <v>85</v>
      </c>
    </row>
    <row r="40" spans="2:12" x14ac:dyDescent="0.2">
      <c r="B40" t="s">
        <v>31</v>
      </c>
      <c r="C40" t="s">
        <v>34</v>
      </c>
      <c r="D40" s="34">
        <v>99</v>
      </c>
      <c r="E40" s="34">
        <v>154.07999999999998</v>
      </c>
      <c r="F40" t="s">
        <v>268</v>
      </c>
    </row>
    <row r="41" spans="2:12" x14ac:dyDescent="0.2">
      <c r="B41" t="s">
        <v>72</v>
      </c>
      <c r="C41" t="s">
        <v>34</v>
      </c>
      <c r="D41" s="37">
        <f>(D33+D35)/D6</f>
        <v>38.215384615384622</v>
      </c>
      <c r="E41" s="37">
        <f>E35/D6</f>
        <v>100.8</v>
      </c>
      <c r="F41" t="s">
        <v>279</v>
      </c>
    </row>
    <row r="43" spans="2:12" x14ac:dyDescent="0.2">
      <c r="B43" s="1" t="s">
        <v>86</v>
      </c>
    </row>
    <row r="44" spans="2:12" x14ac:dyDescent="0.2">
      <c r="B44" t="s">
        <v>71</v>
      </c>
      <c r="C44" t="s">
        <v>44</v>
      </c>
      <c r="D44" s="37">
        <v>98.952607763753434</v>
      </c>
      <c r="E44" s="37">
        <f>SUM(D44:D45)-E45</f>
        <v>41.352607763753454</v>
      </c>
      <c r="F44" t="s">
        <v>431</v>
      </c>
    </row>
    <row r="45" spans="2:12" x14ac:dyDescent="0.2">
      <c r="B45" t="s">
        <v>289</v>
      </c>
      <c r="C45" t="s">
        <v>44</v>
      </c>
      <c r="D45" s="38">
        <f>D34/D7</f>
        <v>38.215384615384622</v>
      </c>
      <c r="E45" s="37">
        <f>E36/D7</f>
        <v>95.815384615384616</v>
      </c>
      <c r="F45" t="s">
        <v>227</v>
      </c>
    </row>
    <row r="47" spans="2:12" x14ac:dyDescent="0.2">
      <c r="B47" s="1" t="s">
        <v>164</v>
      </c>
    </row>
    <row r="48" spans="2:12" x14ac:dyDescent="0.2">
      <c r="B48" t="s">
        <v>45</v>
      </c>
      <c r="C48" t="s">
        <v>28</v>
      </c>
      <c r="D48" s="34">
        <v>16000</v>
      </c>
      <c r="E48" s="34">
        <v>8300</v>
      </c>
      <c r="F48" t="s">
        <v>161</v>
      </c>
    </row>
    <row r="49" spans="2:15" x14ac:dyDescent="0.2">
      <c r="B49" t="s">
        <v>281</v>
      </c>
      <c r="C49" t="s">
        <v>28</v>
      </c>
      <c r="D49" s="37">
        <v>600</v>
      </c>
      <c r="E49" s="34">
        <v>9500</v>
      </c>
      <c r="F49" t="s">
        <v>282</v>
      </c>
    </row>
    <row r="50" spans="2:15" x14ac:dyDescent="0.2">
      <c r="E50"/>
    </row>
    <row r="51" spans="2:15" ht="24" customHeight="1" x14ac:dyDescent="0.2">
      <c r="B51" s="72" t="s">
        <v>169</v>
      </c>
      <c r="C51" s="72"/>
      <c r="D51" s="72"/>
      <c r="E51" s="74"/>
      <c r="F51" s="72"/>
      <c r="G51" s="72"/>
      <c r="H51" s="72"/>
      <c r="I51" s="72"/>
      <c r="J51" s="72"/>
      <c r="K51" s="72"/>
      <c r="L51" s="72"/>
      <c r="M51" s="72"/>
      <c r="N51" s="72"/>
      <c r="O51" s="72"/>
    </row>
    <row r="53" spans="2:15" x14ac:dyDescent="0.2">
      <c r="B53" s="1" t="s">
        <v>170</v>
      </c>
      <c r="C53" s="1" t="s">
        <v>171</v>
      </c>
      <c r="D53" s="1" t="s">
        <v>172</v>
      </c>
      <c r="E53" s="21" t="s">
        <v>173</v>
      </c>
    </row>
    <row r="56" spans="2:15" x14ac:dyDescent="0.2">
      <c r="B56" s="1" t="s">
        <v>178</v>
      </c>
      <c r="N56" s="5"/>
    </row>
    <row r="57" spans="2:15" x14ac:dyDescent="0.2">
      <c r="B57" t="s">
        <v>183</v>
      </c>
      <c r="C57" s="13">
        <f>D33/D6</f>
        <v>38.215384615384622</v>
      </c>
      <c r="D57" t="s">
        <v>0</v>
      </c>
    </row>
    <row r="58" spans="2:15" x14ac:dyDescent="0.2">
      <c r="B58" s="19" t="s">
        <v>184</v>
      </c>
      <c r="C58" s="13">
        <f>D34/D7</f>
        <v>38.215384615384622</v>
      </c>
      <c r="D58" t="s">
        <v>212</v>
      </c>
      <c r="G58" s="5"/>
    </row>
    <row r="59" spans="2:15" x14ac:dyDescent="0.2">
      <c r="B59" s="19" t="s">
        <v>185</v>
      </c>
      <c r="C59" s="13">
        <f>D33</f>
        <v>24.840000000000003</v>
      </c>
      <c r="D59" t="s">
        <v>70</v>
      </c>
    </row>
    <row r="60" spans="2:15" x14ac:dyDescent="0.2">
      <c r="B60" s="19" t="s">
        <v>186</v>
      </c>
      <c r="C60" s="13">
        <f>D34</f>
        <v>24.840000000000003</v>
      </c>
      <c r="D60" t="s">
        <v>70</v>
      </c>
    </row>
    <row r="61" spans="2:15" x14ac:dyDescent="0.2">
      <c r="C61" s="13"/>
    </row>
    <row r="62" spans="2:15" ht="16" customHeight="1" x14ac:dyDescent="0.2">
      <c r="B62" s="1" t="s">
        <v>182</v>
      </c>
      <c r="C62" s="13"/>
    </row>
    <row r="63" spans="2:15" ht="17" customHeight="1" x14ac:dyDescent="0.2">
      <c r="B63" t="s">
        <v>187</v>
      </c>
      <c r="C63" s="13">
        <f>D35/D6</f>
        <v>0</v>
      </c>
      <c r="D63" t="s">
        <v>0</v>
      </c>
    </row>
    <row r="64" spans="2:15" x14ac:dyDescent="0.2">
      <c r="B64" s="19" t="s">
        <v>188</v>
      </c>
      <c r="C64" s="13">
        <f>D36/D7</f>
        <v>0</v>
      </c>
      <c r="D64" t="s">
        <v>212</v>
      </c>
    </row>
    <row r="65" spans="2:6" ht="17" customHeight="1" x14ac:dyDescent="0.2">
      <c r="B65" s="19" t="s">
        <v>189</v>
      </c>
      <c r="C65" s="13">
        <f>D35</f>
        <v>0</v>
      </c>
      <c r="D65" t="s">
        <v>69</v>
      </c>
    </row>
    <row r="66" spans="2:6" x14ac:dyDescent="0.2">
      <c r="B66" s="19" t="s">
        <v>190</v>
      </c>
      <c r="C66" s="13">
        <f>D36</f>
        <v>0</v>
      </c>
      <c r="D66" t="s">
        <v>69</v>
      </c>
    </row>
    <row r="67" spans="2:6" x14ac:dyDescent="0.2">
      <c r="C67" s="13"/>
    </row>
    <row r="68" spans="2:6" x14ac:dyDescent="0.2">
      <c r="B68" s="1" t="s">
        <v>204</v>
      </c>
      <c r="C68" s="13"/>
    </row>
    <row r="69" spans="2:6" x14ac:dyDescent="0.2">
      <c r="B69" s="3" t="s">
        <v>206</v>
      </c>
      <c r="C69" s="13">
        <f>D44</f>
        <v>98.952607763753434</v>
      </c>
      <c r="D69" t="s">
        <v>212</v>
      </c>
    </row>
    <row r="70" spans="2:6" x14ac:dyDescent="0.2">
      <c r="C70" s="13"/>
    </row>
    <row r="71" spans="2:6" x14ac:dyDescent="0.2">
      <c r="B71" s="1" t="s">
        <v>280</v>
      </c>
      <c r="C71" s="13"/>
    </row>
    <row r="72" spans="2:6" x14ac:dyDescent="0.2">
      <c r="B72" t="s">
        <v>207</v>
      </c>
      <c r="C72" s="13">
        <f>D40-D41</f>
        <v>60.784615384615378</v>
      </c>
      <c r="D72" t="s">
        <v>0</v>
      </c>
    </row>
    <row r="73" spans="2:6" x14ac:dyDescent="0.2">
      <c r="C73" s="13"/>
    </row>
    <row r="74" spans="2:6" s="2" customFormat="1" ht="26" customHeight="1" x14ac:dyDescent="0.2">
      <c r="B74" s="72" t="s">
        <v>228</v>
      </c>
      <c r="C74" s="102"/>
      <c r="D74" s="102"/>
      <c r="E74" s="102"/>
    </row>
    <row r="75" spans="2:6" x14ac:dyDescent="0.2">
      <c r="C75" s="13"/>
    </row>
    <row r="76" spans="2:6" x14ac:dyDescent="0.2">
      <c r="B76" s="1" t="s">
        <v>179</v>
      </c>
      <c r="C76" s="13"/>
    </row>
    <row r="77" spans="2:6" x14ac:dyDescent="0.2">
      <c r="B77" s="3" t="s">
        <v>191</v>
      </c>
      <c r="C77" s="8">
        <v>1</v>
      </c>
    </row>
    <row r="78" spans="2:6" x14ac:dyDescent="0.2">
      <c r="B78" s="3" t="s">
        <v>217</v>
      </c>
      <c r="C78" s="13">
        <f>C57*C77</f>
        <v>38.215384615384622</v>
      </c>
      <c r="D78" t="s">
        <v>0</v>
      </c>
      <c r="F78" s="13"/>
    </row>
    <row r="79" spans="2:6" x14ac:dyDescent="0.2">
      <c r="B79" s="3" t="s">
        <v>218</v>
      </c>
      <c r="C79" s="13">
        <f>C80/D6</f>
        <v>38.215384615384622</v>
      </c>
      <c r="D79" t="s">
        <v>0</v>
      </c>
    </row>
    <row r="80" spans="2:6" x14ac:dyDescent="0.2">
      <c r="B80" s="3" t="s">
        <v>216</v>
      </c>
      <c r="C80" s="13">
        <f>C77*C59</f>
        <v>24.840000000000003</v>
      </c>
      <c r="D80" t="s">
        <v>69</v>
      </c>
    </row>
    <row r="81" spans="2:6" x14ac:dyDescent="0.2">
      <c r="C81" s="13"/>
    </row>
    <row r="82" spans="2:6" x14ac:dyDescent="0.2">
      <c r="B82" s="1" t="s">
        <v>181</v>
      </c>
    </row>
    <row r="83" spans="2:6" x14ac:dyDescent="0.2">
      <c r="B83" s="3" t="s">
        <v>195</v>
      </c>
      <c r="C83" s="8">
        <v>0</v>
      </c>
    </row>
    <row r="84" spans="2:6" x14ac:dyDescent="0.2">
      <c r="B84" s="3" t="s">
        <v>217</v>
      </c>
      <c r="C84" s="13">
        <f>C57*C83</f>
        <v>0</v>
      </c>
      <c r="D84" t="s">
        <v>0</v>
      </c>
      <c r="F84" s="13"/>
    </row>
    <row r="85" spans="2:6" x14ac:dyDescent="0.2">
      <c r="B85" s="3" t="s">
        <v>219</v>
      </c>
      <c r="C85" s="13">
        <f>C86/D7</f>
        <v>0</v>
      </c>
      <c r="D85" t="s">
        <v>212</v>
      </c>
    </row>
    <row r="86" spans="2:6" x14ac:dyDescent="0.2">
      <c r="B86" s="3" t="s">
        <v>216</v>
      </c>
      <c r="C86" s="13">
        <f>C83*C59</f>
        <v>0</v>
      </c>
      <c r="D86" t="s">
        <v>69</v>
      </c>
    </row>
    <row r="87" spans="2:6" x14ac:dyDescent="0.2">
      <c r="C87" s="13"/>
      <c r="F87" s="13"/>
    </row>
    <row r="88" spans="2:6" x14ac:dyDescent="0.2">
      <c r="B88" s="1" t="s">
        <v>165</v>
      </c>
      <c r="C88" t="str">
        <f>IF((C77+C83)&gt;1,"ERROR","OK")</f>
        <v>OK</v>
      </c>
      <c r="F88" s="5"/>
    </row>
    <row r="89" spans="2:6" x14ac:dyDescent="0.2">
      <c r="C89" s="13"/>
    </row>
    <row r="90" spans="2:6" x14ac:dyDescent="0.2">
      <c r="B90" s="1" t="s">
        <v>180</v>
      </c>
      <c r="F90" s="13"/>
    </row>
    <row r="91" spans="2:6" x14ac:dyDescent="0.2">
      <c r="B91" s="3" t="s">
        <v>213</v>
      </c>
      <c r="C91" s="8">
        <v>1</v>
      </c>
    </row>
    <row r="92" spans="2:6" x14ac:dyDescent="0.2">
      <c r="B92" s="3" t="s">
        <v>220</v>
      </c>
      <c r="C92" s="13">
        <f>C58*C91</f>
        <v>38.215384615384622</v>
      </c>
      <c r="D92" t="s">
        <v>212</v>
      </c>
    </row>
    <row r="93" spans="2:6" x14ac:dyDescent="0.2">
      <c r="B93" s="3" t="s">
        <v>219</v>
      </c>
      <c r="C93" s="13">
        <f>C94/D7</f>
        <v>38.215384615384622</v>
      </c>
      <c r="D93" t="s">
        <v>212</v>
      </c>
    </row>
    <row r="94" spans="2:6" x14ac:dyDescent="0.2">
      <c r="B94" s="3" t="s">
        <v>216</v>
      </c>
      <c r="C94" s="13">
        <f>C91*C60</f>
        <v>24.840000000000003</v>
      </c>
      <c r="D94" t="s">
        <v>69</v>
      </c>
    </row>
    <row r="95" spans="2:6" x14ac:dyDescent="0.2">
      <c r="C95" s="13"/>
    </row>
    <row r="96" spans="2:6" x14ac:dyDescent="0.2">
      <c r="B96" s="1" t="s">
        <v>214</v>
      </c>
    </row>
    <row r="97" spans="2:5" x14ac:dyDescent="0.2">
      <c r="B97" s="3" t="s">
        <v>215</v>
      </c>
      <c r="C97" s="8">
        <v>0</v>
      </c>
    </row>
    <row r="98" spans="2:5" x14ac:dyDescent="0.2">
      <c r="B98" s="3" t="s">
        <v>220</v>
      </c>
      <c r="C98" s="13">
        <f>C58*C97</f>
        <v>0</v>
      </c>
      <c r="D98" t="s">
        <v>212</v>
      </c>
    </row>
    <row r="99" spans="2:5" x14ac:dyDescent="0.2">
      <c r="B99" s="3" t="s">
        <v>218</v>
      </c>
      <c r="C99" s="13">
        <f>C100/D6</f>
        <v>0</v>
      </c>
      <c r="D99" t="s">
        <v>0</v>
      </c>
    </row>
    <row r="100" spans="2:5" x14ac:dyDescent="0.2">
      <c r="B100" s="3" t="s">
        <v>193</v>
      </c>
      <c r="C100" s="13">
        <f>C97*C60</f>
        <v>0</v>
      </c>
      <c r="D100" t="s">
        <v>69</v>
      </c>
    </row>
    <row r="101" spans="2:5" x14ac:dyDescent="0.2">
      <c r="B101" s="3"/>
      <c r="C101" s="13"/>
    </row>
    <row r="102" spans="2:5" x14ac:dyDescent="0.2">
      <c r="B102" s="1" t="s">
        <v>165</v>
      </c>
      <c r="C102" t="str">
        <f>IF((C91+C97)&gt;1,"ERROR","OK")</f>
        <v>OK</v>
      </c>
    </row>
    <row r="103" spans="2:5" x14ac:dyDescent="0.2">
      <c r="B103" s="3"/>
      <c r="C103" s="13"/>
    </row>
    <row r="104" spans="2:5" s="2" customFormat="1" ht="26" customHeight="1" x14ac:dyDescent="0.2">
      <c r="B104" s="72" t="s">
        <v>229</v>
      </c>
      <c r="C104" s="102"/>
      <c r="D104" s="102"/>
      <c r="E104" s="102"/>
    </row>
    <row r="105" spans="2:5" x14ac:dyDescent="0.2">
      <c r="B105" s="3"/>
      <c r="C105" s="13"/>
    </row>
    <row r="106" spans="2:5" x14ac:dyDescent="0.2">
      <c r="B106" s="1" t="s">
        <v>196</v>
      </c>
      <c r="C106" s="13"/>
    </row>
    <row r="107" spans="2:5" x14ac:dyDescent="0.2">
      <c r="B107" s="3" t="s">
        <v>192</v>
      </c>
      <c r="C107" s="13">
        <f>C108/D6</f>
        <v>0</v>
      </c>
      <c r="D107" t="s">
        <v>0</v>
      </c>
    </row>
    <row r="108" spans="2:5" x14ac:dyDescent="0.2">
      <c r="B108" s="3" t="s">
        <v>198</v>
      </c>
      <c r="C108" s="13">
        <f>C59-C80-C86</f>
        <v>0</v>
      </c>
      <c r="D108" t="s">
        <v>70</v>
      </c>
    </row>
    <row r="109" spans="2:5" x14ac:dyDescent="0.2">
      <c r="C109" s="13"/>
    </row>
    <row r="110" spans="2:5" x14ac:dyDescent="0.2">
      <c r="B110" s="1" t="s">
        <v>197</v>
      </c>
      <c r="C110" s="13"/>
    </row>
    <row r="111" spans="2:5" x14ac:dyDescent="0.2">
      <c r="B111" s="3" t="s">
        <v>194</v>
      </c>
      <c r="C111" s="13">
        <f>C112/D7</f>
        <v>0</v>
      </c>
      <c r="D111" t="s">
        <v>212</v>
      </c>
    </row>
    <row r="112" spans="2:5" x14ac:dyDescent="0.2">
      <c r="B112" s="3" t="s">
        <v>198</v>
      </c>
      <c r="C112" s="13">
        <f>C60-C94-C100</f>
        <v>0</v>
      </c>
      <c r="D112" t="s">
        <v>70</v>
      </c>
    </row>
    <row r="113" spans="2:6" x14ac:dyDescent="0.2">
      <c r="C113" s="13"/>
    </row>
    <row r="114" spans="2:6" x14ac:dyDescent="0.2">
      <c r="B114" s="1" t="s">
        <v>199</v>
      </c>
      <c r="C114" s="13"/>
    </row>
    <row r="115" spans="2:6" x14ac:dyDescent="0.2">
      <c r="B115" s="3" t="s">
        <v>192</v>
      </c>
      <c r="C115" s="13">
        <f>C116/D6</f>
        <v>62.584615384615368</v>
      </c>
      <c r="D115" t="s">
        <v>0</v>
      </c>
    </row>
    <row r="116" spans="2:6" x14ac:dyDescent="0.2">
      <c r="B116" s="3" t="s">
        <v>193</v>
      </c>
      <c r="C116" s="13">
        <f>E35-C80-C100</f>
        <v>40.679999999999993</v>
      </c>
      <c r="D116" t="s">
        <v>1</v>
      </c>
    </row>
    <row r="117" spans="2:6" x14ac:dyDescent="0.2">
      <c r="C117" s="13"/>
    </row>
    <row r="118" spans="2:6" ht="16" customHeight="1" x14ac:dyDescent="0.2">
      <c r="B118" s="81" t="s">
        <v>200</v>
      </c>
      <c r="C118" s="77"/>
      <c r="D118" s="78"/>
    </row>
    <row r="119" spans="2:6" ht="17" customHeight="1" x14ac:dyDescent="0.2">
      <c r="B119" s="82" t="s">
        <v>194</v>
      </c>
      <c r="C119" s="83">
        <f>C120/D7</f>
        <v>57.599999999999994</v>
      </c>
      <c r="D119" s="84" t="s">
        <v>212</v>
      </c>
      <c r="F119" s="13"/>
    </row>
    <row r="120" spans="2:6" x14ac:dyDescent="0.2">
      <c r="B120" s="82" t="s">
        <v>193</v>
      </c>
      <c r="C120" s="83">
        <f>E36-C94-C86</f>
        <v>37.44</v>
      </c>
      <c r="D120" s="84" t="s">
        <v>1</v>
      </c>
      <c r="E120" s="85"/>
    </row>
    <row r="121" spans="2:6" x14ac:dyDescent="0.2">
      <c r="C121" s="83"/>
      <c r="D121" s="84"/>
      <c r="E121" s="85"/>
    </row>
    <row r="122" spans="2:6" x14ac:dyDescent="0.2">
      <c r="B122" s="1" t="s">
        <v>201</v>
      </c>
      <c r="C122" s="83"/>
      <c r="D122" s="84"/>
      <c r="E122" s="85"/>
    </row>
    <row r="123" spans="2:6" x14ac:dyDescent="0.2">
      <c r="B123" s="3" t="s">
        <v>194</v>
      </c>
      <c r="C123" s="13">
        <f>E44</f>
        <v>41.352607763753454</v>
      </c>
      <c r="D123" t="s">
        <v>212</v>
      </c>
    </row>
    <row r="124" spans="2:6" x14ac:dyDescent="0.2">
      <c r="C124" s="13"/>
    </row>
    <row r="125" spans="2:6" s="2" customFormat="1" ht="26" customHeight="1" x14ac:dyDescent="0.2">
      <c r="B125" s="72" t="s">
        <v>230</v>
      </c>
      <c r="C125" s="102"/>
      <c r="D125" s="102"/>
      <c r="E125" s="102"/>
    </row>
    <row r="126" spans="2:6" x14ac:dyDescent="0.2">
      <c r="C126" s="13"/>
    </row>
    <row r="127" spans="2:6" x14ac:dyDescent="0.2">
      <c r="B127" s="1" t="s">
        <v>202</v>
      </c>
      <c r="C127" s="13"/>
    </row>
    <row r="128" spans="2:6" x14ac:dyDescent="0.2">
      <c r="B128" s="3" t="s">
        <v>192</v>
      </c>
      <c r="C128" s="13">
        <v>0</v>
      </c>
      <c r="D128" t="s">
        <v>0</v>
      </c>
    </row>
    <row r="129" spans="2:7" x14ac:dyDescent="0.2">
      <c r="C129" s="13"/>
    </row>
    <row r="130" spans="2:7" x14ac:dyDescent="0.2">
      <c r="B130" s="1" t="s">
        <v>203</v>
      </c>
      <c r="C130" s="13"/>
    </row>
    <row r="131" spans="2:7" x14ac:dyDescent="0.2">
      <c r="B131" s="3" t="s">
        <v>192</v>
      </c>
      <c r="C131" s="13">
        <f>IF(E40-E41-C128&gt;0,E40-E41-C128,0)</f>
        <v>53.279999999999987</v>
      </c>
      <c r="D131" t="s">
        <v>0</v>
      </c>
    </row>
    <row r="132" spans="2:7" x14ac:dyDescent="0.2">
      <c r="C132" s="13"/>
    </row>
    <row r="133" spans="2:7" x14ac:dyDescent="0.2">
      <c r="B133" s="76" t="s">
        <v>205</v>
      </c>
      <c r="C133" s="77"/>
    </row>
    <row r="134" spans="2:7" x14ac:dyDescent="0.2">
      <c r="B134" s="79" t="s">
        <v>192</v>
      </c>
      <c r="C134" s="77"/>
    </row>
    <row r="136" spans="2:7" x14ac:dyDescent="0.2">
      <c r="C136" s="13"/>
    </row>
    <row r="137" spans="2:7" s="2" customFormat="1" ht="26" customHeight="1" x14ac:dyDescent="0.2">
      <c r="B137" s="98" t="s">
        <v>231</v>
      </c>
      <c r="C137" s="99"/>
      <c r="D137" s="100"/>
      <c r="E137" s="101"/>
    </row>
    <row r="139" spans="2:7" x14ac:dyDescent="0.2">
      <c r="B139" s="43" t="s">
        <v>221</v>
      </c>
    </row>
    <row r="140" spans="2:7" x14ac:dyDescent="0.2">
      <c r="B140" s="17" t="s">
        <v>283</v>
      </c>
      <c r="C140" s="17">
        <v>600</v>
      </c>
      <c r="D140" s="17" t="s">
        <v>9</v>
      </c>
    </row>
    <row r="142" spans="2:7" x14ac:dyDescent="0.2">
      <c r="B142" s="1" t="s">
        <v>284</v>
      </c>
      <c r="C142" s="13"/>
    </row>
    <row r="143" spans="2:7" x14ac:dyDescent="0.2">
      <c r="B143" t="s">
        <v>285</v>
      </c>
      <c r="C143" s="5">
        <f>D40*D11</f>
        <v>5583.5999999999995</v>
      </c>
      <c r="D143" t="s">
        <v>9</v>
      </c>
    </row>
    <row r="144" spans="2:7" x14ac:dyDescent="0.2">
      <c r="B144" t="s">
        <v>286</v>
      </c>
      <c r="C144" s="5">
        <f>D44*D13</f>
        <v>6392.3384615384712</v>
      </c>
      <c r="D144" t="s">
        <v>9</v>
      </c>
      <c r="G144" s="5"/>
    </row>
    <row r="145" spans="2:8" x14ac:dyDescent="0.2">
      <c r="B145" t="s">
        <v>208</v>
      </c>
      <c r="C145" s="5">
        <f>D41*D11</f>
        <v>2155.3476923076928</v>
      </c>
      <c r="D145" t="s">
        <v>9</v>
      </c>
    </row>
    <row r="146" spans="2:8" x14ac:dyDescent="0.2">
      <c r="B146" t="s">
        <v>209</v>
      </c>
      <c r="C146" s="5">
        <f>D45*D13</f>
        <v>2468.7138461538461</v>
      </c>
      <c r="D146" t="s">
        <v>9</v>
      </c>
    </row>
    <row r="147" spans="2:8" x14ac:dyDescent="0.2">
      <c r="B147" s="15" t="s">
        <v>288</v>
      </c>
      <c r="C147" s="22">
        <f>SUM(C143:C146)-C140</f>
        <v>16000.000000000007</v>
      </c>
      <c r="D147" s="15" t="s">
        <v>9</v>
      </c>
    </row>
    <row r="149" spans="2:8" x14ac:dyDescent="0.2">
      <c r="B149" s="43" t="s">
        <v>222</v>
      </c>
    </row>
    <row r="150" spans="2:8" x14ac:dyDescent="0.2">
      <c r="B150" t="s">
        <v>223</v>
      </c>
      <c r="C150" s="5">
        <f>(C115+C79)*D10*D11</f>
        <v>4548.1749577903602</v>
      </c>
      <c r="D150" t="s">
        <v>9</v>
      </c>
      <c r="E150"/>
    </row>
    <row r="151" spans="2:8" x14ac:dyDescent="0.2">
      <c r="B151" t="s">
        <v>224</v>
      </c>
      <c r="C151" s="5">
        <f>(C93+C119)*D10*(D13)</f>
        <v>4951.8250422096398</v>
      </c>
      <c r="D151" t="s">
        <v>9</v>
      </c>
      <c r="E151"/>
    </row>
    <row r="152" spans="2:8" x14ac:dyDescent="0.2">
      <c r="B152" s="15" t="s">
        <v>232</v>
      </c>
      <c r="C152" s="22">
        <f>SUM(C150:C151)</f>
        <v>9500</v>
      </c>
      <c r="D152" s="15" t="s">
        <v>9</v>
      </c>
    </row>
    <row r="153" spans="2:8" x14ac:dyDescent="0.2">
      <c r="F153" s="13"/>
    </row>
    <row r="154" spans="2:8" x14ac:dyDescent="0.2">
      <c r="B154" s="1" t="s">
        <v>233</v>
      </c>
      <c r="F154" s="13"/>
    </row>
    <row r="155" spans="2:8" x14ac:dyDescent="0.2">
      <c r="B155" s="5" t="s">
        <v>234</v>
      </c>
      <c r="C155" s="5">
        <f>F166*D13</f>
        <v>2671.3784615384729</v>
      </c>
      <c r="D155" t="s">
        <v>9</v>
      </c>
      <c r="F155" s="5"/>
    </row>
    <row r="156" spans="2:8" x14ac:dyDescent="0.2">
      <c r="B156" s="5" t="s">
        <v>235</v>
      </c>
      <c r="C156" s="5">
        <f>F165*D11</f>
        <v>3004.9919999999993</v>
      </c>
      <c r="D156" t="s">
        <v>9</v>
      </c>
      <c r="H156" s="5"/>
    </row>
    <row r="157" spans="2:8" x14ac:dyDescent="0.2">
      <c r="B157" s="5" t="s">
        <v>237</v>
      </c>
      <c r="C157" s="5">
        <f>C111*D13</f>
        <v>0</v>
      </c>
      <c r="D157" t="s">
        <v>9</v>
      </c>
      <c r="H157" s="13"/>
    </row>
    <row r="158" spans="2:8" x14ac:dyDescent="0.2">
      <c r="B158" s="5" t="s">
        <v>236</v>
      </c>
      <c r="C158" s="5">
        <f>(C152/D10)*(1-D10)</f>
        <v>2374.7938461538447</v>
      </c>
      <c r="D158" t="s">
        <v>9</v>
      </c>
    </row>
    <row r="159" spans="2:8" x14ac:dyDescent="0.2">
      <c r="B159" s="22" t="s">
        <v>287</v>
      </c>
      <c r="C159" s="22">
        <f>SUM(C155:C158)</f>
        <v>8051.1643076923174</v>
      </c>
      <c r="D159" s="15" t="s">
        <v>9</v>
      </c>
    </row>
    <row r="160" spans="2:8" x14ac:dyDescent="0.2">
      <c r="C160" s="5"/>
    </row>
    <row r="161" spans="2:15" ht="22" x14ac:dyDescent="0.2">
      <c r="B161" s="73" t="s">
        <v>167</v>
      </c>
      <c r="C161" s="28"/>
      <c r="D161" s="28"/>
      <c r="E161" s="30"/>
      <c r="F161" s="28"/>
      <c r="G161" s="28"/>
      <c r="H161" s="28"/>
      <c r="I161" s="28"/>
      <c r="J161" s="28"/>
      <c r="K161" s="28"/>
      <c r="L161" s="28"/>
      <c r="M161" s="28"/>
      <c r="N161" s="28"/>
      <c r="O161" s="28"/>
    </row>
    <row r="162" spans="2:15" x14ac:dyDescent="0.2">
      <c r="C162" s="5"/>
    </row>
    <row r="164" spans="2:15" x14ac:dyDescent="0.2">
      <c r="B164" s="1" t="s">
        <v>47</v>
      </c>
      <c r="C164" s="1" t="s">
        <v>46</v>
      </c>
      <c r="D164" s="1" t="s">
        <v>55</v>
      </c>
      <c r="E164" s="1">
        <v>2021</v>
      </c>
      <c r="F164" s="1">
        <v>2035</v>
      </c>
      <c r="H164" s="1" t="s">
        <v>240</v>
      </c>
      <c r="I164" s="1" t="s">
        <v>75</v>
      </c>
    </row>
    <row r="165" spans="2:15" ht="18" customHeight="1" x14ac:dyDescent="0.2">
      <c r="B165" s="90" t="str">
        <f>links!B3</f>
        <v>bron_aardgas</v>
      </c>
      <c r="C165" s="90" t="str">
        <f>links!C3</f>
        <v>industrie</v>
      </c>
      <c r="D165" s="90" t="str">
        <f>links!D3</f>
        <v>aardgas</v>
      </c>
      <c r="E165" s="34">
        <f>C72</f>
        <v>60.784615384615378</v>
      </c>
      <c r="F165" s="34">
        <f>C131</f>
        <v>53.279999999999987</v>
      </c>
      <c r="H165" s="31" t="s">
        <v>497</v>
      </c>
      <c r="I165" s="31" t="s">
        <v>498</v>
      </c>
    </row>
    <row r="166" spans="2:15" ht="17" customHeight="1" x14ac:dyDescent="0.2">
      <c r="B166" s="90" t="str">
        <f>links!B4</f>
        <v>bron_restgas</v>
      </c>
      <c r="C166" s="90" t="str">
        <f>links!C4</f>
        <v>industrie</v>
      </c>
      <c r="D166" s="90" t="str">
        <f>links!D4</f>
        <v>restgas</v>
      </c>
      <c r="E166" s="34">
        <f>C69</f>
        <v>98.952607763753434</v>
      </c>
      <c r="F166" s="36">
        <f>C123</f>
        <v>41.352607763753454</v>
      </c>
      <c r="H166" s="92" t="s">
        <v>509</v>
      </c>
      <c r="I166" s="92" t="s">
        <v>451</v>
      </c>
    </row>
    <row r="167" spans="2:15" ht="17" customHeight="1" x14ac:dyDescent="0.2">
      <c r="B167" s="90"/>
      <c r="C167" s="90"/>
      <c r="D167" s="90"/>
      <c r="E167" s="34"/>
      <c r="F167" s="34"/>
      <c r="H167" s="92"/>
      <c r="I167" s="92"/>
    </row>
    <row r="168" spans="2:15" ht="16" customHeight="1" x14ac:dyDescent="0.2">
      <c r="B168" s="90" t="str">
        <f>links!B6</f>
        <v>bron_elektriciteit</v>
      </c>
      <c r="C168" s="90" t="str">
        <f>links!C6</f>
        <v>elektriciteit_vraag_2021</v>
      </c>
      <c r="D168" s="90" t="str">
        <f>links!D6</f>
        <v>elektriciteit</v>
      </c>
      <c r="E168" s="34">
        <f>D24</f>
        <v>14.4</v>
      </c>
      <c r="F168" s="34">
        <f>E168</f>
        <v>14.4</v>
      </c>
      <c r="H168" s="92"/>
      <c r="I168" s="92"/>
    </row>
    <row r="169" spans="2:15" x14ac:dyDescent="0.2">
      <c r="B169" s="90" t="str">
        <f>links!B7</f>
        <v>bron_elektriciteit</v>
      </c>
      <c r="C169" s="90" t="str">
        <f>links!C7</f>
        <v>elektriciteit_aardgassubstitutie_directe_elektrificatie</v>
      </c>
      <c r="D169" s="90" t="str">
        <f>links!D7</f>
        <v>elektriciteit</v>
      </c>
      <c r="E169" s="31">
        <v>0</v>
      </c>
      <c r="F169" s="34">
        <f>E25</f>
        <v>28.979999999999997</v>
      </c>
      <c r="H169" s="92"/>
      <c r="I169" s="92" t="s">
        <v>440</v>
      </c>
    </row>
    <row r="170" spans="2:15" x14ac:dyDescent="0.2">
      <c r="B170" s="90" t="str">
        <f>links!B8</f>
        <v>bron_elektriciteit</v>
      </c>
      <c r="C170" s="90" t="str">
        <f>links!C8</f>
        <v>elektriciteit_additioneel_overige</v>
      </c>
      <c r="D170" s="90" t="str">
        <f>links!D8</f>
        <v>elektriciteit</v>
      </c>
      <c r="E170" s="31">
        <v>0</v>
      </c>
      <c r="F170" s="34">
        <f>E24-F168-F169</f>
        <v>29.340000000000003</v>
      </c>
      <c r="H170" s="92"/>
      <c r="I170" s="92"/>
    </row>
    <row r="171" spans="2:15" x14ac:dyDescent="0.2">
      <c r="B171" s="90"/>
      <c r="C171" s="90"/>
      <c r="D171" s="90"/>
      <c r="E171" s="31"/>
      <c r="F171" s="31"/>
      <c r="H171" s="92"/>
      <c r="I171" s="92"/>
    </row>
    <row r="172" spans="2:15" x14ac:dyDescent="0.2">
      <c r="B172" s="90" t="str">
        <f>links!B10</f>
        <v>elektriciteit_vraag_2021</v>
      </c>
      <c r="C172" s="90" t="str">
        <f>links!C10</f>
        <v>industrie</v>
      </c>
      <c r="D172" s="90" t="str">
        <f>links!D10</f>
        <v>elektriciteit</v>
      </c>
      <c r="E172" s="34">
        <f t="shared" ref="E172:F174" si="0">E168</f>
        <v>14.4</v>
      </c>
      <c r="F172" s="34">
        <f t="shared" si="0"/>
        <v>14.4</v>
      </c>
      <c r="H172" s="93"/>
      <c r="I172" s="93" t="s">
        <v>238</v>
      </c>
    </row>
    <row r="173" spans="2:15" x14ac:dyDescent="0.2">
      <c r="B173" s="90" t="str">
        <f>links!B11</f>
        <v>elektriciteit_aardgassubstitutie_directe_elektrificatie</v>
      </c>
      <c r="C173" s="90" t="str">
        <f>links!C11</f>
        <v>industrie</v>
      </c>
      <c r="D173" s="90" t="str">
        <f>links!D11</f>
        <v>elektriciteit</v>
      </c>
      <c r="E173" s="34">
        <f t="shared" si="0"/>
        <v>0</v>
      </c>
      <c r="F173" s="34">
        <f>F169</f>
        <v>28.979999999999997</v>
      </c>
      <c r="H173" s="92"/>
      <c r="I173" s="93" t="s">
        <v>238</v>
      </c>
    </row>
    <row r="174" spans="2:15" x14ac:dyDescent="0.2">
      <c r="B174" s="90" t="str">
        <f>links!B12</f>
        <v>elektriciteit_additioneel_overige</v>
      </c>
      <c r="C174" s="90" t="str">
        <f>links!C12</f>
        <v>industrie</v>
      </c>
      <c r="D174" s="90" t="str">
        <f>links!D12</f>
        <v>elektriciteit</v>
      </c>
      <c r="E174" s="34">
        <f t="shared" si="0"/>
        <v>0</v>
      </c>
      <c r="F174" s="34">
        <f t="shared" si="0"/>
        <v>29.340000000000003</v>
      </c>
      <c r="H174" s="92"/>
      <c r="I174" s="93" t="s">
        <v>238</v>
      </c>
    </row>
    <row r="175" spans="2:15" x14ac:dyDescent="0.2">
      <c r="B175" s="90"/>
      <c r="C175" s="90"/>
      <c r="D175" s="90"/>
      <c r="E175" s="31"/>
      <c r="F175" s="31"/>
      <c r="H175" s="92"/>
      <c r="I175" s="92"/>
    </row>
    <row r="176" spans="2:15" x14ac:dyDescent="0.2">
      <c r="B176" s="90" t="str">
        <f>links!B14</f>
        <v>waterstof_mixer</v>
      </c>
      <c r="C176" s="90" t="str">
        <f>links!C14</f>
        <v>waterstof_vraag_2021</v>
      </c>
      <c r="D176" s="90" t="str">
        <f>links!D14</f>
        <v>waterstof</v>
      </c>
      <c r="E176" s="34">
        <f>D29</f>
        <v>49.680000000000007</v>
      </c>
      <c r="F176" s="34">
        <f>E176</f>
        <v>49.680000000000007</v>
      </c>
      <c r="H176" s="92" t="s">
        <v>499</v>
      </c>
      <c r="I176" s="92"/>
    </row>
    <row r="177" spans="2:10" x14ac:dyDescent="0.2">
      <c r="B177" s="90" t="str">
        <f>links!B15</f>
        <v>waterstof_mixer</v>
      </c>
      <c r="C177" s="90" t="str">
        <f>links!C15</f>
        <v>waterstof_aardgassubstitutie</v>
      </c>
      <c r="D177" s="90" t="str">
        <f>links!D15</f>
        <v>waterstof</v>
      </c>
      <c r="E177" s="31">
        <v>0</v>
      </c>
      <c r="F177" s="34">
        <v>0</v>
      </c>
      <c r="H177" s="92"/>
      <c r="I177" s="92"/>
    </row>
    <row r="178" spans="2:10" x14ac:dyDescent="0.2">
      <c r="B178" s="90" t="str">
        <f>links!B16</f>
        <v>waterstof_mixer</v>
      </c>
      <c r="C178" s="90" t="str">
        <f>links!C16</f>
        <v>waterstof_restgassubstitutie</v>
      </c>
      <c r="D178" s="90" t="str">
        <f>links!D16</f>
        <v>waterstof</v>
      </c>
      <c r="E178" s="31">
        <v>0</v>
      </c>
      <c r="F178" s="36">
        <v>0</v>
      </c>
      <c r="H178" s="92"/>
      <c r="I178" s="92"/>
    </row>
    <row r="179" spans="2:10" x14ac:dyDescent="0.2">
      <c r="B179" s="90" t="str">
        <f>links!B17</f>
        <v>waterstof_mixer</v>
      </c>
      <c r="C179" s="90" t="str">
        <f>links!C17</f>
        <v>waterstof_additioneel_overige</v>
      </c>
      <c r="D179" s="90" t="str">
        <f>links!D17</f>
        <v>waterstof</v>
      </c>
      <c r="E179" s="31">
        <v>0</v>
      </c>
      <c r="F179" s="34">
        <f>E31-F176-F177-F178</f>
        <v>38.519999999999982</v>
      </c>
      <c r="H179" s="92"/>
      <c r="I179" s="92"/>
    </row>
    <row r="180" spans="2:10" x14ac:dyDescent="0.2">
      <c r="B180" s="90"/>
      <c r="C180" s="90"/>
      <c r="D180" s="90"/>
      <c r="E180" s="31"/>
      <c r="F180" s="31"/>
      <c r="H180" s="92"/>
      <c r="I180" s="92"/>
    </row>
    <row r="181" spans="2:10" x14ac:dyDescent="0.2">
      <c r="B181" s="90" t="str">
        <f>links!B19</f>
        <v>waterstof_vraag_2021</v>
      </c>
      <c r="C181" s="90" t="str">
        <f>links!C19</f>
        <v>industrie</v>
      </c>
      <c r="D181" s="90" t="str">
        <f>links!D19</f>
        <v>waterstof</v>
      </c>
      <c r="E181" s="34">
        <f>D29</f>
        <v>49.680000000000007</v>
      </c>
      <c r="F181" s="34">
        <f>F176</f>
        <v>49.680000000000007</v>
      </c>
      <c r="H181" s="92"/>
      <c r="I181" s="93" t="s">
        <v>238</v>
      </c>
    </row>
    <row r="182" spans="2:10" x14ac:dyDescent="0.2">
      <c r="B182" s="90" t="str">
        <f>links!B20</f>
        <v>waterstof_aardgassubstitutie</v>
      </c>
      <c r="C182" s="90" t="str">
        <f>links!C20</f>
        <v>industrie</v>
      </c>
      <c r="D182" s="90" t="str">
        <f>links!D20</f>
        <v>waterstof</v>
      </c>
      <c r="E182" s="34">
        <f t="shared" ref="E182:F184" si="1">E177</f>
        <v>0</v>
      </c>
      <c r="F182" s="34">
        <f t="shared" si="1"/>
        <v>0</v>
      </c>
      <c r="H182" s="92"/>
      <c r="I182" s="93" t="s">
        <v>238</v>
      </c>
    </row>
    <row r="183" spans="2:10" x14ac:dyDescent="0.2">
      <c r="B183" s="90" t="str">
        <f>links!B21</f>
        <v>waterstof_restgassubstitutie</v>
      </c>
      <c r="C183" s="90" t="str">
        <f>links!C21</f>
        <v>industrie</v>
      </c>
      <c r="D183" s="90" t="str">
        <f>links!D21</f>
        <v>waterstof</v>
      </c>
      <c r="E183" s="31">
        <f t="shared" si="1"/>
        <v>0</v>
      </c>
      <c r="F183" s="36">
        <f t="shared" si="1"/>
        <v>0</v>
      </c>
      <c r="H183" s="92"/>
      <c r="I183" s="93" t="s">
        <v>238</v>
      </c>
    </row>
    <row r="184" spans="2:10" x14ac:dyDescent="0.2">
      <c r="B184" s="90" t="str">
        <f>links!B22</f>
        <v>waterstof_additioneel_overige</v>
      </c>
      <c r="C184" s="90" t="str">
        <f>links!C22</f>
        <v>industrie</v>
      </c>
      <c r="D184" s="90" t="str">
        <f>links!D22</f>
        <v>waterstof</v>
      </c>
      <c r="E184" s="34">
        <f t="shared" si="1"/>
        <v>0</v>
      </c>
      <c r="F184" s="34">
        <f t="shared" si="1"/>
        <v>38.519999999999982</v>
      </c>
      <c r="H184" s="92"/>
      <c r="I184" s="93" t="s">
        <v>238</v>
      </c>
    </row>
    <row r="185" spans="2:10" x14ac:dyDescent="0.2">
      <c r="B185" s="90"/>
      <c r="C185" s="90"/>
      <c r="D185" s="90"/>
      <c r="E185" s="34"/>
      <c r="F185" s="34"/>
      <c r="H185" s="92"/>
      <c r="I185" s="93"/>
    </row>
    <row r="186" spans="2:10" x14ac:dyDescent="0.2">
      <c r="B186" s="90" t="str">
        <f>links!B24</f>
        <v>waterstof_mixer</v>
      </c>
      <c r="C186" s="90" t="str">
        <f>links!C24</f>
        <v>waterstof_naar_elektriciteitscentrales</v>
      </c>
      <c r="D186" s="90" t="str">
        <f>links!D24</f>
        <v>waterstof</v>
      </c>
      <c r="E186" s="34">
        <f>D30</f>
        <v>0</v>
      </c>
      <c r="F186" s="34">
        <f>E30</f>
        <v>6.12</v>
      </c>
      <c r="H186" s="92"/>
      <c r="I186" s="93"/>
    </row>
    <row r="187" spans="2:10" x14ac:dyDescent="0.2">
      <c r="B187" s="90"/>
      <c r="C187" s="90"/>
      <c r="D187" s="90"/>
      <c r="E187" s="31"/>
      <c r="F187" s="31"/>
      <c r="H187" s="92"/>
      <c r="I187" s="92"/>
    </row>
    <row r="188" spans="2:10" x14ac:dyDescent="0.2">
      <c r="B188" s="90" t="str">
        <f>links!B26</f>
        <v>waterstof_mixer</v>
      </c>
      <c r="C188" s="90" t="str">
        <f>links!C26</f>
        <v>export</v>
      </c>
      <c r="D188" s="90" t="str">
        <f>links!D26</f>
        <v>waterstof</v>
      </c>
      <c r="E188" s="34">
        <f>E192+E190+E191+E194-E176-E177-E179</f>
        <v>0</v>
      </c>
      <c r="F188" s="34">
        <f>F190+F191+F192+F194-F181-F182-F183-F184-F186</f>
        <v>185.04000000000002</v>
      </c>
      <c r="H188" s="92"/>
      <c r="I188" s="92" t="s">
        <v>500</v>
      </c>
      <c r="J188" s="14"/>
    </row>
    <row r="189" spans="2:10" x14ac:dyDescent="0.2">
      <c r="B189" s="90"/>
      <c r="C189" s="90"/>
      <c r="D189" s="90"/>
      <c r="E189" s="31"/>
      <c r="F189" s="31"/>
      <c r="H189" s="92"/>
      <c r="I189" s="92"/>
    </row>
    <row r="190" spans="2:10" x14ac:dyDescent="0.2">
      <c r="B190" s="90" t="str">
        <f>links!B28</f>
        <v>grijze_waterstof</v>
      </c>
      <c r="C190" s="90" t="str">
        <f>links!C28</f>
        <v>waterstof_mixer</v>
      </c>
      <c r="D190" s="90" t="str">
        <f>links!D28</f>
        <v>waterstof_grijs</v>
      </c>
      <c r="E190" s="34">
        <f>C59+C60</f>
        <v>49.680000000000007</v>
      </c>
      <c r="F190" s="36">
        <f>C108</f>
        <v>0</v>
      </c>
      <c r="H190" s="92" t="s">
        <v>501</v>
      </c>
      <c r="I190" s="93" t="s">
        <v>239</v>
      </c>
    </row>
    <row r="191" spans="2:10" x14ac:dyDescent="0.2">
      <c r="B191" s="90" t="str">
        <f>links!B29</f>
        <v>blauwe_waterstof</v>
      </c>
      <c r="C191" s="90" t="str">
        <f>links!C29</f>
        <v>waterstof_mixer</v>
      </c>
      <c r="D191" s="90" t="str">
        <f>links!D29</f>
        <v>waterstof_blauw</v>
      </c>
      <c r="E191" s="34">
        <f>C65+C66</f>
        <v>0</v>
      </c>
      <c r="F191" s="36">
        <f>C80+C86+C100+C116+C120+C94</f>
        <v>127.8</v>
      </c>
      <c r="H191" s="92"/>
      <c r="I191" s="93" t="s">
        <v>239</v>
      </c>
    </row>
    <row r="192" spans="2:10" x14ac:dyDescent="0.2">
      <c r="B192" s="90" t="str">
        <f>links!B30</f>
        <v>groene_waterstof</v>
      </c>
      <c r="C192" s="90" t="str">
        <f>links!C30</f>
        <v>waterstof_mixer</v>
      </c>
      <c r="D192" s="90" t="str">
        <f>links!D30</f>
        <v>waterstof_groen</v>
      </c>
      <c r="E192" s="31">
        <v>0</v>
      </c>
      <c r="F192" s="34">
        <f>F198</f>
        <v>38.880000000000003</v>
      </c>
      <c r="H192" s="92"/>
      <c r="I192" s="93" t="s">
        <v>239</v>
      </c>
    </row>
    <row r="193" spans="2:9" x14ac:dyDescent="0.2">
      <c r="B193" s="90"/>
      <c r="C193" s="90"/>
      <c r="D193" s="90"/>
      <c r="E193" s="31"/>
      <c r="F193" s="31"/>
      <c r="H193" s="92"/>
      <c r="I193" s="92"/>
    </row>
    <row r="194" spans="2:9" x14ac:dyDescent="0.2">
      <c r="B194" s="90" t="str">
        <f>links!B32</f>
        <v>bron_waterstof</v>
      </c>
      <c r="C194" s="90" t="str">
        <f>links!C32</f>
        <v>waterstof_mixer</v>
      </c>
      <c r="D194" s="90" t="str">
        <f>links!D32</f>
        <v>waterstof</v>
      </c>
      <c r="E194" s="31">
        <f>D37</f>
        <v>0</v>
      </c>
      <c r="F194" s="34">
        <f>E37</f>
        <v>112.68</v>
      </c>
      <c r="H194" s="92"/>
      <c r="I194" s="92" t="s">
        <v>502</v>
      </c>
    </row>
    <row r="195" spans="2:9" x14ac:dyDescent="0.2">
      <c r="B195" s="90"/>
      <c r="C195" s="90"/>
      <c r="D195" s="90"/>
      <c r="E195" s="31"/>
      <c r="F195" s="31"/>
      <c r="H195" s="92"/>
      <c r="I195" s="92"/>
    </row>
    <row r="196" spans="2:9" x14ac:dyDescent="0.2">
      <c r="B196" s="90" t="str">
        <f>links!B34</f>
        <v>smr_atr</v>
      </c>
      <c r="C196" s="90" t="str">
        <f>links!C34</f>
        <v>grijze_waterstof</v>
      </c>
      <c r="D196" s="90" t="str">
        <f>links!D34</f>
        <v>waterstof</v>
      </c>
      <c r="E196" s="34">
        <f>E190</f>
        <v>49.680000000000007</v>
      </c>
      <c r="F196" s="34">
        <f>F190</f>
        <v>0</v>
      </c>
      <c r="H196" s="92" t="s">
        <v>475</v>
      </c>
      <c r="I196" s="92"/>
    </row>
    <row r="197" spans="2:9" x14ac:dyDescent="0.2">
      <c r="B197" s="90" t="str">
        <f>links!B35</f>
        <v>smr_atr</v>
      </c>
      <c r="C197" s="90" t="str">
        <f>links!C35</f>
        <v>blauwe_waterstof</v>
      </c>
      <c r="D197" s="90" t="str">
        <f>links!D35</f>
        <v>waterstof</v>
      </c>
      <c r="E197" s="34">
        <f>E191</f>
        <v>0</v>
      </c>
      <c r="F197" s="34">
        <f>F191</f>
        <v>127.8</v>
      </c>
      <c r="H197" s="92"/>
      <c r="I197" s="92" t="s">
        <v>503</v>
      </c>
    </row>
    <row r="198" spans="2:9" x14ac:dyDescent="0.2">
      <c r="B198" s="90" t="str">
        <f>links!B36</f>
        <v>elektrolysers</v>
      </c>
      <c r="C198" s="90" t="str">
        <f>links!C36</f>
        <v>groene_waterstof</v>
      </c>
      <c r="D198" s="90" t="str">
        <f>links!D36</f>
        <v>waterstof</v>
      </c>
      <c r="E198" s="31">
        <v>0</v>
      </c>
      <c r="F198" s="34">
        <f>E32</f>
        <v>38.880000000000003</v>
      </c>
      <c r="H198" s="92"/>
      <c r="I198" s="92" t="s">
        <v>504</v>
      </c>
    </row>
    <row r="199" spans="2:9" x14ac:dyDescent="0.2">
      <c r="B199" s="90"/>
      <c r="C199" s="90"/>
      <c r="D199" s="90"/>
      <c r="E199" s="31"/>
      <c r="F199" s="31"/>
      <c r="H199" s="92"/>
      <c r="I199" s="92"/>
    </row>
    <row r="200" spans="2:9" x14ac:dyDescent="0.2">
      <c r="B200" s="90" t="str">
        <f>links!B38</f>
        <v>bron_elektriciteit</v>
      </c>
      <c r="C200" s="90" t="str">
        <f>links!C38</f>
        <v>elektrolysers</v>
      </c>
      <c r="D200" s="90" t="str">
        <f>links!D38</f>
        <v>elektriciteit</v>
      </c>
      <c r="E200" s="34">
        <v>0</v>
      </c>
      <c r="F200" s="34">
        <f>E23</f>
        <v>57.6</v>
      </c>
      <c r="H200" s="92"/>
      <c r="I200" s="92" t="s">
        <v>505</v>
      </c>
    </row>
    <row r="201" spans="2:9" x14ac:dyDescent="0.2">
      <c r="B201" s="90" t="str">
        <f>links!B39</f>
        <v>bron_aardgas</v>
      </c>
      <c r="C201" s="90" t="str">
        <f>links!C39</f>
        <v>smr_atr</v>
      </c>
      <c r="D201" s="90" t="str">
        <f>links!D39</f>
        <v>aardgas</v>
      </c>
      <c r="E201" s="34">
        <f>C57+C63</f>
        <v>38.215384615384622</v>
      </c>
      <c r="F201" s="34">
        <f>C107+C79+C115+C99</f>
        <v>100.79999999999998</v>
      </c>
      <c r="H201" s="92"/>
      <c r="I201" s="92"/>
    </row>
    <row r="202" spans="2:9" x14ac:dyDescent="0.2">
      <c r="B202" s="90" t="str">
        <f>links!B40</f>
        <v>bron_restgas</v>
      </c>
      <c r="C202" s="90" t="str">
        <f>links!C40</f>
        <v>smr_atr</v>
      </c>
      <c r="D202" s="90" t="str">
        <f>links!D40</f>
        <v>restgas</v>
      </c>
      <c r="E202" s="36">
        <f>C58+C64</f>
        <v>38.215384615384622</v>
      </c>
      <c r="F202" s="34">
        <f>C93+C85+C111+C119</f>
        <v>95.815384615384616</v>
      </c>
      <c r="H202" s="92"/>
      <c r="I202" s="92" t="s">
        <v>453</v>
      </c>
    </row>
    <row r="203" spans="2:9" x14ac:dyDescent="0.2">
      <c r="B203" s="90"/>
      <c r="C203" s="90"/>
      <c r="D203" s="90"/>
      <c r="E203" s="31"/>
      <c r="F203" s="31"/>
      <c r="H203" s="92"/>
      <c r="I203" s="92"/>
    </row>
    <row r="204" spans="2:9" x14ac:dyDescent="0.2">
      <c r="B204" s="90" t="str">
        <f>links!B42</f>
        <v>elektrolysers</v>
      </c>
      <c r="C204" s="90" t="str">
        <f>links!C42</f>
        <v>elektrolyse_verlies</v>
      </c>
      <c r="D204" s="90" t="str">
        <f>links!D42</f>
        <v>verlies</v>
      </c>
      <c r="E204" s="34">
        <f>E200-E192</f>
        <v>0</v>
      </c>
      <c r="F204" s="34">
        <f>F200-F192</f>
        <v>18.72</v>
      </c>
      <c r="H204" s="92"/>
      <c r="I204" s="92"/>
    </row>
    <row r="205" spans="2:9" x14ac:dyDescent="0.2">
      <c r="B205" s="90" t="str">
        <f>links!B43</f>
        <v>smr_atr</v>
      </c>
      <c r="C205" s="90" t="str">
        <f>links!C43</f>
        <v>smr_atr_verlies</v>
      </c>
      <c r="D205" s="90" t="str">
        <f>links!D43</f>
        <v>verlies</v>
      </c>
      <c r="E205" s="34">
        <f>E201+E202-E196-E197</f>
        <v>26.750769230769237</v>
      </c>
      <c r="F205" s="34">
        <f>F201+F202-F196-F197</f>
        <v>68.815384615384588</v>
      </c>
      <c r="H205" s="92"/>
      <c r="I205" s="92"/>
    </row>
    <row r="206" spans="2:9" x14ac:dyDescent="0.2">
      <c r="B206" s="90"/>
      <c r="C206" s="90"/>
      <c r="D206" s="90"/>
      <c r="E206" s="31"/>
      <c r="F206" s="31"/>
      <c r="H206" s="92"/>
      <c r="I206" s="92"/>
    </row>
    <row r="207" spans="2:9" x14ac:dyDescent="0.2">
      <c r="B207" s="91" t="str">
        <f>links!B45</f>
        <v>bron_kolen</v>
      </c>
      <c r="C207" s="91" t="str">
        <f>links!C45</f>
        <v>industrie</v>
      </c>
      <c r="D207" s="91" t="str">
        <f>links!D45</f>
        <v>kolen</v>
      </c>
      <c r="E207" s="89">
        <v>0</v>
      </c>
      <c r="F207" s="89">
        <v>0</v>
      </c>
      <c r="H207" s="92"/>
      <c r="I207" s="92"/>
    </row>
    <row r="208" spans="2:9" x14ac:dyDescent="0.2">
      <c r="B208" s="91" t="str">
        <f>links!B46</f>
        <v>bron_afval</v>
      </c>
      <c r="C208" s="91" t="str">
        <f>links!C46</f>
        <v>industrie</v>
      </c>
      <c r="D208" s="91" t="str">
        <f>links!D46</f>
        <v>afval</v>
      </c>
      <c r="E208" s="89">
        <v>0</v>
      </c>
      <c r="F208" s="89">
        <v>0</v>
      </c>
      <c r="H208" s="92"/>
      <c r="I208" s="92"/>
    </row>
    <row r="209" spans="2:9" x14ac:dyDescent="0.2">
      <c r="B209" s="91" t="str">
        <f>links!B47</f>
        <v>bron_biomassa</v>
      </c>
      <c r="C209" s="91" t="str">
        <f>links!C47</f>
        <v>industrie</v>
      </c>
      <c r="D209" s="91" t="str">
        <f>links!D47</f>
        <v>biomassa</v>
      </c>
      <c r="E209" s="89">
        <v>0</v>
      </c>
      <c r="F209" s="89">
        <v>0</v>
      </c>
      <c r="H209" s="92"/>
      <c r="I209" s="92"/>
    </row>
    <row r="210" spans="2:9" x14ac:dyDescent="0.2">
      <c r="B210" s="91" t="str">
        <f>links!B48</f>
        <v>reserveslot_1</v>
      </c>
      <c r="C210" s="91" t="str">
        <f>links!C48</f>
        <v>reserveslot_5</v>
      </c>
      <c r="D210" s="91" t="str">
        <f>links!D48</f>
        <v>reserveslot</v>
      </c>
      <c r="E210" s="89">
        <v>0</v>
      </c>
      <c r="F210" s="89">
        <v>0</v>
      </c>
      <c r="H210" s="92"/>
      <c r="I210" s="92"/>
    </row>
    <row r="211" spans="2:9" x14ac:dyDescent="0.2">
      <c r="B211" s="91" t="str">
        <f>links!B49</f>
        <v>reserveslot_1</v>
      </c>
      <c r="C211" s="91" t="str">
        <f>links!C49</f>
        <v>reserveslot_6</v>
      </c>
      <c r="D211" s="91" t="str">
        <f>links!D49</f>
        <v>reserveslot</v>
      </c>
      <c r="E211" s="89">
        <v>0</v>
      </c>
      <c r="F211" s="89">
        <v>0</v>
      </c>
      <c r="H211" s="92"/>
      <c r="I211" s="92"/>
    </row>
    <row r="212" spans="2:9" x14ac:dyDescent="0.2">
      <c r="B212" s="91" t="str">
        <f>links!B50</f>
        <v>reserveslot_1</v>
      </c>
      <c r="C212" s="91" t="str">
        <f>links!C50</f>
        <v>reserveslot_7</v>
      </c>
      <c r="D212" s="91" t="str">
        <f>links!D50</f>
        <v>reserveslot</v>
      </c>
      <c r="E212" s="89">
        <v>0</v>
      </c>
      <c r="F212" s="89">
        <v>0</v>
      </c>
      <c r="H212" s="92"/>
      <c r="I212" s="92"/>
    </row>
    <row r="213" spans="2:9" x14ac:dyDescent="0.2">
      <c r="B213" s="91" t="str">
        <f>links!B51</f>
        <v>reserveslot_1</v>
      </c>
      <c r="C213" s="91" t="str">
        <f>links!C51</f>
        <v>reserveslot_8</v>
      </c>
      <c r="D213" s="91" t="str">
        <f>links!D51</f>
        <v>reserveslot</v>
      </c>
      <c r="E213" s="89">
        <v>0</v>
      </c>
      <c r="F213" s="89">
        <v>0</v>
      </c>
      <c r="H213" s="92"/>
      <c r="I213" s="92"/>
    </row>
    <row r="214" spans="2:9" x14ac:dyDescent="0.2">
      <c r="B214" s="91" t="str">
        <f>links!B52</f>
        <v>reserveslot_1</v>
      </c>
      <c r="C214" s="91" t="str">
        <f>links!C52</f>
        <v>reserveslot_9</v>
      </c>
      <c r="D214" s="91" t="str">
        <f>links!D52</f>
        <v>reserveslot</v>
      </c>
      <c r="E214" s="89">
        <v>0</v>
      </c>
      <c r="F214" s="89">
        <v>0</v>
      </c>
      <c r="H214" s="92"/>
      <c r="I214" s="92"/>
    </row>
    <row r="215" spans="2:9" x14ac:dyDescent="0.2">
      <c r="B215" s="91" t="str">
        <f>links!B53</f>
        <v>reserveslot_1</v>
      </c>
      <c r="C215" s="91" t="str">
        <f>links!C53</f>
        <v>reserveslot_10</v>
      </c>
      <c r="D215" s="91" t="str">
        <f>links!D53</f>
        <v>reserveslot</v>
      </c>
      <c r="E215" s="89">
        <v>0</v>
      </c>
      <c r="F215" s="89">
        <v>0</v>
      </c>
      <c r="H215" s="92"/>
      <c r="I215" s="92"/>
    </row>
    <row r="216" spans="2:9" x14ac:dyDescent="0.2">
      <c r="B216" s="91" t="str">
        <f>links!B54</f>
        <v>reserveslot_2</v>
      </c>
      <c r="C216" s="91" t="str">
        <f>links!C54</f>
        <v>reserveslot_3</v>
      </c>
      <c r="D216" s="91" t="str">
        <f>links!D54</f>
        <v>reserveslot</v>
      </c>
      <c r="E216" s="89">
        <v>0</v>
      </c>
      <c r="F216" s="89">
        <v>0</v>
      </c>
      <c r="H216" s="92"/>
      <c r="I216" s="92"/>
    </row>
    <row r="217" spans="2:9" x14ac:dyDescent="0.2">
      <c r="B217" s="91" t="str">
        <f>links!B55</f>
        <v>reserveslot_2</v>
      </c>
      <c r="C217" s="91" t="str">
        <f>links!C55</f>
        <v>reserveslot_4</v>
      </c>
      <c r="D217" s="91" t="str">
        <f>links!D55</f>
        <v>reserveslot</v>
      </c>
      <c r="E217" s="89">
        <v>0</v>
      </c>
      <c r="F217" s="89">
        <v>0</v>
      </c>
      <c r="H217" s="92"/>
      <c r="I217" s="92"/>
    </row>
    <row r="218" spans="2:9" x14ac:dyDescent="0.2">
      <c r="B218" s="91" t="str">
        <f>links!B56</f>
        <v>reserveslot_2</v>
      </c>
      <c r="C218" s="91" t="str">
        <f>links!C56</f>
        <v>reserveslot_5</v>
      </c>
      <c r="D218" s="91" t="str">
        <f>links!D56</f>
        <v>reserveslot</v>
      </c>
      <c r="E218" s="89">
        <v>0</v>
      </c>
      <c r="F218" s="89">
        <v>0</v>
      </c>
      <c r="H218" s="92"/>
      <c r="I218" s="92"/>
    </row>
    <row r="219" spans="2:9" x14ac:dyDescent="0.2">
      <c r="B219" s="91" t="str">
        <f>links!B57</f>
        <v>reserveslot_2</v>
      </c>
      <c r="C219" s="91" t="str">
        <f>links!C57</f>
        <v>reserveslot_6</v>
      </c>
      <c r="D219" s="91" t="str">
        <f>links!D57</f>
        <v>reserveslot</v>
      </c>
      <c r="E219" s="89">
        <v>0</v>
      </c>
      <c r="F219" s="89">
        <v>0</v>
      </c>
      <c r="H219" s="92"/>
      <c r="I219" s="92"/>
    </row>
    <row r="220" spans="2:9" x14ac:dyDescent="0.2">
      <c r="B220" s="91" t="str">
        <f>links!B58</f>
        <v>reserveslot_2</v>
      </c>
      <c r="C220" s="91" t="str">
        <f>links!C58</f>
        <v>reserveslot_7</v>
      </c>
      <c r="D220" s="91" t="str">
        <f>links!D58</f>
        <v>reserveslot</v>
      </c>
      <c r="E220" s="89">
        <v>0</v>
      </c>
      <c r="F220" s="89">
        <v>0</v>
      </c>
      <c r="H220" s="92"/>
      <c r="I220" s="92"/>
    </row>
    <row r="221" spans="2:9" x14ac:dyDescent="0.2">
      <c r="B221" s="91" t="str">
        <f>links!B59</f>
        <v>reserveslot_2</v>
      </c>
      <c r="C221" s="91" t="str">
        <f>links!C59</f>
        <v>reserveslot_8</v>
      </c>
      <c r="D221" s="91" t="str">
        <f>links!D59</f>
        <v>reserveslot</v>
      </c>
      <c r="E221" s="89">
        <v>0</v>
      </c>
      <c r="F221" s="89">
        <v>0</v>
      </c>
      <c r="H221" s="92"/>
      <c r="I221" s="31"/>
    </row>
    <row r="222" spans="2:9" x14ac:dyDescent="0.2">
      <c r="B222" s="91"/>
      <c r="C222" s="91"/>
      <c r="D222" s="91"/>
      <c r="E222" s="89"/>
      <c r="F222" s="89"/>
      <c r="H222" s="92"/>
      <c r="I222" s="31"/>
    </row>
    <row r="223" spans="2:9" x14ac:dyDescent="0.2">
      <c r="B223" s="97" t="str">
        <f>links!B61</f>
        <v>co2_bron_aardgasverbranding</v>
      </c>
      <c r="C223" s="97" t="str">
        <f>links!C61</f>
        <v>co2_productie_totaal</v>
      </c>
      <c r="D223" s="97" t="str">
        <f>links!D61</f>
        <v>co2flow</v>
      </c>
      <c r="E223" s="65">
        <f>C143</f>
        <v>5583.5999999999995</v>
      </c>
      <c r="F223" s="65">
        <f>C156</f>
        <v>3004.9919999999993</v>
      </c>
      <c r="H223" s="92" t="str">
        <f>"&lt;aanname&gt;&lt;strong&gt;[Rotterdam-Moerdijk]&lt;/strong&gt; Berekende CO&lt;sub&gt;2&lt;/sub&gt;-emissie bij verbranding van "&amp;ROUND(C72,0) &amp;" PJ aardgas @ "&amp;D11&amp;" ktonCO&lt;sub&gt;2&lt;/sub&gt;/PJ.&lt;/aanname&gt;"</f>
        <v>&lt;aanname&gt;&lt;strong&gt;[Rotterdam-Moerdijk]&lt;/strong&gt; Berekende CO&lt;sub&gt;2&lt;/sub&gt;-emissie bij verbranding van 61 PJ aardgas @ 56.4 ktonCO&lt;sub&gt;2&lt;/sub&gt;/PJ.&lt;/aanname&gt;</v>
      </c>
      <c r="I223" s="116" t="str">
        <f>"&lt;aanname&gt;&lt;strong&gt;[Rotterdam-Moerdijk]&lt;/strong&gt; Berekende CO&lt;sub&gt;2&lt;/sub&gt;-emissie bij verbranding van "&amp;ROUND(C131,0) &amp;" PJ aardgas @ "&amp;D11&amp;" ktonCO&lt;sub&gt;2&lt;/sub&gt;/PJ.&lt;/aanname&gt;"</f>
        <v>&lt;aanname&gt;&lt;strong&gt;[Rotterdam-Moerdijk]&lt;/strong&gt; Berekende CO&lt;sub&gt;2&lt;/sub&gt;-emissie bij verbranding van 53 PJ aardgas @ 56.4 ktonCO&lt;sub&gt;2&lt;/sub&gt;/PJ.&lt;/aanname&gt;</v>
      </c>
    </row>
    <row r="224" spans="2:9" x14ac:dyDescent="0.2">
      <c r="B224" s="97" t="str">
        <f>links!B62</f>
        <v>co2_bron_restgasverbranding</v>
      </c>
      <c r="C224" s="97" t="str">
        <f>links!C62</f>
        <v>co2_productie_totaal</v>
      </c>
      <c r="D224" s="97" t="str">
        <f>links!D62</f>
        <v>co2flow</v>
      </c>
      <c r="E224" s="65">
        <f>C144</f>
        <v>6392.3384615384712</v>
      </c>
      <c r="F224" s="65">
        <f>C155</f>
        <v>2671.3784615384729</v>
      </c>
      <c r="H224" s="92" t="str">
        <f>"&lt;aanname&gt;&lt;strong&gt;[Rotterdam-Moerdijk]&lt;/strong&gt; Berekende CO&lt;sub&gt;2&lt;/sub&gt;-emissie bij verbranding van "&amp;ROUND(C69,0) &amp;" PJ restgas @ "&amp;D13&amp;" ktonCO&lt;sub&gt;2&lt;/sub&gt;/PJ.&lt;/aanname&gt;"</f>
        <v>&lt;aanname&gt;&lt;strong&gt;[Rotterdam-Moerdijk]&lt;/strong&gt; Berekende CO&lt;sub&gt;2&lt;/sub&gt;-emissie bij verbranding van 99 PJ restgas @ 64.6 ktonCO&lt;sub&gt;2&lt;/sub&gt;/PJ.&lt;/aanname&gt;</v>
      </c>
      <c r="I224" s="116" t="str">
        <f>"&lt;aanname&gt;&lt;strong&gt;[Rotterdam-Moerdijk]&lt;/strong&gt; Berekende CO&lt;sub&gt;2&lt;/sub&gt;-emissie bij verbranding van "&amp;ROUND(E44,0) &amp;" PJ restgas @ "&amp;D13&amp;" ktonCO&lt;sub&gt;2&lt;/sub&gt;/PJ.&lt;/aanname&gt;"</f>
        <v>&lt;aanname&gt;&lt;strong&gt;[Rotterdam-Moerdijk]&lt;/strong&gt; Berekende CO&lt;sub&gt;2&lt;/sub&gt;-emissie bij verbranding van 41 PJ restgas @ 64.6 ktonCO&lt;sub&gt;2&lt;/sub&gt;/PJ.&lt;/aanname&gt;</v>
      </c>
    </row>
    <row r="225" spans="2:9" x14ac:dyDescent="0.2">
      <c r="B225" s="97" t="str">
        <f>links!B63</f>
        <v>co2_bron_smr_restgas</v>
      </c>
      <c r="C225" s="97" t="str">
        <f>links!C63</f>
        <v>co2_productie_totaal</v>
      </c>
      <c r="D225" s="97" t="str">
        <f>links!D63</f>
        <v>co2flow</v>
      </c>
      <c r="E225" s="65">
        <f>C146</f>
        <v>2468.7138461538461</v>
      </c>
      <c r="F225" s="65">
        <f>C157+C151/D10</f>
        <v>6189.6738461538453</v>
      </c>
      <c r="H225" s="92" t="str">
        <f>"&lt;aanname&gt;&lt;strong&gt;[Rotterdam-Moerdijk]&lt;/strong&gt; Berekende CO&lt;sub&gt;2&lt;/sub&gt;-productie bij Steam Methane Reforming van "&amp;ROUND(C58,0) &amp;" PJ restgas @ "&amp;D13&amp;" ktonCO&lt;sub&gt;2&lt;/sub&gt;/PJ.&lt;/aanname&gt;"</f>
        <v>&lt;aanname&gt;&lt;strong&gt;[Rotterdam-Moerdijk]&lt;/strong&gt; Berekende CO&lt;sub&gt;2&lt;/sub&gt;-productie bij Steam Methane Reforming van 38 PJ restgas @ 64.6 ktonCO&lt;sub&gt;2&lt;/sub&gt;/PJ.&lt;/aanname&gt;</v>
      </c>
      <c r="I225" s="116" t="str">
        <f>"&lt;aanname&gt;&lt;strong&gt;[Rotterdam-Moerdijk]&lt;/strong&gt; Berekende CO&lt;sub&gt;2&lt;/sub&gt;-productie bij Steam Methane Reforming van "&amp;ROUND(C115+C79,0) &amp;" PJ restgas @ "&amp;D13&amp;" ktonCO&lt;sub&gt;2&lt;/sub&gt;/PJ.&lt;/aanname&gt;"</f>
        <v>&lt;aanname&gt;&lt;strong&gt;[Rotterdam-Moerdijk]&lt;/strong&gt; Berekende CO&lt;sub&gt;2&lt;/sub&gt;-productie bij Steam Methane Reforming van 101 PJ restgas @ 64.6 ktonCO&lt;sub&gt;2&lt;/sub&gt;/PJ.&lt;/aanname&gt;</v>
      </c>
    </row>
    <row r="226" spans="2:9" x14ac:dyDescent="0.2">
      <c r="B226" s="97" t="str">
        <f>links!B64</f>
        <v>co2_bron_smr_aardgas</v>
      </c>
      <c r="C226" s="97" t="str">
        <f>links!C64</f>
        <v>co2_productie_totaal</v>
      </c>
      <c r="D226" s="97" t="str">
        <f>links!D64</f>
        <v>co2flow</v>
      </c>
      <c r="E226" s="65">
        <f>C145</f>
        <v>2155.3476923076928</v>
      </c>
      <c r="F226" s="65">
        <f>C150/D10</f>
        <v>5685.119999999999</v>
      </c>
      <c r="H226" s="92" t="str">
        <f>"&lt;aanname&gt;&lt;strong&gt;[Rotterdam-Moerdijk]&lt;/strong&gt; Berekende CO&lt;sub&gt;2&lt;/sub&gt;-productie bij Steam Methane Reforming van "&amp;ROUND(C57,0) &amp;" PJ aardgas @ "&amp;D11&amp;" ktonCO&lt;sub&gt;2&lt;/sub&gt;/PJ.&lt;/aanname&gt;"</f>
        <v>&lt;aanname&gt;&lt;strong&gt;[Rotterdam-Moerdijk]&lt;/strong&gt; Berekende CO&lt;sub&gt;2&lt;/sub&gt;-productie bij Steam Methane Reforming van 38 PJ aardgas @ 56.4 ktonCO&lt;sub&gt;2&lt;/sub&gt;/PJ.&lt;/aanname&gt;</v>
      </c>
      <c r="I226" s="116" t="str">
        <f>"&lt;aanname&gt;&lt;strong&gt;[Rotterdam-Moerdijk]&lt;/strong&gt; Berekende CO&lt;sub&gt;2&lt;/sub&gt;-productie bij Steam Methane Reforming van "&amp;ROUND(C93+C119,0) &amp;" PJ aardgas @ "&amp;D11&amp;" ktonCO&lt;sub&gt;2&lt;/sub&gt;/PJ.&lt;/aanname&gt;"</f>
        <v>&lt;aanname&gt;&lt;strong&gt;[Rotterdam-Moerdijk]&lt;/strong&gt; Berekende CO&lt;sub&gt;2&lt;/sub&gt;-productie bij Steam Methane Reforming van 96 PJ aardgas @ 56.4 ktonCO&lt;sub&gt;2&lt;/sub&gt;/PJ.&lt;/aanname&gt;</v>
      </c>
    </row>
    <row r="227" spans="2:9" x14ac:dyDescent="0.2">
      <c r="B227" s="97" t="str">
        <f>links!B65</f>
        <v>co2_bron_overige</v>
      </c>
      <c r="C227" s="97" t="str">
        <f>links!C65</f>
        <v>co2_productie_totaal</v>
      </c>
      <c r="D227" s="97" t="str">
        <f>links!D65</f>
        <v>co2flow</v>
      </c>
      <c r="E227" s="65"/>
      <c r="F227" s="65">
        <v>0</v>
      </c>
      <c r="H227" s="92"/>
      <c r="I227" s="31"/>
    </row>
    <row r="228" spans="2:9" x14ac:dyDescent="0.2">
      <c r="B228" s="97" t="str">
        <f>links!B66</f>
        <v>co2_bron_reserve_slot1</v>
      </c>
      <c r="C228" s="97" t="str">
        <f>links!C66</f>
        <v>co2_productie_totaal</v>
      </c>
      <c r="D228" s="97" t="str">
        <f>links!D66</f>
        <v>co2flow</v>
      </c>
      <c r="E228" s="65"/>
      <c r="F228" s="65">
        <v>0</v>
      </c>
      <c r="H228" s="92"/>
      <c r="I228" s="31"/>
    </row>
    <row r="229" spans="2:9" x14ac:dyDescent="0.2">
      <c r="B229" s="97" t="str">
        <f>links!B67</f>
        <v>co2_bron_reserve_slot2</v>
      </c>
      <c r="C229" s="97" t="str">
        <f>links!C67</f>
        <v>co2_productie_totaal</v>
      </c>
      <c r="D229" s="97" t="str">
        <f>links!D67</f>
        <v>co2flow</v>
      </c>
      <c r="E229" s="65"/>
      <c r="F229" s="65">
        <v>0</v>
      </c>
      <c r="H229" s="92"/>
      <c r="I229" s="31"/>
    </row>
    <row r="230" spans="2:9" x14ac:dyDescent="0.2">
      <c r="B230" s="97" t="str">
        <f>links!B68</f>
        <v>co2_bron_reserve_slot3</v>
      </c>
      <c r="C230" s="97" t="str">
        <f>links!C68</f>
        <v>co2_productie_totaal</v>
      </c>
      <c r="D230" s="97" t="str">
        <f>links!D68</f>
        <v>co2flow</v>
      </c>
      <c r="E230" s="65"/>
      <c r="F230" s="65">
        <v>0</v>
      </c>
      <c r="H230" s="92"/>
      <c r="I230" s="31"/>
    </row>
    <row r="231" spans="2:9" x14ac:dyDescent="0.2">
      <c r="B231" s="97" t="str">
        <f>links!B69</f>
        <v>co2_bron_reserve_slot4</v>
      </c>
      <c r="C231" s="97" t="str">
        <f>links!C69</f>
        <v>co2_productie_totaal</v>
      </c>
      <c r="D231" s="97" t="str">
        <f>links!D69</f>
        <v>co2flow</v>
      </c>
      <c r="E231" s="65"/>
      <c r="F231" s="65">
        <v>0</v>
      </c>
      <c r="H231" s="92"/>
      <c r="I231" s="31"/>
    </row>
    <row r="232" spans="2:9" x14ac:dyDescent="0.2">
      <c r="B232" s="97" t="str">
        <f>links!B70</f>
        <v>co2_bron_reserve_slot5</v>
      </c>
      <c r="C232" s="97" t="str">
        <f>links!C70</f>
        <v>co2_productie_totaal</v>
      </c>
      <c r="D232" s="97" t="str">
        <f>links!D70</f>
        <v>co2flow</v>
      </c>
      <c r="E232" s="65"/>
      <c r="F232" s="65">
        <v>0</v>
      </c>
      <c r="H232" s="92"/>
      <c r="I232" s="31"/>
    </row>
    <row r="233" spans="2:9" x14ac:dyDescent="0.2">
      <c r="B233" s="97"/>
      <c r="C233" s="97"/>
      <c r="D233" s="97"/>
      <c r="E233" s="65"/>
      <c r="F233" s="65"/>
      <c r="H233" s="92"/>
      <c r="I233" s="31"/>
    </row>
    <row r="234" spans="2:9" x14ac:dyDescent="0.2">
      <c r="B234" s="97" t="str">
        <f>links!B72</f>
        <v>co2_productie_totaal</v>
      </c>
      <c r="C234" s="97" t="str">
        <f>links!C72</f>
        <v>co2_afvang_smr_restgas</v>
      </c>
      <c r="D234" s="97" t="str">
        <f>links!D72</f>
        <v>co2flow</v>
      </c>
      <c r="E234" s="65"/>
      <c r="F234" s="65">
        <f>C151/D10</f>
        <v>6189.6738461538453</v>
      </c>
      <c r="H234" s="92"/>
      <c r="I234" s="31"/>
    </row>
    <row r="235" spans="2:9" x14ac:dyDescent="0.2">
      <c r="B235" s="97" t="str">
        <f>links!B73</f>
        <v>co2_productie_totaal</v>
      </c>
      <c r="C235" s="97" t="str">
        <f>links!C73</f>
        <v>co2_afvang_smr_aardgas</v>
      </c>
      <c r="D235" s="97" t="str">
        <f>links!D73</f>
        <v>co2flow</v>
      </c>
      <c r="E235" s="65"/>
      <c r="F235" s="65">
        <f>C150/D10</f>
        <v>5685.119999999999</v>
      </c>
      <c r="H235" s="92"/>
      <c r="I235" s="31"/>
    </row>
    <row r="236" spans="2:9" x14ac:dyDescent="0.2">
      <c r="B236" s="97" t="str">
        <f>links!B74</f>
        <v>co2_productie_totaal</v>
      </c>
      <c r="C236" s="97" t="str">
        <f>links!C74</f>
        <v>co2_afvang_overige</v>
      </c>
      <c r="D236" s="97" t="str">
        <f>links!D74</f>
        <v>co2flow</v>
      </c>
      <c r="E236" s="65">
        <f>C140</f>
        <v>600</v>
      </c>
      <c r="F236" s="65">
        <v>0</v>
      </c>
      <c r="H236" s="111"/>
      <c r="I236" s="31"/>
    </row>
    <row r="237" spans="2:9" x14ac:dyDescent="0.2">
      <c r="B237" s="97" t="str">
        <f>links!B75</f>
        <v>co2_productie_totaal</v>
      </c>
      <c r="C237" s="97" t="str">
        <f>links!C75</f>
        <v>co2_afvang_reserve_slot1</v>
      </c>
      <c r="D237" s="97" t="str">
        <f>links!D75</f>
        <v>co2flow</v>
      </c>
      <c r="E237" s="65"/>
      <c r="F237" s="65">
        <v>0</v>
      </c>
      <c r="H237" s="92"/>
      <c r="I237" s="31"/>
    </row>
    <row r="238" spans="2:9" x14ac:dyDescent="0.2">
      <c r="B238" s="97" t="str">
        <f>links!B76</f>
        <v>co2_productie_totaal</v>
      </c>
      <c r="C238" s="97" t="str">
        <f>links!C76</f>
        <v>co2_afvang_reserve_slot2</v>
      </c>
      <c r="D238" s="97" t="str">
        <f>links!D76</f>
        <v>co2flow</v>
      </c>
      <c r="E238" s="65"/>
      <c r="F238" s="65">
        <v>0</v>
      </c>
      <c r="H238" s="92"/>
      <c r="I238" s="31"/>
    </row>
    <row r="239" spans="2:9" x14ac:dyDescent="0.2">
      <c r="B239" s="97" t="str">
        <f>links!B77</f>
        <v>co2_productie_totaal</v>
      </c>
      <c r="C239" s="97" t="str">
        <f>links!C77</f>
        <v>co2_afvang_reserve_slot3</v>
      </c>
      <c r="D239" s="97" t="str">
        <f>links!D77</f>
        <v>co2flow</v>
      </c>
      <c r="E239" s="65"/>
      <c r="F239" s="65">
        <v>0</v>
      </c>
      <c r="H239" s="92"/>
      <c r="I239" s="31"/>
    </row>
    <row r="240" spans="2:9" x14ac:dyDescent="0.2">
      <c r="B240" s="97" t="str">
        <f>links!B78</f>
        <v>co2_productie_totaal</v>
      </c>
      <c r="C240" s="97" t="str">
        <f>links!C78</f>
        <v>co2_afvang_reserve_slot4</v>
      </c>
      <c r="D240" s="97" t="str">
        <f>links!D78</f>
        <v>co2flow</v>
      </c>
      <c r="E240" s="65"/>
      <c r="F240" s="65">
        <v>0</v>
      </c>
      <c r="H240" s="92"/>
      <c r="I240" s="31"/>
    </row>
    <row r="241" spans="2:9" x14ac:dyDescent="0.2">
      <c r="B241" s="97" t="str">
        <f>links!B79</f>
        <v>co2_productie_totaal</v>
      </c>
      <c r="C241" s="97" t="str">
        <f>links!C79</f>
        <v>co2_afvang_reserve_slot5</v>
      </c>
      <c r="D241" s="97" t="str">
        <f>links!D79</f>
        <v>co2flow</v>
      </c>
      <c r="E241" s="65"/>
      <c r="F241" s="65">
        <v>0</v>
      </c>
      <c r="H241" s="92"/>
      <c r="I241" s="31"/>
    </row>
    <row r="242" spans="2:9" x14ac:dyDescent="0.2">
      <c r="B242" s="97"/>
      <c r="C242" s="97"/>
      <c r="D242" s="97"/>
      <c r="E242" s="65"/>
      <c r="F242" s="65"/>
      <c r="H242" s="92"/>
      <c r="I242" s="31"/>
    </row>
    <row r="243" spans="2:9" x14ac:dyDescent="0.2">
      <c r="B243" s="97" t="str">
        <f>links!B81</f>
        <v>co2_afvang_smr_restgas</v>
      </c>
      <c r="C243" s="97" t="str">
        <f>links!C81</f>
        <v>co2_afvang_totaal</v>
      </c>
      <c r="D243" s="97" t="str">
        <f>links!D81</f>
        <v>co2flow</v>
      </c>
      <c r="E243" s="65"/>
      <c r="F243" s="65">
        <f>F234</f>
        <v>6189.6738461538453</v>
      </c>
      <c r="H243" s="92"/>
      <c r="I243" s="31"/>
    </row>
    <row r="244" spans="2:9" x14ac:dyDescent="0.2">
      <c r="B244" s="97" t="str">
        <f>links!B82</f>
        <v>co2_afvang_smr_aardgas</v>
      </c>
      <c r="C244" s="97" t="str">
        <f>links!C82</f>
        <v>co2_afvang_totaal</v>
      </c>
      <c r="D244" s="97" t="str">
        <f>links!D82</f>
        <v>co2flow</v>
      </c>
      <c r="E244" s="65"/>
      <c r="F244" s="65">
        <f>F235</f>
        <v>5685.119999999999</v>
      </c>
      <c r="H244" s="92"/>
      <c r="I244" s="31"/>
    </row>
    <row r="245" spans="2:9" x14ac:dyDescent="0.2">
      <c r="B245" s="97" t="str">
        <f>links!B83</f>
        <v>co2_afvang_overige</v>
      </c>
      <c r="C245" s="97" t="str">
        <f>links!C83</f>
        <v>co2_afvang_totaal</v>
      </c>
      <c r="D245" s="97" t="str">
        <f>links!D83</f>
        <v>co2flow</v>
      </c>
      <c r="E245" s="65">
        <f>C140</f>
        <v>600</v>
      </c>
      <c r="F245" s="65">
        <v>0</v>
      </c>
      <c r="H245" s="92"/>
      <c r="I245" s="31"/>
    </row>
    <row r="246" spans="2:9" x14ac:dyDescent="0.2">
      <c r="B246" s="97" t="str">
        <f>links!B84</f>
        <v>co2_afvang_reserve_slot1</v>
      </c>
      <c r="C246" s="97" t="str">
        <f>links!C84</f>
        <v>co2_afvang_totaal</v>
      </c>
      <c r="D246" s="97" t="str">
        <f>links!D84</f>
        <v>co2flow</v>
      </c>
      <c r="E246" s="65"/>
      <c r="F246" s="65">
        <v>0</v>
      </c>
      <c r="H246" s="92"/>
      <c r="I246" s="31"/>
    </row>
    <row r="247" spans="2:9" x14ac:dyDescent="0.2">
      <c r="B247" s="97" t="str">
        <f>links!B85</f>
        <v>co2_afvang_reserve_slot2</v>
      </c>
      <c r="C247" s="97" t="str">
        <f>links!C85</f>
        <v>co2_afvang_totaal</v>
      </c>
      <c r="D247" s="97" t="str">
        <f>links!D85</f>
        <v>co2flow</v>
      </c>
      <c r="E247" s="65"/>
      <c r="F247" s="65">
        <v>0</v>
      </c>
      <c r="H247" s="92"/>
      <c r="I247" s="31"/>
    </row>
    <row r="248" spans="2:9" x14ac:dyDescent="0.2">
      <c r="B248" s="97" t="str">
        <f>links!B86</f>
        <v>co2_afvang_reserve_slot3</v>
      </c>
      <c r="C248" s="97" t="str">
        <f>links!C86</f>
        <v>co2_afvang_totaal</v>
      </c>
      <c r="D248" s="97" t="str">
        <f>links!D86</f>
        <v>co2flow</v>
      </c>
      <c r="E248" s="65"/>
      <c r="F248" s="65">
        <v>0</v>
      </c>
      <c r="H248" s="92"/>
      <c r="I248" s="31"/>
    </row>
    <row r="249" spans="2:9" x14ac:dyDescent="0.2">
      <c r="B249" s="97" t="str">
        <f>links!B87</f>
        <v>co2_afvang_reserve_slot4</v>
      </c>
      <c r="C249" s="97" t="str">
        <f>links!C87</f>
        <v>co2_afvang_totaal</v>
      </c>
      <c r="D249" s="97" t="str">
        <f>links!D87</f>
        <v>co2flow</v>
      </c>
      <c r="E249" s="65"/>
      <c r="F249" s="65">
        <v>0</v>
      </c>
      <c r="H249" s="92"/>
      <c r="I249" s="31"/>
    </row>
    <row r="250" spans="2:9" x14ac:dyDescent="0.2">
      <c r="B250" s="97" t="str">
        <f>links!B88</f>
        <v>co2_afvang_reserve_slot5</v>
      </c>
      <c r="C250" s="97" t="str">
        <f>links!C88</f>
        <v>co2_afvang_totaal</v>
      </c>
      <c r="D250" s="97" t="str">
        <f>links!D88</f>
        <v>co2flow</v>
      </c>
      <c r="E250" s="65"/>
      <c r="F250" s="65">
        <v>0</v>
      </c>
      <c r="H250" s="92"/>
      <c r="I250" s="31"/>
    </row>
    <row r="251" spans="2:9" x14ac:dyDescent="0.2">
      <c r="B251" s="97"/>
      <c r="C251" s="97"/>
      <c r="D251" s="97"/>
      <c r="E251" s="65"/>
      <c r="F251" s="65"/>
      <c r="H251" s="92"/>
      <c r="I251" s="31"/>
    </row>
    <row r="252" spans="2:9" x14ac:dyDescent="0.2">
      <c r="B252" s="97" t="str">
        <f>links!B90</f>
        <v>co2_afvang_totaal</v>
      </c>
      <c r="C252" s="97" t="str">
        <f>links!C90</f>
        <v>co2_emissies_totaal</v>
      </c>
      <c r="D252" s="97" t="str">
        <f>links!D90</f>
        <v>co2flow</v>
      </c>
      <c r="E252" s="65"/>
      <c r="F252" s="65">
        <f>SUM(F243:F244)-SUM(F243:F244)*D10</f>
        <v>2374.7938461538452</v>
      </c>
      <c r="H252" s="92"/>
      <c r="I252" s="31" t="s">
        <v>508</v>
      </c>
    </row>
    <row r="253" spans="2:9" x14ac:dyDescent="0.2">
      <c r="B253" s="97" t="str">
        <f>links!B91</f>
        <v>co2_afvang_totaal</v>
      </c>
      <c r="C253" s="97" t="str">
        <f>links!C91</f>
        <v>co2_afgevangen_totaal</v>
      </c>
      <c r="D253" s="97" t="str">
        <f>links!D91</f>
        <v>co2flow</v>
      </c>
      <c r="E253" s="65">
        <f>E245</f>
        <v>600</v>
      </c>
      <c r="F253" s="65">
        <f>F243+F244-F252</f>
        <v>9499.9999999999982</v>
      </c>
      <c r="H253" s="92"/>
      <c r="I253" s="31"/>
    </row>
    <row r="254" spans="2:9" x14ac:dyDescent="0.2">
      <c r="B254" s="97" t="str">
        <f>links!B92</f>
        <v>co2_productie_totaal</v>
      </c>
      <c r="C254" s="97" t="str">
        <f>links!C92</f>
        <v>co2_emissies_totaal</v>
      </c>
      <c r="D254" s="97" t="str">
        <f>links!D92</f>
        <v>co2flow</v>
      </c>
      <c r="E254" s="65">
        <f>SUM(E223:E226)-E245</f>
        <v>16000.000000000007</v>
      </c>
      <c r="F254" s="65">
        <f>SUM(F223:F232)-F253-F252</f>
        <v>5676.370461538474</v>
      </c>
      <c r="H254" s="92" t="s">
        <v>510</v>
      </c>
      <c r="I254" s="92" t="s">
        <v>507</v>
      </c>
    </row>
    <row r="255" spans="2:9" x14ac:dyDescent="0.2">
      <c r="B255" s="97"/>
      <c r="C255" s="97"/>
      <c r="D255" s="97"/>
      <c r="E255" s="65"/>
      <c r="F255" s="65"/>
      <c r="H255" s="92"/>
      <c r="I255" s="31"/>
    </row>
    <row r="256" spans="2:9" x14ac:dyDescent="0.2">
      <c r="E256"/>
    </row>
    <row r="258" spans="1:4" x14ac:dyDescent="0.2">
      <c r="B258" s="66" t="s">
        <v>165</v>
      </c>
      <c r="C258" s="15">
        <v>2021</v>
      </c>
      <c r="D258" s="71">
        <v>2035</v>
      </c>
    </row>
    <row r="259" spans="1:4" x14ac:dyDescent="0.2">
      <c r="B259" s="25" t="s">
        <v>59</v>
      </c>
      <c r="C259" s="5">
        <f>E200+E201+E202+E194+E165+E168+E169+E170+E166</f>
        <v>250.56799237913805</v>
      </c>
      <c r="D259" s="67">
        <f>F200+F201+F202+F194+F165+F168+F169+F170+F166</f>
        <v>534.24799237913805</v>
      </c>
    </row>
    <row r="260" spans="1:4" x14ac:dyDescent="0.2">
      <c r="B260" s="68" t="s">
        <v>60</v>
      </c>
      <c r="C260" s="69">
        <f>E165+E168+E176+E188+E204+E205+E169+E170+E177+E179+E166</f>
        <v>250.56799237913808</v>
      </c>
      <c r="D260" s="70">
        <f>F165+F168+F176+F188+F204+F205+F169+F170+F177+F179+F166+F186</f>
        <v>534.24799237913805</v>
      </c>
    </row>
    <row r="263" spans="1:4" ht="22" x14ac:dyDescent="0.2">
      <c r="B263" s="73" t="s">
        <v>242</v>
      </c>
      <c r="C263" s="28"/>
      <c r="D263" s="28"/>
    </row>
    <row r="265" spans="1:4" x14ac:dyDescent="0.2">
      <c r="C265" s="1" t="s">
        <v>160</v>
      </c>
      <c r="D265" s="1" t="s">
        <v>159</v>
      </c>
    </row>
    <row r="266" spans="1:4" x14ac:dyDescent="0.2">
      <c r="A266">
        <v>1</v>
      </c>
      <c r="B266" s="4" t="str">
        <f>nodes!C2</f>
        <v>bron_aardgas</v>
      </c>
      <c r="C266" s="31"/>
      <c r="D266" s="31" t="str">
        <f>H165</f>
        <v>&lt;bron&gt;&lt;strong&gt;[Rotterdam-Moerdijk]&lt;/strong&gt; Het totaalvolume aardgasverbruik is overgenomen uit de CES. Dit is het volume aardgasverbruik exclusief elektriciteitscentrales (pagina 17).&lt;/bron&gt;&lt;aanname&gt;&lt;strong&gt;[Rotterdam-Moerdijk]&lt;/strong&gt; De CES noteert voor 2021 alleen een totaalvolume industrieel aardgasverbruik en geeft geen uitsplitsing van dit aardgasverbruik naar specifieke toepassingen. De uitsplitsing van dit totaalvolume naar waterstofproductie en andere industriele toepassingen is daarom gebaseerd op een aantal aannames. Voor het aandeel aardgas wat wordt aangewend voor waterstofproductie is aangenomen dat 50% van de waterstofvraag in 2021 met waterstofproductie uit aardgas wordt voorzien en is aangenomen dat hiebij een conversie-efficientie van 0.65 van toepassing is. Het volume aardgas wat wordt aangewend voor overige industriele processen is vervolgens berekend door het aangenomen volume aardgas voor waterstofproductie op het het in de CES opgegeven totale aardgasverbruik in mindering te brengen.&lt;/aanname&gt;</v>
      </c>
    </row>
    <row r="267" spans="1:4" x14ac:dyDescent="0.2">
      <c r="A267">
        <v>2</v>
      </c>
      <c r="B267" s="4" t="str">
        <f>nodes!C3</f>
        <v>bron_restgas</v>
      </c>
      <c r="C267" s="31"/>
      <c r="D267" s="31" t="str">
        <f>C267&amp;H202&amp;H166</f>
        <v>&lt;aanname&gt;&lt;strong&gt;[Rotterdam-Moerdijk]&lt;/strong&gt; De CES bevat geen informatie over restgassen. Het restgasverbruik is bijgeschat om de productie van proceswarmte en waterstof uit restgas en de daaraan gerelateerde CO&lt;sub&gt;2&lt;/sub&gt;-emissies in de analyse te ondervangen. Aangenomen is dat een deel van de restgassen wordt aangewend voor waterstofproductie (zie (12) voor toelichting bij het restgasverbruik voor waterstofproductie).&lt;br&gt;&lt;br&gt; Aangenomen is dat het overige restgasverbruik (anders dan voor waterstofproductie) wordt aangewend voor de productie van proceswarmte. Dit volume (61 PJ) is ingeschat op basis van een fit op de totale in de CES gerapporteerde industriele fossiele CO2-uitstoot van 16.000 kton in 2021 (pagina 17).&lt;/aanname&gt;</v>
      </c>
    </row>
    <row r="268" spans="1:4" x14ac:dyDescent="0.2">
      <c r="A268">
        <v>3</v>
      </c>
      <c r="B268" s="4" t="str">
        <f>nodes!C4</f>
        <v>bron_kolen</v>
      </c>
      <c r="C268" s="31"/>
      <c r="D268" s="31"/>
    </row>
    <row r="269" spans="1:4" x14ac:dyDescent="0.2">
      <c r="A269">
        <v>4</v>
      </c>
      <c r="B269" s="4" t="str">
        <f>nodes!C5</f>
        <v>bron_cokes</v>
      </c>
      <c r="C269" s="31"/>
      <c r="D269" s="31"/>
    </row>
    <row r="270" spans="1:4" x14ac:dyDescent="0.2">
      <c r="A270">
        <v>5</v>
      </c>
      <c r="B270" s="4" t="str">
        <f>nodes!C6</f>
        <v>bron_aardolie</v>
      </c>
      <c r="C270" s="31"/>
      <c r="D270" s="31"/>
    </row>
    <row r="271" spans="1:4" x14ac:dyDescent="0.2">
      <c r="A271">
        <v>6</v>
      </c>
      <c r="B271" s="4" t="str">
        <f>nodes!C7</f>
        <v>bron_biomassa</v>
      </c>
      <c r="C271" s="31"/>
      <c r="D271" s="31"/>
    </row>
    <row r="272" spans="1:4" x14ac:dyDescent="0.2">
      <c r="A272">
        <v>7</v>
      </c>
      <c r="B272" s="4" t="str">
        <f>nodes!C8</f>
        <v>bron_biogas</v>
      </c>
      <c r="C272" s="31"/>
      <c r="D272" s="31"/>
    </row>
    <row r="273" spans="1:4" x14ac:dyDescent="0.2">
      <c r="A273">
        <v>8</v>
      </c>
      <c r="B273" s="4" t="str">
        <f>nodes!C9</f>
        <v>bron_elektriciteit</v>
      </c>
      <c r="C273" s="31" t="s">
        <v>506</v>
      </c>
      <c r="D273" s="31" t="str">
        <f>C273</f>
        <v>&lt;bron&gt;&lt;strong&gt;[Rotterdam-Moerdijk]&lt;/strong&gt; Het totaalvolume elektriciteitsverbruik is overgenomen uit de CES (pagina 17).&lt;/bron&gt;</v>
      </c>
    </row>
    <row r="274" spans="1:4" x14ac:dyDescent="0.2">
      <c r="A274">
        <v>9</v>
      </c>
      <c r="B274" s="4" t="str">
        <f>nodes!C10</f>
        <v>bron_waterstof</v>
      </c>
      <c r="C274" s="31"/>
      <c r="D274" s="31"/>
    </row>
    <row r="275" spans="1:4" x14ac:dyDescent="0.2">
      <c r="A275">
        <v>10</v>
      </c>
      <c r="B275" s="4" t="str">
        <f>nodes!C11</f>
        <v>bron_warmte</v>
      </c>
      <c r="C275" s="31"/>
      <c r="D275" s="31"/>
    </row>
    <row r="276" spans="1:4" x14ac:dyDescent="0.2">
      <c r="A276">
        <v>11</v>
      </c>
      <c r="B276" s="4" t="str">
        <f>nodes!C12</f>
        <v>bron_afval</v>
      </c>
      <c r="C276" s="31"/>
      <c r="D276" s="31"/>
    </row>
    <row r="277" spans="1:4" x14ac:dyDescent="0.2">
      <c r="B277" s="4"/>
      <c r="C277" s="31"/>
      <c r="D277" s="31"/>
    </row>
    <row r="278" spans="1:4" x14ac:dyDescent="0.2">
      <c r="A278">
        <v>12</v>
      </c>
      <c r="B278" s="4" t="str">
        <f>nodes!C14</f>
        <v>smr_atr</v>
      </c>
      <c r="C278" s="31"/>
      <c r="D278" s="31" t="str">
        <f>H202&amp;H196&amp;H201</f>
        <v>&lt;aanname&gt;&lt;strong&gt;[Rotterdam-Moerdijk]&lt;/strong&gt; De CES noteert 50 PJ waterstofvraag in 2021, waarin volgens de CES wordt voorzien met grijze waterstofproductie. Aangenomen is dat 50% van deze waterstof wordt geproduceerd uit aardgas en 50% wordt geproduceerd uit restgas, beide met een aangenomen conversie-efficientie van 65%.&lt;/aanname&gt;</v>
      </c>
    </row>
    <row r="279" spans="1:4" x14ac:dyDescent="0.2">
      <c r="A279">
        <v>13</v>
      </c>
      <c r="B279" s="4" t="str">
        <f>nodes!C15</f>
        <v>smr_atr_verlies</v>
      </c>
      <c r="C279" s="31"/>
      <c r="D279" s="31"/>
    </row>
    <row r="280" spans="1:4" x14ac:dyDescent="0.2">
      <c r="B280" s="4"/>
      <c r="C280" s="31"/>
      <c r="D280" s="31"/>
    </row>
    <row r="281" spans="1:4" x14ac:dyDescent="0.2">
      <c r="A281">
        <v>14</v>
      </c>
      <c r="B281" s="4" t="str">
        <f>nodes!C17</f>
        <v>elektriciteit_vraag_2021</v>
      </c>
      <c r="C281" s="31"/>
      <c r="D281" s="31" t="str">
        <f>H168&amp;C281</f>
        <v/>
      </c>
    </row>
    <row r="282" spans="1:4" x14ac:dyDescent="0.2">
      <c r="A282">
        <v>15</v>
      </c>
      <c r="B282" s="4" t="str">
        <f>nodes!C18</f>
        <v>elektriciteit_aardgassubstitutie_directe_elektrificatie</v>
      </c>
      <c r="C282" s="31"/>
      <c r="D282" s="31" t="str">
        <f>H169&amp;C282</f>
        <v/>
      </c>
    </row>
    <row r="283" spans="1:4" x14ac:dyDescent="0.2">
      <c r="A283">
        <v>16</v>
      </c>
      <c r="B283" s="4" t="str">
        <f>nodes!C19</f>
        <v>elektriciteit_additioneel_overige</v>
      </c>
      <c r="C283" s="31"/>
      <c r="D283" s="31" t="str">
        <f>H170&amp;C283</f>
        <v/>
      </c>
    </row>
    <row r="284" spans="1:4" x14ac:dyDescent="0.2">
      <c r="A284">
        <v>17</v>
      </c>
      <c r="B284" s="4" t="str">
        <f>nodes!C20</f>
        <v>elektrolysers</v>
      </c>
      <c r="C284" s="31"/>
      <c r="D284" s="31" t="str">
        <f>C284&amp;H200</f>
        <v/>
      </c>
    </row>
    <row r="285" spans="1:4" x14ac:dyDescent="0.2">
      <c r="B285" s="4"/>
      <c r="C285" s="31"/>
      <c r="D285" s="31"/>
    </row>
    <row r="286" spans="1:4" x14ac:dyDescent="0.2">
      <c r="A286">
        <v>18</v>
      </c>
      <c r="B286" s="4" t="str">
        <f>nodes!C22</f>
        <v>elektrolyse_verlies</v>
      </c>
      <c r="C286" s="31"/>
      <c r="D286" s="31"/>
    </row>
    <row r="287" spans="1:4" x14ac:dyDescent="0.2">
      <c r="B287" s="4"/>
      <c r="C287" s="31"/>
      <c r="D287" s="31"/>
    </row>
    <row r="288" spans="1:4" x14ac:dyDescent="0.2">
      <c r="A288">
        <v>19</v>
      </c>
      <c r="B288" s="4" t="str">
        <f>nodes!C24</f>
        <v>waterstof_vraag_2021</v>
      </c>
      <c r="C288" s="31"/>
      <c r="D288" s="31" t="str">
        <f>H176</f>
        <v>&lt;bron&gt;&lt;strong&gt;[Rotterdam-Moerdijk]&lt;/strong&gt; Het totaalvolume waterstofvraag is overgenomen uit de CES (pagina 16).&lt;/bron&gt;</v>
      </c>
    </row>
    <row r="289" spans="1:4" x14ac:dyDescent="0.2">
      <c r="A289">
        <v>20</v>
      </c>
      <c r="B289" s="4" t="str">
        <f>nodes!C25</f>
        <v>waterstof_aardgassubstitutie</v>
      </c>
      <c r="C289" s="95"/>
      <c r="D289" s="31"/>
    </row>
    <row r="290" spans="1:4" x14ac:dyDescent="0.2">
      <c r="A290">
        <v>21</v>
      </c>
      <c r="B290" s="4" t="str">
        <f>nodes!C26</f>
        <v>waterstof_additioneel_overige</v>
      </c>
      <c r="C290" s="31"/>
      <c r="D290" s="31" t="str">
        <f>H179&amp;C290</f>
        <v/>
      </c>
    </row>
    <row r="291" spans="1:4" x14ac:dyDescent="0.2">
      <c r="A291">
        <v>22</v>
      </c>
      <c r="B291" s="4" t="str">
        <f>nodes!C27</f>
        <v>waterstof_restgassubstitutie</v>
      </c>
      <c r="C291" s="95"/>
      <c r="D291" s="31"/>
    </row>
    <row r="292" spans="1:4" x14ac:dyDescent="0.2">
      <c r="B292" s="4"/>
      <c r="C292" s="31"/>
      <c r="D292" s="31"/>
    </row>
    <row r="293" spans="1:4" x14ac:dyDescent="0.2">
      <c r="A293">
        <v>23</v>
      </c>
      <c r="B293" s="4" t="str">
        <f>nodes!C29</f>
        <v>blauwe_waterstof</v>
      </c>
      <c r="C293" s="31"/>
      <c r="D293" s="31" t="str">
        <f>H197&amp;C293</f>
        <v/>
      </c>
    </row>
    <row r="294" spans="1:4" x14ac:dyDescent="0.2">
      <c r="A294">
        <v>24</v>
      </c>
      <c r="B294" s="4" t="str">
        <f>nodes!C30</f>
        <v>grijze_waterstof</v>
      </c>
      <c r="C294" s="31"/>
      <c r="D294" s="31" t="str">
        <f>H190</f>
        <v>&lt;bron&gt;&lt;strong&gt;[Rotterdam-Moerdijk]&lt;/strong&gt; Het productievolume grijze waterstof Is overgenomen uit de CES (pagina 19).&lt;/bron&gt;</v>
      </c>
    </row>
    <row r="295" spans="1:4" x14ac:dyDescent="0.2">
      <c r="A295">
        <v>25</v>
      </c>
      <c r="B295" s="4" t="str">
        <f>nodes!C31</f>
        <v>groene_waterstof</v>
      </c>
      <c r="C295" s="31"/>
      <c r="D295" s="31" t="str">
        <f>C295&amp;H198</f>
        <v/>
      </c>
    </row>
    <row r="296" spans="1:4" x14ac:dyDescent="0.2">
      <c r="B296" s="4"/>
      <c r="C296" s="31"/>
      <c r="D296" s="31"/>
    </row>
    <row r="297" spans="1:4" x14ac:dyDescent="0.2">
      <c r="A297">
        <v>26</v>
      </c>
      <c r="B297" s="4" t="str">
        <f>nodes!C33</f>
        <v>waterstof_mixer</v>
      </c>
      <c r="C297" s="31"/>
      <c r="D297" s="31"/>
    </row>
    <row r="298" spans="1:4" x14ac:dyDescent="0.2">
      <c r="B298" s="4"/>
      <c r="C298" s="31"/>
      <c r="D298" s="31"/>
    </row>
    <row r="299" spans="1:4" x14ac:dyDescent="0.2">
      <c r="A299">
        <v>27</v>
      </c>
      <c r="B299" s="4" t="str">
        <f>nodes!C35</f>
        <v>industrie</v>
      </c>
      <c r="C299" s="31"/>
      <c r="D299" s="31"/>
    </row>
    <row r="300" spans="1:4" x14ac:dyDescent="0.2">
      <c r="A300">
        <v>28</v>
      </c>
      <c r="B300" s="4" t="str">
        <f>nodes!C36</f>
        <v>export</v>
      </c>
      <c r="C300" s="31"/>
      <c r="D300" s="31"/>
    </row>
    <row r="301" spans="1:4" x14ac:dyDescent="0.2">
      <c r="B301" s="4"/>
      <c r="C301" s="31"/>
      <c r="D301" s="31"/>
    </row>
    <row r="302" spans="1:4" x14ac:dyDescent="0.2">
      <c r="A302">
        <v>29</v>
      </c>
      <c r="B302" s="4" t="str">
        <f>nodes!C38</f>
        <v>waterstof_naar_elektriciteitscentrales</v>
      </c>
      <c r="C302" s="96"/>
      <c r="D302" s="31"/>
    </row>
    <row r="303" spans="1:4" x14ac:dyDescent="0.2">
      <c r="B303" s="4"/>
      <c r="C303" s="31"/>
      <c r="D303" s="31"/>
    </row>
    <row r="304" spans="1:4" x14ac:dyDescent="0.2">
      <c r="A304">
        <v>30</v>
      </c>
      <c r="B304" s="4" t="str">
        <f>nodes!C40</f>
        <v>reserveslot_1</v>
      </c>
      <c r="C304" s="31"/>
      <c r="D304" s="31"/>
    </row>
    <row r="305" spans="1:4" x14ac:dyDescent="0.2">
      <c r="A305">
        <v>31</v>
      </c>
      <c r="B305" s="4" t="str">
        <f>nodes!C41</f>
        <v>reserveslot_2</v>
      </c>
      <c r="C305" s="31"/>
      <c r="D305" s="31"/>
    </row>
    <row r="306" spans="1:4" x14ac:dyDescent="0.2">
      <c r="A306">
        <v>32</v>
      </c>
      <c r="B306" s="4" t="str">
        <f>nodes!C42</f>
        <v>reserveslot_3</v>
      </c>
      <c r="C306" s="31"/>
      <c r="D306" s="31"/>
    </row>
    <row r="307" spans="1:4" x14ac:dyDescent="0.2">
      <c r="A307">
        <v>33</v>
      </c>
      <c r="B307" s="4" t="str">
        <f>nodes!C43</f>
        <v>reserveslot_4</v>
      </c>
      <c r="C307" s="31"/>
      <c r="D307" s="31"/>
    </row>
    <row r="308" spans="1:4" x14ac:dyDescent="0.2">
      <c r="A308">
        <v>34</v>
      </c>
      <c r="B308" s="4" t="str">
        <f>nodes!C44</f>
        <v>reserveslot_5</v>
      </c>
      <c r="C308" s="31"/>
      <c r="D308" s="31"/>
    </row>
    <row r="309" spans="1:4" x14ac:dyDescent="0.2">
      <c r="A309">
        <v>35</v>
      </c>
      <c r="B309" s="4" t="str">
        <f>nodes!C45</f>
        <v>reserveslot_6</v>
      </c>
      <c r="C309" s="31"/>
      <c r="D309" s="31"/>
    </row>
    <row r="310" spans="1:4" x14ac:dyDescent="0.2">
      <c r="A310">
        <v>36</v>
      </c>
      <c r="B310" s="4" t="str">
        <f>nodes!C46</f>
        <v>reserveslot_7</v>
      </c>
      <c r="C310" s="31"/>
      <c r="D310" s="31"/>
    </row>
    <row r="311" spans="1:4" x14ac:dyDescent="0.2">
      <c r="A311">
        <v>37</v>
      </c>
      <c r="B311" s="4" t="str">
        <f>nodes!C47</f>
        <v>reserveslot_8</v>
      </c>
      <c r="C311" s="31"/>
      <c r="D311" s="31"/>
    </row>
    <row r="312" spans="1:4" x14ac:dyDescent="0.2">
      <c r="A312">
        <v>38</v>
      </c>
      <c r="B312" s="4" t="str">
        <f>nodes!C48</f>
        <v>reserveslot_9</v>
      </c>
      <c r="C312" s="31"/>
      <c r="D312" s="31"/>
    </row>
    <row r="313" spans="1:4" x14ac:dyDescent="0.2">
      <c r="A313">
        <v>39</v>
      </c>
      <c r="B313" s="4" t="str">
        <f>nodes!C49</f>
        <v>reserveslot_10</v>
      </c>
      <c r="C313" s="31"/>
      <c r="D313" s="31"/>
    </row>
    <row r="314" spans="1:4" x14ac:dyDescent="0.2">
      <c r="B314" s="4"/>
      <c r="C314" s="31"/>
      <c r="D314" s="31"/>
    </row>
    <row r="315" spans="1:4" x14ac:dyDescent="0.2">
      <c r="A315">
        <v>40</v>
      </c>
      <c r="B315" s="4" t="str">
        <f>nodes!C51</f>
        <v>co2_bron_aardgasverbranding</v>
      </c>
      <c r="C315" s="31"/>
      <c r="D315" s="31" t="str">
        <f>H223</f>
        <v>&lt;aanname&gt;&lt;strong&gt;[Rotterdam-Moerdijk]&lt;/strong&gt; Berekende CO&lt;sub&gt;2&lt;/sub&gt;-emissie bij verbranding van 61 PJ aardgas @ 56.4 ktonCO&lt;sub&gt;2&lt;/sub&gt;/PJ.&lt;/aanname&gt;</v>
      </c>
    </row>
    <row r="316" spans="1:4" x14ac:dyDescent="0.2">
      <c r="A316">
        <v>41</v>
      </c>
      <c r="B316" s="4" t="str">
        <f>nodes!C52</f>
        <v>co2_bron_restgasverbranding</v>
      </c>
      <c r="C316" s="31"/>
      <c r="D316" s="31" t="str">
        <f>H224</f>
        <v>&lt;aanname&gt;&lt;strong&gt;[Rotterdam-Moerdijk]&lt;/strong&gt; Berekende CO&lt;sub&gt;2&lt;/sub&gt;-emissie bij verbranding van 99 PJ restgas @ 64.6 ktonCO&lt;sub&gt;2&lt;/sub&gt;/PJ.&lt;/aanname&gt;</v>
      </c>
    </row>
    <row r="317" spans="1:4" x14ac:dyDescent="0.2">
      <c r="A317">
        <v>42</v>
      </c>
      <c r="B317" s="4" t="str">
        <f>nodes!C53</f>
        <v>co2_bron_smr_restgas</v>
      </c>
      <c r="C317" s="31"/>
      <c r="D317" s="31" t="str">
        <f>H225</f>
        <v>&lt;aanname&gt;&lt;strong&gt;[Rotterdam-Moerdijk]&lt;/strong&gt; Berekende CO&lt;sub&gt;2&lt;/sub&gt;-productie bij Steam Methane Reforming van 38 PJ restgas @ 64.6 ktonCO&lt;sub&gt;2&lt;/sub&gt;/PJ.&lt;/aanname&gt;</v>
      </c>
    </row>
    <row r="318" spans="1:4" x14ac:dyDescent="0.2">
      <c r="A318">
        <v>43</v>
      </c>
      <c r="B318" s="4" t="str">
        <f>nodes!C54</f>
        <v>co2_bron_smr_aardgas</v>
      </c>
      <c r="C318" s="31"/>
      <c r="D318" s="31" t="str">
        <f>H226</f>
        <v>&lt;aanname&gt;&lt;strong&gt;[Rotterdam-Moerdijk]&lt;/strong&gt; Berekende CO&lt;sub&gt;2&lt;/sub&gt;-productie bij Steam Methane Reforming van 38 PJ aardgas @ 56.4 ktonCO&lt;sub&gt;2&lt;/sub&gt;/PJ.&lt;/aanname&gt;</v>
      </c>
    </row>
    <row r="319" spans="1:4" x14ac:dyDescent="0.2">
      <c r="A319">
        <v>44</v>
      </c>
      <c r="B319" s="4" t="str">
        <f>nodes!C55</f>
        <v>co2_bron_overige</v>
      </c>
      <c r="C319" s="31"/>
      <c r="D319" s="31"/>
    </row>
    <row r="320" spans="1:4" x14ac:dyDescent="0.2">
      <c r="A320">
        <v>45</v>
      </c>
      <c r="B320" s="4" t="str">
        <f>nodes!C56</f>
        <v>co2_bron_reserve_slot1</v>
      </c>
      <c r="C320" s="31"/>
      <c r="D320" s="31"/>
    </row>
    <row r="321" spans="1:4" x14ac:dyDescent="0.2">
      <c r="A321">
        <v>46</v>
      </c>
      <c r="B321" s="4" t="str">
        <f>nodes!C57</f>
        <v>co2_bron_reserve_slot2</v>
      </c>
      <c r="C321" s="31"/>
      <c r="D321" s="31"/>
    </row>
    <row r="322" spans="1:4" x14ac:dyDescent="0.2">
      <c r="A322">
        <v>47</v>
      </c>
      <c r="B322" s="4" t="str">
        <f>nodes!C58</f>
        <v>co2_bron_reserve_slot3</v>
      </c>
      <c r="C322" s="31"/>
      <c r="D322" s="31"/>
    </row>
    <row r="323" spans="1:4" x14ac:dyDescent="0.2">
      <c r="A323">
        <v>48</v>
      </c>
      <c r="B323" s="4" t="str">
        <f>nodes!C59</f>
        <v>co2_bron_reserve_slot4</v>
      </c>
      <c r="C323" s="31"/>
      <c r="D323" s="31"/>
    </row>
    <row r="324" spans="1:4" x14ac:dyDescent="0.2">
      <c r="A324">
        <v>49</v>
      </c>
      <c r="B324" s="4" t="str">
        <f>nodes!C60</f>
        <v>co2_bron_reserve_slot5</v>
      </c>
      <c r="C324" s="31"/>
      <c r="D324" s="31"/>
    </row>
    <row r="325" spans="1:4" x14ac:dyDescent="0.2">
      <c r="B325" s="4"/>
      <c r="C325" s="31"/>
      <c r="D325" s="31"/>
    </row>
    <row r="326" spans="1:4" x14ac:dyDescent="0.2">
      <c r="A326">
        <v>50</v>
      </c>
      <c r="B326" s="4" t="str">
        <f>nodes!C62</f>
        <v>co2_afvang_smr_restgas</v>
      </c>
      <c r="C326" s="31"/>
      <c r="D326" s="31"/>
    </row>
    <row r="327" spans="1:4" x14ac:dyDescent="0.2">
      <c r="A327">
        <v>51</v>
      </c>
      <c r="B327" s="4" t="str">
        <f>nodes!C63</f>
        <v>co2_afvang_smr_aardgas</v>
      </c>
      <c r="C327" s="31"/>
      <c r="D327" s="31"/>
    </row>
    <row r="328" spans="1:4" x14ac:dyDescent="0.2">
      <c r="A328">
        <v>52</v>
      </c>
      <c r="B328" s="4" t="str">
        <f>nodes!C64</f>
        <v>co2_afvang_overige</v>
      </c>
      <c r="C328" s="31"/>
      <c r="D328" s="31">
        <f>H236</f>
        <v>0</v>
      </c>
    </row>
    <row r="329" spans="1:4" x14ac:dyDescent="0.2">
      <c r="A329">
        <v>53</v>
      </c>
      <c r="B329" s="4" t="str">
        <f>nodes!C65</f>
        <v>co2_afvang_reserve_slot1</v>
      </c>
      <c r="C329" s="31"/>
      <c r="D329" s="31"/>
    </row>
    <row r="330" spans="1:4" x14ac:dyDescent="0.2">
      <c r="A330">
        <v>54</v>
      </c>
      <c r="B330" s="4" t="str">
        <f>nodes!C66</f>
        <v>co2_afvang_reserve_slot2</v>
      </c>
      <c r="C330" s="31"/>
      <c r="D330" s="31"/>
    </row>
    <row r="331" spans="1:4" x14ac:dyDescent="0.2">
      <c r="A331">
        <v>55</v>
      </c>
      <c r="B331" s="4" t="str">
        <f>nodes!C67</f>
        <v>co2_afvang_reserve_slot3</v>
      </c>
      <c r="C331" s="31"/>
      <c r="D331" s="31"/>
    </row>
    <row r="332" spans="1:4" x14ac:dyDescent="0.2">
      <c r="A332">
        <v>56</v>
      </c>
      <c r="B332" s="4" t="str">
        <f>nodes!C68</f>
        <v>co2_afvang_reserve_slot4</v>
      </c>
      <c r="C332" s="31"/>
      <c r="D332" s="31"/>
    </row>
    <row r="333" spans="1:4" x14ac:dyDescent="0.2">
      <c r="A333">
        <v>57</v>
      </c>
      <c r="B333" s="4" t="str">
        <f>nodes!C69</f>
        <v>co2_afvang_reserve_slot5</v>
      </c>
      <c r="C333" s="31"/>
      <c r="D333" s="31"/>
    </row>
    <row r="334" spans="1:4" x14ac:dyDescent="0.2">
      <c r="B334" s="4"/>
      <c r="C334" s="31"/>
      <c r="D334" s="31"/>
    </row>
    <row r="335" spans="1:4" x14ac:dyDescent="0.2">
      <c r="A335">
        <v>58</v>
      </c>
      <c r="B335" s="4" t="str">
        <f>nodes!C71</f>
        <v>co2_productie_totaal</v>
      </c>
      <c r="C335" s="31"/>
      <c r="D335" s="31"/>
    </row>
    <row r="336" spans="1:4" x14ac:dyDescent="0.2">
      <c r="A336">
        <v>59</v>
      </c>
      <c r="B336" s="4" t="str">
        <f>nodes!C72</f>
        <v>co2_emissies_totaal</v>
      </c>
      <c r="C336" s="31"/>
      <c r="D336" s="31" t="str">
        <f>H254</f>
        <v>&lt;aanname&gt;&lt;strong&gt;[Rotterdam-Moerdijk]&lt;/strong&gt; De berekende CO&lt;sub&gt;2&lt;/sub&gt; uitstoot is via het aangenomen volume directe verbranding van restgassen gefit op de in de CES genoteerde CO2-uitstoot van industrie voor 2021 (16.000 kton, pagina 17).&lt;/aanname&gt;</v>
      </c>
    </row>
    <row r="337" spans="1:15" x14ac:dyDescent="0.2">
      <c r="A337">
        <v>60</v>
      </c>
      <c r="B337" s="4" t="str">
        <f>nodes!C73</f>
        <v>co2_afvang_totaal</v>
      </c>
      <c r="C337" s="31"/>
      <c r="D337" s="31"/>
    </row>
    <row r="338" spans="1:15" x14ac:dyDescent="0.2">
      <c r="A338">
        <v>61</v>
      </c>
      <c r="B338" s="4" t="str">
        <f>nodes!C74</f>
        <v>co2_afgevangen_totaal</v>
      </c>
      <c r="C338" s="31"/>
      <c r="D338" s="31"/>
    </row>
    <row r="340" spans="1:15" x14ac:dyDescent="0.2">
      <c r="A340" t="s">
        <v>2</v>
      </c>
    </row>
    <row r="341" spans="1:15" ht="22" x14ac:dyDescent="0.2">
      <c r="B341" s="73" t="s">
        <v>241</v>
      </c>
      <c r="C341" s="28"/>
      <c r="D341" s="28"/>
      <c r="E341" s="30"/>
      <c r="F341" s="28"/>
      <c r="G341" s="28"/>
      <c r="H341" s="28"/>
      <c r="I341" s="28"/>
      <c r="J341" s="28"/>
      <c r="K341" s="28"/>
      <c r="L341" s="28"/>
      <c r="M341" s="28"/>
      <c r="N341" s="28"/>
      <c r="O341" s="28"/>
    </row>
    <row r="343" spans="1:15" x14ac:dyDescent="0.2">
      <c r="C343" s="1" t="s">
        <v>160</v>
      </c>
      <c r="D343" s="1" t="s">
        <v>159</v>
      </c>
    </row>
    <row r="344" spans="1:15" x14ac:dyDescent="0.2">
      <c r="A344">
        <v>1</v>
      </c>
      <c r="B344" s="4" t="str">
        <f>nodes!C2</f>
        <v>bron_aardgas</v>
      </c>
      <c r="C344" s="31"/>
      <c r="D344" s="31" t="str">
        <f>I165</f>
        <v>&lt;aanname&gt;&lt;strong&gt;[Rotterdam-Moerdijk]&lt;/strong&gt; Het totaalvolume aardgasverbruik is overgenomen uit de CES (pagina 17), de uitsplitsing naar waterstofproductie en ander industrieel verbruik zijn ingeschat op basis van het uit de CES overgenomen volume waterstof wat uit methaan wordt geproduceerd en een aangenomen conversie-efficientie van 65%. Het volume aardgas wat wordt aangewend voor het industrieel verbruik naast waterstofproductie is berekend door het aangenomen volume aardgas voor waterstofproductie op het totale aardgasverbruik in mindering te brengen.&lt;/aanname&gt;</v>
      </c>
    </row>
    <row r="345" spans="1:15" x14ac:dyDescent="0.2">
      <c r="A345">
        <v>2</v>
      </c>
      <c r="B345" s="4" t="s">
        <v>54</v>
      </c>
      <c r="C345" s="31" t="s">
        <v>452</v>
      </c>
      <c r="D345" s="31" t="str">
        <f>C345&amp;" Zie onderdeel (12) voor toelichting bij het restgasverbruik voor waterstofproductie. "&amp;I166</f>
        <v>&lt;aanname&gt;&lt;strong&gt;[Rotterdam-Moerdijk]&lt;/strong&gt; De CES bevat geen informatie over restgassen.  Het restgasverbruik is bijgeschat om de productie van proceswarmte en waterstof uit restgas en de daaraan gerelateerde CO&lt;sub&gt;2&lt;/sub&gt;-emissies in de analyse te ondervangen. Zie onderdeel (12) voor toelichting bij het restgasverbruik voor waterstofproductie. Het overige restgasverbruik wordt aangewend voor de productie van proceswarmte. Dit volume (41 PJ) is een schatting, gebaseerd op de aanname dat het totaalvolume restgasverbruik wat wordt aangewend voor directe verbrading en voor waterstofproductie in 2035 gelijk blijft aan het totaalvolume restgasverbruik in 2021.&lt;/aanname&gt;</v>
      </c>
    </row>
    <row r="346" spans="1:15" x14ac:dyDescent="0.2">
      <c r="A346">
        <v>3</v>
      </c>
      <c r="B346" s="4" t="str">
        <f>nodes!C4</f>
        <v>bron_kolen</v>
      </c>
      <c r="C346" s="31"/>
      <c r="D346" s="31"/>
    </row>
    <row r="347" spans="1:15" x14ac:dyDescent="0.2">
      <c r="A347">
        <v>4</v>
      </c>
      <c r="B347" s="4" t="str">
        <f>nodes!C5</f>
        <v>bron_cokes</v>
      </c>
      <c r="C347" s="31"/>
      <c r="D347" s="31"/>
    </row>
    <row r="348" spans="1:15" x14ac:dyDescent="0.2">
      <c r="A348">
        <v>5</v>
      </c>
      <c r="B348" s="4" t="str">
        <f>nodes!C6</f>
        <v>bron_aardolie</v>
      </c>
      <c r="C348" s="31"/>
      <c r="D348" s="31"/>
    </row>
    <row r="349" spans="1:15" x14ac:dyDescent="0.2">
      <c r="A349">
        <v>6</v>
      </c>
      <c r="B349" s="4" t="str">
        <f>nodes!C7</f>
        <v>bron_biomassa</v>
      </c>
      <c r="C349" s="31"/>
      <c r="D349" s="31"/>
    </row>
    <row r="350" spans="1:15" x14ac:dyDescent="0.2">
      <c r="A350">
        <v>7</v>
      </c>
      <c r="B350" s="4" t="str">
        <f>nodes!C8</f>
        <v>bron_biogas</v>
      </c>
      <c r="C350" s="31"/>
      <c r="D350" s="31"/>
    </row>
    <row r="351" spans="1:15" x14ac:dyDescent="0.2">
      <c r="A351">
        <v>8</v>
      </c>
      <c r="B351" s="4" t="str">
        <f>nodes!C9</f>
        <v>bron_elektriciteit</v>
      </c>
      <c r="C351" s="31"/>
      <c r="D351" s="31" t="s">
        <v>441</v>
      </c>
    </row>
    <row r="352" spans="1:15" x14ac:dyDescent="0.2">
      <c r="A352">
        <v>9</v>
      </c>
      <c r="B352" s="4" t="str">
        <f>nodes!C10</f>
        <v>bron_waterstof</v>
      </c>
      <c r="C352" s="31"/>
      <c r="D352" s="31" t="str">
        <f>I194&amp;C352</f>
        <v>&lt;bron&gt;&lt;strong&gt;[Rotterdam-Moerdijk]&lt;/strong&gt; Het importvolume waterstof is overgenomen uit de CES (pagina 17).&lt;/bron&gt;</v>
      </c>
    </row>
    <row r="353" spans="1:4" x14ac:dyDescent="0.2">
      <c r="A353">
        <v>10</v>
      </c>
      <c r="B353" s="4" t="str">
        <f>nodes!C11</f>
        <v>bron_warmte</v>
      </c>
      <c r="C353" s="31"/>
      <c r="D353" s="31"/>
    </row>
    <row r="354" spans="1:4" x14ac:dyDescent="0.2">
      <c r="A354">
        <v>11</v>
      </c>
      <c r="B354" s="4" t="str">
        <f>nodes!C12</f>
        <v>bron_afval</v>
      </c>
      <c r="C354" s="31"/>
      <c r="D354" s="31"/>
    </row>
    <row r="355" spans="1:4" x14ac:dyDescent="0.2">
      <c r="B355" s="4"/>
      <c r="C355" s="31"/>
      <c r="D355" s="31"/>
    </row>
    <row r="356" spans="1:4" x14ac:dyDescent="0.2">
      <c r="A356">
        <v>12</v>
      </c>
      <c r="B356" s="4" t="str">
        <f>nodes!C14</f>
        <v>smr_atr</v>
      </c>
      <c r="C356" s="31"/>
      <c r="D356" s="31" t="str">
        <f>I202&amp;I196&amp;I201&amp;I205&amp;C356</f>
        <v>&lt;aanname&gt;&lt;strong&gt;[Rotterdam-Moerdijk]&lt;/strong&gt; Het grootste deel van de in het cluster voorziene waterstofproductie wordt in 2035 net als in 2021 geproduceerd uit aardgas en restgassen met Steam Methane Reforming (SMR). De aandelen aardgas en restgassen die hiervoor worden aangewend zijn niet specifiek vermeld in de CES. Wel noteert de CES een methaanverbruik voor de productie van blauwe waterstof van circa 100 PJ, aangenomen is dat volledig uit aardgas bestaat. Op basis van een aangenomen SMR conversie-efficiëntie van 65% is ingeschat dat hieruit 65 PJ blauwe waterstof wordt geproduceerd. Volgens de CES wordt er in 2035 in totaal 128 PJ blauwe waterstof in het cluster geproduceerd. Het resterende deel (128 - 65 = 63 PJ) van het totale blauwe waterstofproductievolume is verondersteld te worden geproduceerd uit restgas, eveneens met een aangenomen conversie-efficiëntie van 65%.&lt;/aanname&gt;</v>
      </c>
    </row>
    <row r="357" spans="1:4" x14ac:dyDescent="0.2">
      <c r="A357">
        <v>13</v>
      </c>
      <c r="B357" s="4" t="str">
        <f>nodes!C15</f>
        <v>smr_atr_verlies</v>
      </c>
      <c r="C357" s="31"/>
      <c r="D357" s="94"/>
    </row>
    <row r="358" spans="1:4" x14ac:dyDescent="0.2">
      <c r="B358" s="4"/>
      <c r="C358" s="31"/>
      <c r="D358" s="31"/>
    </row>
    <row r="359" spans="1:4" x14ac:dyDescent="0.2">
      <c r="A359">
        <v>14</v>
      </c>
      <c r="B359" s="4" t="str">
        <f>nodes!C17</f>
        <v>elektriciteit_vraag_2021</v>
      </c>
      <c r="C359" s="31"/>
      <c r="D359" s="31" t="str">
        <f>I168&amp;C359</f>
        <v/>
      </c>
    </row>
    <row r="360" spans="1:4" x14ac:dyDescent="0.2">
      <c r="A360">
        <v>15</v>
      </c>
      <c r="B360" s="4" t="str">
        <f>nodes!C18</f>
        <v>elektriciteit_aardgassubstitutie_directe_elektrificatie</v>
      </c>
      <c r="C360" s="31"/>
      <c r="D360" s="31" t="str">
        <f>I169&amp;C360</f>
        <v>&lt;aanname&gt;&lt;strong&gt;[Rotterdam-Moerdijk]&lt;/strong&gt; De CES stelt dat circa een kwart van de toegenomen vraag is toe te schrijven aan directe elektrificatie van bestaande fabrieken. &lt;strong&gt;Aangenomen&lt;/strong&gt; is dat dit een kwart betreft ten opzichte van de totale toename in elektriciteitsvebruik inclusief elektrolyse.&lt;/aanname&gt;</v>
      </c>
    </row>
    <row r="361" spans="1:4" x14ac:dyDescent="0.2">
      <c r="A361">
        <v>16</v>
      </c>
      <c r="B361" s="4" t="str">
        <f>nodes!C19</f>
        <v>elektriciteit_additioneel_overige</v>
      </c>
      <c r="C361" s="31"/>
      <c r="D361" s="31" t="str">
        <f>I170&amp;C361</f>
        <v/>
      </c>
    </row>
    <row r="362" spans="1:4" x14ac:dyDescent="0.2">
      <c r="A362">
        <v>17</v>
      </c>
      <c r="B362" s="4" t="str">
        <f>nodes!C20</f>
        <v>elektrolysers</v>
      </c>
      <c r="C362" s="31"/>
      <c r="D362" s="31" t="str">
        <f>C362&amp;I200</f>
        <v>&lt;bron&gt;&lt;strong&gt;[Rotterdam-Moerdijk]&lt;/strong&gt; Het volume elektriciteitsverbruik voor groene waterstofproductie is overgenomen uit de CES (pagina 17).&lt;/bron&gt;</v>
      </c>
    </row>
    <row r="363" spans="1:4" x14ac:dyDescent="0.2">
      <c r="B363" s="4"/>
      <c r="C363" s="31"/>
      <c r="D363" s="31"/>
    </row>
    <row r="364" spans="1:4" x14ac:dyDescent="0.2">
      <c r="A364">
        <v>18</v>
      </c>
      <c r="B364" s="4" t="str">
        <f>nodes!C22</f>
        <v>elektrolyse_verlies</v>
      </c>
      <c r="C364" s="31"/>
      <c r="D364" s="31"/>
    </row>
    <row r="365" spans="1:4" x14ac:dyDescent="0.2">
      <c r="B365" s="4"/>
      <c r="C365" s="31"/>
      <c r="D365" s="31"/>
    </row>
    <row r="366" spans="1:4" ht="17" customHeight="1" x14ac:dyDescent="0.2">
      <c r="A366">
        <v>19</v>
      </c>
      <c r="B366" s="4" t="str">
        <f>nodes!C24</f>
        <v>waterstof_vraag_2021</v>
      </c>
      <c r="C366" s="31"/>
      <c r="D366" s="31" t="str">
        <f>C366&amp;I176</f>
        <v/>
      </c>
    </row>
    <row r="367" spans="1:4" x14ac:dyDescent="0.2">
      <c r="A367">
        <v>20</v>
      </c>
      <c r="B367" s="4" t="str">
        <f>nodes!C25</f>
        <v>waterstof_aardgassubstitutie</v>
      </c>
      <c r="C367" s="95"/>
      <c r="D367" s="31"/>
    </row>
    <row r="368" spans="1:4" x14ac:dyDescent="0.2">
      <c r="A368">
        <v>21</v>
      </c>
      <c r="B368" s="4" t="str">
        <f>nodes!C26</f>
        <v>waterstof_additioneel_overige</v>
      </c>
      <c r="C368" s="31"/>
      <c r="D368" s="31" t="str">
        <f>I179&amp;C368</f>
        <v/>
      </c>
    </row>
    <row r="369" spans="1:4" ht="17" customHeight="1" x14ac:dyDescent="0.2">
      <c r="A369">
        <v>22</v>
      </c>
      <c r="B369" s="4" t="str">
        <f>nodes!C27</f>
        <v>waterstof_restgassubstitutie</v>
      </c>
      <c r="C369" s="95"/>
      <c r="D369" s="31"/>
    </row>
    <row r="370" spans="1:4" x14ac:dyDescent="0.2">
      <c r="B370" s="4"/>
      <c r="C370" s="31"/>
      <c r="D370" s="31"/>
    </row>
    <row r="371" spans="1:4" x14ac:dyDescent="0.2">
      <c r="A371">
        <v>23</v>
      </c>
      <c r="B371" s="4" t="str">
        <f>nodes!C29</f>
        <v>blauwe_waterstof</v>
      </c>
      <c r="C371" s="31"/>
      <c r="D371" s="31" t="str">
        <f>I197&amp;C371</f>
        <v>&lt;bron&gt;&lt;strong&gt;[Rotterdam-Moerdijk]&lt;/strong&gt; Het productievolume blauwe waterstof is overgenomen uit de CES (pagina 19).&lt;/bron&gt;</v>
      </c>
    </row>
    <row r="372" spans="1:4" x14ac:dyDescent="0.2">
      <c r="A372">
        <v>24</v>
      </c>
      <c r="B372" s="4" t="str">
        <f>nodes!C30</f>
        <v>grijze_waterstof</v>
      </c>
      <c r="C372" s="31"/>
      <c r="D372" s="31"/>
    </row>
    <row r="373" spans="1:4" x14ac:dyDescent="0.2">
      <c r="A373">
        <v>25</v>
      </c>
      <c r="B373" s="4" t="str">
        <f>nodes!C31</f>
        <v>groene_waterstof</v>
      </c>
      <c r="C373" s="31"/>
      <c r="D373" s="31" t="str">
        <f>C373&amp;I198</f>
        <v>&lt;bron&gt;&lt;strong&gt;[Rotterdam-Moerdijk]&lt;/strong&gt; Het productievolume groene waterstof is overgenomen uit de CES (pagina 17, pagina 19).&lt;/bron&gt;</v>
      </c>
    </row>
    <row r="374" spans="1:4" x14ac:dyDescent="0.2">
      <c r="B374" s="4"/>
      <c r="C374" s="31"/>
      <c r="D374" s="31"/>
    </row>
    <row r="375" spans="1:4" x14ac:dyDescent="0.2">
      <c r="A375">
        <v>26</v>
      </c>
      <c r="B375" s="4" t="str">
        <f>nodes!C33</f>
        <v>waterstof_mixer</v>
      </c>
      <c r="C375" s="31"/>
      <c r="D375" s="31"/>
    </row>
    <row r="376" spans="1:4" x14ac:dyDescent="0.2">
      <c r="B376" s="4"/>
      <c r="C376" s="31"/>
      <c r="D376" s="31"/>
    </row>
    <row r="377" spans="1:4" x14ac:dyDescent="0.2">
      <c r="A377">
        <v>27</v>
      </c>
      <c r="B377" s="4" t="str">
        <f>nodes!C35</f>
        <v>industrie</v>
      </c>
      <c r="C377" s="31"/>
      <c r="D377" s="31"/>
    </row>
    <row r="378" spans="1:4" ht="17" customHeight="1" x14ac:dyDescent="0.2">
      <c r="A378">
        <v>28</v>
      </c>
      <c r="B378" s="4" t="str">
        <f>nodes!C36</f>
        <v>export</v>
      </c>
      <c r="C378" s="31"/>
      <c r="D378" s="31" t="str">
        <f>I188&amp;C378</f>
        <v>&lt;bron&gt;&lt;strong&gt;[Rotterdam-Moerdijk]&lt;/strong&gt; Het exportvolume waterstof is overgenomen uit de CES (pagina 17).&lt;/bron&gt;</v>
      </c>
    </row>
    <row r="379" spans="1:4" ht="17" customHeight="1" x14ac:dyDescent="0.2">
      <c r="B379" s="4"/>
      <c r="C379" s="31"/>
      <c r="D379" s="31"/>
    </row>
    <row r="380" spans="1:4" ht="17" customHeight="1" x14ac:dyDescent="0.2">
      <c r="A380">
        <v>29</v>
      </c>
      <c r="B380" s="4" t="str">
        <f>nodes!C38</f>
        <v>waterstof_naar_elektriciteitscentrales</v>
      </c>
      <c r="C380" s="31"/>
      <c r="D380" s="31"/>
    </row>
    <row r="381" spans="1:4" x14ac:dyDescent="0.2">
      <c r="B381" s="4"/>
      <c r="C381" s="31"/>
      <c r="D381" s="31"/>
    </row>
    <row r="382" spans="1:4" x14ac:dyDescent="0.2">
      <c r="A382">
        <v>30</v>
      </c>
      <c r="B382" s="4" t="str">
        <f>nodes!C40</f>
        <v>reserveslot_1</v>
      </c>
      <c r="C382" s="31"/>
      <c r="D382" s="31"/>
    </row>
    <row r="383" spans="1:4" x14ac:dyDescent="0.2">
      <c r="A383">
        <v>31</v>
      </c>
      <c r="B383" s="4" t="str">
        <f>nodes!C41</f>
        <v>reserveslot_2</v>
      </c>
      <c r="C383" s="31"/>
      <c r="D383" s="31"/>
    </row>
    <row r="384" spans="1:4" x14ac:dyDescent="0.2">
      <c r="A384">
        <v>32</v>
      </c>
      <c r="B384" s="4" t="str">
        <f>nodes!C42</f>
        <v>reserveslot_3</v>
      </c>
      <c r="C384" s="31"/>
      <c r="D384" s="31"/>
    </row>
    <row r="385" spans="1:4" x14ac:dyDescent="0.2">
      <c r="A385">
        <v>33</v>
      </c>
      <c r="B385" s="4" t="str">
        <f>nodes!C43</f>
        <v>reserveslot_4</v>
      </c>
      <c r="C385" s="31"/>
      <c r="D385" s="31"/>
    </row>
    <row r="386" spans="1:4" x14ac:dyDescent="0.2">
      <c r="A386">
        <v>34</v>
      </c>
      <c r="B386" s="4" t="str">
        <f>nodes!C44</f>
        <v>reserveslot_5</v>
      </c>
      <c r="C386" s="31"/>
      <c r="D386" s="31"/>
    </row>
    <row r="387" spans="1:4" x14ac:dyDescent="0.2">
      <c r="A387">
        <v>35</v>
      </c>
      <c r="B387" s="4" t="str">
        <f>nodes!C45</f>
        <v>reserveslot_6</v>
      </c>
      <c r="C387" s="31"/>
      <c r="D387" s="31"/>
    </row>
    <row r="388" spans="1:4" x14ac:dyDescent="0.2">
      <c r="A388">
        <v>36</v>
      </c>
      <c r="B388" s="4" t="str">
        <f>nodes!C46</f>
        <v>reserveslot_7</v>
      </c>
      <c r="C388" s="31"/>
      <c r="D388" s="31"/>
    </row>
    <row r="389" spans="1:4" x14ac:dyDescent="0.2">
      <c r="A389">
        <v>37</v>
      </c>
      <c r="B389" s="4" t="str">
        <f>nodes!C47</f>
        <v>reserveslot_8</v>
      </c>
      <c r="C389" s="31"/>
      <c r="D389" s="31"/>
    </row>
    <row r="390" spans="1:4" x14ac:dyDescent="0.2">
      <c r="A390">
        <v>38</v>
      </c>
      <c r="B390" s="4" t="str">
        <f>nodes!C48</f>
        <v>reserveslot_9</v>
      </c>
      <c r="C390" s="31"/>
      <c r="D390" s="31"/>
    </row>
    <row r="391" spans="1:4" x14ac:dyDescent="0.2">
      <c r="A391">
        <v>39</v>
      </c>
      <c r="B391" s="4" t="str">
        <f>nodes!C49</f>
        <v>reserveslot_10</v>
      </c>
      <c r="C391" s="31"/>
      <c r="D391" s="31"/>
    </row>
    <row r="392" spans="1:4" x14ac:dyDescent="0.2">
      <c r="B392" s="4"/>
      <c r="C392" s="31"/>
      <c r="D392" s="31"/>
    </row>
    <row r="393" spans="1:4" x14ac:dyDescent="0.2">
      <c r="A393">
        <v>40</v>
      </c>
      <c r="B393" s="4" t="str">
        <f>nodes!C51</f>
        <v>co2_bron_aardgasverbranding</v>
      </c>
      <c r="C393" s="31"/>
      <c r="D393" s="31" t="str">
        <f>I223</f>
        <v>&lt;aanname&gt;&lt;strong&gt;[Rotterdam-Moerdijk]&lt;/strong&gt; Berekende CO&lt;sub&gt;2&lt;/sub&gt;-emissie bij verbranding van 53 PJ aardgas @ 56.4 ktonCO&lt;sub&gt;2&lt;/sub&gt;/PJ.&lt;/aanname&gt;</v>
      </c>
    </row>
    <row r="394" spans="1:4" x14ac:dyDescent="0.2">
      <c r="A394">
        <v>41</v>
      </c>
      <c r="B394" s="4" t="str">
        <f>nodes!C52</f>
        <v>co2_bron_restgasverbranding</v>
      </c>
      <c r="C394" s="31"/>
      <c r="D394" s="31" t="str">
        <f t="shared" ref="D394:D402" si="2">I224</f>
        <v>&lt;aanname&gt;&lt;strong&gt;[Rotterdam-Moerdijk]&lt;/strong&gt; Berekende CO&lt;sub&gt;2&lt;/sub&gt;-emissie bij verbranding van 41 PJ restgas @ 64.6 ktonCO&lt;sub&gt;2&lt;/sub&gt;/PJ.&lt;/aanname&gt;</v>
      </c>
    </row>
    <row r="395" spans="1:4" x14ac:dyDescent="0.2">
      <c r="A395">
        <v>42</v>
      </c>
      <c r="B395" s="4" t="str">
        <f>nodes!C53</f>
        <v>co2_bron_smr_restgas</v>
      </c>
      <c r="C395" s="31"/>
      <c r="D395" s="31" t="str">
        <f t="shared" si="2"/>
        <v>&lt;aanname&gt;&lt;strong&gt;[Rotterdam-Moerdijk]&lt;/strong&gt; Berekende CO&lt;sub&gt;2&lt;/sub&gt;-productie bij Steam Methane Reforming van 101 PJ restgas @ 64.6 ktonCO&lt;sub&gt;2&lt;/sub&gt;/PJ.&lt;/aanname&gt;</v>
      </c>
    </row>
    <row r="396" spans="1:4" x14ac:dyDescent="0.2">
      <c r="A396">
        <v>43</v>
      </c>
      <c r="B396" s="4" t="str">
        <f>nodes!C54</f>
        <v>co2_bron_smr_aardgas</v>
      </c>
      <c r="C396" s="31"/>
      <c r="D396" s="31" t="str">
        <f t="shared" si="2"/>
        <v>&lt;aanname&gt;&lt;strong&gt;[Rotterdam-Moerdijk]&lt;/strong&gt; Berekende CO&lt;sub&gt;2&lt;/sub&gt;-productie bij Steam Methane Reforming van 96 PJ aardgas @ 56.4 ktonCO&lt;sub&gt;2&lt;/sub&gt;/PJ.&lt;/aanname&gt;</v>
      </c>
    </row>
    <row r="397" spans="1:4" x14ac:dyDescent="0.2">
      <c r="A397">
        <v>44</v>
      </c>
      <c r="B397" s="4" t="str">
        <f>nodes!C55</f>
        <v>co2_bron_overige</v>
      </c>
      <c r="C397" s="31"/>
      <c r="D397" s="31">
        <f t="shared" si="2"/>
        <v>0</v>
      </c>
    </row>
    <row r="398" spans="1:4" x14ac:dyDescent="0.2">
      <c r="A398">
        <v>45</v>
      </c>
      <c r="B398" s="4" t="str">
        <f>nodes!C56</f>
        <v>co2_bron_reserve_slot1</v>
      </c>
      <c r="C398" s="31"/>
      <c r="D398" s="31">
        <f t="shared" si="2"/>
        <v>0</v>
      </c>
    </row>
    <row r="399" spans="1:4" x14ac:dyDescent="0.2">
      <c r="A399">
        <v>46</v>
      </c>
      <c r="B399" s="4" t="str">
        <f>nodes!C57</f>
        <v>co2_bron_reserve_slot2</v>
      </c>
      <c r="C399" s="31"/>
      <c r="D399" s="31">
        <f t="shared" si="2"/>
        <v>0</v>
      </c>
    </row>
    <row r="400" spans="1:4" x14ac:dyDescent="0.2">
      <c r="A400">
        <v>47</v>
      </c>
      <c r="B400" s="4" t="str">
        <f>nodes!C58</f>
        <v>co2_bron_reserve_slot3</v>
      </c>
      <c r="C400" s="31"/>
      <c r="D400" s="31">
        <f t="shared" si="2"/>
        <v>0</v>
      </c>
    </row>
    <row r="401" spans="1:4" x14ac:dyDescent="0.2">
      <c r="A401">
        <v>48</v>
      </c>
      <c r="B401" s="4" t="str">
        <f>nodes!C59</f>
        <v>co2_bron_reserve_slot4</v>
      </c>
      <c r="C401" s="31"/>
      <c r="D401" s="31">
        <f t="shared" si="2"/>
        <v>0</v>
      </c>
    </row>
    <row r="402" spans="1:4" x14ac:dyDescent="0.2">
      <c r="A402">
        <v>49</v>
      </c>
      <c r="B402" s="4" t="str">
        <f>nodes!C60</f>
        <v>co2_bron_reserve_slot5</v>
      </c>
      <c r="C402" s="31"/>
      <c r="D402" s="31">
        <f t="shared" si="2"/>
        <v>0</v>
      </c>
    </row>
    <row r="403" spans="1:4" x14ac:dyDescent="0.2">
      <c r="B403" s="4"/>
      <c r="C403" s="31"/>
      <c r="D403" s="31"/>
    </row>
    <row r="404" spans="1:4" x14ac:dyDescent="0.2">
      <c r="A404">
        <v>50</v>
      </c>
      <c r="B404" s="4" t="str">
        <f>nodes!C62</f>
        <v>co2_afvang_smr_restgas</v>
      </c>
      <c r="C404" s="31"/>
      <c r="D404" s="31"/>
    </row>
    <row r="405" spans="1:4" x14ac:dyDescent="0.2">
      <c r="A405">
        <v>51</v>
      </c>
      <c r="B405" s="4" t="str">
        <f>nodes!C63</f>
        <v>co2_afvang_smr_aardgas</v>
      </c>
      <c r="C405" s="31"/>
      <c r="D405" s="31"/>
    </row>
    <row r="406" spans="1:4" x14ac:dyDescent="0.2">
      <c r="A406">
        <v>52</v>
      </c>
      <c r="B406" s="4" t="str">
        <f>nodes!C64</f>
        <v>co2_afvang_overige</v>
      </c>
      <c r="C406" s="31"/>
      <c r="D406" s="31"/>
    </row>
    <row r="407" spans="1:4" x14ac:dyDescent="0.2">
      <c r="A407">
        <v>53</v>
      </c>
      <c r="B407" s="4" t="str">
        <f>nodes!C65</f>
        <v>co2_afvang_reserve_slot1</v>
      </c>
      <c r="C407" s="31"/>
      <c r="D407" s="31"/>
    </row>
    <row r="408" spans="1:4" x14ac:dyDescent="0.2">
      <c r="A408">
        <v>54</v>
      </c>
      <c r="B408" s="4" t="str">
        <f>nodes!C66</f>
        <v>co2_afvang_reserve_slot2</v>
      </c>
      <c r="C408" s="31"/>
      <c r="D408" s="31"/>
    </row>
    <row r="409" spans="1:4" x14ac:dyDescent="0.2">
      <c r="A409">
        <v>55</v>
      </c>
      <c r="B409" s="4" t="str">
        <f>nodes!C67</f>
        <v>co2_afvang_reserve_slot3</v>
      </c>
      <c r="C409" s="31"/>
      <c r="D409" s="31"/>
    </row>
    <row r="410" spans="1:4" x14ac:dyDescent="0.2">
      <c r="A410">
        <v>56</v>
      </c>
      <c r="B410" s="4" t="str">
        <f>nodes!C68</f>
        <v>co2_afvang_reserve_slot4</v>
      </c>
      <c r="C410" s="31"/>
      <c r="D410" s="31"/>
    </row>
    <row r="411" spans="1:4" x14ac:dyDescent="0.2">
      <c r="A411">
        <v>57</v>
      </c>
      <c r="B411" s="4" t="str">
        <f>nodes!C69</f>
        <v>co2_afvang_reserve_slot5</v>
      </c>
      <c r="C411" s="31"/>
      <c r="D411" s="31"/>
    </row>
    <row r="412" spans="1:4" x14ac:dyDescent="0.2">
      <c r="B412" s="4"/>
      <c r="C412" s="31"/>
      <c r="D412" s="31"/>
    </row>
    <row r="413" spans="1:4" x14ac:dyDescent="0.2">
      <c r="A413">
        <v>58</v>
      </c>
      <c r="B413" s="4" t="str">
        <f>nodes!C71</f>
        <v>co2_productie_totaal</v>
      </c>
      <c r="C413" s="31"/>
      <c r="D413" s="31"/>
    </row>
    <row r="414" spans="1:4" x14ac:dyDescent="0.2">
      <c r="A414">
        <v>59</v>
      </c>
      <c r="B414" s="4" t="str">
        <f>nodes!C72</f>
        <v>co2_emissies_totaal</v>
      </c>
      <c r="C414" s="31"/>
      <c r="D414" s="31" t="str">
        <f>I254</f>
        <v>&lt;aanname&gt;&lt;strong&gt;[Rotterdam-Moerdijk]&lt;/strong&gt; De berekende CO&lt;sub&gt;2&lt;/sub&gt; uitstoot voor 2035 (8.100 kton) komt niet volledig overeen met de in de CES genoteerde CO2-uitstoot voor 2035 (8.300 kton (pagina 17), 200 kton verschil).&lt;/aanname&gt;</v>
      </c>
    </row>
    <row r="415" spans="1:4" x14ac:dyDescent="0.2">
      <c r="A415">
        <v>60</v>
      </c>
      <c r="B415" s="4" t="str">
        <f>nodes!C73</f>
        <v>co2_afvang_totaal</v>
      </c>
      <c r="C415" s="31"/>
      <c r="D415" s="31" t="str">
        <f>I252</f>
        <v>&lt;aanname&gt;&lt;strong&gt;[Rotterdam-Moerdijk]&lt;/strong&gt; Volgens de CES wordt in 2035 9.500 kton CO&lt;sub&gt;2&lt;/sub&gt; afgevangen uit industriele processen (exclusief elektriciteitscentrales) (pagina 17). Aangenomen is dat deze afvang volledig van toepassing is op de productie van blauwe waterstof uit aardgas en restgas (n= 65%) met een aangenomen CO&lt;sub&gt;2&lt;/sub&gt; capture rate van 80%.&lt;/aanname&gt;</v>
      </c>
    </row>
    <row r="416" spans="1:4" x14ac:dyDescent="0.2">
      <c r="A416">
        <v>61</v>
      </c>
      <c r="B416" s="4" t="str">
        <f>nodes!C74</f>
        <v>co2_afgevangen_totaal</v>
      </c>
      <c r="C416" s="31"/>
      <c r="D416" s="31"/>
    </row>
  </sheetData>
  <conditionalFormatting sqref="C88">
    <cfRule type="containsText" dxfId="7" priority="3" operator="containsText" text="OK">
      <formula>NOT(ISERROR(SEARCH("OK",C88)))</formula>
    </cfRule>
    <cfRule type="containsText" dxfId="6" priority="4" operator="containsText" text="ERROR">
      <formula>NOT(ISERROR(SEARCH("ERROR",C88)))</formula>
    </cfRule>
  </conditionalFormatting>
  <conditionalFormatting sqref="C102">
    <cfRule type="containsText" dxfId="5" priority="1" operator="containsText" text="OK">
      <formula>NOT(ISERROR(SEARCH("OK",C102)))</formula>
    </cfRule>
    <cfRule type="containsText" dxfId="4" priority="2" operator="containsText" text="ERROR">
      <formula>NOT(ISERROR(SEARCH("ERROR",C102)))</formula>
    </cfRule>
  </conditionalFormatting>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6FC6E-D63D-6249-AFB3-718DAFB9ACA8}">
  <sheetPr>
    <tabColor theme="8" tint="0.39997558519241921"/>
  </sheetPr>
  <dimension ref="A2:R419"/>
  <sheetViews>
    <sheetView topLeftCell="A197" zoomScale="121" zoomScaleNormal="90" workbookViewId="0">
      <selection activeCell="A14" sqref="A14"/>
    </sheetView>
  </sheetViews>
  <sheetFormatPr baseColWidth="10" defaultRowHeight="16" x14ac:dyDescent="0.2"/>
  <cols>
    <col min="1" max="1" width="13.33203125" customWidth="1"/>
    <col min="2" max="2" width="85.1640625" customWidth="1"/>
    <col min="3" max="3" width="24.5" customWidth="1"/>
    <col min="4" max="4" width="16.33203125" customWidth="1"/>
    <col min="5" max="5" width="16.6640625" style="5" customWidth="1"/>
    <col min="8" max="8" width="43.83203125" customWidth="1"/>
    <col min="9" max="9" width="29.6640625" customWidth="1"/>
    <col min="10" max="10" width="10.83203125" customWidth="1"/>
    <col min="15" max="15" width="20.83203125" customWidth="1"/>
    <col min="18" max="19" width="10.83203125" customWidth="1"/>
    <col min="22" max="23" width="22.83203125" customWidth="1"/>
    <col min="24" max="24" width="10.83203125" customWidth="1"/>
    <col min="27" max="27" width="12.6640625" bestFit="1" customWidth="1"/>
  </cols>
  <sheetData>
    <row r="2" spans="2:18" ht="38" customHeight="1" x14ac:dyDescent="0.2">
      <c r="B2" s="73" t="s">
        <v>166</v>
      </c>
      <c r="C2" s="27"/>
      <c r="D2" s="27"/>
      <c r="E2" s="27"/>
      <c r="F2" s="27"/>
      <c r="G2" s="27"/>
      <c r="H2" s="27"/>
      <c r="I2" s="27"/>
      <c r="J2" s="27"/>
      <c r="K2" s="27"/>
      <c r="L2" s="27"/>
      <c r="M2" s="27"/>
      <c r="N2" s="27"/>
      <c r="O2" s="27"/>
    </row>
    <row r="3" spans="2:18" x14ac:dyDescent="0.2">
      <c r="D3" s="5"/>
    </row>
    <row r="4" spans="2:18" ht="24" customHeight="1" x14ac:dyDescent="0.2">
      <c r="B4" s="72" t="s">
        <v>22</v>
      </c>
      <c r="C4" s="72" t="s">
        <v>25</v>
      </c>
      <c r="D4" s="72" t="s">
        <v>24</v>
      </c>
      <c r="E4" s="72" t="s">
        <v>23</v>
      </c>
      <c r="F4" s="75"/>
      <c r="G4" s="75"/>
      <c r="H4" s="75"/>
      <c r="I4" s="75"/>
      <c r="J4" s="75"/>
      <c r="K4" s="75"/>
      <c r="L4" s="75"/>
      <c r="M4" s="75"/>
      <c r="N4" s="75"/>
      <c r="O4" s="75"/>
    </row>
    <row r="5" spans="2:18" x14ac:dyDescent="0.2">
      <c r="B5" s="3" t="s">
        <v>560</v>
      </c>
      <c r="C5" t="s">
        <v>8</v>
      </c>
      <c r="D5" s="32">
        <v>0.7</v>
      </c>
      <c r="E5" t="s">
        <v>37</v>
      </c>
      <c r="R5" s="14" t="s">
        <v>322</v>
      </c>
    </row>
    <row r="6" spans="2:18" x14ac:dyDescent="0.2">
      <c r="B6" s="3" t="s">
        <v>561</v>
      </c>
      <c r="C6" t="s">
        <v>8</v>
      </c>
      <c r="D6" s="32">
        <v>0.7</v>
      </c>
      <c r="E6" t="s">
        <v>37</v>
      </c>
      <c r="R6" s="14" t="s">
        <v>323</v>
      </c>
    </row>
    <row r="7" spans="2:18" x14ac:dyDescent="0.2">
      <c r="B7" s="3" t="s">
        <v>562</v>
      </c>
      <c r="C7" t="s">
        <v>8</v>
      </c>
      <c r="D7" s="86">
        <v>0.65</v>
      </c>
      <c r="E7" t="s">
        <v>37</v>
      </c>
      <c r="R7" s="14" t="s">
        <v>324</v>
      </c>
    </row>
    <row r="8" spans="2:18" x14ac:dyDescent="0.2">
      <c r="B8" s="3" t="s">
        <v>563</v>
      </c>
      <c r="C8" t="s">
        <v>8</v>
      </c>
      <c r="D8" s="32">
        <v>0.7</v>
      </c>
      <c r="E8" s="5" t="s">
        <v>37</v>
      </c>
    </row>
    <row r="9" spans="2:18" x14ac:dyDescent="0.2">
      <c r="B9" s="3" t="s">
        <v>564</v>
      </c>
      <c r="C9" s="3" t="s">
        <v>8</v>
      </c>
      <c r="D9" s="41">
        <v>0.8</v>
      </c>
      <c r="E9" t="s">
        <v>37</v>
      </c>
    </row>
    <row r="10" spans="2:18" x14ac:dyDescent="0.2">
      <c r="B10" t="s">
        <v>40</v>
      </c>
      <c r="C10" t="s">
        <v>39</v>
      </c>
      <c r="D10" s="31">
        <v>56.4</v>
      </c>
      <c r="E10" t="s">
        <v>38</v>
      </c>
    </row>
    <row r="11" spans="2:18" x14ac:dyDescent="0.2">
      <c r="B11" t="s">
        <v>41</v>
      </c>
      <c r="C11" t="s">
        <v>39</v>
      </c>
      <c r="D11" s="31">
        <v>61.8</v>
      </c>
      <c r="E11" t="s">
        <v>38</v>
      </c>
    </row>
    <row r="12" spans="2:18" x14ac:dyDescent="0.2">
      <c r="B12" t="s">
        <v>42</v>
      </c>
      <c r="C12" t="s">
        <v>39</v>
      </c>
      <c r="D12" s="31">
        <v>64.599999999999994</v>
      </c>
      <c r="E12" t="s">
        <v>38</v>
      </c>
      <c r="F12" s="5"/>
    </row>
    <row r="13" spans="2:18" x14ac:dyDescent="0.2">
      <c r="B13" s="3" t="s">
        <v>326</v>
      </c>
      <c r="C13" s="3" t="s">
        <v>327</v>
      </c>
      <c r="D13" s="86">
        <v>0.12</v>
      </c>
      <c r="F13" s="5"/>
    </row>
    <row r="14" spans="2:18" x14ac:dyDescent="0.2">
      <c r="B14" s="3"/>
      <c r="C14" s="3"/>
      <c r="D14" s="113"/>
      <c r="F14" s="5"/>
    </row>
    <row r="15" spans="2:18" ht="38" customHeight="1" x14ac:dyDescent="0.2">
      <c r="B15" s="73" t="s">
        <v>551</v>
      </c>
      <c r="C15" s="28"/>
      <c r="D15" s="28"/>
      <c r="E15" s="30"/>
      <c r="F15" s="28"/>
      <c r="G15" s="28"/>
      <c r="H15" s="28"/>
      <c r="I15" s="28"/>
      <c r="J15" s="28"/>
      <c r="K15" s="28"/>
      <c r="L15" s="28"/>
      <c r="M15" s="28"/>
      <c r="N15" s="28"/>
      <c r="O15" s="28"/>
    </row>
    <row r="17" spans="2:16" s="2" customFormat="1" ht="25" customHeight="1" x14ac:dyDescent="0.2">
      <c r="B17" s="72" t="s">
        <v>168</v>
      </c>
      <c r="C17" s="72" t="s">
        <v>25</v>
      </c>
      <c r="D17" s="72" t="s">
        <v>29</v>
      </c>
      <c r="E17" s="74" t="s">
        <v>30</v>
      </c>
      <c r="F17" s="72" t="s">
        <v>23</v>
      </c>
      <c r="G17" s="72" t="s">
        <v>176</v>
      </c>
      <c r="H17" s="72"/>
      <c r="I17" s="72"/>
      <c r="J17" s="72"/>
      <c r="K17" s="72"/>
      <c r="L17" s="72"/>
      <c r="M17" s="72"/>
      <c r="N17" s="72"/>
      <c r="O17" s="72"/>
    </row>
    <row r="19" spans="2:16" x14ac:dyDescent="0.2">
      <c r="B19" s="31" t="s">
        <v>225</v>
      </c>
    </row>
    <row r="20" spans="2:16" x14ac:dyDescent="0.2">
      <c r="B20" s="33" t="s">
        <v>557</v>
      </c>
    </row>
    <row r="21" spans="2:16" x14ac:dyDescent="0.2">
      <c r="H21">
        <f>215*D13</f>
        <v>25.8</v>
      </c>
      <c r="I21" t="s">
        <v>162</v>
      </c>
      <c r="O21" t="s">
        <v>359</v>
      </c>
      <c r="P21" s="5">
        <f>E32+J29+E37</f>
        <v>187.56</v>
      </c>
    </row>
    <row r="22" spans="2:16" x14ac:dyDescent="0.2">
      <c r="B22" s="1" t="s">
        <v>89</v>
      </c>
      <c r="H22">
        <f>252*D13</f>
        <v>30.24</v>
      </c>
      <c r="I22" t="s">
        <v>362</v>
      </c>
      <c r="O22" t="s">
        <v>358</v>
      </c>
      <c r="P22" s="5">
        <f>E29</f>
        <v>137.16</v>
      </c>
    </row>
    <row r="23" spans="2:16" x14ac:dyDescent="0.2">
      <c r="B23" t="s">
        <v>21</v>
      </c>
      <c r="C23" t="s">
        <v>33</v>
      </c>
      <c r="D23" s="65">
        <v>0</v>
      </c>
      <c r="E23" s="34">
        <f>12.7*3.6</f>
        <v>45.72</v>
      </c>
      <c r="F23" t="s">
        <v>348</v>
      </c>
      <c r="O23" t="s">
        <v>360</v>
      </c>
      <c r="P23" s="5">
        <f>P22+H21</f>
        <v>162.96</v>
      </c>
    </row>
    <row r="24" spans="2:16" x14ac:dyDescent="0.2">
      <c r="B24" t="s">
        <v>27</v>
      </c>
      <c r="C24" t="s">
        <v>33</v>
      </c>
      <c r="D24" s="34">
        <f>2.9*3.6</f>
        <v>10.44</v>
      </c>
      <c r="E24" s="34">
        <f>5.3*3.6</f>
        <v>19.079999999999998</v>
      </c>
      <c r="F24" t="s">
        <v>348</v>
      </c>
      <c r="K24">
        <f>D29/0.65</f>
        <v>100.06153846153845</v>
      </c>
      <c r="O24" t="s">
        <v>361</v>
      </c>
      <c r="P24" s="5">
        <f>P23+H22</f>
        <v>193.20000000000002</v>
      </c>
    </row>
    <row r="25" spans="2:16" x14ac:dyDescent="0.2">
      <c r="B25" s="42" t="s">
        <v>163</v>
      </c>
      <c r="C25" s="19" t="s">
        <v>33</v>
      </c>
      <c r="D25" s="105"/>
      <c r="E25" s="103"/>
      <c r="K25" s="39"/>
      <c r="L25" s="40"/>
      <c r="P25" s="5"/>
    </row>
    <row r="26" spans="2:16" x14ac:dyDescent="0.2">
      <c r="P26" s="5">
        <f>P21-P24</f>
        <v>-5.6400000000000148</v>
      </c>
    </row>
    <row r="27" spans="2:16" x14ac:dyDescent="0.2">
      <c r="B27" s="1" t="s">
        <v>91</v>
      </c>
    </row>
    <row r="28" spans="2:16" x14ac:dyDescent="0.2">
      <c r="B28" s="19" t="s">
        <v>226</v>
      </c>
      <c r="C28" t="s">
        <v>43</v>
      </c>
      <c r="D28" s="31">
        <v>0</v>
      </c>
      <c r="E28" s="34">
        <f>L46</f>
        <v>70.8</v>
      </c>
      <c r="F28" t="s">
        <v>367</v>
      </c>
      <c r="I28" t="s">
        <v>349</v>
      </c>
      <c r="J28">
        <f>542*D13</f>
        <v>65.039999999999992</v>
      </c>
      <c r="K28" t="s">
        <v>4</v>
      </c>
    </row>
    <row r="29" spans="2:16" x14ac:dyDescent="0.2">
      <c r="B29" t="s">
        <v>177</v>
      </c>
      <c r="C29" t="s">
        <v>35</v>
      </c>
      <c r="D29" s="34">
        <f>542*D13</f>
        <v>65.039999999999992</v>
      </c>
      <c r="E29" s="34">
        <f>891*D13+252*D13</f>
        <v>137.16</v>
      </c>
      <c r="F29" s="11" t="s">
        <v>357</v>
      </c>
      <c r="G29" s="14"/>
      <c r="I29" t="s">
        <v>350</v>
      </c>
      <c r="J29">
        <f>745*D13</f>
        <v>89.399999999999991</v>
      </c>
      <c r="K29" t="s">
        <v>4</v>
      </c>
    </row>
    <row r="30" spans="2:16" x14ac:dyDescent="0.2">
      <c r="B30" t="s">
        <v>274</v>
      </c>
      <c r="C30" t="s">
        <v>35</v>
      </c>
      <c r="D30" s="34">
        <v>0</v>
      </c>
      <c r="E30" s="37">
        <v>0</v>
      </c>
      <c r="F30" s="14"/>
      <c r="G30" s="14"/>
    </row>
    <row r="31" spans="2:16" x14ac:dyDescent="0.2">
      <c r="B31" t="s">
        <v>275</v>
      </c>
      <c r="C31" t="s">
        <v>35</v>
      </c>
      <c r="D31" s="34">
        <v>0</v>
      </c>
      <c r="E31" s="37">
        <f>E29-E30</f>
        <v>137.16</v>
      </c>
      <c r="F31" s="11" t="s">
        <v>353</v>
      </c>
      <c r="G31" s="14"/>
      <c r="O31">
        <f>Q45-43</f>
        <v>76.160000000000011</v>
      </c>
    </row>
    <row r="32" spans="2:16" x14ac:dyDescent="0.2">
      <c r="B32" t="s">
        <v>26</v>
      </c>
      <c r="C32" t="s">
        <v>32</v>
      </c>
      <c r="D32" s="65">
        <v>0</v>
      </c>
      <c r="E32" s="34">
        <f>231*D13</f>
        <v>27.72</v>
      </c>
      <c r="F32" s="11" t="s">
        <v>353</v>
      </c>
    </row>
    <row r="33" spans="2:18" x14ac:dyDescent="0.2">
      <c r="B33" t="s">
        <v>208</v>
      </c>
      <c r="C33" t="s">
        <v>36</v>
      </c>
      <c r="D33" s="80">
        <f>D29*0.7</f>
        <v>45.527999999999992</v>
      </c>
      <c r="E33" s="37">
        <v>0</v>
      </c>
      <c r="F33" t="s">
        <v>465</v>
      </c>
      <c r="K33" s="39"/>
      <c r="L33" s="39"/>
    </row>
    <row r="34" spans="2:18" x14ac:dyDescent="0.2">
      <c r="B34" t="s">
        <v>209</v>
      </c>
      <c r="C34" t="s">
        <v>36</v>
      </c>
      <c r="D34" s="37">
        <f>D29*0.3</f>
        <v>19.511999999999997</v>
      </c>
      <c r="E34" s="37">
        <v>20</v>
      </c>
      <c r="F34" t="s">
        <v>466</v>
      </c>
      <c r="K34" s="39"/>
      <c r="L34" s="39"/>
    </row>
    <row r="35" spans="2:18" x14ac:dyDescent="0.2">
      <c r="B35" t="s">
        <v>210</v>
      </c>
      <c r="C35" t="s">
        <v>43</v>
      </c>
      <c r="D35" s="65">
        <v>0</v>
      </c>
      <c r="E35" s="80">
        <f>E28-E36</f>
        <v>71.287999999999997</v>
      </c>
      <c r="F35" t="s">
        <v>432</v>
      </c>
      <c r="K35" s="39"/>
      <c r="L35" s="40"/>
      <c r="N35">
        <v>43.6</v>
      </c>
    </row>
    <row r="36" spans="2:18" x14ac:dyDescent="0.2">
      <c r="B36" t="s">
        <v>211</v>
      </c>
      <c r="C36" t="s">
        <v>43</v>
      </c>
      <c r="D36" s="31">
        <v>0</v>
      </c>
      <c r="E36" s="37">
        <f>D34-E34+D44*D7</f>
        <v>-0.4880000000000031</v>
      </c>
      <c r="F36" t="s">
        <v>418</v>
      </c>
      <c r="N36">
        <v>33.1</v>
      </c>
    </row>
    <row r="37" spans="2:18" x14ac:dyDescent="0.2">
      <c r="B37" t="s">
        <v>14</v>
      </c>
      <c r="C37" t="s">
        <v>35</v>
      </c>
      <c r="D37" s="31">
        <v>0</v>
      </c>
      <c r="E37" s="34">
        <f>587*D13</f>
        <v>70.44</v>
      </c>
      <c r="F37" s="11" t="s">
        <v>353</v>
      </c>
      <c r="L37">
        <f>M40/M41</f>
        <v>1.3333333333333333</v>
      </c>
      <c r="M37">
        <f>N35/N36</f>
        <v>1.3172205438066464</v>
      </c>
    </row>
    <row r="39" spans="2:18" x14ac:dyDescent="0.2">
      <c r="B39" s="1" t="s">
        <v>85</v>
      </c>
      <c r="H39" t="s">
        <v>351</v>
      </c>
      <c r="I39" s="5">
        <f>I36+I37-D29</f>
        <v>-65.039999999999992</v>
      </c>
    </row>
    <row r="40" spans="2:18" x14ac:dyDescent="0.2">
      <c r="B40" t="s">
        <v>31</v>
      </c>
      <c r="C40" t="s">
        <v>34</v>
      </c>
      <c r="D40" s="37">
        <f>Q44-D41-J76</f>
        <v>69.953898305084763</v>
      </c>
      <c r="E40" s="37">
        <f>Q45-J82-E41</f>
        <v>2.0657627118644086</v>
      </c>
      <c r="F40" t="s">
        <v>417</v>
      </c>
      <c r="M40">
        <v>2760</v>
      </c>
      <c r="N40" t="s">
        <v>354</v>
      </c>
      <c r="O40">
        <f>43.6*3.6</f>
        <v>156.96</v>
      </c>
      <c r="P40">
        <f>O40/M40</f>
        <v>5.686956521739131E-2</v>
      </c>
    </row>
    <row r="41" spans="2:18" x14ac:dyDescent="0.2">
      <c r="B41" t="s">
        <v>72</v>
      </c>
      <c r="C41" t="s">
        <v>34</v>
      </c>
      <c r="D41" s="37">
        <f>(D33+D35)/D6</f>
        <v>65.039999999999992</v>
      </c>
      <c r="E41" s="37">
        <f>(E33+E35)/D6</f>
        <v>101.84</v>
      </c>
      <c r="F41" t="s">
        <v>356</v>
      </c>
      <c r="L41">
        <f>L45+L46</f>
        <v>90.36</v>
      </c>
      <c r="M41">
        <v>2070</v>
      </c>
      <c r="N41" t="s">
        <v>355</v>
      </c>
    </row>
    <row r="43" spans="2:18" x14ac:dyDescent="0.2">
      <c r="B43" s="1" t="s">
        <v>86</v>
      </c>
      <c r="H43" t="s">
        <v>352</v>
      </c>
      <c r="I43" s="5">
        <f>E35+E36</f>
        <v>70.8</v>
      </c>
      <c r="P43" t="s">
        <v>425</v>
      </c>
    </row>
    <row r="44" spans="2:18" x14ac:dyDescent="0.2">
      <c r="B44" t="s">
        <v>71</v>
      </c>
      <c r="C44" t="s">
        <v>44</v>
      </c>
      <c r="D44" s="37">
        <v>0</v>
      </c>
      <c r="E44" s="37">
        <v>0</v>
      </c>
      <c r="F44" t="s">
        <v>430</v>
      </c>
      <c r="L44" t="s">
        <v>363</v>
      </c>
      <c r="P44">
        <v>2021</v>
      </c>
      <c r="Q44">
        <f>43.6*3.6</f>
        <v>156.96</v>
      </c>
      <c r="R44" t="s">
        <v>4</v>
      </c>
    </row>
    <row r="45" spans="2:18" x14ac:dyDescent="0.2">
      <c r="B45" t="s">
        <v>289</v>
      </c>
      <c r="C45" t="s">
        <v>44</v>
      </c>
      <c r="D45" s="38">
        <f>D34/D7</f>
        <v>30.018461538461533</v>
      </c>
      <c r="E45" s="7">
        <f>E34/D7</f>
        <v>30.769230769230766</v>
      </c>
      <c r="K45" t="s">
        <v>364</v>
      </c>
      <c r="L45">
        <f>163*D13</f>
        <v>19.559999999999999</v>
      </c>
      <c r="M45" t="s">
        <v>367</v>
      </c>
      <c r="P45">
        <v>2035</v>
      </c>
      <c r="Q45">
        <f>33.1*3.6</f>
        <v>119.16000000000001</v>
      </c>
      <c r="R45" t="s">
        <v>4</v>
      </c>
    </row>
    <row r="46" spans="2:18" x14ac:dyDescent="0.2">
      <c r="K46" t="s">
        <v>365</v>
      </c>
      <c r="L46">
        <f>590*D13</f>
        <v>70.8</v>
      </c>
      <c r="M46" t="s">
        <v>367</v>
      </c>
    </row>
    <row r="47" spans="2:18" x14ac:dyDescent="0.2">
      <c r="B47" s="1" t="s">
        <v>164</v>
      </c>
      <c r="K47" t="s">
        <v>366</v>
      </c>
      <c r="L47">
        <f>235*D13</f>
        <v>28.2</v>
      </c>
      <c r="M47" t="s">
        <v>367</v>
      </c>
    </row>
    <row r="48" spans="2:18" x14ac:dyDescent="0.2">
      <c r="B48" t="s">
        <v>457</v>
      </c>
      <c r="C48" t="s">
        <v>28</v>
      </c>
      <c r="D48" s="34">
        <v>9300</v>
      </c>
      <c r="E48" s="34">
        <v>4000</v>
      </c>
      <c r="F48" t="s">
        <v>459</v>
      </c>
      <c r="L48">
        <f>SUM(L45:L47)</f>
        <v>118.56</v>
      </c>
      <c r="M48" t="s">
        <v>367</v>
      </c>
    </row>
    <row r="49" spans="2:15" x14ac:dyDescent="0.2">
      <c r="B49" t="s">
        <v>281</v>
      </c>
      <c r="C49" t="s">
        <v>28</v>
      </c>
      <c r="D49" s="34">
        <v>0</v>
      </c>
      <c r="E49" s="34">
        <v>3100</v>
      </c>
      <c r="F49" t="s">
        <v>458</v>
      </c>
    </row>
    <row r="50" spans="2:15" x14ac:dyDescent="0.2">
      <c r="B50" t="s">
        <v>456</v>
      </c>
      <c r="C50" t="s">
        <v>28</v>
      </c>
      <c r="D50" s="34">
        <f>D48-J76*D10</f>
        <v>8061.1118644067792</v>
      </c>
      <c r="E50" s="34">
        <f>E48-J82*D10</f>
        <v>3139.6610169491523</v>
      </c>
    </row>
    <row r="51" spans="2:15" x14ac:dyDescent="0.2">
      <c r="E51"/>
    </row>
    <row r="52" spans="2:15" ht="24" customHeight="1" x14ac:dyDescent="0.2">
      <c r="B52" s="72" t="s">
        <v>169</v>
      </c>
      <c r="C52" s="72"/>
      <c r="D52" s="72"/>
      <c r="E52" s="74"/>
      <c r="F52" s="72"/>
      <c r="G52" s="72"/>
      <c r="H52" s="72"/>
      <c r="I52" s="72"/>
      <c r="J52" s="72"/>
      <c r="K52" s="72"/>
      <c r="L52" s="72"/>
      <c r="M52" s="72"/>
      <c r="N52" s="72"/>
      <c r="O52" s="72"/>
    </row>
    <row r="54" spans="2:15" x14ac:dyDescent="0.2">
      <c r="B54" s="1" t="s">
        <v>170</v>
      </c>
      <c r="C54" s="1" t="s">
        <v>171</v>
      </c>
      <c r="D54" s="1" t="s">
        <v>172</v>
      </c>
      <c r="E54" s="21" t="s">
        <v>173</v>
      </c>
    </row>
    <row r="55" spans="2:15" x14ac:dyDescent="0.2">
      <c r="G55" s="5">
        <f>D50+1700</f>
        <v>9761.1118644067792</v>
      </c>
      <c r="H55">
        <f>J76*D10</f>
        <v>1238.8881355932203</v>
      </c>
      <c r="I55" t="s">
        <v>464</v>
      </c>
      <c r="L55">
        <v>0.7692307692</v>
      </c>
    </row>
    <row r="57" spans="2:15" x14ac:dyDescent="0.2">
      <c r="B57" s="1" t="s">
        <v>178</v>
      </c>
      <c r="N57" s="5"/>
    </row>
    <row r="58" spans="2:15" x14ac:dyDescent="0.2">
      <c r="B58" t="s">
        <v>183</v>
      </c>
      <c r="C58" s="13">
        <f>D33/D6</f>
        <v>65.039999999999992</v>
      </c>
      <c r="D58" t="s">
        <v>0</v>
      </c>
    </row>
    <row r="59" spans="2:15" x14ac:dyDescent="0.2">
      <c r="B59" s="19" t="s">
        <v>184</v>
      </c>
      <c r="C59" s="13">
        <f>D34/D7</f>
        <v>30.018461538461533</v>
      </c>
      <c r="D59" t="s">
        <v>212</v>
      </c>
      <c r="G59" s="5">
        <f>C149+J76*D10</f>
        <v>10791.736615384616</v>
      </c>
      <c r="H59">
        <v>0.3125</v>
      </c>
    </row>
    <row r="60" spans="2:15" x14ac:dyDescent="0.2">
      <c r="B60" s="19" t="s">
        <v>185</v>
      </c>
      <c r="C60" s="13">
        <f>D33</f>
        <v>45.527999999999992</v>
      </c>
      <c r="D60" t="s">
        <v>70</v>
      </c>
      <c r="G60" s="5"/>
    </row>
    <row r="61" spans="2:15" x14ac:dyDescent="0.2">
      <c r="B61" s="19" t="s">
        <v>186</v>
      </c>
      <c r="C61" s="13">
        <f>D34</f>
        <v>19.511999999999997</v>
      </c>
      <c r="D61" t="s">
        <v>70</v>
      </c>
      <c r="I61">
        <v>3.6</v>
      </c>
      <c r="J61" t="s">
        <v>5</v>
      </c>
      <c r="K61" t="s">
        <v>460</v>
      </c>
    </row>
    <row r="62" spans="2:15" x14ac:dyDescent="0.2">
      <c r="C62" s="13"/>
      <c r="I62">
        <f>I61*3.6</f>
        <v>12.96</v>
      </c>
      <c r="J62" t="s">
        <v>461</v>
      </c>
    </row>
    <row r="63" spans="2:15" ht="16" customHeight="1" x14ac:dyDescent="0.2">
      <c r="B63" s="1" t="s">
        <v>182</v>
      </c>
      <c r="C63" s="13"/>
      <c r="I63">
        <f>2.5</f>
        <v>2.5</v>
      </c>
      <c r="J63" t="s">
        <v>5</v>
      </c>
      <c r="K63" t="s">
        <v>462</v>
      </c>
    </row>
    <row r="64" spans="2:15" ht="17" customHeight="1" x14ac:dyDescent="0.2">
      <c r="B64" t="s">
        <v>187</v>
      </c>
      <c r="C64" s="13">
        <f>D35/D6</f>
        <v>0</v>
      </c>
      <c r="D64" t="s">
        <v>0</v>
      </c>
      <c r="I64">
        <f>I63*3.6</f>
        <v>9</v>
      </c>
      <c r="J64" t="s">
        <v>463</v>
      </c>
    </row>
    <row r="65" spans="2:18" x14ac:dyDescent="0.2">
      <c r="B65" s="19" t="s">
        <v>188</v>
      </c>
      <c r="C65" s="13">
        <f>D36/D7</f>
        <v>0</v>
      </c>
      <c r="D65" t="s">
        <v>212</v>
      </c>
    </row>
    <row r="66" spans="2:18" ht="17" customHeight="1" x14ac:dyDescent="0.2">
      <c r="B66" s="19" t="s">
        <v>189</v>
      </c>
      <c r="C66" s="13">
        <f>D35</f>
        <v>0</v>
      </c>
      <c r="D66" t="s">
        <v>69</v>
      </c>
    </row>
    <row r="67" spans="2:18" x14ac:dyDescent="0.2">
      <c r="B67" s="19" t="s">
        <v>190</v>
      </c>
      <c r="C67" s="13">
        <f>D36</f>
        <v>0</v>
      </c>
      <c r="D67" t="s">
        <v>69</v>
      </c>
    </row>
    <row r="68" spans="2:18" x14ac:dyDescent="0.2">
      <c r="C68" s="13"/>
    </row>
    <row r="69" spans="2:18" x14ac:dyDescent="0.2">
      <c r="B69" s="1" t="s">
        <v>204</v>
      </c>
      <c r="C69" s="13"/>
      <c r="I69" t="s">
        <v>419</v>
      </c>
      <c r="J69" s="8">
        <v>0.59</v>
      </c>
      <c r="K69" s="9" t="s">
        <v>421</v>
      </c>
    </row>
    <row r="70" spans="2:18" x14ac:dyDescent="0.2">
      <c r="B70" s="3" t="s">
        <v>206</v>
      </c>
      <c r="C70" s="13">
        <f>D44</f>
        <v>0</v>
      </c>
      <c r="D70" t="s">
        <v>212</v>
      </c>
      <c r="I70" t="s">
        <v>420</v>
      </c>
      <c r="J70" s="8">
        <v>0.48</v>
      </c>
      <c r="K70" s="9" t="s">
        <v>421</v>
      </c>
    </row>
    <row r="71" spans="2:18" x14ac:dyDescent="0.2">
      <c r="C71" s="13"/>
      <c r="I71" t="s">
        <v>422</v>
      </c>
      <c r="J71">
        <v>0.5</v>
      </c>
    </row>
    <row r="72" spans="2:18" x14ac:dyDescent="0.2">
      <c r="B72" s="1" t="s">
        <v>280</v>
      </c>
      <c r="C72" s="13"/>
      <c r="I72" t="s">
        <v>423</v>
      </c>
      <c r="J72">
        <v>0.5</v>
      </c>
    </row>
    <row r="73" spans="2:18" x14ac:dyDescent="0.2">
      <c r="B73" t="s">
        <v>207</v>
      </c>
      <c r="C73" s="13">
        <f>D40</f>
        <v>69.953898305084763</v>
      </c>
      <c r="D73" t="s">
        <v>0</v>
      </c>
      <c r="J73">
        <v>0.59</v>
      </c>
    </row>
    <row r="74" spans="2:18" x14ac:dyDescent="0.2">
      <c r="C74" s="13"/>
      <c r="I74" s="47">
        <v>2021</v>
      </c>
    </row>
    <row r="75" spans="2:18" s="2" customFormat="1" ht="26" customHeight="1" x14ac:dyDescent="0.2">
      <c r="B75" s="72" t="s">
        <v>228</v>
      </c>
      <c r="C75" s="102"/>
      <c r="D75" s="102"/>
      <c r="E75" s="102"/>
      <c r="I75" t="s">
        <v>433</v>
      </c>
      <c r="J75">
        <f>J73</f>
        <v>0.59</v>
      </c>
      <c r="K75"/>
      <c r="L75"/>
      <c r="M75"/>
      <c r="N75"/>
      <c r="O75"/>
      <c r="P75"/>
      <c r="Q75"/>
      <c r="R75"/>
    </row>
    <row r="76" spans="2:18" x14ac:dyDescent="0.2">
      <c r="C76" s="13"/>
      <c r="I76" t="s">
        <v>424</v>
      </c>
      <c r="J76">
        <f>I62/J75</f>
        <v>21.966101694915256</v>
      </c>
      <c r="L76">
        <f>J76*D10</f>
        <v>1238.8881355932203</v>
      </c>
    </row>
    <row r="77" spans="2:18" x14ac:dyDescent="0.2">
      <c r="B77" s="1" t="s">
        <v>179</v>
      </c>
      <c r="C77" s="13"/>
      <c r="L77" s="2"/>
      <c r="M77" s="2"/>
      <c r="N77" s="2"/>
      <c r="O77" s="2"/>
      <c r="P77" s="2"/>
      <c r="Q77" s="2"/>
      <c r="R77" s="2"/>
    </row>
    <row r="78" spans="2:18" x14ac:dyDescent="0.2">
      <c r="B78" s="3" t="s">
        <v>191</v>
      </c>
      <c r="C78" s="8">
        <v>0</v>
      </c>
      <c r="I78" s="2"/>
      <c r="J78" s="2"/>
      <c r="K78" s="2"/>
    </row>
    <row r="79" spans="2:18" x14ac:dyDescent="0.2">
      <c r="B79" s="3" t="s">
        <v>217</v>
      </c>
      <c r="C79" s="13">
        <f>C58*C78</f>
        <v>0</v>
      </c>
      <c r="D79" t="s">
        <v>0</v>
      </c>
      <c r="F79" s="13"/>
      <c r="I79">
        <v>2035</v>
      </c>
    </row>
    <row r="80" spans="2:18" x14ac:dyDescent="0.2">
      <c r="B80" s="3" t="s">
        <v>218</v>
      </c>
      <c r="C80" s="13">
        <f>C81/D8</f>
        <v>0</v>
      </c>
      <c r="D80" t="s">
        <v>0</v>
      </c>
      <c r="I80" t="s">
        <v>433</v>
      </c>
      <c r="J80">
        <f>J73</f>
        <v>0.59</v>
      </c>
    </row>
    <row r="81" spans="2:12" x14ac:dyDescent="0.2">
      <c r="B81" s="3" t="s">
        <v>216</v>
      </c>
      <c r="C81" s="13">
        <f>C78*C60</f>
        <v>0</v>
      </c>
      <c r="D81" t="s">
        <v>69</v>
      </c>
      <c r="I81" t="s">
        <v>427</v>
      </c>
      <c r="J81" s="5">
        <f>I64</f>
        <v>9</v>
      </c>
      <c r="K81" t="s">
        <v>4</v>
      </c>
    </row>
    <row r="82" spans="2:12" x14ac:dyDescent="0.2">
      <c r="C82" s="13"/>
      <c r="I82" t="s">
        <v>428</v>
      </c>
      <c r="J82">
        <f>J81/J80</f>
        <v>15.254237288135593</v>
      </c>
      <c r="K82" t="s">
        <v>4</v>
      </c>
      <c r="L82">
        <f>J82*D10</f>
        <v>860.33898305084745</v>
      </c>
    </row>
    <row r="83" spans="2:12" x14ac:dyDescent="0.2">
      <c r="B83" s="1" t="s">
        <v>181</v>
      </c>
    </row>
    <row r="84" spans="2:12" x14ac:dyDescent="0.2">
      <c r="B84" s="3" t="s">
        <v>195</v>
      </c>
      <c r="C84" s="8">
        <v>0</v>
      </c>
    </row>
    <row r="85" spans="2:12" x14ac:dyDescent="0.2">
      <c r="B85" s="3" t="s">
        <v>217</v>
      </c>
      <c r="C85" s="13">
        <f>C58*C84</f>
        <v>0</v>
      </c>
      <c r="D85" t="s">
        <v>0</v>
      </c>
      <c r="F85" s="13"/>
    </row>
    <row r="86" spans="2:12" x14ac:dyDescent="0.2">
      <c r="B86" s="3" t="s">
        <v>219</v>
      </c>
      <c r="C86" s="13">
        <f>C87/D7</f>
        <v>0</v>
      </c>
      <c r="D86" t="s">
        <v>212</v>
      </c>
    </row>
    <row r="87" spans="2:12" x14ac:dyDescent="0.2">
      <c r="B87" s="3" t="s">
        <v>216</v>
      </c>
      <c r="C87" s="13">
        <f>C84*C60</f>
        <v>0</v>
      </c>
      <c r="D87" t="s">
        <v>69</v>
      </c>
    </row>
    <row r="88" spans="2:12" x14ac:dyDescent="0.2">
      <c r="C88" s="13"/>
      <c r="F88" s="13"/>
    </row>
    <row r="89" spans="2:12" x14ac:dyDescent="0.2">
      <c r="B89" s="1" t="s">
        <v>165</v>
      </c>
      <c r="C89" t="str">
        <f>IF((C78+C84)&gt;1,"ERROR","OK")</f>
        <v>OK</v>
      </c>
      <c r="F89" s="5"/>
    </row>
    <row r="90" spans="2:12" x14ac:dyDescent="0.2">
      <c r="C90" s="13"/>
      <c r="J90" s="5">
        <f>D48-L76</f>
        <v>8061.1118644067792</v>
      </c>
    </row>
    <row r="91" spans="2:12" x14ac:dyDescent="0.2">
      <c r="B91" s="1" t="s">
        <v>180</v>
      </c>
      <c r="F91" s="13"/>
    </row>
    <row r="92" spans="2:12" x14ac:dyDescent="0.2">
      <c r="B92" s="3" t="s">
        <v>213</v>
      </c>
      <c r="C92" s="8">
        <v>0</v>
      </c>
    </row>
    <row r="93" spans="2:12" x14ac:dyDescent="0.2">
      <c r="B93" s="3" t="s">
        <v>220</v>
      </c>
      <c r="C93" s="13">
        <f>C59*C92</f>
        <v>0</v>
      </c>
      <c r="D93" t="s">
        <v>212</v>
      </c>
    </row>
    <row r="94" spans="2:12" x14ac:dyDescent="0.2">
      <c r="B94" s="3" t="s">
        <v>219</v>
      </c>
      <c r="C94" s="13">
        <f>C95/D7</f>
        <v>0</v>
      </c>
      <c r="D94" t="s">
        <v>212</v>
      </c>
    </row>
    <row r="95" spans="2:12" x14ac:dyDescent="0.2">
      <c r="B95" s="3" t="s">
        <v>216</v>
      </c>
      <c r="C95" s="13">
        <f>C92*C61</f>
        <v>0</v>
      </c>
      <c r="D95" t="s">
        <v>69</v>
      </c>
    </row>
    <row r="96" spans="2:12" x14ac:dyDescent="0.2">
      <c r="C96" s="13"/>
      <c r="H96" t="s">
        <v>470</v>
      </c>
      <c r="I96">
        <v>74.099999999999994</v>
      </c>
      <c r="J96" t="s">
        <v>467</v>
      </c>
    </row>
    <row r="97" spans="2:10" x14ac:dyDescent="0.2">
      <c r="B97" s="1" t="s">
        <v>214</v>
      </c>
      <c r="H97" t="s">
        <v>469</v>
      </c>
      <c r="I97" s="8">
        <v>0.14000000000000001</v>
      </c>
      <c r="J97" t="s">
        <v>468</v>
      </c>
    </row>
    <row r="98" spans="2:10" x14ac:dyDescent="0.2">
      <c r="B98" s="3" t="s">
        <v>215</v>
      </c>
      <c r="C98" s="8">
        <v>0</v>
      </c>
      <c r="H98" t="s">
        <v>471</v>
      </c>
      <c r="I98">
        <f>I97*I96</f>
        <v>10.374000000000001</v>
      </c>
    </row>
    <row r="99" spans="2:10" x14ac:dyDescent="0.2">
      <c r="B99" s="3" t="s">
        <v>220</v>
      </c>
      <c r="C99" s="13">
        <f>C59*C98</f>
        <v>0</v>
      </c>
      <c r="D99" t="s">
        <v>212</v>
      </c>
    </row>
    <row r="100" spans="2:10" x14ac:dyDescent="0.2">
      <c r="B100" s="3" t="s">
        <v>218</v>
      </c>
      <c r="C100" s="13">
        <f>C101/D8</f>
        <v>0</v>
      </c>
      <c r="D100" t="s">
        <v>0</v>
      </c>
    </row>
    <row r="101" spans="2:10" x14ac:dyDescent="0.2">
      <c r="B101" s="3" t="s">
        <v>193</v>
      </c>
      <c r="C101" s="13">
        <f>C98*C61</f>
        <v>0</v>
      </c>
      <c r="D101" t="s">
        <v>69</v>
      </c>
    </row>
    <row r="102" spans="2:10" x14ac:dyDescent="0.2">
      <c r="B102" s="3"/>
      <c r="C102" s="13"/>
    </row>
    <row r="103" spans="2:10" x14ac:dyDescent="0.2">
      <c r="B103" s="1" t="s">
        <v>165</v>
      </c>
      <c r="C103" t="str">
        <f>IF((C92+C98)&gt;1,"ERROR","OK")</f>
        <v>OK</v>
      </c>
    </row>
    <row r="104" spans="2:10" x14ac:dyDescent="0.2">
      <c r="B104" s="3"/>
      <c r="C104" s="13"/>
    </row>
    <row r="105" spans="2:10" s="2" customFormat="1" ht="26" customHeight="1" x14ac:dyDescent="0.2">
      <c r="B105" s="72" t="s">
        <v>229</v>
      </c>
      <c r="C105" s="102"/>
      <c r="D105" s="102"/>
      <c r="E105" s="102"/>
    </row>
    <row r="106" spans="2:10" x14ac:dyDescent="0.2">
      <c r="B106" s="3"/>
      <c r="C106" s="13"/>
    </row>
    <row r="107" spans="2:10" x14ac:dyDescent="0.2">
      <c r="B107" s="1" t="s">
        <v>196</v>
      </c>
      <c r="C107" s="13"/>
    </row>
    <row r="108" spans="2:10" x14ac:dyDescent="0.2">
      <c r="B108" s="3" t="s">
        <v>192</v>
      </c>
      <c r="C108" s="13">
        <f>C109/D6</f>
        <v>0</v>
      </c>
      <c r="D108" t="s">
        <v>0</v>
      </c>
    </row>
    <row r="109" spans="2:10" x14ac:dyDescent="0.2">
      <c r="B109" s="3" t="s">
        <v>198</v>
      </c>
      <c r="C109" s="13">
        <f>E33</f>
        <v>0</v>
      </c>
      <c r="D109" t="s">
        <v>70</v>
      </c>
    </row>
    <row r="110" spans="2:10" x14ac:dyDescent="0.2">
      <c r="C110" s="13"/>
    </row>
    <row r="111" spans="2:10" x14ac:dyDescent="0.2">
      <c r="B111" s="1" t="s">
        <v>197</v>
      </c>
      <c r="C111" s="13"/>
    </row>
    <row r="112" spans="2:10" x14ac:dyDescent="0.2">
      <c r="B112" s="3" t="s">
        <v>194</v>
      </c>
      <c r="C112" s="13">
        <f>C113/D7</f>
        <v>30.769230769230766</v>
      </c>
      <c r="D112" t="s">
        <v>212</v>
      </c>
    </row>
    <row r="113" spans="2:6" x14ac:dyDescent="0.2">
      <c r="B113" s="3" t="s">
        <v>198</v>
      </c>
      <c r="C113" s="13">
        <f>E34</f>
        <v>20</v>
      </c>
      <c r="D113" t="s">
        <v>70</v>
      </c>
    </row>
    <row r="114" spans="2:6" x14ac:dyDescent="0.2">
      <c r="C114" s="13"/>
    </row>
    <row r="115" spans="2:6" x14ac:dyDescent="0.2">
      <c r="B115" s="1" t="s">
        <v>199</v>
      </c>
      <c r="C115" s="13"/>
    </row>
    <row r="116" spans="2:6" x14ac:dyDescent="0.2">
      <c r="B116" s="3" t="s">
        <v>192</v>
      </c>
      <c r="C116" s="13">
        <f>C117/D8</f>
        <v>101.84</v>
      </c>
      <c r="D116" t="s">
        <v>0</v>
      </c>
    </row>
    <row r="117" spans="2:6" x14ac:dyDescent="0.2">
      <c r="B117" s="3" t="s">
        <v>193</v>
      </c>
      <c r="C117" s="13">
        <f>E35-C81-C101</f>
        <v>71.287999999999997</v>
      </c>
      <c r="D117" t="s">
        <v>1</v>
      </c>
    </row>
    <row r="118" spans="2:6" x14ac:dyDescent="0.2">
      <c r="C118" s="13"/>
    </row>
    <row r="119" spans="2:6" ht="16" customHeight="1" x14ac:dyDescent="0.2">
      <c r="B119" s="81" t="s">
        <v>200</v>
      </c>
      <c r="C119" s="77"/>
      <c r="D119" s="78"/>
    </row>
    <row r="120" spans="2:6" ht="17" customHeight="1" x14ac:dyDescent="0.2">
      <c r="B120" s="82" t="s">
        <v>194</v>
      </c>
      <c r="C120" s="83">
        <f>C121/D7</f>
        <v>-0.75076923076923552</v>
      </c>
      <c r="D120" s="84" t="s">
        <v>212</v>
      </c>
      <c r="F120" s="13"/>
    </row>
    <row r="121" spans="2:6" x14ac:dyDescent="0.2">
      <c r="B121" s="82" t="s">
        <v>193</v>
      </c>
      <c r="C121" s="83">
        <f>E36-C95-C87</f>
        <v>-0.4880000000000031</v>
      </c>
      <c r="D121" s="84" t="s">
        <v>1</v>
      </c>
      <c r="E121" s="85"/>
    </row>
    <row r="122" spans="2:6" x14ac:dyDescent="0.2">
      <c r="C122" s="83"/>
      <c r="D122" s="84"/>
      <c r="E122" s="85"/>
    </row>
    <row r="123" spans="2:6" x14ac:dyDescent="0.2">
      <c r="B123" s="1" t="s">
        <v>201</v>
      </c>
      <c r="C123" s="83"/>
      <c r="D123" s="84"/>
      <c r="E123" s="85"/>
    </row>
    <row r="124" spans="2:6" x14ac:dyDescent="0.2">
      <c r="B124" s="3" t="s">
        <v>194</v>
      </c>
      <c r="C124" s="13">
        <f>E44</f>
        <v>0</v>
      </c>
      <c r="D124" t="s">
        <v>212</v>
      </c>
    </row>
    <row r="125" spans="2:6" x14ac:dyDescent="0.2">
      <c r="C125" s="13"/>
    </row>
    <row r="126" spans="2:6" s="2" customFormat="1" ht="26" customHeight="1" x14ac:dyDescent="0.2">
      <c r="B126" s="72" t="s">
        <v>230</v>
      </c>
      <c r="C126" s="102"/>
      <c r="D126" s="102"/>
      <c r="E126" s="102"/>
    </row>
    <row r="127" spans="2:6" x14ac:dyDescent="0.2">
      <c r="C127" s="13"/>
    </row>
    <row r="128" spans="2:6" x14ac:dyDescent="0.2">
      <c r="B128" s="1" t="s">
        <v>202</v>
      </c>
      <c r="C128" s="13"/>
    </row>
    <row r="129" spans="2:5" x14ac:dyDescent="0.2">
      <c r="B129" s="3" t="s">
        <v>192</v>
      </c>
      <c r="C129" s="13">
        <v>0</v>
      </c>
      <c r="D129" t="s">
        <v>0</v>
      </c>
    </row>
    <row r="130" spans="2:5" x14ac:dyDescent="0.2">
      <c r="C130" s="13"/>
    </row>
    <row r="131" spans="2:5" x14ac:dyDescent="0.2">
      <c r="B131" s="1" t="s">
        <v>203</v>
      </c>
      <c r="C131" s="13"/>
    </row>
    <row r="132" spans="2:5" x14ac:dyDescent="0.2">
      <c r="B132" s="3" t="s">
        <v>192</v>
      </c>
      <c r="C132" s="13">
        <f>E40</f>
        <v>2.0657627118644086</v>
      </c>
      <c r="D132" t="s">
        <v>0</v>
      </c>
    </row>
    <row r="133" spans="2:5" x14ac:dyDescent="0.2">
      <c r="C133" s="13"/>
    </row>
    <row r="134" spans="2:5" x14ac:dyDescent="0.2">
      <c r="B134" s="76" t="s">
        <v>205</v>
      </c>
      <c r="C134" s="77"/>
    </row>
    <row r="135" spans="2:5" x14ac:dyDescent="0.2">
      <c r="B135" s="79" t="s">
        <v>192</v>
      </c>
      <c r="C135" s="77"/>
    </row>
    <row r="137" spans="2:5" x14ac:dyDescent="0.2">
      <c r="C137" s="13"/>
    </row>
    <row r="138" spans="2:5" s="2" customFormat="1" ht="26" customHeight="1" x14ac:dyDescent="0.2">
      <c r="B138" s="98" t="s">
        <v>231</v>
      </c>
      <c r="C138" s="99"/>
      <c r="D138" s="100"/>
      <c r="E138" s="101"/>
    </row>
    <row r="140" spans="2:5" x14ac:dyDescent="0.2">
      <c r="B140" s="43" t="s">
        <v>221</v>
      </c>
    </row>
    <row r="141" spans="2:5" x14ac:dyDescent="0.2">
      <c r="B141" s="17" t="s">
        <v>283</v>
      </c>
      <c r="C141" s="17">
        <v>0</v>
      </c>
      <c r="D141" s="17" t="s">
        <v>9</v>
      </c>
    </row>
    <row r="143" spans="2:5" x14ac:dyDescent="0.2">
      <c r="B143" s="1" t="s">
        <v>434</v>
      </c>
      <c r="C143" s="13"/>
    </row>
    <row r="144" spans="2:5" x14ac:dyDescent="0.2">
      <c r="B144" t="s">
        <v>285</v>
      </c>
      <c r="C144" s="5">
        <f>D40*D10</f>
        <v>3945.3998644067806</v>
      </c>
      <c r="D144" t="s">
        <v>9</v>
      </c>
    </row>
    <row r="145" spans="2:8" x14ac:dyDescent="0.2">
      <c r="B145" t="s">
        <v>286</v>
      </c>
      <c r="C145" s="5">
        <f>D44*D12</f>
        <v>0</v>
      </c>
      <c r="D145" t="s">
        <v>9</v>
      </c>
      <c r="G145" s="5"/>
    </row>
    <row r="146" spans="2:8" x14ac:dyDescent="0.2">
      <c r="B146" t="s">
        <v>208</v>
      </c>
      <c r="C146" s="5">
        <f>D41*D10</f>
        <v>3668.2559999999994</v>
      </c>
      <c r="D146" t="s">
        <v>9</v>
      </c>
    </row>
    <row r="147" spans="2:8" x14ac:dyDescent="0.2">
      <c r="B147" t="s">
        <v>209</v>
      </c>
      <c r="C147" s="5">
        <f>D45*D12</f>
        <v>1939.1926153846148</v>
      </c>
      <c r="D147" t="s">
        <v>9</v>
      </c>
    </row>
    <row r="148" spans="2:8" x14ac:dyDescent="0.2">
      <c r="B148" s="50" t="s">
        <v>435</v>
      </c>
      <c r="C148" s="114">
        <f>J84</f>
        <v>0</v>
      </c>
      <c r="D148" s="50" t="s">
        <v>9</v>
      </c>
    </row>
    <row r="149" spans="2:8" x14ac:dyDescent="0.2">
      <c r="B149" s="15" t="s">
        <v>288</v>
      </c>
      <c r="C149" s="22">
        <f>SUM(C144:C147)-C141</f>
        <v>9552.8484797913952</v>
      </c>
      <c r="D149" s="15" t="s">
        <v>9</v>
      </c>
    </row>
    <row r="150" spans="2:8" x14ac:dyDescent="0.2">
      <c r="H150" s="5"/>
    </row>
    <row r="151" spans="2:8" x14ac:dyDescent="0.2">
      <c r="B151" s="43" t="s">
        <v>222</v>
      </c>
    </row>
    <row r="152" spans="2:8" x14ac:dyDescent="0.2">
      <c r="B152" t="s">
        <v>223</v>
      </c>
      <c r="C152" s="5">
        <f>(C116+C80)*D9*D10</f>
        <v>4595.0208000000002</v>
      </c>
      <c r="D152" t="s">
        <v>9</v>
      </c>
      <c r="E152"/>
    </row>
    <row r="153" spans="2:8" x14ac:dyDescent="0.2">
      <c r="B153" t="s">
        <v>224</v>
      </c>
      <c r="C153" s="5">
        <f>(C94+C120)*D9*(D12+D11)/2</f>
        <v>-37.958892307692544</v>
      </c>
      <c r="D153" t="s">
        <v>9</v>
      </c>
      <c r="E153"/>
    </row>
    <row r="154" spans="2:8" x14ac:dyDescent="0.2">
      <c r="B154" s="15" t="s">
        <v>232</v>
      </c>
      <c r="C154" s="22">
        <f>SUM(C152:C153)</f>
        <v>4557.0619076923076</v>
      </c>
      <c r="D154" s="15" t="s">
        <v>9</v>
      </c>
    </row>
    <row r="155" spans="2:8" x14ac:dyDescent="0.2">
      <c r="F155" s="13"/>
    </row>
    <row r="156" spans="2:8" x14ac:dyDescent="0.2">
      <c r="B156" s="1" t="s">
        <v>233</v>
      </c>
      <c r="F156" s="13"/>
    </row>
    <row r="157" spans="2:8" x14ac:dyDescent="0.2">
      <c r="B157" s="5" t="s">
        <v>234</v>
      </c>
      <c r="C157" s="5">
        <f>F169*D12</f>
        <v>0</v>
      </c>
      <c r="D157" t="s">
        <v>9</v>
      </c>
      <c r="F157" s="5"/>
    </row>
    <row r="158" spans="2:8" x14ac:dyDescent="0.2">
      <c r="B158" s="5" t="s">
        <v>235</v>
      </c>
      <c r="C158" s="5">
        <f>F168*D10</f>
        <v>116.50901694915264</v>
      </c>
      <c r="D158" t="s">
        <v>9</v>
      </c>
      <c r="H158" s="5"/>
    </row>
    <row r="159" spans="2:8" x14ac:dyDescent="0.2">
      <c r="B159" s="5" t="s">
        <v>237</v>
      </c>
      <c r="C159" s="5">
        <f>C112*D12</f>
        <v>1987.6923076923074</v>
      </c>
      <c r="D159" t="s">
        <v>9</v>
      </c>
      <c r="H159" s="13"/>
    </row>
    <row r="160" spans="2:8" x14ac:dyDescent="0.2">
      <c r="B160" s="5" t="s">
        <v>426</v>
      </c>
      <c r="C160" s="5">
        <f>C108*D10</f>
        <v>0</v>
      </c>
      <c r="D160" t="s">
        <v>9</v>
      </c>
      <c r="H160" s="13"/>
    </row>
    <row r="161" spans="2:15" x14ac:dyDescent="0.2">
      <c r="B161" s="5" t="s">
        <v>236</v>
      </c>
      <c r="C161" s="5">
        <f>(C154/D9)*(1-D9)</f>
        <v>1139.2654769230767</v>
      </c>
      <c r="D161" t="s">
        <v>9</v>
      </c>
    </row>
    <row r="162" spans="2:15" x14ac:dyDescent="0.2">
      <c r="B162" s="22" t="s">
        <v>287</v>
      </c>
      <c r="C162" s="22">
        <f>SUM(C157:C161)</f>
        <v>3243.4668015645366</v>
      </c>
      <c r="D162" s="15" t="s">
        <v>9</v>
      </c>
    </row>
    <row r="163" spans="2:15" x14ac:dyDescent="0.2">
      <c r="C163" s="5"/>
    </row>
    <row r="164" spans="2:15" ht="22" x14ac:dyDescent="0.2">
      <c r="B164" s="73" t="s">
        <v>167</v>
      </c>
      <c r="C164" s="28"/>
      <c r="D164" s="28"/>
      <c r="E164" s="30"/>
      <c r="F164" s="28"/>
      <c r="G164" s="28"/>
      <c r="H164" s="28"/>
      <c r="I164" s="28"/>
      <c r="J164" s="28"/>
      <c r="K164" s="28"/>
      <c r="L164" s="28"/>
      <c r="M164" s="28"/>
      <c r="N164" s="28"/>
      <c r="O164" s="28"/>
    </row>
    <row r="165" spans="2:15" x14ac:dyDescent="0.2">
      <c r="C165" s="5"/>
    </row>
    <row r="167" spans="2:15" x14ac:dyDescent="0.2">
      <c r="B167" s="1" t="s">
        <v>47</v>
      </c>
      <c r="C167" s="1" t="s">
        <v>46</v>
      </c>
      <c r="D167" s="1" t="s">
        <v>55</v>
      </c>
      <c r="E167" s="1">
        <v>2021</v>
      </c>
      <c r="F167" s="1">
        <v>2035</v>
      </c>
      <c r="H167" s="1" t="s">
        <v>240</v>
      </c>
      <c r="I167" s="1" t="s">
        <v>75</v>
      </c>
    </row>
    <row r="168" spans="2:15" ht="18" customHeight="1" x14ac:dyDescent="0.2">
      <c r="B168" s="90" t="str">
        <f>links!B3</f>
        <v>bron_aardgas</v>
      </c>
      <c r="C168" s="90" t="str">
        <f>links!C3</f>
        <v>industrie</v>
      </c>
      <c r="D168" s="90" t="str">
        <f>links!D3</f>
        <v>aardgas</v>
      </c>
      <c r="E168" s="34">
        <f>C73</f>
        <v>69.953898305084763</v>
      </c>
      <c r="F168" s="34">
        <f>C132</f>
        <v>2.0657627118644086</v>
      </c>
      <c r="H168" s="31" t="s">
        <v>558</v>
      </c>
      <c r="I168" s="31" t="s">
        <v>559</v>
      </c>
    </row>
    <row r="169" spans="2:15" ht="17" customHeight="1" x14ac:dyDescent="0.2">
      <c r="B169" s="90" t="str">
        <f>links!B4</f>
        <v>bron_restgas</v>
      </c>
      <c r="C169" s="90" t="str">
        <f>links!C4</f>
        <v>industrie</v>
      </c>
      <c r="D169" s="90" t="str">
        <f>links!D4</f>
        <v>restgas</v>
      </c>
      <c r="E169" s="34">
        <f>C70</f>
        <v>0</v>
      </c>
      <c r="F169" s="36">
        <f>C124</f>
        <v>0</v>
      </c>
      <c r="H169" s="92" t="s">
        <v>473</v>
      </c>
      <c r="I169" s="92" t="s">
        <v>474</v>
      </c>
    </row>
    <row r="170" spans="2:15" ht="17" customHeight="1" x14ac:dyDescent="0.2">
      <c r="B170" s="90"/>
      <c r="C170" s="90"/>
      <c r="D170" s="90"/>
      <c r="E170" s="34"/>
      <c r="F170" s="34"/>
      <c r="H170" s="92"/>
      <c r="I170" s="92"/>
    </row>
    <row r="171" spans="2:15" ht="16" customHeight="1" x14ac:dyDescent="0.2">
      <c r="B171" s="90" t="str">
        <f>links!B6</f>
        <v>bron_elektriciteit</v>
      </c>
      <c r="C171" s="90" t="str">
        <f>links!C6</f>
        <v>elektriciteit_vraag_2021</v>
      </c>
      <c r="D171" s="90" t="str">
        <f>links!D6</f>
        <v>elektriciteit</v>
      </c>
      <c r="E171" s="34">
        <f>D24</f>
        <v>10.44</v>
      </c>
      <c r="F171" s="34">
        <f>E171</f>
        <v>10.44</v>
      </c>
      <c r="H171" s="92" t="s">
        <v>511</v>
      </c>
      <c r="I171" s="92"/>
    </row>
    <row r="172" spans="2:15" x14ac:dyDescent="0.2">
      <c r="B172" s="90" t="str">
        <f>links!B7</f>
        <v>bron_elektriciteit</v>
      </c>
      <c r="C172" s="90" t="str">
        <f>links!C7</f>
        <v>elektriciteit_aardgassubstitutie_directe_elektrificatie</v>
      </c>
      <c r="D172" s="90" t="str">
        <f>links!D7</f>
        <v>elektriciteit</v>
      </c>
      <c r="E172" s="31">
        <v>0</v>
      </c>
      <c r="F172" s="34">
        <f>E25</f>
        <v>0</v>
      </c>
      <c r="H172" s="92"/>
      <c r="I172" s="92"/>
    </row>
    <row r="173" spans="2:15" x14ac:dyDescent="0.2">
      <c r="B173" s="90" t="str">
        <f>links!B8</f>
        <v>bron_elektriciteit</v>
      </c>
      <c r="C173" s="90" t="str">
        <f>links!C8</f>
        <v>elektriciteit_additioneel_overige</v>
      </c>
      <c r="D173" s="90" t="str">
        <f>links!D8</f>
        <v>elektriciteit</v>
      </c>
      <c r="E173" s="31">
        <v>0</v>
      </c>
      <c r="F173" s="34">
        <f>E24-F171-F172</f>
        <v>8.6399999999999988</v>
      </c>
      <c r="H173" s="92"/>
      <c r="I173" s="92"/>
    </row>
    <row r="174" spans="2:15" x14ac:dyDescent="0.2">
      <c r="B174" s="90"/>
      <c r="C174" s="90"/>
      <c r="D174" s="90"/>
      <c r="E174" s="31"/>
      <c r="F174" s="31"/>
      <c r="H174" s="92"/>
      <c r="I174" s="92"/>
    </row>
    <row r="175" spans="2:15" x14ac:dyDescent="0.2">
      <c r="B175" s="90" t="str">
        <f>links!B10</f>
        <v>elektriciteit_vraag_2021</v>
      </c>
      <c r="C175" s="90" t="str">
        <f>links!C10</f>
        <v>industrie</v>
      </c>
      <c r="D175" s="90" t="str">
        <f>links!D10</f>
        <v>elektriciteit</v>
      </c>
      <c r="E175" s="34">
        <f t="shared" ref="E175:F177" si="0">E171</f>
        <v>10.44</v>
      </c>
      <c r="F175" s="34">
        <f t="shared" si="0"/>
        <v>10.44</v>
      </c>
      <c r="H175" s="93"/>
      <c r="I175" s="93" t="s">
        <v>238</v>
      </c>
    </row>
    <row r="176" spans="2:15" x14ac:dyDescent="0.2">
      <c r="B176" s="90" t="str">
        <f>links!B11</f>
        <v>elektriciteit_aardgassubstitutie_directe_elektrificatie</v>
      </c>
      <c r="C176" s="90" t="str">
        <f>links!C11</f>
        <v>industrie</v>
      </c>
      <c r="D176" s="90" t="str">
        <f>links!D11</f>
        <v>elektriciteit</v>
      </c>
      <c r="E176" s="34">
        <f t="shared" si="0"/>
        <v>0</v>
      </c>
      <c r="F176" s="34">
        <f>F172</f>
        <v>0</v>
      </c>
      <c r="H176" s="93"/>
      <c r="I176" s="93" t="s">
        <v>238</v>
      </c>
    </row>
    <row r="177" spans="2:10" x14ac:dyDescent="0.2">
      <c r="B177" s="90" t="str">
        <f>links!B12</f>
        <v>elektriciteit_additioneel_overige</v>
      </c>
      <c r="C177" s="90" t="str">
        <f>links!C12</f>
        <v>industrie</v>
      </c>
      <c r="D177" s="90" t="str">
        <f>links!D12</f>
        <v>elektriciteit</v>
      </c>
      <c r="E177" s="34">
        <f t="shared" si="0"/>
        <v>0</v>
      </c>
      <c r="F177" s="34">
        <f t="shared" si="0"/>
        <v>8.6399999999999988</v>
      </c>
      <c r="H177" s="93"/>
      <c r="I177" s="93" t="s">
        <v>238</v>
      </c>
    </row>
    <row r="178" spans="2:10" x14ac:dyDescent="0.2">
      <c r="B178" s="90"/>
      <c r="C178" s="90"/>
      <c r="D178" s="90"/>
      <c r="E178" s="31"/>
      <c r="F178" s="31"/>
      <c r="H178" s="92"/>
      <c r="I178" s="92"/>
    </row>
    <row r="179" spans="2:10" x14ac:dyDescent="0.2">
      <c r="B179" s="90" t="str">
        <f>links!B14</f>
        <v>waterstof_mixer</v>
      </c>
      <c r="C179" s="90" t="str">
        <f>links!C14</f>
        <v>waterstof_vraag_2021</v>
      </c>
      <c r="D179" s="90" t="str">
        <f>links!D14</f>
        <v>waterstof</v>
      </c>
      <c r="E179" s="34">
        <f>D29</f>
        <v>65.039999999999992</v>
      </c>
      <c r="F179" s="34">
        <f>E179</f>
        <v>65.039999999999992</v>
      </c>
      <c r="H179" s="92" t="s">
        <v>512</v>
      </c>
      <c r="I179" s="92"/>
    </row>
    <row r="180" spans="2:10" x14ac:dyDescent="0.2">
      <c r="B180" s="90" t="str">
        <f>links!B15</f>
        <v>waterstof_mixer</v>
      </c>
      <c r="C180" s="90" t="str">
        <f>links!C15</f>
        <v>waterstof_aardgassubstitutie</v>
      </c>
      <c r="D180" s="90" t="str">
        <f>links!D15</f>
        <v>waterstof</v>
      </c>
      <c r="E180" s="31">
        <v>0</v>
      </c>
      <c r="F180" s="34">
        <v>0</v>
      </c>
      <c r="H180" s="92"/>
      <c r="I180" s="92"/>
    </row>
    <row r="181" spans="2:10" x14ac:dyDescent="0.2">
      <c r="B181" s="90" t="str">
        <f>links!B16</f>
        <v>waterstof_mixer</v>
      </c>
      <c r="C181" s="90" t="str">
        <f>links!C16</f>
        <v>waterstof_restgassubstitutie</v>
      </c>
      <c r="D181" s="90" t="str">
        <f>links!D16</f>
        <v>waterstof</v>
      </c>
      <c r="E181" s="31">
        <v>0</v>
      </c>
      <c r="F181" s="36">
        <v>0</v>
      </c>
      <c r="H181" s="92"/>
      <c r="I181" s="92"/>
    </row>
    <row r="182" spans="2:10" x14ac:dyDescent="0.2">
      <c r="B182" s="90" t="str">
        <f>links!B17</f>
        <v>waterstof_mixer</v>
      </c>
      <c r="C182" s="90" t="str">
        <f>links!C17</f>
        <v>waterstof_additioneel_overige</v>
      </c>
      <c r="D182" s="90" t="str">
        <f>links!D17</f>
        <v>waterstof</v>
      </c>
      <c r="E182" s="31">
        <v>0</v>
      </c>
      <c r="F182" s="34">
        <f>E31-F179-F180-F181</f>
        <v>72.12</v>
      </c>
      <c r="H182" s="92"/>
      <c r="I182" s="92"/>
    </row>
    <row r="183" spans="2:10" x14ac:dyDescent="0.2">
      <c r="B183" s="90"/>
      <c r="C183" s="90"/>
      <c r="D183" s="90"/>
      <c r="E183" s="31"/>
      <c r="F183" s="31"/>
      <c r="H183" s="92"/>
      <c r="I183" s="92"/>
    </row>
    <row r="184" spans="2:10" x14ac:dyDescent="0.2">
      <c r="B184" s="90" t="str">
        <f>links!B19</f>
        <v>waterstof_vraag_2021</v>
      </c>
      <c r="C184" s="90" t="str">
        <f>links!C19</f>
        <v>industrie</v>
      </c>
      <c r="D184" s="90" t="str">
        <f>links!D19</f>
        <v>waterstof</v>
      </c>
      <c r="E184" s="34">
        <f>D29</f>
        <v>65.039999999999992</v>
      </c>
      <c r="F184" s="34">
        <f>F179</f>
        <v>65.039999999999992</v>
      </c>
      <c r="H184" s="93"/>
      <c r="I184" s="93" t="s">
        <v>238</v>
      </c>
    </row>
    <row r="185" spans="2:10" x14ac:dyDescent="0.2">
      <c r="B185" s="90" t="str">
        <f>links!B20</f>
        <v>waterstof_aardgassubstitutie</v>
      </c>
      <c r="C185" s="90" t="str">
        <f>links!C20</f>
        <v>industrie</v>
      </c>
      <c r="D185" s="90" t="str">
        <f>links!D20</f>
        <v>waterstof</v>
      </c>
      <c r="E185" s="34">
        <f t="shared" ref="E185:F187" si="1">E180</f>
        <v>0</v>
      </c>
      <c r="F185" s="34">
        <f t="shared" si="1"/>
        <v>0</v>
      </c>
      <c r="H185" s="93"/>
      <c r="I185" s="93" t="s">
        <v>238</v>
      </c>
    </row>
    <row r="186" spans="2:10" x14ac:dyDescent="0.2">
      <c r="B186" s="90" t="str">
        <f>links!B21</f>
        <v>waterstof_restgassubstitutie</v>
      </c>
      <c r="C186" s="90" t="str">
        <f>links!C21</f>
        <v>industrie</v>
      </c>
      <c r="D186" s="90" t="str">
        <f>links!D21</f>
        <v>waterstof</v>
      </c>
      <c r="E186" s="31">
        <f t="shared" si="1"/>
        <v>0</v>
      </c>
      <c r="F186" s="36">
        <f t="shared" si="1"/>
        <v>0</v>
      </c>
      <c r="H186" s="93"/>
      <c r="I186" s="93" t="s">
        <v>238</v>
      </c>
    </row>
    <row r="187" spans="2:10" x14ac:dyDescent="0.2">
      <c r="B187" s="90" t="str">
        <f>links!B22</f>
        <v>waterstof_additioneel_overige</v>
      </c>
      <c r="C187" s="90" t="str">
        <f>links!C22</f>
        <v>industrie</v>
      </c>
      <c r="D187" s="90" t="str">
        <f>links!D22</f>
        <v>waterstof</v>
      </c>
      <c r="E187" s="34">
        <f t="shared" si="1"/>
        <v>0</v>
      </c>
      <c r="F187" s="34">
        <f t="shared" si="1"/>
        <v>72.12</v>
      </c>
      <c r="H187" s="93"/>
      <c r="I187" s="93" t="s">
        <v>238</v>
      </c>
    </row>
    <row r="188" spans="2:10" x14ac:dyDescent="0.2">
      <c r="B188" s="90"/>
      <c r="C188" s="90"/>
      <c r="D188" s="90"/>
      <c r="E188" s="34"/>
      <c r="F188" s="34"/>
      <c r="H188" s="93"/>
      <c r="I188" s="93"/>
    </row>
    <row r="189" spans="2:10" x14ac:dyDescent="0.2">
      <c r="B189" s="90" t="str">
        <f>links!B24</f>
        <v>waterstof_mixer</v>
      </c>
      <c r="C189" s="90" t="str">
        <f>links!C24</f>
        <v>waterstof_naar_elektriciteitscentrales</v>
      </c>
      <c r="D189" s="90" t="str">
        <f>links!D24</f>
        <v>waterstof</v>
      </c>
      <c r="E189" s="34">
        <f>D30</f>
        <v>0</v>
      </c>
      <c r="F189" s="34">
        <f>E30</f>
        <v>0</v>
      </c>
      <c r="H189" s="93"/>
      <c r="I189" s="93"/>
    </row>
    <row r="190" spans="2:10" x14ac:dyDescent="0.2">
      <c r="B190" s="90"/>
      <c r="C190" s="90"/>
      <c r="D190" s="90"/>
      <c r="E190" s="31"/>
      <c r="F190" s="31"/>
      <c r="H190" s="92"/>
      <c r="I190" s="92"/>
    </row>
    <row r="191" spans="2:10" x14ac:dyDescent="0.2">
      <c r="B191" s="90" t="str">
        <f>links!B26</f>
        <v>waterstof_mixer</v>
      </c>
      <c r="C191" s="90" t="str">
        <f>links!C26</f>
        <v>export</v>
      </c>
      <c r="D191" s="90" t="str">
        <f>links!D26</f>
        <v>waterstof</v>
      </c>
      <c r="E191" s="34">
        <f>E195+E193+E194+E197-E179-E180-E182</f>
        <v>0</v>
      </c>
      <c r="F191" s="34">
        <f>F193+F194+F195+F197-F184-F185-F186-F187-F189</f>
        <v>51.799999999999983</v>
      </c>
      <c r="H191" s="92"/>
      <c r="I191" s="92" t="s">
        <v>513</v>
      </c>
      <c r="J191" s="14"/>
    </row>
    <row r="192" spans="2:10" x14ac:dyDescent="0.2">
      <c r="B192" s="90"/>
      <c r="C192" s="90"/>
      <c r="D192" s="90"/>
      <c r="E192" s="31"/>
      <c r="F192" s="31"/>
      <c r="H192" s="92"/>
      <c r="I192" s="92"/>
    </row>
    <row r="193" spans="2:9" x14ac:dyDescent="0.2">
      <c r="B193" s="90" t="str">
        <f>links!B28</f>
        <v>grijze_waterstof</v>
      </c>
      <c r="C193" s="90" t="str">
        <f>links!C28</f>
        <v>waterstof_mixer</v>
      </c>
      <c r="D193" s="90" t="str">
        <f>links!D28</f>
        <v>waterstof_grijs</v>
      </c>
      <c r="E193" s="34">
        <f>C60+C61</f>
        <v>65.039999999999992</v>
      </c>
      <c r="F193" s="36">
        <f>C109+C113</f>
        <v>20</v>
      </c>
      <c r="H193" s="93"/>
      <c r="I193" s="93" t="s">
        <v>239</v>
      </c>
    </row>
    <row r="194" spans="2:9" x14ac:dyDescent="0.2">
      <c r="B194" s="90" t="str">
        <f>links!B29</f>
        <v>blauwe_waterstof</v>
      </c>
      <c r="C194" s="90" t="str">
        <f>links!C29</f>
        <v>waterstof_mixer</v>
      </c>
      <c r="D194" s="90" t="str">
        <f>links!D29</f>
        <v>waterstof_blauw</v>
      </c>
      <c r="E194" s="34">
        <f>C66+C67</f>
        <v>0</v>
      </c>
      <c r="F194" s="36">
        <f>C81+C87+C101+C117+C121+C95</f>
        <v>70.8</v>
      </c>
      <c r="H194" s="93"/>
      <c r="I194" s="93" t="s">
        <v>239</v>
      </c>
    </row>
    <row r="195" spans="2:9" x14ac:dyDescent="0.2">
      <c r="B195" s="90" t="str">
        <f>links!B30</f>
        <v>groene_waterstof</v>
      </c>
      <c r="C195" s="90" t="str">
        <f>links!C30</f>
        <v>waterstof_mixer</v>
      </c>
      <c r="D195" s="90" t="str">
        <f>links!D30</f>
        <v>waterstof_groen</v>
      </c>
      <c r="E195" s="31">
        <v>0</v>
      </c>
      <c r="F195" s="34">
        <f>F201</f>
        <v>27.72</v>
      </c>
      <c r="H195" s="93"/>
      <c r="I195" s="93" t="s">
        <v>239</v>
      </c>
    </row>
    <row r="196" spans="2:9" x14ac:dyDescent="0.2">
      <c r="B196" s="90"/>
      <c r="C196" s="90"/>
      <c r="D196" s="90"/>
      <c r="E196" s="31"/>
      <c r="F196" s="31"/>
      <c r="H196" s="92"/>
      <c r="I196" s="92"/>
    </row>
    <row r="197" spans="2:9" x14ac:dyDescent="0.2">
      <c r="B197" s="90" t="str">
        <f>links!B32</f>
        <v>bron_waterstof</v>
      </c>
      <c r="C197" s="90" t="str">
        <f>links!C32</f>
        <v>waterstof_mixer</v>
      </c>
      <c r="D197" s="90" t="str">
        <f>links!D32</f>
        <v>waterstof</v>
      </c>
      <c r="E197" s="31">
        <f>D37</f>
        <v>0</v>
      </c>
      <c r="F197" s="34">
        <f>E37</f>
        <v>70.44</v>
      </c>
      <c r="H197" s="92"/>
      <c r="I197" s="92" t="s">
        <v>514</v>
      </c>
    </row>
    <row r="198" spans="2:9" x14ac:dyDescent="0.2">
      <c r="B198" s="90"/>
      <c r="C198" s="90"/>
      <c r="D198" s="90"/>
      <c r="E198" s="31"/>
      <c r="F198" s="31"/>
      <c r="H198" s="92"/>
      <c r="I198" s="92"/>
    </row>
    <row r="199" spans="2:9" x14ac:dyDescent="0.2">
      <c r="B199" s="90" t="str">
        <f>links!B34</f>
        <v>smr_atr</v>
      </c>
      <c r="C199" s="90" t="str">
        <f>links!C34</f>
        <v>grijze_waterstof</v>
      </c>
      <c r="D199" s="90" t="str">
        <f>links!D34</f>
        <v>waterstof</v>
      </c>
      <c r="E199" s="34">
        <f>E193</f>
        <v>65.039999999999992</v>
      </c>
      <c r="F199" s="34">
        <f>F193</f>
        <v>20</v>
      </c>
      <c r="H199" s="92" t="s">
        <v>515</v>
      </c>
      <c r="I199" s="92" t="s">
        <v>515</v>
      </c>
    </row>
    <row r="200" spans="2:9" x14ac:dyDescent="0.2">
      <c r="B200" s="90" t="str">
        <f>links!B35</f>
        <v>smr_atr</v>
      </c>
      <c r="C200" s="90" t="str">
        <f>links!C35</f>
        <v>blauwe_waterstof</v>
      </c>
      <c r="D200" s="90" t="str">
        <f>links!D35</f>
        <v>waterstof</v>
      </c>
      <c r="E200" s="34">
        <f>E194</f>
        <v>0</v>
      </c>
      <c r="F200" s="34">
        <f>F194</f>
        <v>70.8</v>
      </c>
      <c r="H200" s="92"/>
      <c r="I200" s="92" t="s">
        <v>516</v>
      </c>
    </row>
    <row r="201" spans="2:9" x14ac:dyDescent="0.2">
      <c r="B201" s="90" t="str">
        <f>links!B36</f>
        <v>elektrolysers</v>
      </c>
      <c r="C201" s="90" t="str">
        <f>links!C36</f>
        <v>groene_waterstof</v>
      </c>
      <c r="D201" s="90" t="str">
        <f>links!D36</f>
        <v>waterstof</v>
      </c>
      <c r="E201" s="31">
        <v>0</v>
      </c>
      <c r="F201" s="34">
        <f>E32</f>
        <v>27.72</v>
      </c>
      <c r="H201" s="92"/>
      <c r="I201" s="92" t="s">
        <v>517</v>
      </c>
    </row>
    <row r="202" spans="2:9" x14ac:dyDescent="0.2">
      <c r="B202" s="90"/>
      <c r="C202" s="90"/>
      <c r="D202" s="90"/>
      <c r="E202" s="31"/>
      <c r="F202" s="31"/>
      <c r="H202" s="92"/>
      <c r="I202" s="92"/>
    </row>
    <row r="203" spans="2:9" x14ac:dyDescent="0.2">
      <c r="B203" s="90" t="str">
        <f>links!B38</f>
        <v>bron_elektriciteit</v>
      </c>
      <c r="C203" s="90" t="str">
        <f>links!C38</f>
        <v>elektrolysers</v>
      </c>
      <c r="D203" s="90" t="str">
        <f>links!D38</f>
        <v>elektriciteit</v>
      </c>
      <c r="E203" s="34">
        <v>0</v>
      </c>
      <c r="F203" s="34">
        <f>E23</f>
        <v>45.72</v>
      </c>
      <c r="H203" s="92"/>
      <c r="I203" s="92" t="s">
        <v>518</v>
      </c>
    </row>
    <row r="204" spans="2:9" x14ac:dyDescent="0.2">
      <c r="B204" s="90" t="str">
        <f>links!B39</f>
        <v>bron_aardgas</v>
      </c>
      <c r="C204" s="90" t="str">
        <f>links!C39</f>
        <v>smr_atr</v>
      </c>
      <c r="D204" s="90" t="str">
        <f>links!D39</f>
        <v>aardgas</v>
      </c>
      <c r="E204" s="34">
        <f>C58+C64</f>
        <v>65.039999999999992</v>
      </c>
      <c r="F204" s="34">
        <f>C108+C80+C116+C100</f>
        <v>101.84</v>
      </c>
      <c r="H204" s="92" t="s">
        <v>472</v>
      </c>
      <c r="I204" s="92"/>
    </row>
    <row r="205" spans="2:9" x14ac:dyDescent="0.2">
      <c r="B205" s="90" t="str">
        <f>links!B40</f>
        <v>bron_restgas</v>
      </c>
      <c r="C205" s="90" t="str">
        <f>links!C40</f>
        <v>smr_atr</v>
      </c>
      <c r="D205" s="90" t="str">
        <f>links!D40</f>
        <v>restgas</v>
      </c>
      <c r="E205" s="36">
        <f>C59+C65</f>
        <v>30.018461538461533</v>
      </c>
      <c r="F205" s="34">
        <f>C94+C86+C112+C120</f>
        <v>30.01846153846153</v>
      </c>
      <c r="H205" s="92"/>
      <c r="I205" s="92" t="s">
        <v>519</v>
      </c>
    </row>
    <row r="206" spans="2:9" x14ac:dyDescent="0.2">
      <c r="B206" s="90"/>
      <c r="C206" s="90"/>
      <c r="D206" s="90"/>
      <c r="E206" s="31"/>
      <c r="F206" s="31"/>
      <c r="H206" s="92"/>
      <c r="I206" s="92"/>
    </row>
    <row r="207" spans="2:9" x14ac:dyDescent="0.2">
      <c r="B207" s="90" t="str">
        <f>links!B42</f>
        <v>elektrolysers</v>
      </c>
      <c r="C207" s="90" t="str">
        <f>links!C42</f>
        <v>elektrolyse_verlies</v>
      </c>
      <c r="D207" s="90" t="str">
        <f>links!D42</f>
        <v>verlies</v>
      </c>
      <c r="E207" s="34">
        <f>E203-E195</f>
        <v>0</v>
      </c>
      <c r="F207" s="34">
        <f>F203-F195</f>
        <v>18</v>
      </c>
      <c r="H207" s="92"/>
      <c r="I207" s="92"/>
    </row>
    <row r="208" spans="2:9" x14ac:dyDescent="0.2">
      <c r="B208" s="90" t="str">
        <f>links!B43</f>
        <v>smr_atr</v>
      </c>
      <c r="C208" s="90" t="str">
        <f>links!C43</f>
        <v>smr_atr_verlies</v>
      </c>
      <c r="D208" s="90" t="str">
        <f>links!D43</f>
        <v>verlies</v>
      </c>
      <c r="E208" s="34">
        <f>E204+E205-E199-E200</f>
        <v>30.018461538461537</v>
      </c>
      <c r="F208" s="34">
        <f>F204+F205-F199-F200</f>
        <v>41.058461538461543</v>
      </c>
      <c r="H208" s="92"/>
      <c r="I208" s="92"/>
    </row>
    <row r="209" spans="2:9" x14ac:dyDescent="0.2">
      <c r="B209" s="90"/>
      <c r="C209" s="90"/>
      <c r="D209" s="90"/>
      <c r="E209" s="31"/>
      <c r="F209" s="31"/>
      <c r="H209" s="92"/>
      <c r="I209" s="92"/>
    </row>
    <row r="210" spans="2:9" x14ac:dyDescent="0.2">
      <c r="B210" s="91" t="str">
        <f>links!B45</f>
        <v>bron_kolen</v>
      </c>
      <c r="C210" s="91" t="str">
        <f>links!C45</f>
        <v>industrie</v>
      </c>
      <c r="D210" s="91" t="str">
        <f>links!D45</f>
        <v>kolen</v>
      </c>
      <c r="E210" s="89">
        <v>0</v>
      </c>
      <c r="F210" s="89">
        <v>0</v>
      </c>
      <c r="H210" s="92"/>
      <c r="I210" s="92"/>
    </row>
    <row r="211" spans="2:9" x14ac:dyDescent="0.2">
      <c r="B211" s="91" t="str">
        <f>links!B46</f>
        <v>bron_afval</v>
      </c>
      <c r="C211" s="91" t="str">
        <f>links!C46</f>
        <v>industrie</v>
      </c>
      <c r="D211" s="91" t="str">
        <f>links!D46</f>
        <v>afval</v>
      </c>
      <c r="E211" s="89">
        <v>0</v>
      </c>
      <c r="F211" s="89">
        <v>0</v>
      </c>
      <c r="H211" s="92"/>
      <c r="I211" s="92"/>
    </row>
    <row r="212" spans="2:9" x14ac:dyDescent="0.2">
      <c r="B212" s="91" t="str">
        <f>links!B47</f>
        <v>bron_biomassa</v>
      </c>
      <c r="C212" s="91" t="str">
        <f>links!C47</f>
        <v>industrie</v>
      </c>
      <c r="D212" s="91" t="str">
        <f>links!D47</f>
        <v>biomassa</v>
      </c>
      <c r="E212" s="89">
        <v>0</v>
      </c>
      <c r="F212" s="89">
        <v>0</v>
      </c>
      <c r="H212" s="92"/>
      <c r="I212" s="92"/>
    </row>
    <row r="213" spans="2:9" x14ac:dyDescent="0.2">
      <c r="B213" s="91" t="str">
        <f>links!B48</f>
        <v>reserveslot_1</v>
      </c>
      <c r="C213" s="91" t="str">
        <f>links!C48</f>
        <v>reserveslot_5</v>
      </c>
      <c r="D213" s="91" t="str">
        <f>links!D48</f>
        <v>reserveslot</v>
      </c>
      <c r="E213" s="89">
        <v>0</v>
      </c>
      <c r="F213" s="89">
        <v>0</v>
      </c>
      <c r="H213" s="92"/>
      <c r="I213" s="92"/>
    </row>
    <row r="214" spans="2:9" x14ac:dyDescent="0.2">
      <c r="B214" s="91" t="str">
        <f>links!B49</f>
        <v>reserveslot_1</v>
      </c>
      <c r="C214" s="91" t="str">
        <f>links!C49</f>
        <v>reserveslot_6</v>
      </c>
      <c r="D214" s="91" t="str">
        <f>links!D49</f>
        <v>reserveslot</v>
      </c>
      <c r="E214" s="89">
        <v>0</v>
      </c>
      <c r="F214" s="89">
        <v>0</v>
      </c>
      <c r="H214" s="92"/>
      <c r="I214" s="92"/>
    </row>
    <row r="215" spans="2:9" x14ac:dyDescent="0.2">
      <c r="B215" s="91" t="str">
        <f>links!B50</f>
        <v>reserveslot_1</v>
      </c>
      <c r="C215" s="91" t="str">
        <f>links!C50</f>
        <v>reserveslot_7</v>
      </c>
      <c r="D215" s="91" t="str">
        <f>links!D50</f>
        <v>reserveslot</v>
      </c>
      <c r="E215" s="89">
        <v>0</v>
      </c>
      <c r="F215" s="89">
        <v>0</v>
      </c>
      <c r="H215" s="92"/>
      <c r="I215" s="92"/>
    </row>
    <row r="216" spans="2:9" x14ac:dyDescent="0.2">
      <c r="B216" s="91" t="str">
        <f>links!B51</f>
        <v>reserveslot_1</v>
      </c>
      <c r="C216" s="91" t="str">
        <f>links!C51</f>
        <v>reserveslot_8</v>
      </c>
      <c r="D216" s="91" t="str">
        <f>links!D51</f>
        <v>reserveslot</v>
      </c>
      <c r="E216" s="89">
        <v>0</v>
      </c>
      <c r="F216" s="89">
        <v>0</v>
      </c>
      <c r="H216" s="92"/>
      <c r="I216" s="92"/>
    </row>
    <row r="217" spans="2:9" x14ac:dyDescent="0.2">
      <c r="B217" s="91" t="str">
        <f>links!B52</f>
        <v>reserveslot_1</v>
      </c>
      <c r="C217" s="91" t="str">
        <f>links!C52</f>
        <v>reserveslot_9</v>
      </c>
      <c r="D217" s="91" t="str">
        <f>links!D52</f>
        <v>reserveslot</v>
      </c>
      <c r="E217" s="89">
        <v>0</v>
      </c>
      <c r="F217" s="89">
        <v>0</v>
      </c>
      <c r="H217" s="92"/>
      <c r="I217" s="92"/>
    </row>
    <row r="218" spans="2:9" x14ac:dyDescent="0.2">
      <c r="B218" s="91" t="str">
        <f>links!B53</f>
        <v>reserveslot_1</v>
      </c>
      <c r="C218" s="91" t="str">
        <f>links!C53</f>
        <v>reserveslot_10</v>
      </c>
      <c r="D218" s="91" t="str">
        <f>links!D53</f>
        <v>reserveslot</v>
      </c>
      <c r="E218" s="89">
        <v>0</v>
      </c>
      <c r="F218" s="89">
        <v>0</v>
      </c>
      <c r="H218" s="92"/>
      <c r="I218" s="92"/>
    </row>
    <row r="219" spans="2:9" x14ac:dyDescent="0.2">
      <c r="B219" s="91" t="str">
        <f>links!B54</f>
        <v>reserveslot_2</v>
      </c>
      <c r="C219" s="91" t="str">
        <f>links!C54</f>
        <v>reserveslot_3</v>
      </c>
      <c r="D219" s="91" t="str">
        <f>links!D54</f>
        <v>reserveslot</v>
      </c>
      <c r="E219" s="89">
        <v>0</v>
      </c>
      <c r="F219" s="89">
        <v>0</v>
      </c>
      <c r="H219" s="92"/>
      <c r="I219" s="92"/>
    </row>
    <row r="220" spans="2:9" x14ac:dyDescent="0.2">
      <c r="B220" s="91" t="str">
        <f>links!B55</f>
        <v>reserveslot_2</v>
      </c>
      <c r="C220" s="91" t="str">
        <f>links!C55</f>
        <v>reserveslot_4</v>
      </c>
      <c r="D220" s="91" t="str">
        <f>links!D55</f>
        <v>reserveslot</v>
      </c>
      <c r="E220" s="89">
        <v>0</v>
      </c>
      <c r="F220" s="89">
        <v>0</v>
      </c>
      <c r="H220" s="92"/>
      <c r="I220" s="92"/>
    </row>
    <row r="221" spans="2:9" x14ac:dyDescent="0.2">
      <c r="B221" s="91" t="str">
        <f>links!B56</f>
        <v>reserveslot_2</v>
      </c>
      <c r="C221" s="91" t="str">
        <f>links!C56</f>
        <v>reserveslot_5</v>
      </c>
      <c r="D221" s="91" t="str">
        <f>links!D56</f>
        <v>reserveslot</v>
      </c>
      <c r="E221" s="89">
        <v>0</v>
      </c>
      <c r="F221" s="89">
        <v>0</v>
      </c>
      <c r="H221" s="92"/>
      <c r="I221" s="92"/>
    </row>
    <row r="222" spans="2:9" x14ac:dyDescent="0.2">
      <c r="B222" s="91" t="str">
        <f>links!B57</f>
        <v>reserveslot_2</v>
      </c>
      <c r="C222" s="91" t="str">
        <f>links!C57</f>
        <v>reserveslot_6</v>
      </c>
      <c r="D222" s="91" t="str">
        <f>links!D57</f>
        <v>reserveslot</v>
      </c>
      <c r="E222" s="89">
        <v>0</v>
      </c>
      <c r="F222" s="89">
        <v>0</v>
      </c>
      <c r="H222" s="92"/>
      <c r="I222" s="92"/>
    </row>
    <row r="223" spans="2:9" x14ac:dyDescent="0.2">
      <c r="B223" s="91" t="str">
        <f>links!B58</f>
        <v>reserveslot_2</v>
      </c>
      <c r="C223" s="91" t="str">
        <f>links!C58</f>
        <v>reserveslot_7</v>
      </c>
      <c r="D223" s="91" t="str">
        <f>links!D58</f>
        <v>reserveslot</v>
      </c>
      <c r="E223" s="89">
        <v>0</v>
      </c>
      <c r="F223" s="89">
        <v>0</v>
      </c>
      <c r="H223" s="92"/>
      <c r="I223" s="92"/>
    </row>
    <row r="224" spans="2:9" x14ac:dyDescent="0.2">
      <c r="B224" s="91" t="str">
        <f>links!B59</f>
        <v>reserveslot_2</v>
      </c>
      <c r="C224" s="91" t="str">
        <f>links!C59</f>
        <v>reserveslot_8</v>
      </c>
      <c r="D224" s="91" t="str">
        <f>links!D59</f>
        <v>reserveslot</v>
      </c>
      <c r="E224" s="89">
        <v>0</v>
      </c>
      <c r="F224" s="89">
        <v>0</v>
      </c>
      <c r="H224" s="92"/>
      <c r="I224" s="31"/>
    </row>
    <row r="225" spans="2:9" x14ac:dyDescent="0.2">
      <c r="B225" s="91"/>
      <c r="C225" s="91"/>
      <c r="D225" s="91"/>
      <c r="E225" s="89"/>
      <c r="F225" s="89"/>
      <c r="H225" s="92"/>
      <c r="I225" s="31"/>
    </row>
    <row r="226" spans="2:9" x14ac:dyDescent="0.2">
      <c r="B226" s="97" t="str">
        <f>links!B61</f>
        <v>co2_bron_aardgasverbranding</v>
      </c>
      <c r="C226" s="97" t="str">
        <f>links!C61</f>
        <v>co2_productie_totaal</v>
      </c>
      <c r="D226" s="97" t="str">
        <f>links!D61</f>
        <v>co2flow</v>
      </c>
      <c r="E226" s="65">
        <f>C144</f>
        <v>3945.3998644067806</v>
      </c>
      <c r="F226" s="65">
        <f>C158</f>
        <v>116.50901694915264</v>
      </c>
      <c r="H226" s="92" t="str">
        <f>"&lt;aanname&gt;&lt;strong&gt;[Zeeland]&lt;/strong&gt; Berekende CO&lt;sub&gt;2&lt;/sub&gt;-emissie bij verbranding van "&amp;ROUND(C73,0) &amp;" PJ aardgas @ "&amp;D10&amp;" ktonCO&lt;sub&gt;2&lt;/sub&gt;/PJ.&lt;/aanname&gt;"</f>
        <v>&lt;aanname&gt;&lt;strong&gt;[Zeeland]&lt;/strong&gt; Berekende CO&lt;sub&gt;2&lt;/sub&gt;-emissie bij verbranding van 70 PJ aardgas @ 56.4 ktonCO&lt;sub&gt;2&lt;/sub&gt;/PJ.&lt;/aanname&gt;</v>
      </c>
      <c r="I226" s="92" t="str">
        <f>"&lt;aanname&gt;&lt;strong&gt;[Zeeland]&lt;/strong&gt; Berekende CO&lt;sub&gt;2&lt;/sub&gt;-emissie bij verbranding van "&amp;ROUND(C132,0) &amp;" PJ aardgas @ "&amp;D10&amp;" ktonCO&lt;sub&gt;2&lt;/sub&gt;/PJ.&lt;/aanname&gt;"</f>
        <v>&lt;aanname&gt;&lt;strong&gt;[Zeeland]&lt;/strong&gt; Berekende CO&lt;sub&gt;2&lt;/sub&gt;-emissie bij verbranding van 2 PJ aardgas @ 56.4 ktonCO&lt;sub&gt;2&lt;/sub&gt;/PJ.&lt;/aanname&gt;</v>
      </c>
    </row>
    <row r="227" spans="2:9" x14ac:dyDescent="0.2">
      <c r="B227" s="97" t="str">
        <f>links!B62</f>
        <v>co2_bron_restgasverbranding</v>
      </c>
      <c r="C227" s="97" t="str">
        <f>links!C62</f>
        <v>co2_productie_totaal</v>
      </c>
      <c r="D227" s="97" t="str">
        <f>links!D62</f>
        <v>co2flow</v>
      </c>
      <c r="E227" s="65">
        <f>C145</f>
        <v>0</v>
      </c>
      <c r="F227" s="65">
        <f>C157</f>
        <v>0</v>
      </c>
      <c r="H227" s="92" t="str">
        <f>"&lt;aanname&gt;&lt;strong&gt;[Zeeland]&lt;/strong&gt; Berekende CO&lt;sub&gt;2&lt;/sub&gt;-emissie bij verbranding van "&amp;ROUND(C70,0) &amp;" PJ restgas @ "&amp;D12&amp;" ktonCO&lt;sub&gt;2&lt;/sub&gt;/PJ.&lt;/aanname&gt;"</f>
        <v>&lt;aanname&gt;&lt;strong&gt;[Zeeland]&lt;/strong&gt; Berekende CO&lt;sub&gt;2&lt;/sub&gt;-emissie bij verbranding van 0 PJ restgas @ 64.6 ktonCO&lt;sub&gt;2&lt;/sub&gt;/PJ.&lt;/aanname&gt;</v>
      </c>
      <c r="I227" s="92"/>
    </row>
    <row r="228" spans="2:9" x14ac:dyDescent="0.2">
      <c r="B228" s="97" t="str">
        <f>links!B63</f>
        <v>co2_bron_smr_restgas</v>
      </c>
      <c r="C228" s="97" t="str">
        <f>links!C63</f>
        <v>co2_productie_totaal</v>
      </c>
      <c r="D228" s="97" t="str">
        <f>links!D63</f>
        <v>co2flow</v>
      </c>
      <c r="E228" s="65">
        <f>C147</f>
        <v>1939.1926153846148</v>
      </c>
      <c r="F228" s="65">
        <f>C159+C153/D9</f>
        <v>1940.2436923076916</v>
      </c>
      <c r="H228" s="92" t="str">
        <f>"&lt;aanname&gt;&lt;strong&gt;[Zeeland]&lt;/strong&gt; Berekende CO&lt;sub&gt;2&lt;/sub&gt;-productie bij Steam Methane Reforming van "&amp;ROUND(C59,0) &amp;" PJ restgas @ "&amp;D12&amp;" ktonCO&lt;sub&gt;2&lt;/sub&gt;/PJ.&lt;/aanname&gt;"</f>
        <v>&lt;aanname&gt;&lt;strong&gt;[Zeeland]&lt;/strong&gt; Berekende CO&lt;sub&gt;2&lt;/sub&gt;-productie bij Steam Methane Reforming van 30 PJ restgas @ 64.6 ktonCO&lt;sub&gt;2&lt;/sub&gt;/PJ.&lt;/aanname&gt;</v>
      </c>
      <c r="I228" s="92" t="str">
        <f>"&lt;aanname&gt;&lt;strong&gt;[Zeeland]&lt;/strong&gt; Berekende CO&lt;sub&gt;2&lt;/sub&gt;-productie bij Steam Methane Reforming van "&amp;ROUND(C120+C112,0) &amp;" PJ restgas @ "&amp;D12&amp;" ktonCO&lt;sub&gt;2&lt;/sub&gt;/PJ.&lt;/aanname&gt;"</f>
        <v>&lt;aanname&gt;&lt;strong&gt;[Zeeland]&lt;/strong&gt; Berekende CO&lt;sub&gt;2&lt;/sub&gt;-productie bij Steam Methane Reforming van 30 PJ restgas @ 64.6 ktonCO&lt;sub&gt;2&lt;/sub&gt;/PJ.&lt;/aanname&gt;</v>
      </c>
    </row>
    <row r="229" spans="2:9" x14ac:dyDescent="0.2">
      <c r="B229" s="97" t="str">
        <f>links!B64</f>
        <v>co2_bron_smr_aardgas</v>
      </c>
      <c r="C229" s="97" t="str">
        <f>links!C64</f>
        <v>co2_productie_totaal</v>
      </c>
      <c r="D229" s="97" t="str">
        <f>links!D64</f>
        <v>co2flow</v>
      </c>
      <c r="E229" s="65">
        <f>C146</f>
        <v>3668.2559999999994</v>
      </c>
      <c r="F229" s="65">
        <f>C152/D9+C160</f>
        <v>5743.7759999999998</v>
      </c>
      <c r="H229" s="92" t="str">
        <f>"&lt;aanname&gt;&lt;strong&gt;[Zeeland]&lt;/strong&gt; Berekende CO&lt;sub&gt;2&lt;/sub&gt;-productie bij Steam Methane Reforming van "&amp;ROUND(C58,0) &amp;" PJ aardgas @ "&amp;D10&amp;" ktonCO&lt;sub&gt;2&lt;/sub&gt;/PJ.&lt;/aanname&gt;"</f>
        <v>&lt;aanname&gt;&lt;strong&gt;[Zeeland]&lt;/strong&gt; Berekende CO&lt;sub&gt;2&lt;/sub&gt;-productie bij Steam Methane Reforming van 65 PJ aardgas @ 56.4 ktonCO&lt;sub&gt;2&lt;/sub&gt;/PJ.&lt;/aanname&gt;</v>
      </c>
      <c r="I229" s="92" t="str">
        <f>"&lt;aanname&gt;&lt;strong&gt;[Zeeland]&lt;/strong&gt; Berekende CO&lt;sub&gt;2&lt;/sub&gt;-productie bij Steam Methane Reforming van "&amp;ROUND(C108+C116,0) &amp;" PJ aardgas @ "&amp;D10&amp;" ktonCO&lt;sub&gt;2&lt;/sub&gt;/PJ.&lt;/aanname&gt;"</f>
        <v>&lt;aanname&gt;&lt;strong&gt;[Zeeland]&lt;/strong&gt; Berekende CO&lt;sub&gt;2&lt;/sub&gt;-productie bij Steam Methane Reforming van 102 PJ aardgas @ 56.4 ktonCO&lt;sub&gt;2&lt;/sub&gt;/PJ.&lt;/aanname&gt;</v>
      </c>
    </row>
    <row r="230" spans="2:9" x14ac:dyDescent="0.2">
      <c r="B230" s="97" t="str">
        <f>links!B65</f>
        <v>co2_bron_overige</v>
      </c>
      <c r="C230" s="97" t="str">
        <f>links!C65</f>
        <v>co2_productie_totaal</v>
      </c>
      <c r="D230" s="97" t="str">
        <f>links!D65</f>
        <v>co2flow</v>
      </c>
      <c r="E230" s="65"/>
      <c r="F230" s="65">
        <v>0</v>
      </c>
      <c r="H230" s="92"/>
      <c r="I230" s="31"/>
    </row>
    <row r="231" spans="2:9" x14ac:dyDescent="0.2">
      <c r="B231" s="97" t="str">
        <f>links!B66</f>
        <v>co2_bron_reserve_slot1</v>
      </c>
      <c r="C231" s="97" t="str">
        <f>links!C66</f>
        <v>co2_productie_totaal</v>
      </c>
      <c r="D231" s="97" t="str">
        <f>links!D66</f>
        <v>co2flow</v>
      </c>
      <c r="E231" s="65"/>
      <c r="F231" s="65">
        <v>0</v>
      </c>
      <c r="H231" s="92"/>
      <c r="I231" s="31"/>
    </row>
    <row r="232" spans="2:9" x14ac:dyDescent="0.2">
      <c r="B232" s="97" t="str">
        <f>links!B67</f>
        <v>co2_bron_reserve_slot2</v>
      </c>
      <c r="C232" s="97" t="str">
        <f>links!C67</f>
        <v>co2_productie_totaal</v>
      </c>
      <c r="D232" s="97" t="str">
        <f>links!D67</f>
        <v>co2flow</v>
      </c>
      <c r="E232" s="65"/>
      <c r="F232" s="65">
        <v>0</v>
      </c>
      <c r="H232" s="92"/>
      <c r="I232" s="31"/>
    </row>
    <row r="233" spans="2:9" x14ac:dyDescent="0.2">
      <c r="B233" s="97" t="str">
        <f>links!B68</f>
        <v>co2_bron_reserve_slot3</v>
      </c>
      <c r="C233" s="97" t="str">
        <f>links!C68</f>
        <v>co2_productie_totaal</v>
      </c>
      <c r="D233" s="97" t="str">
        <f>links!D68</f>
        <v>co2flow</v>
      </c>
      <c r="E233" s="65"/>
      <c r="F233" s="65">
        <v>0</v>
      </c>
      <c r="H233" s="92"/>
      <c r="I233" s="31"/>
    </row>
    <row r="234" spans="2:9" x14ac:dyDescent="0.2">
      <c r="B234" s="97" t="str">
        <f>links!B69</f>
        <v>co2_bron_reserve_slot4</v>
      </c>
      <c r="C234" s="97" t="str">
        <f>links!C69</f>
        <v>co2_productie_totaal</v>
      </c>
      <c r="D234" s="97" t="str">
        <f>links!D69</f>
        <v>co2flow</v>
      </c>
      <c r="E234" s="65"/>
      <c r="F234" s="65">
        <v>0</v>
      </c>
      <c r="H234" s="92"/>
      <c r="I234" s="31"/>
    </row>
    <row r="235" spans="2:9" x14ac:dyDescent="0.2">
      <c r="B235" s="97" t="str">
        <f>links!B70</f>
        <v>co2_bron_reserve_slot5</v>
      </c>
      <c r="C235" s="97" t="str">
        <f>links!C70</f>
        <v>co2_productie_totaal</v>
      </c>
      <c r="D235" s="97" t="str">
        <f>links!D70</f>
        <v>co2flow</v>
      </c>
      <c r="E235" s="65"/>
      <c r="F235" s="65">
        <v>0</v>
      </c>
      <c r="H235" s="92"/>
      <c r="I235" s="31"/>
    </row>
    <row r="236" spans="2:9" x14ac:dyDescent="0.2">
      <c r="B236" s="97"/>
      <c r="C236" s="97"/>
      <c r="D236" s="97"/>
      <c r="E236" s="65"/>
      <c r="F236" s="65"/>
      <c r="H236" s="92"/>
      <c r="I236" s="31"/>
    </row>
    <row r="237" spans="2:9" x14ac:dyDescent="0.2">
      <c r="B237" s="97" t="str">
        <f>links!B72</f>
        <v>co2_productie_totaal</v>
      </c>
      <c r="C237" s="97" t="str">
        <f>links!C72</f>
        <v>co2_afvang_smr_restgas</v>
      </c>
      <c r="D237" s="97" t="str">
        <f>links!D72</f>
        <v>co2flow</v>
      </c>
      <c r="E237" s="65"/>
      <c r="F237" s="65">
        <f>C153/D9</f>
        <v>-47.448615384615678</v>
      </c>
      <c r="H237" s="92"/>
      <c r="I237" s="31"/>
    </row>
    <row r="238" spans="2:9" x14ac:dyDescent="0.2">
      <c r="B238" s="97" t="str">
        <f>links!B73</f>
        <v>co2_productie_totaal</v>
      </c>
      <c r="C238" s="97" t="str">
        <f>links!C73</f>
        <v>co2_afvang_smr_aardgas</v>
      </c>
      <c r="D238" s="97" t="str">
        <f>links!D73</f>
        <v>co2flow</v>
      </c>
      <c r="E238" s="65"/>
      <c r="F238" s="65">
        <f>C152/D9</f>
        <v>5743.7759999999998</v>
      </c>
      <c r="H238" s="92"/>
      <c r="I238" s="31"/>
    </row>
    <row r="239" spans="2:9" x14ac:dyDescent="0.2">
      <c r="B239" s="97" t="str">
        <f>links!B74</f>
        <v>co2_productie_totaal</v>
      </c>
      <c r="C239" s="97" t="str">
        <f>links!C74</f>
        <v>co2_afvang_overige</v>
      </c>
      <c r="D239" s="97" t="str">
        <f>links!D74</f>
        <v>co2flow</v>
      </c>
      <c r="E239" s="65">
        <f>C141</f>
        <v>0</v>
      </c>
      <c r="F239" s="65">
        <v>0</v>
      </c>
      <c r="H239" s="92"/>
      <c r="I239" s="31"/>
    </row>
    <row r="240" spans="2:9" x14ac:dyDescent="0.2">
      <c r="B240" s="97" t="str">
        <f>links!B75</f>
        <v>co2_productie_totaal</v>
      </c>
      <c r="C240" s="97" t="str">
        <f>links!C75</f>
        <v>co2_afvang_reserve_slot1</v>
      </c>
      <c r="D240" s="97" t="str">
        <f>links!D75</f>
        <v>co2flow</v>
      </c>
      <c r="E240" s="65"/>
      <c r="F240" s="65">
        <v>0</v>
      </c>
      <c r="H240" s="92"/>
      <c r="I240" s="31"/>
    </row>
    <row r="241" spans="2:9" x14ac:dyDescent="0.2">
      <c r="B241" s="97" t="str">
        <f>links!B76</f>
        <v>co2_productie_totaal</v>
      </c>
      <c r="C241" s="97" t="str">
        <f>links!C76</f>
        <v>co2_afvang_reserve_slot2</v>
      </c>
      <c r="D241" s="97" t="str">
        <f>links!D76</f>
        <v>co2flow</v>
      </c>
      <c r="E241" s="65"/>
      <c r="F241" s="65">
        <v>0</v>
      </c>
      <c r="H241" s="92"/>
      <c r="I241" s="31"/>
    </row>
    <row r="242" spans="2:9" x14ac:dyDescent="0.2">
      <c r="B242" s="97" t="str">
        <f>links!B77</f>
        <v>co2_productie_totaal</v>
      </c>
      <c r="C242" s="97" t="str">
        <f>links!C77</f>
        <v>co2_afvang_reserve_slot3</v>
      </c>
      <c r="D242" s="97" t="str">
        <f>links!D77</f>
        <v>co2flow</v>
      </c>
      <c r="E242" s="65"/>
      <c r="F242" s="65">
        <v>0</v>
      </c>
      <c r="H242" s="92"/>
      <c r="I242" s="31"/>
    </row>
    <row r="243" spans="2:9" x14ac:dyDescent="0.2">
      <c r="B243" s="97" t="str">
        <f>links!B78</f>
        <v>co2_productie_totaal</v>
      </c>
      <c r="C243" s="97" t="str">
        <f>links!C78</f>
        <v>co2_afvang_reserve_slot4</v>
      </c>
      <c r="D243" s="97" t="str">
        <f>links!D78</f>
        <v>co2flow</v>
      </c>
      <c r="E243" s="65"/>
      <c r="F243" s="65">
        <v>0</v>
      </c>
      <c r="H243" s="92"/>
      <c r="I243" s="31"/>
    </row>
    <row r="244" spans="2:9" x14ac:dyDescent="0.2">
      <c r="B244" s="97" t="str">
        <f>links!B79</f>
        <v>co2_productie_totaal</v>
      </c>
      <c r="C244" s="97" t="str">
        <f>links!C79</f>
        <v>co2_afvang_reserve_slot5</v>
      </c>
      <c r="D244" s="97" t="str">
        <f>links!D79</f>
        <v>co2flow</v>
      </c>
      <c r="E244" s="65"/>
      <c r="F244" s="65">
        <v>0</v>
      </c>
      <c r="H244" s="92"/>
      <c r="I244" s="31"/>
    </row>
    <row r="245" spans="2:9" x14ac:dyDescent="0.2">
      <c r="B245" s="97"/>
      <c r="C245" s="97"/>
      <c r="D245" s="97"/>
      <c r="E245" s="65"/>
      <c r="F245" s="65"/>
      <c r="H245" s="92"/>
      <c r="I245" s="31"/>
    </row>
    <row r="246" spans="2:9" x14ac:dyDescent="0.2">
      <c r="B246" s="97" t="str">
        <f>links!B81</f>
        <v>co2_afvang_smr_restgas</v>
      </c>
      <c r="C246" s="97" t="str">
        <f>links!C81</f>
        <v>co2_afvang_totaal</v>
      </c>
      <c r="D246" s="97" t="str">
        <f>links!D81</f>
        <v>co2flow</v>
      </c>
      <c r="E246" s="65"/>
      <c r="F246" s="65">
        <f>F237</f>
        <v>-47.448615384615678</v>
      </c>
      <c r="H246" s="92"/>
      <c r="I246" s="31"/>
    </row>
    <row r="247" spans="2:9" x14ac:dyDescent="0.2">
      <c r="B247" s="97" t="str">
        <f>links!B82</f>
        <v>co2_afvang_smr_aardgas</v>
      </c>
      <c r="C247" s="97" t="str">
        <f>links!C82</f>
        <v>co2_afvang_totaal</v>
      </c>
      <c r="D247" s="97" t="str">
        <f>links!D82</f>
        <v>co2flow</v>
      </c>
      <c r="E247" s="65"/>
      <c r="F247" s="65">
        <f>F238</f>
        <v>5743.7759999999998</v>
      </c>
      <c r="H247" s="92"/>
      <c r="I247" s="31"/>
    </row>
    <row r="248" spans="2:9" x14ac:dyDescent="0.2">
      <c r="B248" s="97" t="str">
        <f>links!B83</f>
        <v>co2_afvang_overige</v>
      </c>
      <c r="C248" s="97" t="str">
        <f>links!C83</f>
        <v>co2_afvang_totaal</v>
      </c>
      <c r="D248" s="97" t="str">
        <f>links!D83</f>
        <v>co2flow</v>
      </c>
      <c r="E248" s="65">
        <f>C141</f>
        <v>0</v>
      </c>
      <c r="F248" s="65">
        <v>0</v>
      </c>
      <c r="H248" s="92"/>
      <c r="I248" s="31"/>
    </row>
    <row r="249" spans="2:9" x14ac:dyDescent="0.2">
      <c r="B249" s="97" t="str">
        <f>links!B84</f>
        <v>co2_afvang_reserve_slot1</v>
      </c>
      <c r="C249" s="97" t="str">
        <f>links!C84</f>
        <v>co2_afvang_totaal</v>
      </c>
      <c r="D249" s="97" t="str">
        <f>links!D84</f>
        <v>co2flow</v>
      </c>
      <c r="E249" s="65"/>
      <c r="F249" s="65">
        <v>0</v>
      </c>
      <c r="H249" s="92"/>
      <c r="I249" s="31"/>
    </row>
    <row r="250" spans="2:9" x14ac:dyDescent="0.2">
      <c r="B250" s="97" t="str">
        <f>links!B85</f>
        <v>co2_afvang_reserve_slot2</v>
      </c>
      <c r="C250" s="97" t="str">
        <f>links!C85</f>
        <v>co2_afvang_totaal</v>
      </c>
      <c r="D250" s="97" t="str">
        <f>links!D85</f>
        <v>co2flow</v>
      </c>
      <c r="E250" s="65"/>
      <c r="F250" s="65">
        <v>0</v>
      </c>
      <c r="H250" s="92"/>
      <c r="I250" s="31"/>
    </row>
    <row r="251" spans="2:9" x14ac:dyDescent="0.2">
      <c r="B251" s="97" t="str">
        <f>links!B86</f>
        <v>co2_afvang_reserve_slot3</v>
      </c>
      <c r="C251" s="97" t="str">
        <f>links!C86</f>
        <v>co2_afvang_totaal</v>
      </c>
      <c r="D251" s="97" t="str">
        <f>links!D86</f>
        <v>co2flow</v>
      </c>
      <c r="E251" s="65"/>
      <c r="F251" s="65">
        <v>0</v>
      </c>
      <c r="H251" s="92"/>
      <c r="I251" s="31"/>
    </row>
    <row r="252" spans="2:9" x14ac:dyDescent="0.2">
      <c r="B252" s="97" t="str">
        <f>links!B87</f>
        <v>co2_afvang_reserve_slot4</v>
      </c>
      <c r="C252" s="97" t="str">
        <f>links!C87</f>
        <v>co2_afvang_totaal</v>
      </c>
      <c r="D252" s="97" t="str">
        <f>links!D87</f>
        <v>co2flow</v>
      </c>
      <c r="E252" s="65"/>
      <c r="F252" s="65">
        <v>0</v>
      </c>
      <c r="H252" s="92"/>
      <c r="I252" s="31"/>
    </row>
    <row r="253" spans="2:9" x14ac:dyDescent="0.2">
      <c r="B253" s="97" t="str">
        <f>links!B88</f>
        <v>co2_afvang_reserve_slot5</v>
      </c>
      <c r="C253" s="97" t="str">
        <f>links!C88</f>
        <v>co2_afvang_totaal</v>
      </c>
      <c r="D253" s="97" t="str">
        <f>links!D88</f>
        <v>co2flow</v>
      </c>
      <c r="E253" s="65"/>
      <c r="F253" s="65">
        <v>0</v>
      </c>
      <c r="H253" s="92"/>
      <c r="I253" s="31"/>
    </row>
    <row r="254" spans="2:9" x14ac:dyDescent="0.2">
      <c r="B254" s="97"/>
      <c r="C254" s="97"/>
      <c r="D254" s="97"/>
      <c r="E254" s="65"/>
      <c r="F254" s="65"/>
      <c r="H254" s="92"/>
      <c r="I254" s="31"/>
    </row>
    <row r="255" spans="2:9" x14ac:dyDescent="0.2">
      <c r="B255" s="97" t="str">
        <f>links!B90</f>
        <v>co2_afvang_totaal</v>
      </c>
      <c r="C255" s="97" t="str">
        <f>links!C90</f>
        <v>co2_emissies_totaal</v>
      </c>
      <c r="D255" s="97" t="str">
        <f>links!D90</f>
        <v>co2flow</v>
      </c>
      <c r="E255" s="65">
        <f>E248</f>
        <v>0</v>
      </c>
      <c r="F255" s="65">
        <f>SUM(F246:F247)-SUM(F246:F247)*D9</f>
        <v>1139.2654769230767</v>
      </c>
      <c r="H255" s="92"/>
      <c r="I255" s="31" t="str">
        <f>"&lt;aanname&gt;&lt;strong&gt;[Zeeland]&lt;/strong&gt; [MISMATCH] Volgens de CES wordt in 2035 3.100 kton CO&lt;sub&gt;2&lt;/sub&gt; CCS toegepast (pagina 35, figuur 2.12). De berekende totale netto afvangst van CO2 met aangenomen capture-rate van 80% komt uit op "&amp;ROUND(C154,0)&amp;" kton CO&lt;sub&gt;2&lt;/sub&gt;. Wat verklaart dit verschil? CCU?&lt;/aanname&gt;"</f>
        <v>&lt;aanname&gt;&lt;strong&gt;[Zeeland]&lt;/strong&gt; [MISMATCH] Volgens de CES wordt in 2035 3.100 kton CO&lt;sub&gt;2&lt;/sub&gt; CCS toegepast (pagina 35, figuur 2.12). De berekende totale netto afvangst van CO2 met aangenomen capture-rate van 80% komt uit op 4557 kton CO&lt;sub&gt;2&lt;/sub&gt;. Wat verklaart dit verschil? CCU?&lt;/aanname&gt;</v>
      </c>
    </row>
    <row r="256" spans="2:9" x14ac:dyDescent="0.2">
      <c r="B256" s="97" t="str">
        <f>links!B91</f>
        <v>co2_afvang_totaal</v>
      </c>
      <c r="C256" s="97" t="str">
        <f>links!C91</f>
        <v>co2_afgevangen_totaal</v>
      </c>
      <c r="D256" s="97" t="str">
        <f>links!D91</f>
        <v>co2flow</v>
      </c>
      <c r="E256" s="65">
        <f>E248</f>
        <v>0</v>
      </c>
      <c r="F256" s="65">
        <f>F246+F247-F255</f>
        <v>4557.0619076923076</v>
      </c>
      <c r="H256" s="92"/>
      <c r="I256" s="31"/>
    </row>
    <row r="257" spans="1:18" x14ac:dyDescent="0.2">
      <c r="B257" s="97" t="str">
        <f>links!B92</f>
        <v>co2_productie_totaal</v>
      </c>
      <c r="C257" s="97" t="str">
        <f>links!C92</f>
        <v>co2_emissies_totaal</v>
      </c>
      <c r="D257" s="97" t="str">
        <f>links!D92</f>
        <v>co2flow</v>
      </c>
      <c r="E257" s="65">
        <f>SUM(E226:E229)-E248</f>
        <v>9552.8484797913952</v>
      </c>
      <c r="F257" s="65">
        <f>SUM(F226:F235)-F256-F255</f>
        <v>2104.2013246414599</v>
      </c>
      <c r="H257" s="92" t="s">
        <v>520</v>
      </c>
      <c r="I257" s="92" t="s">
        <v>521</v>
      </c>
    </row>
    <row r="258" spans="1:18" x14ac:dyDescent="0.2">
      <c r="B258" s="97"/>
      <c r="C258" s="97"/>
      <c r="D258" s="97"/>
      <c r="E258" s="65"/>
      <c r="F258" s="65"/>
      <c r="H258" s="92"/>
      <c r="I258" s="31"/>
    </row>
    <row r="259" spans="1:18" x14ac:dyDescent="0.2">
      <c r="E259"/>
    </row>
    <row r="261" spans="1:18" s="5" customFormat="1" x14ac:dyDescent="0.2">
      <c r="A261"/>
      <c r="B261" s="66" t="s">
        <v>165</v>
      </c>
      <c r="C261" s="15">
        <v>2021</v>
      </c>
      <c r="D261" s="71">
        <v>2035</v>
      </c>
      <c r="F261"/>
      <c r="G261"/>
      <c r="H261"/>
      <c r="I261"/>
      <c r="J261"/>
      <c r="K261"/>
      <c r="L261"/>
      <c r="M261"/>
      <c r="N261"/>
      <c r="O261"/>
      <c r="P261"/>
      <c r="Q261"/>
      <c r="R261"/>
    </row>
    <row r="262" spans="1:18" s="5" customFormat="1" x14ac:dyDescent="0.2">
      <c r="A262"/>
      <c r="B262" s="25" t="s">
        <v>59</v>
      </c>
      <c r="C262" s="5">
        <f>E203+E204+E205+E197+E168+E171+E172+E173+E169</f>
        <v>175.45235984354628</v>
      </c>
      <c r="D262" s="67">
        <f>F203+F204+F205+F197+F168+F171+F172+F173+F169</f>
        <v>269.16422425032596</v>
      </c>
      <c r="F262"/>
      <c r="G262"/>
      <c r="H262"/>
      <c r="I262"/>
      <c r="J262"/>
      <c r="K262"/>
      <c r="L262"/>
      <c r="M262"/>
      <c r="N262"/>
      <c r="O262"/>
      <c r="P262"/>
      <c r="Q262"/>
      <c r="R262"/>
    </row>
    <row r="263" spans="1:18" s="5" customFormat="1" x14ac:dyDescent="0.2">
      <c r="A263"/>
      <c r="B263" s="68" t="s">
        <v>60</v>
      </c>
      <c r="C263" s="69">
        <f>E168+E171+E179+E191+E207+E208+E172+E173+E180+E182+E169</f>
        <v>175.4523598435463</v>
      </c>
      <c r="D263" s="70">
        <f>F168+F171+F179+F191+F207+F208+F172+F173+F180+F182+F169+F189</f>
        <v>269.1642242503259</v>
      </c>
      <c r="F263"/>
      <c r="G263"/>
      <c r="H263"/>
      <c r="I263"/>
      <c r="J263"/>
      <c r="K263"/>
      <c r="L263"/>
      <c r="M263"/>
      <c r="N263"/>
      <c r="O263"/>
      <c r="P263"/>
      <c r="Q263"/>
      <c r="R263"/>
    </row>
    <row r="266" spans="1:18" s="5" customFormat="1" ht="22" x14ac:dyDescent="0.2">
      <c r="A266"/>
      <c r="B266" s="73" t="s">
        <v>242</v>
      </c>
      <c r="C266" s="28"/>
      <c r="D266" s="28"/>
      <c r="F266"/>
      <c r="G266"/>
      <c r="H266"/>
      <c r="I266"/>
      <c r="J266"/>
      <c r="K266"/>
      <c r="L266"/>
      <c r="M266"/>
      <c r="N266"/>
      <c r="O266"/>
      <c r="P266"/>
      <c r="Q266"/>
      <c r="R266"/>
    </row>
    <row r="268" spans="1:18" s="5" customFormat="1" x14ac:dyDescent="0.2">
      <c r="A268"/>
      <c r="B268"/>
      <c r="C268" s="1" t="s">
        <v>160</v>
      </c>
      <c r="D268" s="1" t="s">
        <v>159</v>
      </c>
      <c r="F268"/>
      <c r="G268"/>
      <c r="H268"/>
      <c r="I268"/>
      <c r="J268"/>
      <c r="K268"/>
      <c r="L268"/>
      <c r="M268"/>
      <c r="N268"/>
      <c r="O268"/>
      <c r="P268"/>
      <c r="Q268"/>
      <c r="R268"/>
    </row>
    <row r="269" spans="1:18" s="5" customFormat="1" x14ac:dyDescent="0.2">
      <c r="A269">
        <v>1</v>
      </c>
      <c r="B269" s="4" t="str">
        <f>nodes!C2</f>
        <v>bron_aardgas</v>
      </c>
      <c r="C269" s="31"/>
      <c r="D269" s="31" t="str">
        <f>H168</f>
        <v>&lt;aanname&gt;&lt;strong&gt;[Zeeland]&lt;/strong&gt; Uit het PBL rapport &lt;a href="https://www.pbl.nl/publicaties/reflectie-op-cluster-energiestrategieen-2024-ces-30" target="_blank" &gt;Reflectie op Cluster Energiestrategieën 2024 (CES 3.0)&lt;/a&gt; is een totaalvraag naar aardgas van 157 PJ overgenomen (pagina 35, figuur 3.12). Dit volume is inclusief het aardgasverbruik van elektriciteitscentrales. Op basis van de elektriciteitsbalans in figuur 2.6 op pagina 24 van de CES is een inschatting gemaakt van het aardgasverbruik van gasgestookte elektriciteitscentrales (22 PJ aardgas, gebaseerd op aangenomen conversie-efficientie van 59%). Dit volume is in mindering gebracht op de totaalvraag om tot een inschatting van de netto vraag naar aardgas voor industriele toepassingen te komen (157 - 22 = 135 PJ aardgas).&lt;br&gt;&lt;br&gt; Vervolgens is het totaalvolume aardgasverbruik voor industriele toepassingen verder uitgesplitst naar waterstofproductie en andere industriele toepassingen op basis van een aantal aannames. De CES geeft geen informatie over de bronnen waaruit grijze waterstof wordt geproduceerd. Aangenomen is dat 70% van de waterstofvraag in 2021 met waterstofproductie uit aardgas wordt voorzien (Zie (12) voor additionele toelichting). Dit percentage leidt in combinatie met een aantal andere aannames tot een goede fit op ordegrootte op de gerapporteerde CO2-emissies (zie (59) voor nadere toelichting). Het volume aardgas wat wordt aangewend voor overige industriele processen (directe verbranding) is vervolgens berekend door het aangenomen volume aardgas voor waterstofproductie op het het in de CES opgegeven totale aardgasverbruik in mindering te brengen.&lt;/aanname&gt;</v>
      </c>
      <c r="F269"/>
      <c r="G269"/>
      <c r="H269"/>
      <c r="I269"/>
      <c r="J269"/>
      <c r="K269"/>
      <c r="L269"/>
      <c r="M269"/>
      <c r="N269"/>
      <c r="O269"/>
      <c r="P269"/>
      <c r="Q269"/>
      <c r="R269"/>
    </row>
    <row r="270" spans="1:18" s="5" customFormat="1" x14ac:dyDescent="0.2">
      <c r="A270">
        <v>2</v>
      </c>
      <c r="B270" s="4" t="str">
        <f>nodes!C3</f>
        <v>bron_restgas</v>
      </c>
      <c r="C270" s="31"/>
      <c r="D270" s="31" t="str">
        <f>H169</f>
        <v>&lt;aanname&gt;&lt;strong&gt;[Zeeland]&lt;/strong&gt; De CES bevat geen informatie over restgassen. Het restgasverbruik is bijgeschat om de productie van proceswarmte en waterstof uit restgas en de daaraan gerelateerde CO&lt;sub&gt;2&lt;/sub&gt;-emissies in de analyse te ondervangen.&lt;br&gt;&lt;br&gt;Aangenomen is dat een deel van de restgassen wordt aangewend voor waterstofproductie. Zie (12) voor toelichting bij het restgasverbruik voor waterstofproductie.&lt;br&gt;&lt;br&gt; Aangenomen is dat er geen directe verbranding van restgassen voor de productie van proceswarmte wordt toegepast, omdat dit tot een te hoge berekende CO&lt;sub&gt;2&lt;/sub&gt;-emissie zou leiden in toevoeging op de emissies die voortkomen uit het aangenomen volume van aardgas wat wordt ingezet voor de productie van elektriciteit, proceswarmte en de aangenomen volumes aardgas en restgas voor inzet van waterstofproductie. &lt;/aanname&gt;</v>
      </c>
      <c r="F270"/>
      <c r="G270"/>
      <c r="H270"/>
      <c r="I270"/>
      <c r="J270"/>
      <c r="K270"/>
      <c r="L270"/>
      <c r="M270"/>
      <c r="N270"/>
      <c r="O270"/>
      <c r="P270"/>
      <c r="Q270"/>
      <c r="R270"/>
    </row>
    <row r="271" spans="1:18" s="5" customFormat="1" x14ac:dyDescent="0.2">
      <c r="A271">
        <v>3</v>
      </c>
      <c r="B271" s="4" t="str">
        <f>nodes!C4</f>
        <v>bron_kolen</v>
      </c>
      <c r="C271" s="31"/>
      <c r="D271" s="31"/>
      <c r="F271"/>
      <c r="G271"/>
      <c r="H271"/>
      <c r="I271"/>
      <c r="J271"/>
      <c r="K271"/>
      <c r="L271"/>
      <c r="M271"/>
      <c r="N271"/>
      <c r="O271"/>
      <c r="P271"/>
      <c r="Q271"/>
      <c r="R271"/>
    </row>
    <row r="272" spans="1:18" s="5" customFormat="1" x14ac:dyDescent="0.2">
      <c r="A272">
        <v>4</v>
      </c>
      <c r="B272" s="4" t="str">
        <f>nodes!C5</f>
        <v>bron_cokes</v>
      </c>
      <c r="C272" s="31"/>
      <c r="D272" s="31"/>
      <c r="F272"/>
      <c r="G272"/>
      <c r="H272"/>
      <c r="I272"/>
      <c r="J272"/>
      <c r="K272"/>
      <c r="L272"/>
      <c r="M272"/>
      <c r="N272"/>
      <c r="O272"/>
      <c r="P272"/>
      <c r="Q272"/>
      <c r="R272"/>
    </row>
    <row r="273" spans="1:18" s="5" customFormat="1" x14ac:dyDescent="0.2">
      <c r="A273">
        <v>5</v>
      </c>
      <c r="B273" s="4" t="str">
        <f>nodes!C6</f>
        <v>bron_aardolie</v>
      </c>
      <c r="C273" s="31"/>
      <c r="D273" s="31"/>
      <c r="F273"/>
      <c r="G273"/>
      <c r="H273"/>
      <c r="I273"/>
      <c r="J273"/>
      <c r="K273"/>
      <c r="L273"/>
      <c r="M273"/>
      <c r="N273"/>
      <c r="O273"/>
      <c r="P273"/>
      <c r="Q273"/>
      <c r="R273"/>
    </row>
    <row r="274" spans="1:18" s="5" customFormat="1" x14ac:dyDescent="0.2">
      <c r="A274">
        <v>6</v>
      </c>
      <c r="B274" s="4" t="str">
        <f>nodes!C7</f>
        <v>bron_biomassa</v>
      </c>
      <c r="C274" s="31"/>
      <c r="D274" s="31"/>
      <c r="F274"/>
      <c r="G274"/>
      <c r="H274"/>
      <c r="I274"/>
      <c r="J274"/>
      <c r="K274"/>
      <c r="L274"/>
      <c r="M274"/>
      <c r="N274"/>
      <c r="O274"/>
      <c r="P274"/>
      <c r="Q274"/>
      <c r="R274"/>
    </row>
    <row r="275" spans="1:18" s="5" customFormat="1" x14ac:dyDescent="0.2">
      <c r="A275">
        <v>7</v>
      </c>
      <c r="B275" s="4" t="str">
        <f>nodes!C8</f>
        <v>bron_biogas</v>
      </c>
      <c r="C275" s="31"/>
      <c r="D275" s="31"/>
      <c r="F275"/>
      <c r="G275"/>
      <c r="H275"/>
      <c r="I275"/>
      <c r="J275"/>
      <c r="K275"/>
      <c r="L275"/>
      <c r="M275"/>
      <c r="N275"/>
      <c r="O275"/>
      <c r="P275"/>
      <c r="Q275"/>
      <c r="R275"/>
    </row>
    <row r="276" spans="1:18" s="5" customFormat="1" x14ac:dyDescent="0.2">
      <c r="A276">
        <v>8</v>
      </c>
      <c r="B276" s="4" t="str">
        <f>nodes!C9</f>
        <v>bron_elektriciteit</v>
      </c>
      <c r="C276" s="31"/>
      <c r="D276" s="31" t="str">
        <f>H171</f>
        <v>&lt;bron&gt;&lt;strong&gt;[Zeeland]&lt;/strong&gt; Het totaalvolume elektriciteitsverbruik is overgenomen uit de CES (pagina 24, figuur 2.6)&lt;/bron&gt;</v>
      </c>
      <c r="F276"/>
      <c r="G276"/>
      <c r="H276"/>
      <c r="I276"/>
      <c r="J276"/>
      <c r="K276"/>
      <c r="L276"/>
      <c r="M276"/>
      <c r="N276"/>
      <c r="O276"/>
      <c r="P276"/>
      <c r="Q276"/>
      <c r="R276"/>
    </row>
    <row r="277" spans="1:18" s="5" customFormat="1" x14ac:dyDescent="0.2">
      <c r="A277">
        <v>9</v>
      </c>
      <c r="B277" s="4" t="str">
        <f>nodes!C10</f>
        <v>bron_waterstof</v>
      </c>
      <c r="C277" s="31"/>
      <c r="D277" s="31"/>
      <c r="F277"/>
      <c r="G277"/>
      <c r="H277"/>
      <c r="I277"/>
      <c r="J277"/>
      <c r="K277"/>
      <c r="L277"/>
      <c r="M277"/>
      <c r="N277"/>
      <c r="O277"/>
      <c r="P277"/>
      <c r="Q277"/>
      <c r="R277"/>
    </row>
    <row r="278" spans="1:18" s="5" customFormat="1" x14ac:dyDescent="0.2">
      <c r="A278">
        <v>10</v>
      </c>
      <c r="B278" s="4" t="str">
        <f>nodes!C11</f>
        <v>bron_warmte</v>
      </c>
      <c r="C278" s="31"/>
      <c r="D278" s="31"/>
      <c r="F278"/>
      <c r="G278"/>
      <c r="H278"/>
      <c r="I278"/>
      <c r="J278"/>
      <c r="K278"/>
      <c r="L278"/>
      <c r="M278"/>
      <c r="N278"/>
      <c r="O278"/>
      <c r="P278"/>
      <c r="Q278"/>
      <c r="R278"/>
    </row>
    <row r="279" spans="1:18" s="5" customFormat="1" x14ac:dyDescent="0.2">
      <c r="A279">
        <v>11</v>
      </c>
      <c r="B279" s="4" t="str">
        <f>nodes!C12</f>
        <v>bron_afval</v>
      </c>
      <c r="C279" s="31"/>
      <c r="D279" s="31"/>
      <c r="F279"/>
      <c r="G279"/>
      <c r="H279"/>
      <c r="I279"/>
      <c r="J279"/>
      <c r="K279"/>
      <c r="L279"/>
      <c r="M279"/>
      <c r="N279"/>
      <c r="O279"/>
      <c r="P279"/>
      <c r="Q279"/>
      <c r="R279"/>
    </row>
    <row r="280" spans="1:18" s="5" customFormat="1" x14ac:dyDescent="0.2">
      <c r="A280"/>
      <c r="B280" s="4"/>
      <c r="C280" s="31"/>
      <c r="D280" s="31"/>
      <c r="F280"/>
      <c r="G280"/>
      <c r="H280"/>
      <c r="I280"/>
      <c r="J280"/>
      <c r="K280"/>
      <c r="L280"/>
      <c r="M280"/>
      <c r="N280"/>
      <c r="O280"/>
      <c r="P280"/>
      <c r="Q280"/>
      <c r="R280"/>
    </row>
    <row r="281" spans="1:18" s="5" customFormat="1" x14ac:dyDescent="0.2">
      <c r="A281">
        <v>12</v>
      </c>
      <c r="B281" s="4" t="str">
        <f>nodes!C14</f>
        <v>smr_atr</v>
      </c>
      <c r="C281" s="31"/>
      <c r="D281" s="31" t="str">
        <f>H204</f>
        <v>&lt;aanname&gt;&lt;strong&gt;[Zeeland]&lt;/strong&gt; De aandelen van waterstofproductie uit aardgas en uit restgas zijn gebaseerd op aannames. Aangenomen is dat 70% van de waterstofvraag in 2021 met waterstofproductie uit aardgas wordt voorzien met een aangenomen conversie-efficientie van 0.70 en dat de overige 30% van de waterstofvraag met waterstofproductie uit restgas wordt voorzien met een aangenomen conversie-efficientie van 0.65. Deze percentages en rendementen leiden in combinatie met een aantal andere aannames tot een goede fit op ordegrootte op de gerapporteerde CO2-emissies (zie (59) voor nadere toelichting).&lt;/aanname&gt;</v>
      </c>
      <c r="F281"/>
      <c r="G281"/>
      <c r="H281"/>
      <c r="I281"/>
      <c r="J281"/>
      <c r="K281"/>
      <c r="L281"/>
      <c r="M281"/>
      <c r="N281"/>
      <c r="O281"/>
      <c r="P281"/>
      <c r="Q281"/>
      <c r="R281"/>
    </row>
    <row r="282" spans="1:18" s="5" customFormat="1" x14ac:dyDescent="0.2">
      <c r="A282">
        <v>13</v>
      </c>
      <c r="B282" s="4" t="str">
        <f>nodes!C15</f>
        <v>smr_atr_verlies</v>
      </c>
      <c r="C282" s="31"/>
      <c r="D282" s="31"/>
      <c r="F282"/>
      <c r="G282"/>
      <c r="H282"/>
      <c r="I282"/>
      <c r="J282"/>
      <c r="K282"/>
      <c r="L282"/>
      <c r="M282"/>
      <c r="N282"/>
      <c r="O282"/>
      <c r="P282"/>
      <c r="Q282"/>
      <c r="R282"/>
    </row>
    <row r="283" spans="1:18" s="5" customFormat="1" x14ac:dyDescent="0.2">
      <c r="A283"/>
      <c r="B283" s="4"/>
      <c r="C283" s="31"/>
      <c r="D283" s="31"/>
      <c r="F283"/>
      <c r="G283"/>
      <c r="H283"/>
      <c r="I283"/>
      <c r="J283"/>
      <c r="K283"/>
      <c r="L283"/>
      <c r="M283"/>
      <c r="N283"/>
      <c r="O283"/>
      <c r="P283"/>
      <c r="Q283"/>
      <c r="R283"/>
    </row>
    <row r="284" spans="1:18" s="5" customFormat="1" x14ac:dyDescent="0.2">
      <c r="A284">
        <v>14</v>
      </c>
      <c r="B284" s="4" t="str">
        <f>nodes!C17</f>
        <v>elektriciteit_vraag_2021</v>
      </c>
      <c r="C284" s="31"/>
      <c r="D284" s="31"/>
      <c r="F284"/>
      <c r="G284"/>
      <c r="H284"/>
      <c r="I284"/>
      <c r="J284"/>
      <c r="K284"/>
      <c r="L284"/>
      <c r="M284"/>
      <c r="N284"/>
      <c r="O284"/>
      <c r="P284"/>
      <c r="Q284"/>
      <c r="R284"/>
    </row>
    <row r="285" spans="1:18" s="5" customFormat="1" x14ac:dyDescent="0.2">
      <c r="A285">
        <v>15</v>
      </c>
      <c r="B285" s="4" t="str">
        <f>nodes!C18</f>
        <v>elektriciteit_aardgassubstitutie_directe_elektrificatie</v>
      </c>
      <c r="C285" s="31"/>
      <c r="D285" s="31" t="str">
        <f>H172&amp;C285</f>
        <v/>
      </c>
      <c r="F285"/>
      <c r="G285"/>
      <c r="H285"/>
      <c r="I285"/>
      <c r="J285"/>
      <c r="K285"/>
      <c r="L285"/>
      <c r="M285"/>
      <c r="N285"/>
      <c r="O285"/>
      <c r="P285"/>
      <c r="Q285"/>
      <c r="R285"/>
    </row>
    <row r="286" spans="1:18" s="5" customFormat="1" x14ac:dyDescent="0.2">
      <c r="A286">
        <v>16</v>
      </c>
      <c r="B286" s="4" t="str">
        <f>nodes!C19</f>
        <v>elektriciteit_additioneel_overige</v>
      </c>
      <c r="C286" s="31"/>
      <c r="D286" s="31" t="str">
        <f>H173&amp;C286</f>
        <v/>
      </c>
      <c r="F286"/>
      <c r="G286"/>
      <c r="H286"/>
      <c r="I286"/>
      <c r="J286"/>
      <c r="K286"/>
      <c r="L286"/>
      <c r="M286"/>
      <c r="N286"/>
      <c r="O286"/>
      <c r="P286"/>
      <c r="Q286"/>
      <c r="R286"/>
    </row>
    <row r="287" spans="1:18" s="5" customFormat="1" x14ac:dyDescent="0.2">
      <c r="A287">
        <v>17</v>
      </c>
      <c r="B287" s="4" t="str">
        <f>nodes!C20</f>
        <v>elektrolysers</v>
      </c>
      <c r="C287" s="31"/>
      <c r="D287" s="31" t="str">
        <f>C287&amp;H203</f>
        <v/>
      </c>
      <c r="F287"/>
      <c r="G287"/>
      <c r="H287"/>
      <c r="I287"/>
      <c r="J287"/>
      <c r="K287"/>
      <c r="L287"/>
      <c r="M287"/>
      <c r="N287"/>
      <c r="O287"/>
      <c r="P287"/>
      <c r="Q287"/>
      <c r="R287"/>
    </row>
    <row r="288" spans="1:18" s="5" customFormat="1" x14ac:dyDescent="0.2">
      <c r="A288"/>
      <c r="B288" s="4"/>
      <c r="C288" s="31"/>
      <c r="D288" s="31"/>
      <c r="F288"/>
      <c r="G288"/>
      <c r="H288"/>
      <c r="I288"/>
      <c r="J288"/>
      <c r="K288"/>
      <c r="L288"/>
      <c r="M288"/>
      <c r="N288"/>
      <c r="O288"/>
      <c r="P288"/>
      <c r="Q288"/>
      <c r="R288"/>
    </row>
    <row r="289" spans="1:18" s="5" customFormat="1" x14ac:dyDescent="0.2">
      <c r="A289">
        <v>18</v>
      </c>
      <c r="B289" s="4" t="str">
        <f>nodes!C22</f>
        <v>elektrolyse_verlies</v>
      </c>
      <c r="C289" s="31"/>
      <c r="D289" s="31"/>
      <c r="F289"/>
      <c r="G289"/>
      <c r="H289"/>
      <c r="I289"/>
      <c r="J289"/>
      <c r="K289"/>
      <c r="L289"/>
      <c r="M289"/>
      <c r="N289"/>
      <c r="O289"/>
      <c r="P289"/>
      <c r="Q289"/>
      <c r="R289"/>
    </row>
    <row r="290" spans="1:18" s="5" customFormat="1" x14ac:dyDescent="0.2">
      <c r="A290"/>
      <c r="B290" s="4"/>
      <c r="C290" s="31"/>
      <c r="D290" s="31"/>
      <c r="F290"/>
      <c r="G290"/>
      <c r="H290"/>
      <c r="I290"/>
      <c r="J290"/>
      <c r="K290"/>
      <c r="L290"/>
      <c r="M290"/>
      <c r="N290"/>
      <c r="O290"/>
      <c r="P290"/>
      <c r="Q290"/>
      <c r="R290"/>
    </row>
    <row r="291" spans="1:18" s="5" customFormat="1" x14ac:dyDescent="0.2">
      <c r="A291">
        <v>19</v>
      </c>
      <c r="B291" s="4" t="str">
        <f>nodes!C24</f>
        <v>waterstof_vraag_2021</v>
      </c>
      <c r="C291" s="31"/>
      <c r="D291" s="31" t="str">
        <f>C291&amp;H179</f>
        <v>&lt;bron&gt;&lt;strong&gt;[Zeeland]&lt;/strong&gt; Het totaalvolume waterstofvraag is overgenomen uit de CES (pagina 32, figuur 2.10).&lt;/bron&gt;</v>
      </c>
      <c r="F291"/>
      <c r="G291"/>
      <c r="H291"/>
      <c r="I291"/>
      <c r="J291"/>
      <c r="K291"/>
      <c r="L291"/>
      <c r="M291"/>
      <c r="N291"/>
      <c r="O291"/>
      <c r="P291"/>
      <c r="Q291"/>
      <c r="R291"/>
    </row>
    <row r="292" spans="1:18" s="5" customFormat="1" x14ac:dyDescent="0.2">
      <c r="A292">
        <v>20</v>
      </c>
      <c r="B292" s="4" t="str">
        <f>nodes!C25</f>
        <v>waterstof_aardgassubstitutie</v>
      </c>
      <c r="C292" s="95"/>
      <c r="D292" s="31"/>
      <c r="F292"/>
      <c r="G292"/>
      <c r="H292"/>
      <c r="I292"/>
      <c r="J292"/>
      <c r="K292"/>
      <c r="L292"/>
      <c r="M292"/>
      <c r="N292"/>
      <c r="O292"/>
      <c r="P292"/>
      <c r="Q292"/>
      <c r="R292"/>
    </row>
    <row r="293" spans="1:18" s="5" customFormat="1" x14ac:dyDescent="0.2">
      <c r="A293">
        <v>21</v>
      </c>
      <c r="B293" s="4" t="str">
        <f>nodes!C26</f>
        <v>waterstof_additioneel_overige</v>
      </c>
      <c r="C293" s="31"/>
      <c r="D293" s="31" t="str">
        <f>H182&amp;C293</f>
        <v/>
      </c>
      <c r="F293"/>
      <c r="G293"/>
      <c r="H293"/>
      <c r="I293"/>
      <c r="J293"/>
      <c r="K293"/>
      <c r="L293"/>
      <c r="M293"/>
      <c r="N293"/>
      <c r="O293"/>
      <c r="P293"/>
      <c r="Q293"/>
      <c r="R293"/>
    </row>
    <row r="294" spans="1:18" s="5" customFormat="1" x14ac:dyDescent="0.2">
      <c r="A294">
        <v>22</v>
      </c>
      <c r="B294" s="4" t="str">
        <f>nodes!C27</f>
        <v>waterstof_restgassubstitutie</v>
      </c>
      <c r="C294" s="95"/>
      <c r="D294" s="31"/>
      <c r="F294"/>
      <c r="G294"/>
      <c r="H294"/>
      <c r="I294"/>
      <c r="J294"/>
      <c r="K294"/>
      <c r="L294"/>
      <c r="M294"/>
      <c r="N294"/>
      <c r="O294"/>
      <c r="P294"/>
      <c r="Q294"/>
      <c r="R294"/>
    </row>
    <row r="295" spans="1:18" s="5" customFormat="1" x14ac:dyDescent="0.2">
      <c r="A295"/>
      <c r="B295" s="4"/>
      <c r="C295" s="31"/>
      <c r="D295" s="31"/>
      <c r="F295"/>
      <c r="G295"/>
      <c r="H295"/>
      <c r="I295"/>
      <c r="J295"/>
      <c r="K295"/>
      <c r="L295"/>
      <c r="M295"/>
      <c r="N295"/>
      <c r="O295"/>
      <c r="P295"/>
      <c r="Q295"/>
      <c r="R295"/>
    </row>
    <row r="296" spans="1:18" s="5" customFormat="1" x14ac:dyDescent="0.2">
      <c r="A296">
        <v>23</v>
      </c>
      <c r="B296" s="4" t="str">
        <f>nodes!C29</f>
        <v>blauwe_waterstof</v>
      </c>
      <c r="C296" s="31"/>
      <c r="D296" s="31" t="str">
        <f>H200&amp;C296</f>
        <v/>
      </c>
      <c r="F296"/>
      <c r="G296"/>
      <c r="H296"/>
      <c r="I296"/>
      <c r="J296"/>
      <c r="K296"/>
      <c r="L296"/>
      <c r="M296"/>
      <c r="N296"/>
      <c r="O296"/>
      <c r="P296"/>
      <c r="Q296"/>
      <c r="R296"/>
    </row>
    <row r="297" spans="1:18" s="5" customFormat="1" x14ac:dyDescent="0.2">
      <c r="A297">
        <v>24</v>
      </c>
      <c r="B297" s="4" t="str">
        <f>nodes!C30</f>
        <v>grijze_waterstof</v>
      </c>
      <c r="C297" s="31"/>
      <c r="D297" s="31" t="str">
        <f>H199</f>
        <v>&lt;bron&gt;&lt;strong&gt;[Zeeland]&lt;/strong&gt; Het productievolume grijze waterstof Is overgenomen uit de CES (pagina 32 figuur 2.10, pagina 29 figuur 2.9).&lt;/bron&gt;</v>
      </c>
      <c r="F297"/>
      <c r="G297"/>
      <c r="H297"/>
      <c r="I297"/>
      <c r="J297"/>
      <c r="K297"/>
      <c r="L297"/>
      <c r="M297"/>
      <c r="N297"/>
      <c r="O297"/>
      <c r="P297"/>
      <c r="Q297"/>
      <c r="R297"/>
    </row>
    <row r="298" spans="1:18" s="5" customFormat="1" x14ac:dyDescent="0.2">
      <c r="A298">
        <v>25</v>
      </c>
      <c r="B298" s="4" t="str">
        <f>nodes!C31</f>
        <v>groene_waterstof</v>
      </c>
      <c r="C298" s="31"/>
      <c r="D298" s="31" t="str">
        <f>C298&amp;H201</f>
        <v/>
      </c>
      <c r="F298"/>
      <c r="G298"/>
      <c r="H298"/>
      <c r="I298"/>
      <c r="J298"/>
      <c r="K298"/>
      <c r="L298"/>
      <c r="M298"/>
      <c r="N298"/>
      <c r="O298"/>
      <c r="P298"/>
      <c r="Q298"/>
      <c r="R298"/>
    </row>
    <row r="299" spans="1:18" s="5" customFormat="1" x14ac:dyDescent="0.2">
      <c r="A299"/>
      <c r="B299" s="4"/>
      <c r="C299" s="31"/>
      <c r="D299" s="31"/>
      <c r="F299"/>
      <c r="G299"/>
      <c r="H299"/>
      <c r="I299"/>
      <c r="J299"/>
      <c r="K299"/>
      <c r="L299"/>
      <c r="M299"/>
      <c r="N299"/>
      <c r="O299"/>
      <c r="P299"/>
      <c r="Q299"/>
      <c r="R299"/>
    </row>
    <row r="300" spans="1:18" s="5" customFormat="1" x14ac:dyDescent="0.2">
      <c r="A300">
        <v>26</v>
      </c>
      <c r="B300" s="4" t="str">
        <f>nodes!C33</f>
        <v>waterstof_mixer</v>
      </c>
      <c r="C300" s="31"/>
      <c r="D300" s="31"/>
      <c r="F300"/>
      <c r="G300"/>
      <c r="H300"/>
      <c r="I300"/>
      <c r="J300"/>
      <c r="K300"/>
      <c r="L300"/>
      <c r="M300"/>
      <c r="N300"/>
      <c r="O300"/>
      <c r="P300"/>
      <c r="Q300"/>
      <c r="R300"/>
    </row>
    <row r="301" spans="1:18" s="5" customFormat="1" x14ac:dyDescent="0.2">
      <c r="A301"/>
      <c r="B301" s="4"/>
      <c r="C301" s="31"/>
      <c r="D301" s="31"/>
      <c r="F301"/>
      <c r="G301"/>
      <c r="H301"/>
      <c r="I301"/>
      <c r="J301"/>
      <c r="K301"/>
      <c r="L301"/>
      <c r="M301"/>
      <c r="N301"/>
      <c r="O301"/>
      <c r="P301"/>
      <c r="Q301"/>
      <c r="R301"/>
    </row>
    <row r="302" spans="1:18" s="5" customFormat="1" x14ac:dyDescent="0.2">
      <c r="A302">
        <v>27</v>
      </c>
      <c r="B302" s="4" t="str">
        <f>nodes!C35</f>
        <v>industrie</v>
      </c>
      <c r="C302" s="31"/>
      <c r="D302" s="31"/>
      <c r="F302"/>
      <c r="G302"/>
      <c r="H302"/>
      <c r="I302"/>
      <c r="J302"/>
      <c r="K302"/>
      <c r="L302"/>
      <c r="M302"/>
      <c r="N302"/>
      <c r="O302"/>
      <c r="P302"/>
      <c r="Q302"/>
      <c r="R302"/>
    </row>
    <row r="303" spans="1:18" s="5" customFormat="1" x14ac:dyDescent="0.2">
      <c r="A303">
        <v>28</v>
      </c>
      <c r="B303" s="4" t="str">
        <f>nodes!C36</f>
        <v>export</v>
      </c>
      <c r="C303" s="31"/>
      <c r="D303" s="31"/>
      <c r="F303"/>
      <c r="G303"/>
      <c r="H303"/>
      <c r="I303"/>
      <c r="J303"/>
      <c r="K303"/>
      <c r="L303"/>
      <c r="M303"/>
      <c r="N303"/>
      <c r="O303"/>
      <c r="P303"/>
      <c r="Q303"/>
      <c r="R303"/>
    </row>
    <row r="304" spans="1:18" s="5" customFormat="1" x14ac:dyDescent="0.2">
      <c r="A304"/>
      <c r="B304" s="4"/>
      <c r="C304" s="31"/>
      <c r="D304" s="31"/>
      <c r="F304"/>
      <c r="G304"/>
      <c r="H304"/>
      <c r="I304"/>
      <c r="J304"/>
      <c r="K304"/>
      <c r="L304"/>
      <c r="M304"/>
      <c r="N304"/>
      <c r="O304"/>
      <c r="P304"/>
      <c r="Q304"/>
      <c r="R304"/>
    </row>
    <row r="305" spans="1:18" s="5" customFormat="1" x14ac:dyDescent="0.2">
      <c r="A305">
        <v>29</v>
      </c>
      <c r="B305" s="4" t="str">
        <f>nodes!C38</f>
        <v>waterstof_naar_elektriciteitscentrales</v>
      </c>
      <c r="C305" s="96"/>
      <c r="D305" s="31"/>
      <c r="F305"/>
      <c r="G305"/>
      <c r="H305"/>
      <c r="I305"/>
      <c r="J305"/>
      <c r="K305"/>
      <c r="L305"/>
      <c r="M305"/>
      <c r="N305"/>
      <c r="O305"/>
      <c r="P305"/>
      <c r="Q305"/>
      <c r="R305"/>
    </row>
    <row r="306" spans="1:18" s="5" customFormat="1" x14ac:dyDescent="0.2">
      <c r="A306"/>
      <c r="B306" s="4"/>
      <c r="C306" s="31"/>
      <c r="D306" s="31"/>
      <c r="F306"/>
      <c r="G306"/>
      <c r="H306"/>
      <c r="I306"/>
      <c r="J306"/>
      <c r="K306"/>
      <c r="L306"/>
      <c r="M306"/>
      <c r="N306"/>
      <c r="O306"/>
      <c r="P306"/>
      <c r="Q306"/>
      <c r="R306"/>
    </row>
    <row r="307" spans="1:18" s="5" customFormat="1" x14ac:dyDescent="0.2">
      <c r="A307">
        <v>30</v>
      </c>
      <c r="B307" s="4" t="str">
        <f>nodes!C40</f>
        <v>reserveslot_1</v>
      </c>
      <c r="C307" s="31"/>
      <c r="D307" s="31"/>
      <c r="F307"/>
      <c r="G307"/>
      <c r="H307"/>
      <c r="I307"/>
      <c r="J307"/>
      <c r="K307"/>
      <c r="L307"/>
      <c r="M307"/>
      <c r="N307"/>
      <c r="O307"/>
      <c r="P307"/>
      <c r="Q307"/>
      <c r="R307"/>
    </row>
    <row r="308" spans="1:18" s="5" customFormat="1" x14ac:dyDescent="0.2">
      <c r="A308">
        <v>31</v>
      </c>
      <c r="B308" s="4" t="str">
        <f>nodes!C41</f>
        <v>reserveslot_2</v>
      </c>
      <c r="C308" s="31"/>
      <c r="D308" s="31"/>
      <c r="F308"/>
      <c r="G308"/>
      <c r="H308"/>
      <c r="I308"/>
      <c r="J308"/>
      <c r="K308"/>
      <c r="L308"/>
      <c r="M308"/>
      <c r="N308"/>
      <c r="O308"/>
      <c r="P308"/>
      <c r="Q308"/>
      <c r="R308"/>
    </row>
    <row r="309" spans="1:18" s="5" customFormat="1" x14ac:dyDescent="0.2">
      <c r="A309">
        <v>32</v>
      </c>
      <c r="B309" s="4" t="str">
        <f>nodes!C42</f>
        <v>reserveslot_3</v>
      </c>
      <c r="C309" s="31"/>
      <c r="D309" s="31"/>
      <c r="F309"/>
      <c r="G309"/>
      <c r="H309"/>
      <c r="I309"/>
      <c r="J309"/>
      <c r="K309"/>
      <c r="L309"/>
      <c r="M309"/>
      <c r="N309"/>
      <c r="O309"/>
      <c r="P309"/>
      <c r="Q309"/>
      <c r="R309"/>
    </row>
    <row r="310" spans="1:18" s="5" customFormat="1" x14ac:dyDescent="0.2">
      <c r="A310">
        <v>33</v>
      </c>
      <c r="B310" s="4" t="str">
        <f>nodes!C43</f>
        <v>reserveslot_4</v>
      </c>
      <c r="C310" s="31"/>
      <c r="D310" s="31"/>
      <c r="F310"/>
      <c r="G310"/>
      <c r="H310"/>
      <c r="I310"/>
      <c r="J310"/>
      <c r="K310"/>
      <c r="L310"/>
      <c r="M310"/>
      <c r="N310"/>
      <c r="O310"/>
      <c r="P310"/>
      <c r="Q310"/>
      <c r="R310"/>
    </row>
    <row r="311" spans="1:18" s="5" customFormat="1" x14ac:dyDescent="0.2">
      <c r="A311">
        <v>34</v>
      </c>
      <c r="B311" s="4" t="str">
        <f>nodes!C44</f>
        <v>reserveslot_5</v>
      </c>
      <c r="C311" s="31"/>
      <c r="D311" s="31"/>
      <c r="F311"/>
      <c r="G311"/>
      <c r="H311"/>
      <c r="I311"/>
      <c r="J311"/>
      <c r="K311"/>
      <c r="L311"/>
      <c r="M311"/>
      <c r="N311"/>
      <c r="O311"/>
      <c r="P311"/>
      <c r="Q311"/>
      <c r="R311"/>
    </row>
    <row r="312" spans="1:18" s="5" customFormat="1" x14ac:dyDescent="0.2">
      <c r="A312">
        <v>35</v>
      </c>
      <c r="B312" s="4" t="str">
        <f>nodes!C45</f>
        <v>reserveslot_6</v>
      </c>
      <c r="C312" s="31"/>
      <c r="D312" s="31"/>
      <c r="F312"/>
      <c r="G312"/>
      <c r="H312"/>
      <c r="I312"/>
      <c r="J312"/>
      <c r="K312"/>
      <c r="L312"/>
      <c r="M312"/>
      <c r="N312"/>
      <c r="O312"/>
      <c r="P312"/>
      <c r="Q312"/>
      <c r="R312"/>
    </row>
    <row r="313" spans="1:18" s="5" customFormat="1" x14ac:dyDescent="0.2">
      <c r="A313">
        <v>36</v>
      </c>
      <c r="B313" s="4" t="str">
        <f>nodes!C46</f>
        <v>reserveslot_7</v>
      </c>
      <c r="C313" s="31"/>
      <c r="D313" s="31"/>
      <c r="F313"/>
      <c r="G313"/>
      <c r="H313"/>
      <c r="I313"/>
      <c r="J313"/>
      <c r="K313"/>
      <c r="L313"/>
      <c r="M313"/>
      <c r="N313"/>
      <c r="O313"/>
      <c r="P313"/>
      <c r="Q313"/>
      <c r="R313"/>
    </row>
    <row r="314" spans="1:18" s="5" customFormat="1" x14ac:dyDescent="0.2">
      <c r="A314">
        <v>37</v>
      </c>
      <c r="B314" s="4" t="str">
        <f>nodes!C47</f>
        <v>reserveslot_8</v>
      </c>
      <c r="C314" s="31"/>
      <c r="D314" s="31"/>
      <c r="F314"/>
      <c r="G314"/>
      <c r="H314"/>
      <c r="I314"/>
      <c r="J314"/>
      <c r="K314"/>
      <c r="L314"/>
      <c r="M314"/>
      <c r="N314"/>
      <c r="O314"/>
      <c r="P314"/>
      <c r="Q314"/>
      <c r="R314"/>
    </row>
    <row r="315" spans="1:18" s="5" customFormat="1" x14ac:dyDescent="0.2">
      <c r="A315">
        <v>38</v>
      </c>
      <c r="B315" s="4" t="str">
        <f>nodes!C48</f>
        <v>reserveslot_9</v>
      </c>
      <c r="C315" s="31"/>
      <c r="D315" s="31"/>
      <c r="F315"/>
      <c r="G315"/>
      <c r="H315"/>
      <c r="I315"/>
      <c r="J315"/>
      <c r="K315"/>
      <c r="L315"/>
      <c r="M315"/>
      <c r="N315"/>
      <c r="O315"/>
      <c r="P315"/>
      <c r="Q315"/>
      <c r="R315"/>
    </row>
    <row r="316" spans="1:18" s="5" customFormat="1" x14ac:dyDescent="0.2">
      <c r="A316">
        <v>39</v>
      </c>
      <c r="B316" s="4" t="str">
        <f>nodes!C49</f>
        <v>reserveslot_10</v>
      </c>
      <c r="C316" s="31"/>
      <c r="D316" s="31"/>
      <c r="F316"/>
      <c r="G316"/>
      <c r="H316"/>
      <c r="I316"/>
      <c r="J316"/>
      <c r="K316"/>
      <c r="L316"/>
      <c r="M316"/>
      <c r="N316"/>
      <c r="O316"/>
      <c r="P316"/>
      <c r="Q316"/>
      <c r="R316"/>
    </row>
    <row r="317" spans="1:18" s="5" customFormat="1" x14ac:dyDescent="0.2">
      <c r="A317"/>
      <c r="B317" s="4"/>
      <c r="C317" s="31"/>
      <c r="D317" s="31"/>
      <c r="F317"/>
      <c r="G317"/>
      <c r="H317"/>
      <c r="I317"/>
      <c r="J317"/>
      <c r="K317"/>
      <c r="L317"/>
      <c r="M317"/>
      <c r="N317"/>
      <c r="O317"/>
      <c r="P317"/>
      <c r="Q317"/>
      <c r="R317"/>
    </row>
    <row r="318" spans="1:18" s="5" customFormat="1" x14ac:dyDescent="0.2">
      <c r="A318">
        <v>40</v>
      </c>
      <c r="B318" s="4" t="str">
        <f>nodes!C51</f>
        <v>co2_bron_aardgasverbranding</v>
      </c>
      <c r="C318" s="31"/>
      <c r="D318" s="31" t="str">
        <f>H226</f>
        <v>&lt;aanname&gt;&lt;strong&gt;[Zeeland]&lt;/strong&gt; Berekende CO&lt;sub&gt;2&lt;/sub&gt;-emissie bij verbranding van 70 PJ aardgas @ 56.4 ktonCO&lt;sub&gt;2&lt;/sub&gt;/PJ.&lt;/aanname&gt;</v>
      </c>
      <c r="F318"/>
      <c r="G318"/>
      <c r="H318"/>
      <c r="I318"/>
      <c r="J318"/>
      <c r="K318"/>
      <c r="L318"/>
      <c r="M318"/>
      <c r="N318"/>
      <c r="O318"/>
      <c r="P318"/>
      <c r="Q318"/>
      <c r="R318"/>
    </row>
    <row r="319" spans="1:18" s="5" customFormat="1" x14ac:dyDescent="0.2">
      <c r="A319">
        <v>41</v>
      </c>
      <c r="B319" s="4" t="str">
        <f>nodes!C52</f>
        <v>co2_bron_restgasverbranding</v>
      </c>
      <c r="C319" s="31"/>
      <c r="D319" s="31" t="str">
        <f t="shared" ref="D319:D321" si="2">H227</f>
        <v>&lt;aanname&gt;&lt;strong&gt;[Zeeland]&lt;/strong&gt; Berekende CO&lt;sub&gt;2&lt;/sub&gt;-emissie bij verbranding van 0 PJ restgas @ 64.6 ktonCO&lt;sub&gt;2&lt;/sub&gt;/PJ.&lt;/aanname&gt;</v>
      </c>
      <c r="F319"/>
      <c r="G319"/>
      <c r="H319"/>
      <c r="I319"/>
      <c r="J319"/>
      <c r="K319"/>
      <c r="L319"/>
      <c r="M319"/>
      <c r="N319"/>
      <c r="O319"/>
      <c r="P319"/>
      <c r="Q319"/>
      <c r="R319"/>
    </row>
    <row r="320" spans="1:18" s="5" customFormat="1" x14ac:dyDescent="0.2">
      <c r="A320">
        <v>42</v>
      </c>
      <c r="B320" s="4" t="str">
        <f>nodes!C53</f>
        <v>co2_bron_smr_restgas</v>
      </c>
      <c r="C320" s="31"/>
      <c r="D320" s="31" t="str">
        <f t="shared" si="2"/>
        <v>&lt;aanname&gt;&lt;strong&gt;[Zeeland]&lt;/strong&gt; Berekende CO&lt;sub&gt;2&lt;/sub&gt;-productie bij Steam Methane Reforming van 30 PJ restgas @ 64.6 ktonCO&lt;sub&gt;2&lt;/sub&gt;/PJ.&lt;/aanname&gt;</v>
      </c>
      <c r="F320"/>
      <c r="G320"/>
      <c r="H320"/>
      <c r="I320"/>
      <c r="J320"/>
      <c r="K320"/>
      <c r="L320"/>
      <c r="M320"/>
      <c r="N320"/>
      <c r="O320"/>
      <c r="P320"/>
      <c r="Q320"/>
      <c r="R320"/>
    </row>
    <row r="321" spans="1:18" s="5" customFormat="1" x14ac:dyDescent="0.2">
      <c r="A321">
        <v>43</v>
      </c>
      <c r="B321" s="4" t="str">
        <f>nodes!C54</f>
        <v>co2_bron_smr_aardgas</v>
      </c>
      <c r="C321" s="31"/>
      <c r="D321" s="31" t="str">
        <f t="shared" si="2"/>
        <v>&lt;aanname&gt;&lt;strong&gt;[Zeeland]&lt;/strong&gt; Berekende CO&lt;sub&gt;2&lt;/sub&gt;-productie bij Steam Methane Reforming van 65 PJ aardgas @ 56.4 ktonCO&lt;sub&gt;2&lt;/sub&gt;/PJ.&lt;/aanname&gt;</v>
      </c>
      <c r="F321"/>
      <c r="G321"/>
      <c r="H321"/>
      <c r="I321"/>
      <c r="J321"/>
      <c r="K321"/>
      <c r="L321"/>
      <c r="M321"/>
      <c r="N321"/>
      <c r="O321"/>
      <c r="P321"/>
      <c r="Q321"/>
      <c r="R321"/>
    </row>
    <row r="322" spans="1:18" s="5" customFormat="1" x14ac:dyDescent="0.2">
      <c r="A322">
        <v>44</v>
      </c>
      <c r="B322" s="4" t="str">
        <f>nodes!C55</f>
        <v>co2_bron_overige</v>
      </c>
      <c r="C322" s="31"/>
      <c r="D322" s="31"/>
      <c r="F322"/>
      <c r="G322"/>
      <c r="H322"/>
      <c r="I322"/>
      <c r="J322"/>
      <c r="K322"/>
      <c r="L322"/>
      <c r="M322"/>
      <c r="N322"/>
      <c r="O322"/>
      <c r="P322"/>
      <c r="Q322"/>
      <c r="R322"/>
    </row>
    <row r="323" spans="1:18" s="5" customFormat="1" x14ac:dyDescent="0.2">
      <c r="A323">
        <v>45</v>
      </c>
      <c r="B323" s="4" t="str">
        <f>nodes!C56</f>
        <v>co2_bron_reserve_slot1</v>
      </c>
      <c r="C323" s="31"/>
      <c r="D323" s="31"/>
      <c r="F323"/>
      <c r="G323"/>
      <c r="H323"/>
      <c r="I323"/>
      <c r="J323"/>
      <c r="K323"/>
      <c r="L323"/>
      <c r="M323"/>
      <c r="N323"/>
      <c r="O323"/>
      <c r="P323"/>
      <c r="Q323"/>
      <c r="R323"/>
    </row>
    <row r="324" spans="1:18" s="5" customFormat="1" x14ac:dyDescent="0.2">
      <c r="A324">
        <v>46</v>
      </c>
      <c r="B324" s="4" t="str">
        <f>nodes!C57</f>
        <v>co2_bron_reserve_slot2</v>
      </c>
      <c r="C324" s="31"/>
      <c r="D324" s="31"/>
      <c r="F324"/>
      <c r="G324"/>
      <c r="H324"/>
      <c r="I324"/>
      <c r="J324"/>
      <c r="K324"/>
      <c r="L324"/>
      <c r="M324"/>
      <c r="N324"/>
      <c r="O324"/>
      <c r="P324"/>
      <c r="Q324"/>
      <c r="R324"/>
    </row>
    <row r="325" spans="1:18" s="5" customFormat="1" x14ac:dyDescent="0.2">
      <c r="A325">
        <v>47</v>
      </c>
      <c r="B325" s="4" t="str">
        <f>nodes!C58</f>
        <v>co2_bron_reserve_slot3</v>
      </c>
      <c r="C325" s="31"/>
      <c r="D325" s="31"/>
      <c r="F325"/>
      <c r="G325"/>
      <c r="H325"/>
      <c r="I325"/>
      <c r="J325"/>
      <c r="K325"/>
      <c r="L325"/>
      <c r="M325"/>
      <c r="N325"/>
      <c r="O325"/>
      <c r="P325"/>
      <c r="Q325"/>
      <c r="R325"/>
    </row>
    <row r="326" spans="1:18" s="5" customFormat="1" x14ac:dyDescent="0.2">
      <c r="A326">
        <v>48</v>
      </c>
      <c r="B326" s="4" t="str">
        <f>nodes!C59</f>
        <v>co2_bron_reserve_slot4</v>
      </c>
      <c r="C326" s="31"/>
      <c r="D326" s="31"/>
      <c r="F326"/>
      <c r="G326"/>
      <c r="H326"/>
      <c r="I326"/>
      <c r="J326"/>
      <c r="K326"/>
      <c r="L326"/>
      <c r="M326"/>
      <c r="N326"/>
      <c r="O326"/>
      <c r="P326"/>
      <c r="Q326"/>
      <c r="R326"/>
    </row>
    <row r="327" spans="1:18" s="5" customFormat="1" x14ac:dyDescent="0.2">
      <c r="A327">
        <v>49</v>
      </c>
      <c r="B327" s="4" t="str">
        <f>nodes!C60</f>
        <v>co2_bron_reserve_slot5</v>
      </c>
      <c r="C327" s="31"/>
      <c r="D327" s="31"/>
      <c r="F327"/>
      <c r="G327"/>
      <c r="H327"/>
      <c r="I327"/>
      <c r="J327"/>
      <c r="K327"/>
      <c r="L327"/>
      <c r="M327"/>
      <c r="N327"/>
      <c r="O327"/>
      <c r="P327"/>
      <c r="Q327"/>
      <c r="R327"/>
    </row>
    <row r="328" spans="1:18" s="5" customFormat="1" x14ac:dyDescent="0.2">
      <c r="A328"/>
      <c r="B328" s="4"/>
      <c r="C328" s="31"/>
      <c r="D328" s="31"/>
      <c r="F328"/>
      <c r="G328"/>
      <c r="H328"/>
      <c r="I328"/>
      <c r="J328"/>
      <c r="K328"/>
      <c r="L328"/>
      <c r="M328"/>
      <c r="N328"/>
      <c r="O328"/>
      <c r="P328"/>
      <c r="Q328"/>
      <c r="R328"/>
    </row>
    <row r="329" spans="1:18" s="5" customFormat="1" x14ac:dyDescent="0.2">
      <c r="A329">
        <v>50</v>
      </c>
      <c r="B329" s="4" t="str">
        <f>nodes!C62</f>
        <v>co2_afvang_smr_restgas</v>
      </c>
      <c r="C329" s="31"/>
      <c r="D329" s="31"/>
      <c r="F329"/>
      <c r="G329"/>
      <c r="H329"/>
      <c r="I329"/>
      <c r="J329"/>
      <c r="K329"/>
      <c r="L329"/>
      <c r="M329"/>
      <c r="N329"/>
      <c r="O329"/>
      <c r="P329"/>
      <c r="Q329"/>
      <c r="R329"/>
    </row>
    <row r="330" spans="1:18" s="5" customFormat="1" x14ac:dyDescent="0.2">
      <c r="A330">
        <v>51</v>
      </c>
      <c r="B330" s="4" t="str">
        <f>nodes!C63</f>
        <v>co2_afvang_smr_aardgas</v>
      </c>
      <c r="C330" s="31"/>
      <c r="D330" s="31"/>
      <c r="F330"/>
      <c r="G330"/>
      <c r="H330"/>
      <c r="I330"/>
      <c r="J330"/>
      <c r="K330"/>
      <c r="L330"/>
      <c r="M330"/>
      <c r="N330"/>
      <c r="O330"/>
      <c r="P330"/>
      <c r="Q330"/>
      <c r="R330"/>
    </row>
    <row r="331" spans="1:18" s="5" customFormat="1" x14ac:dyDescent="0.2">
      <c r="A331">
        <v>52</v>
      </c>
      <c r="B331" s="4" t="str">
        <f>nodes!C64</f>
        <v>co2_afvang_overige</v>
      </c>
      <c r="C331" s="31"/>
      <c r="D331" s="31"/>
      <c r="F331"/>
      <c r="G331"/>
      <c r="H331"/>
      <c r="I331"/>
      <c r="J331"/>
      <c r="K331"/>
      <c r="L331"/>
      <c r="M331"/>
      <c r="N331"/>
      <c r="O331"/>
      <c r="P331"/>
      <c r="Q331"/>
      <c r="R331"/>
    </row>
    <row r="332" spans="1:18" s="5" customFormat="1" x14ac:dyDescent="0.2">
      <c r="A332">
        <v>53</v>
      </c>
      <c r="B332" s="4" t="str">
        <f>nodes!C65</f>
        <v>co2_afvang_reserve_slot1</v>
      </c>
      <c r="C332" s="31"/>
      <c r="D332" s="31"/>
      <c r="F332"/>
      <c r="G332"/>
      <c r="H332"/>
      <c r="I332"/>
      <c r="J332"/>
      <c r="K332"/>
      <c r="L332"/>
      <c r="M332"/>
      <c r="N332"/>
      <c r="O332"/>
      <c r="P332"/>
      <c r="Q332"/>
      <c r="R332"/>
    </row>
    <row r="333" spans="1:18" s="5" customFormat="1" x14ac:dyDescent="0.2">
      <c r="A333">
        <v>54</v>
      </c>
      <c r="B333" s="4" t="str">
        <f>nodes!C66</f>
        <v>co2_afvang_reserve_slot2</v>
      </c>
      <c r="C333" s="31"/>
      <c r="D333" s="31"/>
      <c r="F333"/>
      <c r="G333"/>
      <c r="H333"/>
      <c r="I333"/>
      <c r="J333"/>
      <c r="K333"/>
      <c r="L333"/>
      <c r="M333"/>
      <c r="N333"/>
      <c r="O333"/>
      <c r="P333"/>
      <c r="Q333"/>
      <c r="R333"/>
    </row>
    <row r="334" spans="1:18" s="5" customFormat="1" x14ac:dyDescent="0.2">
      <c r="A334">
        <v>55</v>
      </c>
      <c r="B334" s="4" t="str">
        <f>nodes!C67</f>
        <v>co2_afvang_reserve_slot3</v>
      </c>
      <c r="C334" s="31"/>
      <c r="D334" s="31"/>
      <c r="F334"/>
      <c r="G334"/>
      <c r="H334"/>
      <c r="I334"/>
      <c r="J334"/>
      <c r="K334"/>
      <c r="L334"/>
      <c r="M334"/>
      <c r="N334"/>
      <c r="O334"/>
      <c r="P334"/>
      <c r="Q334"/>
      <c r="R334"/>
    </row>
    <row r="335" spans="1:18" s="5" customFormat="1" x14ac:dyDescent="0.2">
      <c r="A335">
        <v>56</v>
      </c>
      <c r="B335" s="4" t="str">
        <f>nodes!C68</f>
        <v>co2_afvang_reserve_slot4</v>
      </c>
      <c r="C335" s="31"/>
      <c r="D335" s="31"/>
      <c r="F335"/>
      <c r="G335"/>
      <c r="H335"/>
      <c r="I335"/>
      <c r="J335"/>
      <c r="K335"/>
      <c r="L335"/>
      <c r="M335"/>
      <c r="N335"/>
      <c r="O335"/>
      <c r="P335"/>
      <c r="Q335"/>
      <c r="R335"/>
    </row>
    <row r="336" spans="1:18" s="5" customFormat="1" x14ac:dyDescent="0.2">
      <c r="A336">
        <v>57</v>
      </c>
      <c r="B336" s="4" t="str">
        <f>nodes!C69</f>
        <v>co2_afvang_reserve_slot5</v>
      </c>
      <c r="C336" s="31"/>
      <c r="D336" s="31"/>
      <c r="F336"/>
      <c r="G336"/>
      <c r="H336"/>
      <c r="I336"/>
      <c r="J336"/>
      <c r="K336"/>
      <c r="L336"/>
      <c r="M336"/>
      <c r="N336"/>
      <c r="O336"/>
      <c r="P336"/>
      <c r="Q336"/>
      <c r="R336"/>
    </row>
    <row r="337" spans="1:18" s="5" customFormat="1" x14ac:dyDescent="0.2">
      <c r="A337"/>
      <c r="B337" s="4"/>
      <c r="C337" s="31"/>
      <c r="D337" s="31"/>
      <c r="F337"/>
      <c r="G337"/>
      <c r="H337"/>
      <c r="I337"/>
      <c r="J337"/>
      <c r="K337"/>
      <c r="L337"/>
      <c r="M337"/>
      <c r="N337"/>
      <c r="O337"/>
      <c r="P337"/>
      <c r="Q337"/>
      <c r="R337"/>
    </row>
    <row r="338" spans="1:18" s="5" customFormat="1" x14ac:dyDescent="0.2">
      <c r="A338">
        <v>58</v>
      </c>
      <c r="B338" s="4" t="str">
        <f>nodes!C71</f>
        <v>co2_productie_totaal</v>
      </c>
      <c r="C338" s="31"/>
      <c r="D338" s="31"/>
      <c r="F338"/>
      <c r="G338"/>
      <c r="H338"/>
      <c r="I338"/>
      <c r="J338"/>
      <c r="K338"/>
      <c r="L338"/>
      <c r="M338"/>
      <c r="N338"/>
      <c r="O338"/>
      <c r="P338"/>
      <c r="Q338"/>
      <c r="R338"/>
    </row>
    <row r="339" spans="1:18" s="5" customFormat="1" x14ac:dyDescent="0.2">
      <c r="A339">
        <v>59</v>
      </c>
      <c r="B339" s="4" t="str">
        <f>nodes!C72</f>
        <v>co2_emissies_totaal</v>
      </c>
      <c r="C339" s="31"/>
      <c r="D339" s="31" t="str">
        <f>H257</f>
        <v>&lt;aanname&gt;&lt;strong&gt;[Zeeland]&lt;/strong&gt; De berekende totale CO&lt;sub&gt;2&lt;/sub&gt; uitstoot van de industrie bedraagt 9.600 kton CO&lt;sub&gt;2&lt;/sub&gt;. In de energiebalans en de berekende emissies is van een aardgasverbruik van 23 PJ voor elektriciteitscentrales uitgegaan, waarbij circa 1.300 CO&lt;sub&gt;2&lt;/sub&gt; emissie vrijkomt. De totale berekende CO&lt;sub&gt;2&lt;/sub&gt; uitstoot van het cluster komt daarmee op 10.900 kton CO&lt;sub&gt;2&lt;/sub&gt;. Dit wijkt af van de in de CES gerapporteerde CO2-uitstoot van 9.300 kton CO&lt;sub&gt;2&lt;/sub&gt; (pagina 49, figuur 3.1), maar komt wel dichter in de buurt van de CO&lt;sub&gt;2&lt;/sub&gt; uitstoot van 10.300 kton gerapporteerd door de &lt;a href="https://www.emissieautoriteit.nl/binaries/nederlandse-emissieautoriteit/documenten/publicatie/2022/04/14/factsheet-ets-uitstoot-2021/Factsheet+CO2-uitstoot_2021.pdf"&gt;NEa&lt;/a&gt; en &lt;a href="https://www.bedrijvenbeleidinbeeld.nl/strategische-doelen/verduurzaming-van-het-nederlandse-bedrijfsleven/hoe-staat-nederland-ervoor#:~:text=Emissies%20industrieclusters,procent%20ten%20opzichte%20van%201990."&gt;EZK&lt;/a&gt;. &lt;/aanname&gt;</v>
      </c>
      <c r="F339"/>
      <c r="G339"/>
      <c r="H339"/>
      <c r="I339"/>
      <c r="J339"/>
      <c r="K339"/>
      <c r="L339"/>
      <c r="M339"/>
      <c r="N339"/>
      <c r="O339"/>
      <c r="P339"/>
      <c r="Q339"/>
      <c r="R339"/>
    </row>
    <row r="340" spans="1:18" x14ac:dyDescent="0.2">
      <c r="A340">
        <v>60</v>
      </c>
      <c r="B340" s="4" t="str">
        <f>nodes!C73</f>
        <v>co2_afvang_totaal</v>
      </c>
      <c r="C340" s="31"/>
      <c r="D340" s="31"/>
    </row>
    <row r="341" spans="1:18" x14ac:dyDescent="0.2">
      <c r="A341">
        <v>61</v>
      </c>
      <c r="B341" s="4" t="str">
        <f>nodes!C74</f>
        <v>co2_afgevangen_totaal</v>
      </c>
      <c r="C341" s="31"/>
      <c r="D341" s="31"/>
    </row>
    <row r="343" spans="1:18" x14ac:dyDescent="0.2">
      <c r="A343" t="s">
        <v>2</v>
      </c>
    </row>
    <row r="344" spans="1:18" ht="22" x14ac:dyDescent="0.2">
      <c r="B344" s="73" t="s">
        <v>241</v>
      </c>
      <c r="C344" s="28"/>
      <c r="D344" s="28"/>
      <c r="E344" s="30"/>
      <c r="F344" s="28"/>
      <c r="G344" s="28"/>
      <c r="H344" s="28"/>
      <c r="I344" s="28"/>
      <c r="J344" s="28"/>
      <c r="K344" s="28"/>
      <c r="L344" s="28"/>
      <c r="M344" s="28"/>
      <c r="N344" s="28"/>
      <c r="O344" s="28"/>
    </row>
    <row r="346" spans="1:18" x14ac:dyDescent="0.2">
      <c r="C346" s="1" t="s">
        <v>160</v>
      </c>
      <c r="D346" s="1" t="s">
        <v>159</v>
      </c>
    </row>
    <row r="347" spans="1:18" x14ac:dyDescent="0.2">
      <c r="A347">
        <v>1</v>
      </c>
      <c r="B347" s="4" t="str">
        <f>nodes!C2</f>
        <v>bron_aardgas</v>
      </c>
      <c r="C347" s="31"/>
      <c r="D347" s="31" t="str">
        <f>I168</f>
        <v>&lt;aanname&gt;&lt;strong&gt;[Zeeland]&lt;/strong&gt; Uit het PBL rapport &lt;a href="https://www.pbl.nl/publicaties/reflectie-op-cluster-energiestrategieen-2024-ces-30" target="_blank" &gt;Reflectie op Cluster Energiestrategieën 2024 (CES 3.0)&lt;/a&gt; is een totaalvraag naar aardgas van 119 PJ overgenomen (pagina 35, figuur 3.12). Dit volume is inclusief het aardgasverbruik van elektriciteitscentrales. Op basis van de elektriciteitsbalans in figuur 2.6 op pagina 24 van de CES is een inschatting gemaakt van het aardgasverbruik van aardgasgestookte elektriciteitscentrales (15 PJ aardgas, uitgaande van een aangenomen conversie-efficientie van 59%). Dit volume is in mindering gebracht op de totaalvraag om tot een inschatting van de netto vraag naar aardgas voor industriele toepassingen te komen (119 - 15 = 104 PJ aardgas). &lt;br&gt;&lt;br&gt;Vervolgens is dit totaalvolume aardgasverbruik voor industriele toepassingen (104 PJ) nader uitgesplitst naar waterstofproductie en andere industriele toepassingen op basis van een een aantal aannames. Voor het aandeel aardgas wat wordt aangewend voor waterstofproductie is aangenomen dat van de in de CES genoteerde 71 PJ blauwe waterstofproductie 51 PJ uit aardgas wordt geproduceerd (zie (12) voor additionele toelichting), is aangenomen dat de volgens de CES nog in 2035 resterende 20 PJ grijze waterstofproductie wordt geproduceerd uit aardgas en is aangenomen dat hierbij een conversie-efficientie van 0.70 van toepassing is. Dit betekent dat er in totaal 101 PJ aardgas wordt aangewend voor waterstofproductie. Het volume aardgas wat wordt aangewend voor overige industriele processen (directe verbranding) is vervolgens berekend door het aangenomen volume aardgas voor waterstofproductie in mindering te brengen op het aangenomen aardgasverbruik voor industriele toepassingen.&lt;/aanname&gt;</v>
      </c>
    </row>
    <row r="348" spans="1:18" x14ac:dyDescent="0.2">
      <c r="A348">
        <v>2</v>
      </c>
      <c r="B348" s="4" t="str">
        <f>nodes!C3</f>
        <v>bron_restgas</v>
      </c>
      <c r="C348" s="31"/>
      <c r="D348" s="31" t="str">
        <f>I169&amp;C348</f>
        <v>&lt;aanname&gt;&lt;strong&gt;[Zeeland]&lt;/strong&gt; De CES bevat geen informatie over restgassen.  Het restgasverbruik is bijgeschat om de productie van proceswarmte en waterstof uit restgas en de daaraan gerelateerde CO&lt;sub&gt;2&lt;/sub&gt;-emissies in de analyse te ondervangen. Aangenomen is dat het volume restgas in 2035 gelijk blijft aan dat in 2021, en aangenomen is dat dit volume conform de aanname voor 2021 volledig wordt ingezet voor waterstofproductie en aangenomen is dat in 2035 CCS wordt toegepast op de volledige productie van waterstof uit restgas. Zie onderdeel (12) voor nadere toelichting bij het restgasverbruik voor waterstofproductie.&lt;/aanname&gt;</v>
      </c>
    </row>
    <row r="349" spans="1:18" x14ac:dyDescent="0.2">
      <c r="A349">
        <v>3</v>
      </c>
      <c r="B349" s="4" t="str">
        <f>nodes!C4</f>
        <v>bron_kolen</v>
      </c>
      <c r="C349" s="31"/>
      <c r="D349" s="31"/>
    </row>
    <row r="350" spans="1:18" x14ac:dyDescent="0.2">
      <c r="A350">
        <v>4</v>
      </c>
      <c r="B350" s="4" t="str">
        <f>nodes!C5</f>
        <v>bron_cokes</v>
      </c>
      <c r="C350" s="31"/>
      <c r="D350" s="31"/>
    </row>
    <row r="351" spans="1:18" x14ac:dyDescent="0.2">
      <c r="A351">
        <v>5</v>
      </c>
      <c r="B351" s="4" t="str">
        <f>nodes!C6</f>
        <v>bron_aardolie</v>
      </c>
      <c r="C351" s="31"/>
      <c r="D351" s="31"/>
    </row>
    <row r="352" spans="1:18" x14ac:dyDescent="0.2">
      <c r="A352">
        <v>6</v>
      </c>
      <c r="B352" s="4" t="str">
        <f>nodes!C7</f>
        <v>bron_biomassa</v>
      </c>
      <c r="C352" s="31"/>
      <c r="D352" s="31"/>
    </row>
    <row r="353" spans="1:18" x14ac:dyDescent="0.2">
      <c r="A353">
        <v>7</v>
      </c>
      <c r="B353" s="4" t="str">
        <f>nodes!C8</f>
        <v>bron_biogas</v>
      </c>
      <c r="C353" s="31"/>
      <c r="D353" s="31"/>
    </row>
    <row r="354" spans="1:18" x14ac:dyDescent="0.2">
      <c r="A354">
        <v>8</v>
      </c>
      <c r="B354" s="4" t="str">
        <f>nodes!C9</f>
        <v>bron_elektriciteit</v>
      </c>
      <c r="C354" s="31"/>
      <c r="D354" s="31" t="s">
        <v>522</v>
      </c>
    </row>
    <row r="355" spans="1:18" x14ac:dyDescent="0.2">
      <c r="A355">
        <v>9</v>
      </c>
      <c r="B355" s="4" t="str">
        <f>nodes!C10</f>
        <v>bron_waterstof</v>
      </c>
      <c r="C355" s="31"/>
      <c r="D355" s="31" t="str">
        <f>I197&amp;C355</f>
        <v>&lt;bron&gt;&lt;strong&gt;[Zeeland]&lt;/strong&gt; Het importvolume waterstof is overgenomen uit de CES (pagina 32, figuur 2.10).&lt;/bron&gt;</v>
      </c>
    </row>
    <row r="356" spans="1:18" s="5" customFormat="1" x14ac:dyDescent="0.2">
      <c r="A356">
        <v>10</v>
      </c>
      <c r="B356" s="4" t="str">
        <f>nodes!C11</f>
        <v>bron_warmte</v>
      </c>
      <c r="C356" s="31"/>
      <c r="D356" s="31"/>
      <c r="F356"/>
      <c r="G356"/>
      <c r="H356"/>
      <c r="I356"/>
      <c r="J356"/>
      <c r="K356"/>
      <c r="L356"/>
      <c r="M356"/>
      <c r="N356"/>
      <c r="O356"/>
      <c r="P356"/>
      <c r="Q356"/>
      <c r="R356"/>
    </row>
    <row r="357" spans="1:18" s="5" customFormat="1" x14ac:dyDescent="0.2">
      <c r="A357">
        <v>11</v>
      </c>
      <c r="B357" s="4" t="str">
        <f>nodes!C12</f>
        <v>bron_afval</v>
      </c>
      <c r="C357" s="31"/>
      <c r="D357" s="31"/>
      <c r="F357"/>
      <c r="G357"/>
      <c r="H357"/>
      <c r="I357"/>
      <c r="J357"/>
      <c r="K357"/>
      <c r="L357"/>
      <c r="M357"/>
      <c r="N357"/>
      <c r="O357"/>
      <c r="P357"/>
      <c r="Q357"/>
      <c r="R357"/>
    </row>
    <row r="358" spans="1:18" s="5" customFormat="1" x14ac:dyDescent="0.2">
      <c r="A358"/>
      <c r="B358" s="4"/>
      <c r="C358" s="31"/>
      <c r="D358" s="31"/>
      <c r="F358"/>
      <c r="G358"/>
      <c r="H358"/>
      <c r="I358"/>
      <c r="J358"/>
      <c r="K358"/>
      <c r="L358"/>
      <c r="M358"/>
      <c r="N358"/>
      <c r="O358"/>
      <c r="P358"/>
      <c r="Q358"/>
      <c r="R358"/>
    </row>
    <row r="359" spans="1:18" s="5" customFormat="1" x14ac:dyDescent="0.2">
      <c r="A359">
        <v>12</v>
      </c>
      <c r="B359" s="4" t="str">
        <f>nodes!C14</f>
        <v>smr_atr</v>
      </c>
      <c r="C359" s="31"/>
      <c r="D359" s="31" t="str">
        <f>I205&amp;C359</f>
        <v>&lt;aanname&gt;&lt;strong&gt;[Zeeland]&lt;/strong&gt; Het grootste deel van de in het cluster voorziene waterstofproductie wordt in 2035 geproduceerd uit aardgas en restgas. De aandelen aardgas en restgas die hiervoor worden aangewend zijn niet specifiek vermeld in de CES. De CES noteert dat er in 2035 71 PJ blauwe en 20 PJ grijze waterstof in het cluster wordt geproduceerd voor een totaal van 91 PJ waterstofproductie uit fossiele bronnen. Aangenomen is dat het totale veronderstele volume restgassen van 54 PJ wat in het cluster vrijkomt in 2035 volledig wordt aangewend voor blauwe waterstofproductie, wat bij een conversie-rendement van 0.65 circa 20 PJ blauwe waterstofproductie oplevert. Aangenomen is dat de resterende 71-20 = 51 PJ blauwe waterstof uit aardgas wordt geproduceerd. Deze aannames zijn gebaseerd op een fit op het totale industriele aardgasverbruik - een hoger aandeel waterstofproductie uit aardgas zou het totaalvolume industrieel verbruik van aardgas doen overschrijden (zie (1) voor nadere toelichting bij dit aangenomen totaalvolume industrieel verbruik van aardgas). &lt;/aanname&gt;</v>
      </c>
      <c r="F359"/>
      <c r="G359"/>
      <c r="H359"/>
      <c r="I359"/>
      <c r="J359"/>
      <c r="K359"/>
      <c r="L359"/>
      <c r="M359"/>
      <c r="N359"/>
      <c r="O359"/>
      <c r="P359"/>
      <c r="Q359"/>
      <c r="R359"/>
    </row>
    <row r="360" spans="1:18" s="5" customFormat="1" x14ac:dyDescent="0.2">
      <c r="A360">
        <v>13</v>
      </c>
      <c r="B360" s="4" t="str">
        <f>nodes!C15</f>
        <v>smr_atr_verlies</v>
      </c>
      <c r="C360" s="31"/>
      <c r="D360" s="94"/>
      <c r="F360"/>
      <c r="G360"/>
      <c r="H360"/>
      <c r="I360"/>
      <c r="J360"/>
      <c r="K360"/>
      <c r="L360"/>
      <c r="M360"/>
      <c r="N360"/>
      <c r="O360"/>
      <c r="P360"/>
      <c r="Q360"/>
      <c r="R360"/>
    </row>
    <row r="361" spans="1:18" s="5" customFormat="1" x14ac:dyDescent="0.2">
      <c r="A361"/>
      <c r="B361" s="4"/>
      <c r="C361" s="31"/>
      <c r="D361" s="31"/>
      <c r="F361"/>
      <c r="G361"/>
      <c r="H361"/>
      <c r="I361"/>
      <c r="J361"/>
      <c r="K361"/>
      <c r="L361"/>
      <c r="M361"/>
      <c r="N361"/>
      <c r="O361"/>
      <c r="P361"/>
      <c r="Q361"/>
      <c r="R361"/>
    </row>
    <row r="362" spans="1:18" s="5" customFormat="1" x14ac:dyDescent="0.2">
      <c r="A362">
        <v>14</v>
      </c>
      <c r="B362" s="4" t="str">
        <f>nodes!C17</f>
        <v>elektriciteit_vraag_2021</v>
      </c>
      <c r="C362" s="31"/>
      <c r="D362" s="31" t="str">
        <f>I171&amp;C362</f>
        <v/>
      </c>
      <c r="F362"/>
      <c r="G362"/>
      <c r="H362"/>
      <c r="I362"/>
      <c r="J362"/>
      <c r="K362"/>
      <c r="L362"/>
      <c r="M362"/>
      <c r="N362"/>
      <c r="O362"/>
      <c r="P362"/>
      <c r="Q362"/>
      <c r="R362"/>
    </row>
    <row r="363" spans="1:18" s="5" customFormat="1" x14ac:dyDescent="0.2">
      <c r="A363">
        <v>15</v>
      </c>
      <c r="B363" s="4" t="str">
        <f>nodes!C18</f>
        <v>elektriciteit_aardgassubstitutie_directe_elektrificatie</v>
      </c>
      <c r="C363" s="31"/>
      <c r="D363" s="31"/>
      <c r="F363"/>
      <c r="G363"/>
      <c r="H363"/>
      <c r="I363"/>
      <c r="J363"/>
      <c r="K363"/>
      <c r="L363"/>
      <c r="M363"/>
      <c r="N363"/>
      <c r="O363"/>
      <c r="P363"/>
      <c r="Q363"/>
      <c r="R363"/>
    </row>
    <row r="364" spans="1:18" s="5" customFormat="1" x14ac:dyDescent="0.2">
      <c r="A364">
        <v>16</v>
      </c>
      <c r="B364" s="4" t="str">
        <f>nodes!C19</f>
        <v>elektriciteit_additioneel_overige</v>
      </c>
      <c r="C364" s="31"/>
      <c r="D364" s="31" t="str">
        <f>I173&amp;C364</f>
        <v/>
      </c>
      <c r="F364"/>
      <c r="G364"/>
      <c r="H364"/>
      <c r="I364"/>
      <c r="J364"/>
      <c r="K364"/>
      <c r="L364"/>
      <c r="M364"/>
      <c r="N364"/>
      <c r="O364"/>
      <c r="P364"/>
      <c r="Q364"/>
      <c r="R364"/>
    </row>
    <row r="365" spans="1:18" s="5" customFormat="1" x14ac:dyDescent="0.2">
      <c r="A365">
        <v>17</v>
      </c>
      <c r="B365" s="4" t="str">
        <f>nodes!C20</f>
        <v>elektrolysers</v>
      </c>
      <c r="C365" s="31"/>
      <c r="D365" s="31" t="str">
        <f>C365&amp;I203</f>
        <v>&lt;bron&gt;&lt;strong&gt;[Zeeland]&lt;/strong&gt; Het volume elektriciteitsverbruik voor groene waterstofproductie is overgenomen uit de CES (pagina 24, figuur 2.6).&lt;/bron&gt;</v>
      </c>
      <c r="F365"/>
      <c r="G365"/>
      <c r="H365"/>
      <c r="I365"/>
      <c r="J365"/>
      <c r="K365"/>
      <c r="L365"/>
      <c r="M365"/>
      <c r="N365"/>
      <c r="O365"/>
      <c r="P365"/>
      <c r="Q365"/>
      <c r="R365"/>
    </row>
    <row r="366" spans="1:18" s="5" customFormat="1" x14ac:dyDescent="0.2">
      <c r="A366"/>
      <c r="B366" s="4"/>
      <c r="C366" s="31"/>
      <c r="D366" s="31"/>
      <c r="F366"/>
      <c r="G366"/>
      <c r="H366"/>
      <c r="I366"/>
      <c r="J366"/>
      <c r="K366"/>
      <c r="L366"/>
      <c r="M366"/>
      <c r="N366"/>
      <c r="O366"/>
      <c r="P366"/>
      <c r="Q366"/>
      <c r="R366"/>
    </row>
    <row r="367" spans="1:18" s="5" customFormat="1" x14ac:dyDescent="0.2">
      <c r="A367">
        <v>18</v>
      </c>
      <c r="B367" s="4" t="str">
        <f>nodes!C22</f>
        <v>elektrolyse_verlies</v>
      </c>
      <c r="C367" s="31"/>
      <c r="D367" s="31"/>
      <c r="F367"/>
      <c r="G367"/>
      <c r="H367"/>
      <c r="I367"/>
      <c r="J367"/>
      <c r="K367"/>
      <c r="L367"/>
      <c r="M367"/>
      <c r="N367"/>
      <c r="O367"/>
      <c r="P367"/>
      <c r="Q367"/>
      <c r="R367"/>
    </row>
    <row r="368" spans="1:18" s="5" customFormat="1" x14ac:dyDescent="0.2">
      <c r="A368"/>
      <c r="B368" s="4"/>
      <c r="C368" s="31"/>
      <c r="D368" s="31"/>
      <c r="F368"/>
      <c r="G368"/>
      <c r="H368"/>
      <c r="I368"/>
      <c r="J368"/>
      <c r="K368"/>
      <c r="L368"/>
      <c r="M368"/>
      <c r="N368"/>
      <c r="O368"/>
      <c r="P368"/>
      <c r="Q368"/>
      <c r="R368"/>
    </row>
    <row r="369" spans="1:18" s="5" customFormat="1" ht="17" customHeight="1" x14ac:dyDescent="0.2">
      <c r="A369">
        <v>19</v>
      </c>
      <c r="B369" s="4" t="str">
        <f>nodes!C24</f>
        <v>waterstof_vraag_2021</v>
      </c>
      <c r="C369" s="31"/>
      <c r="D369" s="31" t="str">
        <f>C369&amp;I179</f>
        <v/>
      </c>
      <c r="F369"/>
      <c r="G369"/>
      <c r="H369"/>
      <c r="I369"/>
      <c r="J369"/>
      <c r="K369"/>
      <c r="L369"/>
      <c r="M369"/>
      <c r="N369"/>
      <c r="O369"/>
      <c r="P369"/>
      <c r="Q369"/>
      <c r="R369"/>
    </row>
    <row r="370" spans="1:18" s="5" customFormat="1" x14ac:dyDescent="0.2">
      <c r="A370">
        <v>20</v>
      </c>
      <c r="B370" s="4" t="str">
        <f>nodes!C25</f>
        <v>waterstof_aardgassubstitutie</v>
      </c>
      <c r="C370" s="95"/>
      <c r="D370" s="31"/>
      <c r="F370"/>
      <c r="G370"/>
      <c r="H370"/>
      <c r="I370"/>
      <c r="J370"/>
      <c r="K370"/>
      <c r="L370"/>
      <c r="M370"/>
      <c r="N370"/>
      <c r="O370"/>
      <c r="P370"/>
      <c r="Q370"/>
      <c r="R370"/>
    </row>
    <row r="371" spans="1:18" s="5" customFormat="1" x14ac:dyDescent="0.2">
      <c r="A371">
        <v>21</v>
      </c>
      <c r="B371" s="4" t="str">
        <f>nodes!C26</f>
        <v>waterstof_additioneel_overige</v>
      </c>
      <c r="C371" s="31"/>
      <c r="D371" s="31" t="str">
        <f>I182&amp;C371</f>
        <v/>
      </c>
      <c r="F371"/>
      <c r="G371"/>
      <c r="H371"/>
      <c r="I371"/>
      <c r="J371"/>
      <c r="K371"/>
      <c r="L371"/>
      <c r="M371"/>
      <c r="N371"/>
      <c r="O371"/>
      <c r="P371"/>
      <c r="Q371"/>
      <c r="R371"/>
    </row>
    <row r="372" spans="1:18" s="5" customFormat="1" ht="17" customHeight="1" x14ac:dyDescent="0.2">
      <c r="A372">
        <v>22</v>
      </c>
      <c r="B372" s="4" t="str">
        <f>nodes!C27</f>
        <v>waterstof_restgassubstitutie</v>
      </c>
      <c r="C372" s="95"/>
      <c r="D372" s="31"/>
      <c r="F372"/>
      <c r="G372"/>
      <c r="H372"/>
      <c r="I372"/>
      <c r="J372"/>
      <c r="K372"/>
      <c r="L372"/>
      <c r="M372"/>
      <c r="N372"/>
      <c r="O372"/>
      <c r="P372"/>
      <c r="Q372"/>
      <c r="R372"/>
    </row>
    <row r="373" spans="1:18" s="5" customFormat="1" x14ac:dyDescent="0.2">
      <c r="A373"/>
      <c r="B373" s="4"/>
      <c r="C373" s="31"/>
      <c r="D373" s="31"/>
      <c r="F373"/>
      <c r="G373"/>
      <c r="H373"/>
      <c r="I373"/>
      <c r="J373"/>
      <c r="K373"/>
      <c r="L373"/>
      <c r="M373"/>
      <c r="N373"/>
      <c r="O373"/>
      <c r="P373"/>
      <c r="Q373"/>
      <c r="R373"/>
    </row>
    <row r="374" spans="1:18" s="5" customFormat="1" x14ac:dyDescent="0.2">
      <c r="A374">
        <v>23</v>
      </c>
      <c r="B374" s="4" t="str">
        <f>nodes!C29</f>
        <v>blauwe_waterstof</v>
      </c>
      <c r="C374" s="31"/>
      <c r="D374" s="31" t="str">
        <f>I200&amp;C374</f>
        <v>&lt;bron&gt;&lt;strong&gt;[Zeeland]&lt;/strong&gt; Het productievolume blauwe waterstof is overgenomen uit de CES (pagina 29 figuur 2.9).&lt;/bron&gt;</v>
      </c>
      <c r="F374"/>
      <c r="G374"/>
      <c r="H374"/>
      <c r="I374"/>
      <c r="J374"/>
      <c r="K374"/>
      <c r="L374"/>
      <c r="M374"/>
      <c r="N374"/>
      <c r="O374"/>
      <c r="P374"/>
      <c r="Q374"/>
      <c r="R374"/>
    </row>
    <row r="375" spans="1:18" s="5" customFormat="1" x14ac:dyDescent="0.2">
      <c r="A375">
        <v>24</v>
      </c>
      <c r="B375" s="4" t="str">
        <f>nodes!C30</f>
        <v>grijze_waterstof</v>
      </c>
      <c r="C375" s="31"/>
      <c r="D375" s="31" t="str">
        <f>I199</f>
        <v>&lt;bron&gt;&lt;strong&gt;[Zeeland]&lt;/strong&gt; Het productievolume grijze waterstof Is overgenomen uit de CES (pagina 32 figuur 2.10, pagina 29 figuur 2.9).&lt;/bron&gt;</v>
      </c>
      <c r="F375"/>
      <c r="G375"/>
      <c r="H375"/>
      <c r="I375"/>
      <c r="J375"/>
      <c r="K375"/>
      <c r="L375"/>
      <c r="M375"/>
      <c r="N375"/>
      <c r="O375"/>
      <c r="P375"/>
      <c r="Q375"/>
      <c r="R375"/>
    </row>
    <row r="376" spans="1:18" s="5" customFormat="1" x14ac:dyDescent="0.2">
      <c r="A376">
        <v>25</v>
      </c>
      <c r="B376" s="4" t="str">
        <f>nodes!C31</f>
        <v>groene_waterstof</v>
      </c>
      <c r="C376" s="31"/>
      <c r="D376" s="31" t="str">
        <f>C376&amp;I201</f>
        <v>&lt;bron&gt;&lt;strong&gt;[Zeeland]&lt;/strong&gt; Het productievolume groene waterstof is overgenomen uit de CES (pagina 32 figuur 2.10, pagina 29 figuur 2.9).&lt;/bron&gt;</v>
      </c>
      <c r="F376"/>
      <c r="G376"/>
      <c r="H376"/>
      <c r="I376"/>
      <c r="J376"/>
      <c r="K376"/>
      <c r="L376"/>
      <c r="M376"/>
      <c r="N376"/>
      <c r="O376"/>
      <c r="P376"/>
      <c r="Q376"/>
      <c r="R376"/>
    </row>
    <row r="377" spans="1:18" s="5" customFormat="1" x14ac:dyDescent="0.2">
      <c r="A377"/>
      <c r="B377" s="4"/>
      <c r="C377" s="31"/>
      <c r="D377" s="31"/>
      <c r="F377"/>
      <c r="G377"/>
      <c r="H377"/>
      <c r="I377"/>
      <c r="J377"/>
      <c r="K377"/>
      <c r="L377"/>
      <c r="M377"/>
      <c r="N377"/>
      <c r="O377"/>
      <c r="P377"/>
      <c r="Q377"/>
      <c r="R377"/>
    </row>
    <row r="378" spans="1:18" s="5" customFormat="1" x14ac:dyDescent="0.2">
      <c r="A378">
        <v>26</v>
      </c>
      <c r="B378" s="4" t="str">
        <f>nodes!C33</f>
        <v>waterstof_mixer</v>
      </c>
      <c r="C378" s="31"/>
      <c r="D378" s="31"/>
      <c r="F378"/>
      <c r="G378"/>
      <c r="H378"/>
      <c r="I378"/>
      <c r="J378"/>
      <c r="K378"/>
      <c r="L378"/>
      <c r="M378"/>
      <c r="N378"/>
      <c r="O378"/>
      <c r="P378"/>
      <c r="Q378"/>
      <c r="R378"/>
    </row>
    <row r="379" spans="1:18" s="5" customFormat="1" x14ac:dyDescent="0.2">
      <c r="A379"/>
      <c r="B379" s="4"/>
      <c r="C379" s="31"/>
      <c r="D379" s="31"/>
      <c r="F379"/>
      <c r="G379"/>
      <c r="H379"/>
      <c r="I379"/>
      <c r="J379"/>
      <c r="K379"/>
      <c r="L379"/>
      <c r="M379"/>
      <c r="N379"/>
      <c r="O379"/>
      <c r="P379"/>
      <c r="Q379"/>
      <c r="R379"/>
    </row>
    <row r="380" spans="1:18" s="5" customFormat="1" x14ac:dyDescent="0.2">
      <c r="A380">
        <v>27</v>
      </c>
      <c r="B380" s="4" t="str">
        <f>nodes!C35</f>
        <v>industrie</v>
      </c>
      <c r="C380" s="31"/>
      <c r="D380" s="31"/>
      <c r="F380"/>
      <c r="G380"/>
      <c r="H380"/>
      <c r="I380"/>
      <c r="J380"/>
      <c r="K380"/>
      <c r="L380"/>
      <c r="M380"/>
      <c r="N380"/>
      <c r="O380"/>
      <c r="P380"/>
      <c r="Q380"/>
      <c r="R380"/>
    </row>
    <row r="381" spans="1:18" s="5" customFormat="1" ht="17" customHeight="1" x14ac:dyDescent="0.2">
      <c r="A381">
        <v>28</v>
      </c>
      <c r="B381" s="4" t="str">
        <f>nodes!C36</f>
        <v>export</v>
      </c>
      <c r="C381" s="31"/>
      <c r="D381" s="31" t="str">
        <f>I191&amp;C381</f>
        <v>&lt;bron&gt;&lt;strong&gt;[Zeeland]&lt;/strong&gt; Het exportvolume waterstof is overgenomen uit de CES (pagina 32, figuur 2.10).&lt;/bron&gt;</v>
      </c>
      <c r="F381"/>
      <c r="G381"/>
      <c r="H381"/>
      <c r="I381"/>
      <c r="J381"/>
      <c r="K381"/>
      <c r="L381"/>
      <c r="M381"/>
      <c r="N381"/>
      <c r="O381"/>
      <c r="P381"/>
      <c r="Q381"/>
      <c r="R381"/>
    </row>
    <row r="382" spans="1:18" s="5" customFormat="1" ht="17" customHeight="1" x14ac:dyDescent="0.2">
      <c r="A382"/>
      <c r="B382" s="4"/>
      <c r="C382" s="31"/>
      <c r="D382" s="31"/>
      <c r="F382"/>
      <c r="G382"/>
      <c r="H382"/>
      <c r="I382"/>
      <c r="J382"/>
      <c r="K382"/>
      <c r="L382"/>
      <c r="M382"/>
      <c r="N382"/>
      <c r="O382"/>
      <c r="P382"/>
      <c r="Q382"/>
      <c r="R382"/>
    </row>
    <row r="383" spans="1:18" s="5" customFormat="1" ht="17" customHeight="1" x14ac:dyDescent="0.2">
      <c r="A383">
        <v>29</v>
      </c>
      <c r="B383" s="4" t="str">
        <f>nodes!C38</f>
        <v>waterstof_naar_elektriciteitscentrales</v>
      </c>
      <c r="C383" s="31"/>
      <c r="D383" s="31"/>
      <c r="F383"/>
      <c r="G383"/>
      <c r="H383"/>
      <c r="I383"/>
      <c r="J383"/>
      <c r="K383"/>
      <c r="L383"/>
      <c r="M383"/>
      <c r="N383"/>
      <c r="O383"/>
      <c r="P383"/>
      <c r="Q383"/>
      <c r="R383"/>
    </row>
    <row r="384" spans="1:18" s="5" customFormat="1" x14ac:dyDescent="0.2">
      <c r="A384"/>
      <c r="B384" s="4"/>
      <c r="C384" s="31"/>
      <c r="D384" s="31"/>
      <c r="F384"/>
      <c r="G384"/>
      <c r="H384"/>
      <c r="I384"/>
      <c r="J384"/>
      <c r="K384"/>
      <c r="L384"/>
      <c r="M384"/>
      <c r="N384"/>
      <c r="O384"/>
      <c r="P384"/>
      <c r="Q384"/>
      <c r="R384"/>
    </row>
    <row r="385" spans="1:18" s="5" customFormat="1" x14ac:dyDescent="0.2">
      <c r="A385">
        <v>30</v>
      </c>
      <c r="B385" s="4" t="str">
        <f>nodes!C40</f>
        <v>reserveslot_1</v>
      </c>
      <c r="C385" s="31"/>
      <c r="D385" s="31"/>
      <c r="F385"/>
      <c r="G385"/>
      <c r="H385"/>
      <c r="I385"/>
      <c r="J385"/>
      <c r="K385"/>
      <c r="L385"/>
      <c r="M385"/>
      <c r="N385"/>
      <c r="O385"/>
      <c r="P385"/>
      <c r="Q385"/>
      <c r="R385"/>
    </row>
    <row r="386" spans="1:18" s="5" customFormat="1" x14ac:dyDescent="0.2">
      <c r="A386">
        <v>31</v>
      </c>
      <c r="B386" s="4" t="str">
        <f>nodes!C41</f>
        <v>reserveslot_2</v>
      </c>
      <c r="C386" s="31"/>
      <c r="D386" s="31"/>
      <c r="F386"/>
      <c r="G386"/>
      <c r="H386"/>
      <c r="I386"/>
      <c r="J386"/>
      <c r="K386"/>
      <c r="L386"/>
      <c r="M386"/>
      <c r="N386"/>
      <c r="O386"/>
      <c r="P386"/>
      <c r="Q386"/>
      <c r="R386"/>
    </row>
    <row r="387" spans="1:18" s="5" customFormat="1" x14ac:dyDescent="0.2">
      <c r="A387">
        <v>32</v>
      </c>
      <c r="B387" s="4" t="str">
        <f>nodes!C42</f>
        <v>reserveslot_3</v>
      </c>
      <c r="C387" s="31"/>
      <c r="D387" s="31"/>
      <c r="F387"/>
      <c r="G387"/>
      <c r="H387"/>
      <c r="I387"/>
      <c r="J387"/>
      <c r="K387"/>
      <c r="L387"/>
      <c r="M387"/>
      <c r="N387"/>
      <c r="O387"/>
      <c r="P387"/>
      <c r="Q387"/>
      <c r="R387"/>
    </row>
    <row r="388" spans="1:18" s="5" customFormat="1" x14ac:dyDescent="0.2">
      <c r="A388">
        <v>33</v>
      </c>
      <c r="B388" s="4" t="str">
        <f>nodes!C43</f>
        <v>reserveslot_4</v>
      </c>
      <c r="C388" s="31"/>
      <c r="D388" s="31"/>
      <c r="F388"/>
      <c r="G388"/>
      <c r="H388"/>
      <c r="I388"/>
      <c r="J388"/>
      <c r="K388"/>
      <c r="L388"/>
      <c r="M388"/>
      <c r="N388"/>
      <c r="O388"/>
      <c r="P388"/>
      <c r="Q388"/>
      <c r="R388"/>
    </row>
    <row r="389" spans="1:18" s="5" customFormat="1" x14ac:dyDescent="0.2">
      <c r="A389">
        <v>34</v>
      </c>
      <c r="B389" s="4" t="str">
        <f>nodes!C44</f>
        <v>reserveslot_5</v>
      </c>
      <c r="C389" s="31"/>
      <c r="D389" s="31"/>
      <c r="F389"/>
      <c r="G389"/>
      <c r="H389"/>
      <c r="I389"/>
      <c r="J389"/>
      <c r="K389"/>
      <c r="L389"/>
      <c r="M389"/>
      <c r="N389"/>
      <c r="O389"/>
      <c r="P389"/>
      <c r="Q389"/>
      <c r="R389"/>
    </row>
    <row r="390" spans="1:18" s="5" customFormat="1" x14ac:dyDescent="0.2">
      <c r="A390">
        <v>35</v>
      </c>
      <c r="B390" s="4" t="str">
        <f>nodes!C45</f>
        <v>reserveslot_6</v>
      </c>
      <c r="C390" s="31"/>
      <c r="D390" s="31"/>
      <c r="F390"/>
      <c r="G390"/>
      <c r="H390"/>
      <c r="I390"/>
      <c r="J390"/>
      <c r="K390"/>
      <c r="L390"/>
      <c r="M390"/>
      <c r="N390"/>
      <c r="O390"/>
      <c r="P390"/>
      <c r="Q390"/>
      <c r="R390"/>
    </row>
    <row r="391" spans="1:18" s="5" customFormat="1" x14ac:dyDescent="0.2">
      <c r="A391">
        <v>36</v>
      </c>
      <c r="B391" s="4" t="str">
        <f>nodes!C46</f>
        <v>reserveslot_7</v>
      </c>
      <c r="C391" s="31"/>
      <c r="D391" s="31"/>
      <c r="F391"/>
      <c r="G391"/>
      <c r="H391"/>
      <c r="I391"/>
      <c r="J391"/>
      <c r="K391"/>
      <c r="L391"/>
      <c r="M391"/>
      <c r="N391"/>
      <c r="O391"/>
      <c r="P391"/>
      <c r="Q391"/>
      <c r="R391"/>
    </row>
    <row r="392" spans="1:18" s="5" customFormat="1" x14ac:dyDescent="0.2">
      <c r="A392">
        <v>37</v>
      </c>
      <c r="B392" s="4" t="str">
        <f>nodes!C47</f>
        <v>reserveslot_8</v>
      </c>
      <c r="C392" s="31"/>
      <c r="D392" s="31"/>
      <c r="F392"/>
      <c r="G392"/>
      <c r="H392"/>
      <c r="I392"/>
      <c r="J392"/>
      <c r="K392"/>
      <c r="L392"/>
      <c r="M392"/>
      <c r="N392"/>
      <c r="O392"/>
      <c r="P392"/>
      <c r="Q392"/>
      <c r="R392"/>
    </row>
    <row r="393" spans="1:18" s="5" customFormat="1" x14ac:dyDescent="0.2">
      <c r="A393">
        <v>38</v>
      </c>
      <c r="B393" s="4" t="str">
        <f>nodes!C48</f>
        <v>reserveslot_9</v>
      </c>
      <c r="C393" s="31"/>
      <c r="D393" s="31"/>
      <c r="F393"/>
      <c r="G393"/>
      <c r="H393"/>
      <c r="I393"/>
      <c r="J393"/>
      <c r="K393"/>
      <c r="L393"/>
      <c r="M393"/>
      <c r="N393"/>
      <c r="O393"/>
      <c r="P393"/>
      <c r="Q393"/>
      <c r="R393"/>
    </row>
    <row r="394" spans="1:18" s="5" customFormat="1" x14ac:dyDescent="0.2">
      <c r="A394">
        <v>39</v>
      </c>
      <c r="B394" s="4" t="str">
        <f>nodes!C49</f>
        <v>reserveslot_10</v>
      </c>
      <c r="C394" s="31"/>
      <c r="D394" s="31"/>
      <c r="F394"/>
      <c r="G394"/>
      <c r="H394"/>
      <c r="I394"/>
      <c r="J394"/>
      <c r="K394"/>
      <c r="L394"/>
      <c r="M394"/>
      <c r="N394"/>
      <c r="O394"/>
      <c r="P394"/>
      <c r="Q394"/>
      <c r="R394"/>
    </row>
    <row r="395" spans="1:18" s="5" customFormat="1" x14ac:dyDescent="0.2">
      <c r="A395"/>
      <c r="B395" s="4"/>
      <c r="C395" s="31"/>
      <c r="D395" s="31"/>
      <c r="F395"/>
      <c r="G395"/>
      <c r="H395"/>
      <c r="I395"/>
      <c r="J395"/>
      <c r="K395"/>
      <c r="L395"/>
      <c r="M395"/>
      <c r="N395"/>
      <c r="O395"/>
      <c r="P395"/>
      <c r="Q395"/>
      <c r="R395"/>
    </row>
    <row r="396" spans="1:18" s="5" customFormat="1" x14ac:dyDescent="0.2">
      <c r="A396">
        <v>40</v>
      </c>
      <c r="B396" s="4" t="str">
        <f>nodes!C51</f>
        <v>co2_bron_aardgasverbranding</v>
      </c>
      <c r="C396" s="31"/>
      <c r="D396" s="31" t="str">
        <f>I226</f>
        <v>&lt;aanname&gt;&lt;strong&gt;[Zeeland]&lt;/strong&gt; Berekende CO&lt;sub&gt;2&lt;/sub&gt;-emissie bij verbranding van 2 PJ aardgas @ 56.4 ktonCO&lt;sub&gt;2&lt;/sub&gt;/PJ.&lt;/aanname&gt;</v>
      </c>
      <c r="F396"/>
      <c r="G396"/>
      <c r="H396"/>
      <c r="I396"/>
      <c r="J396"/>
      <c r="K396"/>
      <c r="L396"/>
      <c r="M396"/>
      <c r="N396"/>
      <c r="O396"/>
      <c r="P396"/>
      <c r="Q396"/>
      <c r="R396"/>
    </row>
    <row r="397" spans="1:18" s="5" customFormat="1" x14ac:dyDescent="0.2">
      <c r="A397">
        <v>41</v>
      </c>
      <c r="B397" s="4" t="str">
        <f>nodes!C52</f>
        <v>co2_bron_restgasverbranding</v>
      </c>
      <c r="C397" s="31"/>
      <c r="D397" s="31">
        <f t="shared" ref="D397:D405" si="3">I227</f>
        <v>0</v>
      </c>
      <c r="F397"/>
      <c r="G397"/>
      <c r="H397"/>
      <c r="I397"/>
      <c r="J397"/>
      <c r="K397"/>
      <c r="L397"/>
      <c r="M397"/>
      <c r="N397"/>
      <c r="O397"/>
      <c r="P397"/>
      <c r="Q397"/>
      <c r="R397"/>
    </row>
    <row r="398" spans="1:18" s="5" customFormat="1" x14ac:dyDescent="0.2">
      <c r="A398">
        <v>42</v>
      </c>
      <c r="B398" s="4" t="str">
        <f>nodes!C53</f>
        <v>co2_bron_smr_restgas</v>
      </c>
      <c r="C398" s="31"/>
      <c r="D398" s="31" t="str">
        <f t="shared" si="3"/>
        <v>&lt;aanname&gt;&lt;strong&gt;[Zeeland]&lt;/strong&gt; Berekende CO&lt;sub&gt;2&lt;/sub&gt;-productie bij Steam Methane Reforming van 30 PJ restgas @ 64.6 ktonCO&lt;sub&gt;2&lt;/sub&gt;/PJ.&lt;/aanname&gt;</v>
      </c>
      <c r="F398"/>
      <c r="G398"/>
      <c r="H398"/>
      <c r="I398"/>
      <c r="J398"/>
      <c r="K398"/>
      <c r="L398"/>
      <c r="M398"/>
      <c r="N398"/>
      <c r="O398"/>
      <c r="P398"/>
      <c r="Q398"/>
      <c r="R398"/>
    </row>
    <row r="399" spans="1:18" s="5" customFormat="1" x14ac:dyDescent="0.2">
      <c r="A399">
        <v>43</v>
      </c>
      <c r="B399" s="4" t="str">
        <f>nodes!C54</f>
        <v>co2_bron_smr_aardgas</v>
      </c>
      <c r="C399" s="31"/>
      <c r="D399" s="31" t="str">
        <f t="shared" si="3"/>
        <v>&lt;aanname&gt;&lt;strong&gt;[Zeeland]&lt;/strong&gt; Berekende CO&lt;sub&gt;2&lt;/sub&gt;-productie bij Steam Methane Reforming van 102 PJ aardgas @ 56.4 ktonCO&lt;sub&gt;2&lt;/sub&gt;/PJ.&lt;/aanname&gt;</v>
      </c>
      <c r="F399"/>
      <c r="G399"/>
      <c r="H399"/>
      <c r="I399"/>
      <c r="J399"/>
      <c r="K399"/>
      <c r="L399"/>
      <c r="M399"/>
      <c r="N399"/>
      <c r="O399"/>
      <c r="P399"/>
      <c r="Q399"/>
      <c r="R399"/>
    </row>
    <row r="400" spans="1:18" s="5" customFormat="1" x14ac:dyDescent="0.2">
      <c r="A400">
        <v>44</v>
      </c>
      <c r="B400" s="4" t="str">
        <f>nodes!C55</f>
        <v>co2_bron_overige</v>
      </c>
      <c r="C400" s="31"/>
      <c r="D400" s="31">
        <f t="shared" si="3"/>
        <v>0</v>
      </c>
      <c r="F400"/>
      <c r="G400"/>
      <c r="H400"/>
      <c r="I400"/>
      <c r="J400"/>
      <c r="K400"/>
      <c r="L400"/>
      <c r="M400"/>
      <c r="N400"/>
      <c r="O400"/>
      <c r="P400"/>
      <c r="Q400"/>
      <c r="R400"/>
    </row>
    <row r="401" spans="1:18" s="5" customFormat="1" x14ac:dyDescent="0.2">
      <c r="A401">
        <v>45</v>
      </c>
      <c r="B401" s="4" t="str">
        <f>nodes!C56</f>
        <v>co2_bron_reserve_slot1</v>
      </c>
      <c r="C401" s="31"/>
      <c r="D401" s="31">
        <f t="shared" si="3"/>
        <v>0</v>
      </c>
      <c r="F401"/>
      <c r="G401"/>
      <c r="H401"/>
      <c r="I401"/>
      <c r="J401"/>
      <c r="K401"/>
      <c r="L401"/>
      <c r="M401"/>
      <c r="N401"/>
      <c r="O401"/>
      <c r="P401"/>
      <c r="Q401"/>
      <c r="R401"/>
    </row>
    <row r="402" spans="1:18" s="5" customFormat="1" x14ac:dyDescent="0.2">
      <c r="A402">
        <v>46</v>
      </c>
      <c r="B402" s="4" t="str">
        <f>nodes!C57</f>
        <v>co2_bron_reserve_slot2</v>
      </c>
      <c r="C402" s="31"/>
      <c r="D402" s="31">
        <f t="shared" si="3"/>
        <v>0</v>
      </c>
      <c r="F402"/>
      <c r="G402"/>
      <c r="H402"/>
      <c r="I402"/>
      <c r="J402"/>
      <c r="K402"/>
      <c r="L402"/>
      <c r="M402"/>
      <c r="N402"/>
      <c r="O402"/>
      <c r="P402"/>
      <c r="Q402"/>
      <c r="R402"/>
    </row>
    <row r="403" spans="1:18" s="5" customFormat="1" x14ac:dyDescent="0.2">
      <c r="A403">
        <v>47</v>
      </c>
      <c r="B403" s="4" t="str">
        <f>nodes!C58</f>
        <v>co2_bron_reserve_slot3</v>
      </c>
      <c r="C403" s="31"/>
      <c r="D403" s="31">
        <f t="shared" si="3"/>
        <v>0</v>
      </c>
      <c r="F403"/>
      <c r="G403"/>
      <c r="H403"/>
      <c r="I403"/>
      <c r="J403"/>
      <c r="K403"/>
      <c r="L403"/>
      <c r="M403"/>
      <c r="N403"/>
      <c r="O403"/>
      <c r="P403"/>
      <c r="Q403"/>
      <c r="R403"/>
    </row>
    <row r="404" spans="1:18" s="5" customFormat="1" x14ac:dyDescent="0.2">
      <c r="A404">
        <v>48</v>
      </c>
      <c r="B404" s="4" t="str">
        <f>nodes!C59</f>
        <v>co2_bron_reserve_slot4</v>
      </c>
      <c r="C404" s="31"/>
      <c r="D404" s="31">
        <f t="shared" si="3"/>
        <v>0</v>
      </c>
      <c r="F404"/>
      <c r="G404"/>
      <c r="H404"/>
      <c r="I404"/>
      <c r="J404"/>
      <c r="K404"/>
      <c r="L404"/>
      <c r="M404"/>
      <c r="N404"/>
      <c r="O404"/>
      <c r="P404"/>
      <c r="Q404"/>
      <c r="R404"/>
    </row>
    <row r="405" spans="1:18" s="5" customFormat="1" x14ac:dyDescent="0.2">
      <c r="A405">
        <v>49</v>
      </c>
      <c r="B405" s="4" t="str">
        <f>nodes!C60</f>
        <v>co2_bron_reserve_slot5</v>
      </c>
      <c r="C405" s="31"/>
      <c r="D405" s="31">
        <f t="shared" si="3"/>
        <v>0</v>
      </c>
      <c r="F405"/>
      <c r="G405"/>
      <c r="H405"/>
      <c r="I405"/>
      <c r="J405"/>
      <c r="K405"/>
      <c r="L405"/>
      <c r="M405"/>
      <c r="N405"/>
      <c r="O405"/>
      <c r="P405"/>
      <c r="Q405"/>
      <c r="R405"/>
    </row>
    <row r="406" spans="1:18" s="5" customFormat="1" x14ac:dyDescent="0.2">
      <c r="A406"/>
      <c r="B406" s="4"/>
      <c r="C406" s="31"/>
      <c r="D406" s="31"/>
      <c r="F406"/>
      <c r="G406"/>
      <c r="H406"/>
      <c r="I406"/>
      <c r="J406"/>
      <c r="K406"/>
      <c r="L406"/>
      <c r="M406"/>
      <c r="N406"/>
      <c r="O406"/>
      <c r="P406"/>
      <c r="Q406"/>
      <c r="R406"/>
    </row>
    <row r="407" spans="1:18" s="5" customFormat="1" x14ac:dyDescent="0.2">
      <c r="A407">
        <v>50</v>
      </c>
      <c r="B407" s="4" t="str">
        <f>nodes!C62</f>
        <v>co2_afvang_smr_restgas</v>
      </c>
      <c r="C407" s="31"/>
      <c r="D407" s="31"/>
      <c r="F407"/>
      <c r="G407"/>
      <c r="H407"/>
      <c r="I407"/>
      <c r="J407"/>
      <c r="K407"/>
      <c r="L407"/>
      <c r="M407"/>
      <c r="N407"/>
      <c r="O407"/>
      <c r="P407"/>
      <c r="Q407"/>
      <c r="R407"/>
    </row>
    <row r="408" spans="1:18" s="5" customFormat="1" x14ac:dyDescent="0.2">
      <c r="A408">
        <v>51</v>
      </c>
      <c r="B408" s="4" t="str">
        <f>nodes!C63</f>
        <v>co2_afvang_smr_aardgas</v>
      </c>
      <c r="C408" s="31"/>
      <c r="D408" s="31"/>
      <c r="F408"/>
      <c r="G408"/>
      <c r="H408"/>
      <c r="I408"/>
      <c r="J408"/>
      <c r="K408"/>
      <c r="L408"/>
      <c r="M408"/>
      <c r="N408"/>
      <c r="O408"/>
      <c r="P408"/>
      <c r="Q408"/>
      <c r="R408"/>
    </row>
    <row r="409" spans="1:18" s="5" customFormat="1" x14ac:dyDescent="0.2">
      <c r="A409">
        <v>52</v>
      </c>
      <c r="B409" s="4" t="str">
        <f>nodes!C64</f>
        <v>co2_afvang_overige</v>
      </c>
      <c r="C409" s="31"/>
      <c r="D409" s="31"/>
      <c r="F409"/>
      <c r="G409"/>
      <c r="H409"/>
      <c r="I409"/>
      <c r="J409"/>
      <c r="K409"/>
      <c r="L409"/>
      <c r="M409"/>
      <c r="N409"/>
      <c r="O409"/>
      <c r="P409"/>
      <c r="Q409"/>
      <c r="R409"/>
    </row>
    <row r="410" spans="1:18" s="5" customFormat="1" x14ac:dyDescent="0.2">
      <c r="A410">
        <v>53</v>
      </c>
      <c r="B410" s="4" t="str">
        <f>nodes!C65</f>
        <v>co2_afvang_reserve_slot1</v>
      </c>
      <c r="C410" s="31"/>
      <c r="D410" s="31"/>
      <c r="F410"/>
      <c r="G410"/>
      <c r="H410"/>
      <c r="I410"/>
      <c r="J410"/>
      <c r="K410"/>
      <c r="L410"/>
      <c r="M410"/>
      <c r="N410"/>
      <c r="O410"/>
      <c r="P410"/>
      <c r="Q410"/>
      <c r="R410"/>
    </row>
    <row r="411" spans="1:18" s="5" customFormat="1" x14ac:dyDescent="0.2">
      <c r="A411">
        <v>54</v>
      </c>
      <c r="B411" s="4" t="str">
        <f>nodes!C66</f>
        <v>co2_afvang_reserve_slot2</v>
      </c>
      <c r="C411" s="31"/>
      <c r="D411" s="31"/>
      <c r="F411"/>
      <c r="G411"/>
      <c r="H411"/>
      <c r="I411"/>
      <c r="J411"/>
      <c r="K411"/>
      <c r="L411"/>
      <c r="M411"/>
      <c r="N411"/>
      <c r="O411"/>
      <c r="P411"/>
      <c r="Q411"/>
      <c r="R411"/>
    </row>
    <row r="412" spans="1:18" s="5" customFormat="1" x14ac:dyDescent="0.2">
      <c r="A412">
        <v>55</v>
      </c>
      <c r="B412" s="4" t="str">
        <f>nodes!C67</f>
        <v>co2_afvang_reserve_slot3</v>
      </c>
      <c r="C412" s="31"/>
      <c r="D412" s="31"/>
      <c r="F412"/>
      <c r="G412"/>
      <c r="H412"/>
      <c r="I412"/>
      <c r="J412"/>
      <c r="K412"/>
      <c r="L412"/>
      <c r="M412"/>
      <c r="N412"/>
      <c r="O412"/>
      <c r="P412"/>
      <c r="Q412"/>
      <c r="R412"/>
    </row>
    <row r="413" spans="1:18" s="5" customFormat="1" x14ac:dyDescent="0.2">
      <c r="A413">
        <v>56</v>
      </c>
      <c r="B413" s="4" t="str">
        <f>nodes!C68</f>
        <v>co2_afvang_reserve_slot4</v>
      </c>
      <c r="C413" s="31"/>
      <c r="D413" s="31"/>
      <c r="F413"/>
      <c r="G413"/>
      <c r="H413"/>
      <c r="I413"/>
      <c r="J413"/>
      <c r="K413"/>
      <c r="L413"/>
      <c r="M413"/>
      <c r="N413"/>
      <c r="O413"/>
      <c r="P413"/>
      <c r="Q413"/>
      <c r="R413"/>
    </row>
    <row r="414" spans="1:18" s="5" customFormat="1" x14ac:dyDescent="0.2">
      <c r="A414">
        <v>57</v>
      </c>
      <c r="B414" s="4" t="str">
        <f>nodes!C69</f>
        <v>co2_afvang_reserve_slot5</v>
      </c>
      <c r="C414" s="31"/>
      <c r="D414" s="31"/>
      <c r="F414"/>
      <c r="G414"/>
      <c r="H414"/>
      <c r="I414"/>
      <c r="J414"/>
      <c r="K414"/>
      <c r="L414"/>
      <c r="M414"/>
      <c r="N414"/>
      <c r="O414"/>
      <c r="P414"/>
      <c r="Q414"/>
      <c r="R414"/>
    </row>
    <row r="415" spans="1:18" s="5" customFormat="1" x14ac:dyDescent="0.2">
      <c r="A415"/>
      <c r="B415" s="4"/>
      <c r="C415" s="31"/>
      <c r="D415" s="31"/>
      <c r="F415"/>
      <c r="G415"/>
      <c r="H415"/>
      <c r="I415"/>
      <c r="J415"/>
      <c r="K415"/>
      <c r="L415"/>
      <c r="M415"/>
      <c r="N415"/>
      <c r="O415"/>
      <c r="P415"/>
      <c r="Q415"/>
      <c r="R415"/>
    </row>
    <row r="416" spans="1:18" s="5" customFormat="1" x14ac:dyDescent="0.2">
      <c r="A416">
        <v>58</v>
      </c>
      <c r="B416" s="4" t="str">
        <f>nodes!C71</f>
        <v>co2_productie_totaal</v>
      </c>
      <c r="C416" s="31"/>
      <c r="D416" s="31"/>
      <c r="F416"/>
      <c r="G416"/>
      <c r="H416"/>
      <c r="I416"/>
      <c r="J416"/>
      <c r="K416"/>
      <c r="L416"/>
      <c r="M416"/>
      <c r="N416"/>
      <c r="O416"/>
      <c r="P416"/>
      <c r="Q416"/>
      <c r="R416"/>
    </row>
    <row r="417" spans="1:18" s="5" customFormat="1" x14ac:dyDescent="0.2">
      <c r="A417">
        <v>59</v>
      </c>
      <c r="B417" s="4" t="str">
        <f>nodes!C72</f>
        <v>co2_emissies_totaal</v>
      </c>
      <c r="C417" s="31"/>
      <c r="D417" s="31" t="str">
        <f>I257</f>
        <v>&lt;aanname&gt;&lt;strong&gt;[Zeeland]&lt;/strong&gt; De berekende totale CO&lt;sub&gt;2&lt;/sub&gt; uitstoot van de industrie bedraagt 3.200 kton CO&lt;sub&gt;2&lt;/sub&gt;. In de energiebalans en de berekende emissies is van een aardgasverbruik van 15 PJ voor elektriciteitscentrales uitgegaan, waarbij circa 800 kton CO&lt;sub&gt;2&lt;/sub&gt; emissie vrijkomt. De totale berekende CO&lt;sub&gt;2&lt;/sub&gt; uitstoot van het cluster komt daarmee voor 2035 uit op 4.000 kton CO&lt;sub&gt;2&lt;/sub&gt;. Dit is in overeenstemming met de 4.000 kton in 2035 resterende CO&lt;sub&gt;2&lt;/sub&gt; emissie genoteerd in de CES (pagina 49, figuur 3.1).&lt;/aanname&gt;</v>
      </c>
      <c r="F417"/>
      <c r="G417"/>
      <c r="H417"/>
      <c r="I417"/>
      <c r="J417"/>
      <c r="K417"/>
      <c r="L417"/>
      <c r="M417"/>
      <c r="N417"/>
      <c r="O417"/>
      <c r="P417"/>
      <c r="Q417"/>
      <c r="R417"/>
    </row>
    <row r="418" spans="1:18" s="5" customFormat="1" x14ac:dyDescent="0.2">
      <c r="A418">
        <v>60</v>
      </c>
      <c r="B418" s="4" t="str">
        <f>nodes!C73</f>
        <v>co2_afvang_totaal</v>
      </c>
      <c r="C418" s="31"/>
      <c r="D418" s="31" t="str">
        <f>I255</f>
        <v>&lt;aanname&gt;&lt;strong&gt;[Zeeland]&lt;/strong&gt; [MISMATCH] Volgens de CES wordt in 2035 3.100 kton CO&lt;sub&gt;2&lt;/sub&gt; CCS toegepast (pagina 35, figuur 2.12). De berekende totale netto afvangst van CO2 met aangenomen capture-rate van 80% komt uit op 4557 kton CO&lt;sub&gt;2&lt;/sub&gt;. Wat verklaart dit verschil? CCU?&lt;/aanname&gt;</v>
      </c>
      <c r="F418"/>
      <c r="G418"/>
      <c r="H418"/>
      <c r="I418"/>
      <c r="J418"/>
      <c r="K418"/>
      <c r="L418"/>
      <c r="M418"/>
      <c r="N418"/>
      <c r="O418"/>
      <c r="P418"/>
      <c r="Q418"/>
      <c r="R418"/>
    </row>
    <row r="419" spans="1:18" s="5" customFormat="1" x14ac:dyDescent="0.2">
      <c r="A419">
        <v>61</v>
      </c>
      <c r="B419" s="4" t="str">
        <f>nodes!C74</f>
        <v>co2_afgevangen_totaal</v>
      </c>
      <c r="C419" s="31"/>
      <c r="D419" s="31"/>
      <c r="F419"/>
      <c r="G419"/>
      <c r="H419"/>
      <c r="I419"/>
      <c r="J419"/>
      <c r="K419"/>
      <c r="L419"/>
      <c r="M419"/>
      <c r="N419"/>
      <c r="O419"/>
      <c r="P419"/>
      <c r="Q419"/>
      <c r="R419"/>
    </row>
  </sheetData>
  <conditionalFormatting sqref="C89">
    <cfRule type="containsText" dxfId="3" priority="3" operator="containsText" text="OK">
      <formula>NOT(ISERROR(SEARCH("OK",C89)))</formula>
    </cfRule>
    <cfRule type="containsText" dxfId="2" priority="4" operator="containsText" text="ERROR">
      <formula>NOT(ISERROR(SEARCH("ERROR",C89)))</formula>
    </cfRule>
  </conditionalFormatting>
  <conditionalFormatting sqref="C103">
    <cfRule type="containsText" dxfId="1" priority="1" operator="containsText" text="OK">
      <formula>NOT(ISERROR(SEARCH("OK",C103)))</formula>
    </cfRule>
    <cfRule type="containsText" dxfId="0" priority="2" operator="containsText" text="ERROR">
      <formula>NOT(ISERROR(SEARCH("ERROR",C103)))</formula>
    </cfRule>
  </conditionalFormatting>
  <pageMargins left="0.7" right="0.7" top="0.75" bottom="0.75" header="0.3" footer="0.3"/>
  <pageSetup paperSize="9" orientation="portrait" horizontalDpi="0" verticalDpi="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D950C-2B93-8A44-AD45-232EFCB52CBB}">
  <sheetPr>
    <tabColor theme="8" tint="0.39997558519241921"/>
  </sheetPr>
  <dimension ref="A2:R356"/>
  <sheetViews>
    <sheetView topLeftCell="A200" zoomScale="116" zoomScaleNormal="90" workbookViewId="0">
      <selection activeCell="B29" sqref="B29"/>
    </sheetView>
  </sheetViews>
  <sheetFormatPr baseColWidth="10" defaultRowHeight="16" x14ac:dyDescent="0.2"/>
  <cols>
    <col min="1" max="1" width="13.33203125" customWidth="1"/>
    <col min="2" max="2" width="106.6640625" customWidth="1"/>
    <col min="3" max="3" width="24.5" customWidth="1"/>
    <col min="4" max="4" width="16.33203125" customWidth="1"/>
    <col min="5" max="5" width="16.6640625" style="5" customWidth="1"/>
    <col min="8" max="8" width="43.83203125" customWidth="1"/>
    <col min="9" max="9" width="29.6640625" customWidth="1"/>
    <col min="10" max="10" width="10.83203125" customWidth="1"/>
    <col min="15" max="15" width="10.83203125" customWidth="1"/>
    <col min="18" max="19" width="10.83203125" customWidth="1"/>
    <col min="24" max="24" width="10.83203125" customWidth="1"/>
  </cols>
  <sheetData>
    <row r="2" spans="2:18" ht="38" customHeight="1" x14ac:dyDescent="0.2">
      <c r="B2" s="73" t="s">
        <v>166</v>
      </c>
      <c r="C2" s="27"/>
      <c r="D2" s="27"/>
      <c r="E2" s="27"/>
      <c r="F2" s="27"/>
      <c r="G2" s="27"/>
      <c r="H2" s="27"/>
      <c r="I2" s="27"/>
      <c r="J2" s="27"/>
      <c r="K2" s="27"/>
      <c r="L2" s="27"/>
      <c r="M2" s="27"/>
      <c r="N2" s="27"/>
      <c r="O2" s="27"/>
    </row>
    <row r="3" spans="2:18" x14ac:dyDescent="0.2">
      <c r="D3" s="5"/>
    </row>
    <row r="4" spans="2:18" ht="24" customHeight="1" x14ac:dyDescent="0.2">
      <c r="B4" s="72" t="s">
        <v>22</v>
      </c>
      <c r="C4" s="72" t="s">
        <v>25</v>
      </c>
      <c r="D4" s="72" t="s">
        <v>24</v>
      </c>
      <c r="E4" s="72" t="s">
        <v>23</v>
      </c>
      <c r="F4" s="75"/>
      <c r="G4" s="75"/>
      <c r="H4" s="75"/>
      <c r="I4" s="75"/>
      <c r="J4" s="75"/>
      <c r="K4" s="75"/>
      <c r="L4" s="75"/>
      <c r="M4" s="75"/>
      <c r="N4" s="75"/>
      <c r="O4" s="75"/>
    </row>
    <row r="5" spans="2:18" x14ac:dyDescent="0.2">
      <c r="B5" s="3" t="s">
        <v>560</v>
      </c>
      <c r="C5" t="s">
        <v>8</v>
      </c>
      <c r="D5">
        <v>0.7</v>
      </c>
      <c r="E5" t="s">
        <v>37</v>
      </c>
      <c r="R5" s="14"/>
    </row>
    <row r="6" spans="2:18" x14ac:dyDescent="0.2">
      <c r="B6" s="3" t="s">
        <v>561</v>
      </c>
      <c r="C6" t="s">
        <v>8</v>
      </c>
      <c r="D6">
        <v>0.65</v>
      </c>
      <c r="E6" t="s">
        <v>37</v>
      </c>
      <c r="R6" s="14"/>
    </row>
    <row r="7" spans="2:18" x14ac:dyDescent="0.2">
      <c r="B7" s="3" t="s">
        <v>562</v>
      </c>
      <c r="C7" t="s">
        <v>8</v>
      </c>
      <c r="D7" s="23">
        <v>0.65</v>
      </c>
      <c r="E7" t="s">
        <v>37</v>
      </c>
      <c r="R7" s="14"/>
    </row>
    <row r="8" spans="2:18" x14ac:dyDescent="0.2">
      <c r="B8" s="3" t="s">
        <v>563</v>
      </c>
      <c r="C8" t="s">
        <v>8</v>
      </c>
      <c r="D8">
        <v>0.65</v>
      </c>
      <c r="E8" s="5" t="s">
        <v>37</v>
      </c>
    </row>
    <row r="9" spans="2:18" x14ac:dyDescent="0.2">
      <c r="B9" s="3" t="s">
        <v>564</v>
      </c>
      <c r="C9" s="3" t="s">
        <v>8</v>
      </c>
      <c r="D9" s="117">
        <v>0.80915435965817184</v>
      </c>
      <c r="E9" t="s">
        <v>37</v>
      </c>
    </row>
    <row r="10" spans="2:18" x14ac:dyDescent="0.2">
      <c r="B10" s="3" t="s">
        <v>326</v>
      </c>
      <c r="C10" s="3" t="s">
        <v>327</v>
      </c>
      <c r="D10" s="23">
        <v>0.12</v>
      </c>
      <c r="E10"/>
    </row>
    <row r="11" spans="2:18" x14ac:dyDescent="0.2">
      <c r="B11" t="s">
        <v>40</v>
      </c>
      <c r="C11" t="s">
        <v>39</v>
      </c>
      <c r="D11">
        <v>56.4</v>
      </c>
      <c r="E11" t="s">
        <v>38</v>
      </c>
    </row>
    <row r="12" spans="2:18" x14ac:dyDescent="0.2">
      <c r="B12" t="s">
        <v>41</v>
      </c>
      <c r="C12" t="s">
        <v>39</v>
      </c>
      <c r="D12">
        <v>61.8</v>
      </c>
      <c r="E12" t="s">
        <v>38</v>
      </c>
    </row>
    <row r="13" spans="2:18" x14ac:dyDescent="0.2">
      <c r="B13" t="s">
        <v>42</v>
      </c>
      <c r="C13" t="s">
        <v>39</v>
      </c>
      <c r="D13">
        <v>64.599999999999994</v>
      </c>
      <c r="E13" t="s">
        <v>38</v>
      </c>
      <c r="F13" s="5"/>
    </row>
    <row r="14" spans="2:18" x14ac:dyDescent="0.2">
      <c r="B14" t="s">
        <v>336</v>
      </c>
      <c r="C14" t="s">
        <v>39</v>
      </c>
      <c r="D14" s="126">
        <v>89.9</v>
      </c>
      <c r="E14" t="s">
        <v>38</v>
      </c>
      <c r="F14" s="5"/>
    </row>
    <row r="15" spans="2:18" x14ac:dyDescent="0.2">
      <c r="D15" s="5"/>
      <c r="F15" s="5"/>
    </row>
    <row r="16" spans="2:18" ht="38" customHeight="1" x14ac:dyDescent="0.2">
      <c r="B16" s="73" t="s">
        <v>553</v>
      </c>
      <c r="C16" s="28"/>
      <c r="D16" s="28"/>
      <c r="E16" s="30"/>
      <c r="F16" s="28"/>
      <c r="G16" s="28"/>
      <c r="H16" s="28"/>
      <c r="I16" s="28"/>
      <c r="J16" s="28"/>
      <c r="K16" s="28"/>
      <c r="L16" s="28"/>
      <c r="M16" s="28"/>
      <c r="N16" s="28"/>
      <c r="O16" s="28"/>
    </row>
    <row r="18" spans="2:15" s="2" customFormat="1" ht="25" customHeight="1" x14ac:dyDescent="0.2">
      <c r="B18" s="72" t="s">
        <v>168</v>
      </c>
      <c r="C18" s="72" t="s">
        <v>25</v>
      </c>
      <c r="D18" s="72" t="s">
        <v>29</v>
      </c>
      <c r="E18" s="74" t="s">
        <v>30</v>
      </c>
      <c r="F18" s="72" t="s">
        <v>23</v>
      </c>
      <c r="G18" s="72" t="s">
        <v>176</v>
      </c>
      <c r="H18" s="72"/>
      <c r="I18" s="72"/>
      <c r="J18" s="72"/>
      <c r="K18" s="72"/>
      <c r="L18" s="72"/>
      <c r="M18" s="72"/>
      <c r="N18" s="72"/>
      <c r="O18" s="72"/>
    </row>
    <row r="20" spans="2:15" x14ac:dyDescent="0.2">
      <c r="B20" s="31" t="s">
        <v>225</v>
      </c>
    </row>
    <row r="21" spans="2:15" x14ac:dyDescent="0.2">
      <c r="B21" s="33" t="s">
        <v>557</v>
      </c>
    </row>
    <row r="23" spans="2:15" x14ac:dyDescent="0.2">
      <c r="B23" s="1" t="s">
        <v>89</v>
      </c>
    </row>
    <row r="24" spans="2:15" x14ac:dyDescent="0.2">
      <c r="B24" t="s">
        <v>21</v>
      </c>
      <c r="C24" t="s">
        <v>33</v>
      </c>
      <c r="D24" s="65">
        <v>0</v>
      </c>
      <c r="E24" s="37">
        <f>E35/D5</f>
        <v>15.428571428571429</v>
      </c>
      <c r="F24" t="s">
        <v>330</v>
      </c>
    </row>
    <row r="25" spans="2:15" x14ac:dyDescent="0.2">
      <c r="B25" t="s">
        <v>27</v>
      </c>
      <c r="C25" t="s">
        <v>33</v>
      </c>
      <c r="D25" s="34">
        <f>3.37*3.6</f>
        <v>12.132000000000001</v>
      </c>
      <c r="E25" s="34">
        <f>12.6*3.6</f>
        <v>45.36</v>
      </c>
      <c r="F25" t="s">
        <v>495</v>
      </c>
    </row>
    <row r="26" spans="2:15" x14ac:dyDescent="0.2">
      <c r="B26" s="42" t="s">
        <v>163</v>
      </c>
      <c r="C26" s="19" t="s">
        <v>33</v>
      </c>
      <c r="D26" s="45"/>
      <c r="E26" s="112">
        <v>0</v>
      </c>
      <c r="F26" s="14"/>
      <c r="K26" s="39"/>
      <c r="L26" s="40"/>
    </row>
    <row r="28" spans="2:15" x14ac:dyDescent="0.2">
      <c r="B28" t="s">
        <v>444</v>
      </c>
      <c r="C28" t="s">
        <v>33</v>
      </c>
      <c r="D28" s="38">
        <f>5.22*3.6</f>
        <v>18.791999999999998</v>
      </c>
      <c r="E28" s="38">
        <f>3.2*3.6</f>
        <v>11.520000000000001</v>
      </c>
      <c r="F28" t="s">
        <v>476</v>
      </c>
    </row>
    <row r="29" spans="2:15" x14ac:dyDescent="0.2">
      <c r="B29" t="s">
        <v>446</v>
      </c>
      <c r="C29" t="s">
        <v>447</v>
      </c>
      <c r="D29" s="115">
        <v>0.5</v>
      </c>
      <c r="E29" s="115">
        <v>0.5</v>
      </c>
      <c r="F29" t="s">
        <v>448</v>
      </c>
    </row>
    <row r="32" spans="2:15" x14ac:dyDescent="0.2">
      <c r="B32" s="1" t="s">
        <v>91</v>
      </c>
    </row>
    <row r="33" spans="2:9" x14ac:dyDescent="0.2">
      <c r="B33" t="s">
        <v>274</v>
      </c>
      <c r="C33" t="s">
        <v>35</v>
      </c>
      <c r="D33" s="37">
        <v>0</v>
      </c>
      <c r="E33" s="37">
        <v>0</v>
      </c>
      <c r="G33" s="14"/>
    </row>
    <row r="34" spans="2:9" x14ac:dyDescent="0.2">
      <c r="B34" t="s">
        <v>275</v>
      </c>
      <c r="C34" t="s">
        <v>35</v>
      </c>
      <c r="D34" s="34">
        <v>0</v>
      </c>
      <c r="E34" s="34">
        <f>206*D10</f>
        <v>24.72</v>
      </c>
      <c r="F34" t="s">
        <v>325</v>
      </c>
      <c r="G34" s="14"/>
    </row>
    <row r="35" spans="2:9" x14ac:dyDescent="0.2">
      <c r="B35" t="s">
        <v>26</v>
      </c>
      <c r="C35" t="s">
        <v>32</v>
      </c>
      <c r="D35" s="65">
        <v>0</v>
      </c>
      <c r="E35" s="34">
        <f>90*D10</f>
        <v>10.799999999999999</v>
      </c>
      <c r="F35" t="s">
        <v>325</v>
      </c>
    </row>
    <row r="36" spans="2:9" x14ac:dyDescent="0.2">
      <c r="B36" t="s">
        <v>14</v>
      </c>
      <c r="C36" t="s">
        <v>35</v>
      </c>
      <c r="D36" s="31">
        <v>0</v>
      </c>
      <c r="E36" s="34">
        <f>197*D10</f>
        <v>23.64</v>
      </c>
      <c r="F36" t="s">
        <v>325</v>
      </c>
    </row>
    <row r="37" spans="2:9" x14ac:dyDescent="0.2">
      <c r="B37" t="s">
        <v>13</v>
      </c>
      <c r="C37" t="s">
        <v>35</v>
      </c>
      <c r="D37" s="31">
        <v>0</v>
      </c>
      <c r="E37" s="34">
        <f>81.3*D10</f>
        <v>9.7559999999999985</v>
      </c>
      <c r="F37" t="s">
        <v>325</v>
      </c>
    </row>
    <row r="38" spans="2:9" x14ac:dyDescent="0.2">
      <c r="H38" s="5"/>
    </row>
    <row r="39" spans="2:9" x14ac:dyDescent="0.2">
      <c r="B39" s="1" t="s">
        <v>85</v>
      </c>
      <c r="I39" s="5"/>
    </row>
    <row r="40" spans="2:9" x14ac:dyDescent="0.2">
      <c r="B40" t="s">
        <v>445</v>
      </c>
      <c r="C40" t="s">
        <v>34</v>
      </c>
      <c r="D40" s="34">
        <f>15.3*3.6</f>
        <v>55.080000000000005</v>
      </c>
      <c r="E40" s="34">
        <f>11.5*3.6</f>
        <v>41.4</v>
      </c>
      <c r="F40" t="s">
        <v>449</v>
      </c>
    </row>
    <row r="41" spans="2:9" x14ac:dyDescent="0.2">
      <c r="B41" t="s">
        <v>31</v>
      </c>
      <c r="C41" t="s">
        <v>34</v>
      </c>
      <c r="D41" s="37">
        <f>D40-(D28/D29)</f>
        <v>17.496000000000009</v>
      </c>
      <c r="E41" s="37">
        <f>E40-(E28/E29)</f>
        <v>18.359999999999996</v>
      </c>
      <c r="F41" t="s">
        <v>450</v>
      </c>
    </row>
    <row r="43" spans="2:9" x14ac:dyDescent="0.2">
      <c r="B43" s="1" t="s">
        <v>262</v>
      </c>
    </row>
    <row r="44" spans="2:9" x14ac:dyDescent="0.2">
      <c r="B44" t="s">
        <v>329</v>
      </c>
      <c r="D44" s="31">
        <f>36*3.6</f>
        <v>129.6</v>
      </c>
      <c r="E44" s="34">
        <f>16.1*3.6</f>
        <v>57.960000000000008</v>
      </c>
      <c r="F44" t="s">
        <v>337</v>
      </c>
    </row>
    <row r="46" spans="2:9" x14ac:dyDescent="0.2">
      <c r="B46" s="1" t="s">
        <v>164</v>
      </c>
    </row>
    <row r="47" spans="2:9" x14ac:dyDescent="0.2">
      <c r="B47" t="s">
        <v>454</v>
      </c>
      <c r="C47" t="s">
        <v>28</v>
      </c>
      <c r="D47" s="34">
        <v>15200</v>
      </c>
      <c r="E47" s="34">
        <v>8900</v>
      </c>
      <c r="F47" t="s">
        <v>328</v>
      </c>
    </row>
    <row r="48" spans="2:9" x14ac:dyDescent="0.2">
      <c r="B48" t="s">
        <v>334</v>
      </c>
      <c r="C48" t="s">
        <v>28</v>
      </c>
      <c r="D48" s="34">
        <v>0</v>
      </c>
      <c r="E48" s="34">
        <f>600+500</f>
        <v>1100</v>
      </c>
      <c r="F48" t="s">
        <v>333</v>
      </c>
    </row>
    <row r="49" spans="2:15" x14ac:dyDescent="0.2">
      <c r="B49" t="s">
        <v>456</v>
      </c>
      <c r="C49" t="s">
        <v>28</v>
      </c>
      <c r="D49" s="37">
        <f>D47-D28*D11/D29</f>
        <v>13080.2624</v>
      </c>
      <c r="E49" s="37">
        <f>E47-E28*D11/E29</f>
        <v>7600.5439999999999</v>
      </c>
      <c r="F49" t="s">
        <v>356</v>
      </c>
    </row>
    <row r="51" spans="2:15" x14ac:dyDescent="0.2">
      <c r="E51"/>
    </row>
    <row r="52" spans="2:15" ht="24" customHeight="1" x14ac:dyDescent="0.2">
      <c r="B52" s="72" t="s">
        <v>169</v>
      </c>
      <c r="C52" s="72"/>
      <c r="D52" s="72"/>
      <c r="E52" s="74"/>
      <c r="F52" s="72"/>
      <c r="G52" s="72"/>
      <c r="H52" s="72"/>
      <c r="I52" s="72"/>
      <c r="J52" s="72"/>
      <c r="K52" s="72"/>
      <c r="L52" s="72"/>
      <c r="M52" s="72"/>
      <c r="N52" s="72"/>
      <c r="O52" s="72"/>
    </row>
    <row r="54" spans="2:15" x14ac:dyDescent="0.2">
      <c r="B54" s="1" t="s">
        <v>170</v>
      </c>
      <c r="C54" s="1" t="s">
        <v>171</v>
      </c>
      <c r="D54" s="1" t="s">
        <v>172</v>
      </c>
      <c r="E54" s="21" t="s">
        <v>173</v>
      </c>
      <c r="H54">
        <v>0.64790000000000003</v>
      </c>
    </row>
    <row r="57" spans="2:15" x14ac:dyDescent="0.2">
      <c r="C57" s="13"/>
    </row>
    <row r="58" spans="2:15" x14ac:dyDescent="0.2">
      <c r="B58" s="1" t="s">
        <v>204</v>
      </c>
      <c r="C58" s="13"/>
    </row>
    <row r="59" spans="2:15" x14ac:dyDescent="0.2">
      <c r="B59" s="3" t="s">
        <v>206</v>
      </c>
      <c r="C59" s="13">
        <v>0</v>
      </c>
      <c r="D59" t="s">
        <v>212</v>
      </c>
    </row>
    <row r="60" spans="2:15" x14ac:dyDescent="0.2">
      <c r="C60" s="13"/>
    </row>
    <row r="61" spans="2:15" x14ac:dyDescent="0.2">
      <c r="B61" s="1" t="s">
        <v>280</v>
      </c>
      <c r="C61" s="13"/>
    </row>
    <row r="62" spans="2:15" x14ac:dyDescent="0.2">
      <c r="B62" t="s">
        <v>207</v>
      </c>
      <c r="C62" s="13">
        <f>D41</f>
        <v>17.496000000000009</v>
      </c>
      <c r="D62" t="s">
        <v>0</v>
      </c>
    </row>
    <row r="63" spans="2:15" x14ac:dyDescent="0.2">
      <c r="C63" s="13"/>
    </row>
    <row r="64" spans="2:15" x14ac:dyDescent="0.2">
      <c r="B64" s="3"/>
      <c r="C64" s="13"/>
    </row>
    <row r="65" spans="2:5" s="2" customFormat="1" ht="26" customHeight="1" x14ac:dyDescent="0.2">
      <c r="B65" s="72" t="s">
        <v>230</v>
      </c>
      <c r="C65" s="102"/>
      <c r="D65" s="102"/>
      <c r="E65" s="102"/>
    </row>
    <row r="66" spans="2:5" x14ac:dyDescent="0.2">
      <c r="C66" s="13"/>
    </row>
    <row r="67" spans="2:5" x14ac:dyDescent="0.2">
      <c r="B67" s="1" t="s">
        <v>202</v>
      </c>
      <c r="C67" s="13"/>
    </row>
    <row r="68" spans="2:5" x14ac:dyDescent="0.2">
      <c r="B68" s="3" t="s">
        <v>192</v>
      </c>
      <c r="C68" s="13">
        <v>0</v>
      </c>
      <c r="D68" t="s">
        <v>0</v>
      </c>
    </row>
    <row r="69" spans="2:5" x14ac:dyDescent="0.2">
      <c r="C69" s="13"/>
    </row>
    <row r="70" spans="2:5" x14ac:dyDescent="0.2">
      <c r="B70" s="1" t="s">
        <v>203</v>
      </c>
      <c r="C70" s="13"/>
    </row>
    <row r="71" spans="2:5" x14ac:dyDescent="0.2">
      <c r="B71" s="3" t="s">
        <v>192</v>
      </c>
      <c r="C71" s="13">
        <f>E41</f>
        <v>18.359999999999996</v>
      </c>
      <c r="D71" t="s">
        <v>0</v>
      </c>
    </row>
    <row r="72" spans="2:5" x14ac:dyDescent="0.2">
      <c r="C72" s="13"/>
    </row>
    <row r="73" spans="2:5" x14ac:dyDescent="0.2">
      <c r="B73" s="76" t="s">
        <v>205</v>
      </c>
      <c r="C73" s="77"/>
    </row>
    <row r="74" spans="2:5" x14ac:dyDescent="0.2">
      <c r="B74" s="79" t="s">
        <v>192</v>
      </c>
      <c r="C74" s="77"/>
    </row>
    <row r="76" spans="2:5" x14ac:dyDescent="0.2">
      <c r="C76" s="13"/>
    </row>
    <row r="77" spans="2:5" s="2" customFormat="1" ht="26" customHeight="1" x14ac:dyDescent="0.2">
      <c r="B77" s="98" t="s">
        <v>231</v>
      </c>
      <c r="C77" s="99"/>
      <c r="D77" s="100"/>
      <c r="E77" s="101"/>
    </row>
    <row r="79" spans="2:5" x14ac:dyDescent="0.2">
      <c r="B79" s="43" t="s">
        <v>221</v>
      </c>
    </row>
    <row r="80" spans="2:5" x14ac:dyDescent="0.2">
      <c r="B80" s="17" t="s">
        <v>283</v>
      </c>
      <c r="C80" s="17">
        <v>0</v>
      </c>
      <c r="D80" s="17" t="s">
        <v>9</v>
      </c>
    </row>
    <row r="82" spans="2:8" x14ac:dyDescent="0.2">
      <c r="B82" s="1" t="s">
        <v>284</v>
      </c>
      <c r="C82" s="13"/>
    </row>
    <row r="83" spans="2:8" x14ac:dyDescent="0.2">
      <c r="B83" t="s">
        <v>285</v>
      </c>
      <c r="C83" s="5">
        <f>D41*D11</f>
        <v>986.77440000000047</v>
      </c>
      <c r="D83" t="s">
        <v>9</v>
      </c>
    </row>
    <row r="84" spans="2:8" x14ac:dyDescent="0.2">
      <c r="B84" t="s">
        <v>335</v>
      </c>
      <c r="C84" s="5">
        <f>D44*D14*G84</f>
        <v>10485.936000000002</v>
      </c>
      <c r="D84" t="s">
        <v>9</v>
      </c>
      <c r="G84" s="8">
        <v>0.9</v>
      </c>
      <c r="H84" t="s">
        <v>343</v>
      </c>
    </row>
    <row r="85" spans="2:8" x14ac:dyDescent="0.2">
      <c r="B85" t="s">
        <v>342</v>
      </c>
      <c r="C85" s="5">
        <v>1500</v>
      </c>
      <c r="D85" t="s">
        <v>9</v>
      </c>
      <c r="E85" s="24" t="s">
        <v>455</v>
      </c>
    </row>
    <row r="86" spans="2:8" x14ac:dyDescent="0.2">
      <c r="C86" s="5"/>
    </row>
    <row r="87" spans="2:8" x14ac:dyDescent="0.2">
      <c r="B87" s="15" t="s">
        <v>288</v>
      </c>
      <c r="C87" s="22">
        <f>SUM(C83:C86)-C80</f>
        <v>12972.710400000002</v>
      </c>
      <c r="D87" s="15" t="s">
        <v>9</v>
      </c>
      <c r="F87" s="5">
        <f>D47-C87</f>
        <v>2227.2895999999982</v>
      </c>
    </row>
    <row r="88" spans="2:8" x14ac:dyDescent="0.2">
      <c r="H88">
        <f>D28/D29*D11</f>
        <v>2119.7375999999999</v>
      </c>
    </row>
    <row r="89" spans="2:8" x14ac:dyDescent="0.2">
      <c r="B89" s="43" t="s">
        <v>222</v>
      </c>
      <c r="F89" s="5">
        <f>C87+1200</f>
        <v>14172.710400000002</v>
      </c>
    </row>
    <row r="90" spans="2:8" x14ac:dyDescent="0.2">
      <c r="B90" t="s">
        <v>332</v>
      </c>
      <c r="C90" s="5">
        <v>600</v>
      </c>
      <c r="D90" t="s">
        <v>9</v>
      </c>
      <c r="E90"/>
      <c r="H90" s="5"/>
    </row>
    <row r="91" spans="2:8" x14ac:dyDescent="0.2">
      <c r="B91" t="s">
        <v>344</v>
      </c>
      <c r="C91" s="5">
        <v>500</v>
      </c>
      <c r="D91" t="s">
        <v>9</v>
      </c>
      <c r="E91"/>
      <c r="H91" s="5">
        <f>C87+H88</f>
        <v>15092.448000000002</v>
      </c>
    </row>
    <row r="92" spans="2:8" x14ac:dyDescent="0.2">
      <c r="B92" s="15" t="s">
        <v>232</v>
      </c>
      <c r="C92" s="22">
        <f>SUM(C90:C91)</f>
        <v>1100</v>
      </c>
      <c r="D92" s="15" t="s">
        <v>9</v>
      </c>
    </row>
    <row r="93" spans="2:8" x14ac:dyDescent="0.2">
      <c r="F93" s="13"/>
    </row>
    <row r="94" spans="2:8" x14ac:dyDescent="0.2">
      <c r="B94" s="1" t="s">
        <v>233</v>
      </c>
      <c r="F94" s="13"/>
      <c r="G94" s="5">
        <f>C99-600</f>
        <v>5525.0476000000008</v>
      </c>
    </row>
    <row r="95" spans="2:8" x14ac:dyDescent="0.2">
      <c r="B95" s="5" t="s">
        <v>235</v>
      </c>
      <c r="C95" s="5">
        <f>E41*D11</f>
        <v>1035.5039999999997</v>
      </c>
      <c r="D95" t="s">
        <v>9</v>
      </c>
      <c r="F95" s="5"/>
    </row>
    <row r="96" spans="2:8" x14ac:dyDescent="0.2">
      <c r="B96" t="s">
        <v>331</v>
      </c>
      <c r="C96">
        <f>E44*D14*G84</f>
        <v>4689.5436000000009</v>
      </c>
      <c r="D96" t="s">
        <v>9</v>
      </c>
      <c r="E96" s="5">
        <f>E97-1100</f>
        <v>6225.0476000000008</v>
      </c>
    </row>
    <row r="97" spans="2:15" x14ac:dyDescent="0.2">
      <c r="B97" s="5" t="s">
        <v>345</v>
      </c>
      <c r="C97" s="5">
        <f>C85</f>
        <v>1500</v>
      </c>
      <c r="D97" t="s">
        <v>9</v>
      </c>
      <c r="E97" s="5">
        <f>C99+1200</f>
        <v>7325.0476000000008</v>
      </c>
      <c r="H97" s="13"/>
    </row>
    <row r="98" spans="2:15" x14ac:dyDescent="0.2">
      <c r="B98" s="5"/>
      <c r="C98" s="5"/>
    </row>
    <row r="99" spans="2:15" x14ac:dyDescent="0.2">
      <c r="B99" s="22" t="s">
        <v>287</v>
      </c>
      <c r="C99" s="22">
        <f>SUM(C95:C97)-C92</f>
        <v>6125.0476000000008</v>
      </c>
      <c r="D99" s="15" t="s">
        <v>9</v>
      </c>
    </row>
    <row r="100" spans="2:15" x14ac:dyDescent="0.2">
      <c r="C100" s="5"/>
    </row>
    <row r="101" spans="2:15" ht="22" x14ac:dyDescent="0.2">
      <c r="B101" s="73" t="s">
        <v>167</v>
      </c>
      <c r="C101" s="28"/>
      <c r="D101" s="28"/>
      <c r="E101" s="30"/>
      <c r="F101" s="28"/>
      <c r="G101" s="28"/>
      <c r="H101" s="28"/>
      <c r="I101" s="28"/>
      <c r="J101" s="28"/>
      <c r="K101" s="28"/>
      <c r="L101" s="28"/>
      <c r="M101" s="28"/>
      <c r="N101" s="28"/>
      <c r="O101" s="28"/>
    </row>
    <row r="102" spans="2:15" x14ac:dyDescent="0.2">
      <c r="C102" s="5"/>
    </row>
    <row r="104" spans="2:15" x14ac:dyDescent="0.2">
      <c r="B104" s="1" t="s">
        <v>47</v>
      </c>
      <c r="C104" s="1" t="s">
        <v>46</v>
      </c>
      <c r="D104" s="1" t="s">
        <v>55</v>
      </c>
      <c r="E104" s="1">
        <v>2021</v>
      </c>
      <c r="F104" s="1">
        <v>2035</v>
      </c>
      <c r="H104" s="1" t="s">
        <v>240</v>
      </c>
      <c r="I104" s="1" t="s">
        <v>75</v>
      </c>
    </row>
    <row r="105" spans="2:15" ht="18" customHeight="1" x14ac:dyDescent="0.2">
      <c r="B105" s="90" t="str">
        <f>links!B3</f>
        <v>bron_aardgas</v>
      </c>
      <c r="C105" s="90" t="str">
        <f>links!C3</f>
        <v>industrie</v>
      </c>
      <c r="D105" s="90" t="str">
        <f>links!D3</f>
        <v>aardgas</v>
      </c>
      <c r="E105" s="34">
        <f>C62</f>
        <v>17.496000000000009</v>
      </c>
      <c r="F105" s="34">
        <f>C71</f>
        <v>18.359999999999996</v>
      </c>
      <c r="H105" s="31" t="s">
        <v>523</v>
      </c>
      <c r="I105" s="31" t="s">
        <v>524</v>
      </c>
    </row>
    <row r="106" spans="2:15" ht="17" customHeight="1" x14ac:dyDescent="0.2">
      <c r="B106" s="90" t="str">
        <f>links!B4</f>
        <v>bron_restgas</v>
      </c>
      <c r="C106" s="90" t="str">
        <f>links!C4</f>
        <v>industrie</v>
      </c>
      <c r="D106" s="90" t="str">
        <f>links!D4</f>
        <v>restgas</v>
      </c>
      <c r="E106" s="34">
        <v>0</v>
      </c>
      <c r="F106" s="36">
        <v>0</v>
      </c>
      <c r="H106" s="92" t="s">
        <v>340</v>
      </c>
      <c r="I106" s="92"/>
    </row>
    <row r="107" spans="2:15" ht="17" customHeight="1" x14ac:dyDescent="0.2">
      <c r="B107" s="90"/>
      <c r="C107" s="90"/>
      <c r="D107" s="90"/>
      <c r="E107" s="34"/>
      <c r="F107" s="34"/>
      <c r="H107" s="92"/>
      <c r="I107" s="92"/>
    </row>
    <row r="108" spans="2:15" ht="16" customHeight="1" x14ac:dyDescent="0.2">
      <c r="B108" s="90" t="str">
        <f>links!B6</f>
        <v>bron_elektriciteit</v>
      </c>
      <c r="C108" s="90" t="str">
        <f>links!C6</f>
        <v>elektriciteit_vraag_2021</v>
      </c>
      <c r="D108" s="90" t="str">
        <f>links!D6</f>
        <v>elektriciteit</v>
      </c>
      <c r="E108" s="34">
        <f>D25</f>
        <v>12.132000000000001</v>
      </c>
      <c r="F108" s="34">
        <f>E108</f>
        <v>12.132000000000001</v>
      </c>
      <c r="H108" s="92" t="s">
        <v>525</v>
      </c>
      <c r="I108" s="92"/>
    </row>
    <row r="109" spans="2:15" x14ac:dyDescent="0.2">
      <c r="B109" s="90" t="str">
        <f>links!B7</f>
        <v>bron_elektriciteit</v>
      </c>
      <c r="C109" s="90" t="str">
        <f>links!C7</f>
        <v>elektriciteit_aardgassubstitutie_directe_elektrificatie</v>
      </c>
      <c r="D109" s="90" t="str">
        <f>links!D7</f>
        <v>elektriciteit</v>
      </c>
      <c r="E109" s="31">
        <v>0</v>
      </c>
      <c r="F109" s="34">
        <f>E26</f>
        <v>0</v>
      </c>
      <c r="H109" s="92" t="s">
        <v>340</v>
      </c>
      <c r="I109" s="92"/>
    </row>
    <row r="110" spans="2:15" x14ac:dyDescent="0.2">
      <c r="B110" s="90" t="str">
        <f>links!B8</f>
        <v>bron_elektriciteit</v>
      </c>
      <c r="C110" s="90" t="str">
        <f>links!C8</f>
        <v>elektriciteit_additioneel_overige</v>
      </c>
      <c r="D110" s="90" t="str">
        <f>links!D8</f>
        <v>elektriciteit</v>
      </c>
      <c r="E110" s="31">
        <v>0</v>
      </c>
      <c r="F110" s="34">
        <f>E25-F108-F109</f>
        <v>33.227999999999994</v>
      </c>
      <c r="H110" s="92" t="s">
        <v>340</v>
      </c>
      <c r="I110" s="92"/>
    </row>
    <row r="111" spans="2:15" x14ac:dyDescent="0.2">
      <c r="B111" s="90"/>
      <c r="C111" s="90"/>
      <c r="D111" s="90"/>
      <c r="E111" s="31"/>
      <c r="F111" s="31"/>
      <c r="H111" s="92"/>
      <c r="I111" s="92"/>
    </row>
    <row r="112" spans="2:15" x14ac:dyDescent="0.2">
      <c r="B112" s="90" t="str">
        <f>links!B10</f>
        <v>elektriciteit_vraag_2021</v>
      </c>
      <c r="C112" s="90" t="str">
        <f>links!C10</f>
        <v>industrie</v>
      </c>
      <c r="D112" s="90" t="str">
        <f>links!D10</f>
        <v>elektriciteit</v>
      </c>
      <c r="E112" s="34">
        <f t="shared" ref="E112:F114" si="0">E108</f>
        <v>12.132000000000001</v>
      </c>
      <c r="F112" s="34">
        <f t="shared" si="0"/>
        <v>12.132000000000001</v>
      </c>
      <c r="H112" s="92" t="s">
        <v>339</v>
      </c>
      <c r="I112" s="93" t="s">
        <v>238</v>
      </c>
    </row>
    <row r="113" spans="2:10" x14ac:dyDescent="0.2">
      <c r="B113" s="90" t="str">
        <f>links!B11</f>
        <v>elektriciteit_aardgassubstitutie_directe_elektrificatie</v>
      </c>
      <c r="C113" s="90" t="str">
        <f>links!C11</f>
        <v>industrie</v>
      </c>
      <c r="D113" s="90" t="str">
        <f>links!D11</f>
        <v>elektriciteit</v>
      </c>
      <c r="E113" s="34">
        <f t="shared" si="0"/>
        <v>0</v>
      </c>
      <c r="F113" s="34">
        <f>F109</f>
        <v>0</v>
      </c>
      <c r="H113" s="92" t="s">
        <v>340</v>
      </c>
      <c r="I113" s="93" t="s">
        <v>238</v>
      </c>
    </row>
    <row r="114" spans="2:10" x14ac:dyDescent="0.2">
      <c r="B114" s="90" t="str">
        <f>links!B12</f>
        <v>elektriciteit_additioneel_overige</v>
      </c>
      <c r="C114" s="90" t="str">
        <f>links!C12</f>
        <v>industrie</v>
      </c>
      <c r="D114" s="90" t="str">
        <f>links!D12</f>
        <v>elektriciteit</v>
      </c>
      <c r="E114" s="34">
        <f t="shared" si="0"/>
        <v>0</v>
      </c>
      <c r="F114" s="34">
        <f t="shared" si="0"/>
        <v>33.227999999999994</v>
      </c>
      <c r="H114" s="92" t="s">
        <v>340</v>
      </c>
      <c r="I114" s="93" t="s">
        <v>238</v>
      </c>
    </row>
    <row r="115" spans="2:10" x14ac:dyDescent="0.2">
      <c r="B115" s="90"/>
      <c r="C115" s="90"/>
      <c r="D115" s="90"/>
      <c r="E115" s="31"/>
      <c r="F115" s="31"/>
      <c r="H115" s="92"/>
      <c r="I115" s="92"/>
    </row>
    <row r="116" spans="2:10" x14ac:dyDescent="0.2">
      <c r="B116" s="90" t="str">
        <f>links!B14</f>
        <v>waterstof_mixer</v>
      </c>
      <c r="C116" s="90" t="str">
        <f>links!C14</f>
        <v>waterstof_vraag_2021</v>
      </c>
      <c r="D116" s="90" t="str">
        <f>links!D14</f>
        <v>waterstof</v>
      </c>
      <c r="E116" s="34">
        <v>0</v>
      </c>
      <c r="F116" s="34">
        <f>E116</f>
        <v>0</v>
      </c>
      <c r="H116" s="92" t="s">
        <v>340</v>
      </c>
      <c r="I116" s="92"/>
    </row>
    <row r="117" spans="2:10" x14ac:dyDescent="0.2">
      <c r="B117" s="90" t="str">
        <f>links!B15</f>
        <v>waterstof_mixer</v>
      </c>
      <c r="C117" s="90" t="str">
        <f>links!C15</f>
        <v>waterstof_aardgassubstitutie</v>
      </c>
      <c r="D117" s="90" t="str">
        <f>links!D15</f>
        <v>waterstof</v>
      </c>
      <c r="E117" s="31">
        <v>0</v>
      </c>
      <c r="F117" s="34">
        <v>0</v>
      </c>
      <c r="H117" s="92" t="s">
        <v>340</v>
      </c>
      <c r="I117" s="92"/>
    </row>
    <row r="118" spans="2:10" x14ac:dyDescent="0.2">
      <c r="B118" s="90" t="str">
        <f>links!B16</f>
        <v>waterstof_mixer</v>
      </c>
      <c r="C118" s="90" t="str">
        <f>links!C16</f>
        <v>waterstof_restgassubstitutie</v>
      </c>
      <c r="D118" s="90" t="str">
        <f>links!D16</f>
        <v>waterstof</v>
      </c>
      <c r="E118" s="31">
        <v>0</v>
      </c>
      <c r="F118" s="36">
        <v>0</v>
      </c>
      <c r="H118" s="92" t="s">
        <v>340</v>
      </c>
      <c r="I118" s="92"/>
    </row>
    <row r="119" spans="2:10" x14ac:dyDescent="0.2">
      <c r="B119" s="90" t="str">
        <f>links!B17</f>
        <v>waterstof_mixer</v>
      </c>
      <c r="C119" s="90" t="str">
        <f>links!C17</f>
        <v>waterstof_additioneel_overige</v>
      </c>
      <c r="D119" s="90" t="str">
        <f>links!D17</f>
        <v>waterstof</v>
      </c>
      <c r="E119" s="31">
        <v>0</v>
      </c>
      <c r="F119" s="34">
        <f>E34-F116-F117-F118</f>
        <v>24.72</v>
      </c>
      <c r="H119" s="92" t="s">
        <v>340</v>
      </c>
      <c r="I119" s="92"/>
    </row>
    <row r="120" spans="2:10" x14ac:dyDescent="0.2">
      <c r="B120" s="90"/>
      <c r="C120" s="90"/>
      <c r="D120" s="90"/>
      <c r="E120" s="31"/>
      <c r="F120" s="31"/>
      <c r="H120" s="92"/>
      <c r="I120" s="92"/>
    </row>
    <row r="121" spans="2:10" x14ac:dyDescent="0.2">
      <c r="B121" s="90" t="str">
        <f>links!B19</f>
        <v>waterstof_vraag_2021</v>
      </c>
      <c r="C121" s="90" t="str">
        <f>links!C19</f>
        <v>industrie</v>
      </c>
      <c r="D121" s="90" t="str">
        <f>links!D19</f>
        <v>waterstof</v>
      </c>
      <c r="E121" s="34">
        <v>0</v>
      </c>
      <c r="F121" s="34">
        <f>F116</f>
        <v>0</v>
      </c>
      <c r="H121" s="92" t="s">
        <v>340</v>
      </c>
      <c r="I121" s="93" t="s">
        <v>238</v>
      </c>
    </row>
    <row r="122" spans="2:10" x14ac:dyDescent="0.2">
      <c r="B122" s="90" t="str">
        <f>links!B20</f>
        <v>waterstof_aardgassubstitutie</v>
      </c>
      <c r="C122" s="90" t="str">
        <f>links!C20</f>
        <v>industrie</v>
      </c>
      <c r="D122" s="90" t="str">
        <f>links!D20</f>
        <v>waterstof</v>
      </c>
      <c r="E122" s="34">
        <f t="shared" ref="E122:F124" si="1">E117</f>
        <v>0</v>
      </c>
      <c r="F122" s="34">
        <f t="shared" si="1"/>
        <v>0</v>
      </c>
      <c r="H122" s="92" t="s">
        <v>340</v>
      </c>
      <c r="I122" s="93" t="s">
        <v>238</v>
      </c>
    </row>
    <row r="123" spans="2:10" x14ac:dyDescent="0.2">
      <c r="B123" s="90" t="str">
        <f>links!B21</f>
        <v>waterstof_restgassubstitutie</v>
      </c>
      <c r="C123" s="90" t="str">
        <f>links!C21</f>
        <v>industrie</v>
      </c>
      <c r="D123" s="90" t="str">
        <f>links!D21</f>
        <v>waterstof</v>
      </c>
      <c r="E123" s="31">
        <f t="shared" si="1"/>
        <v>0</v>
      </c>
      <c r="F123" s="36">
        <f t="shared" si="1"/>
        <v>0</v>
      </c>
      <c r="H123" s="92" t="s">
        <v>340</v>
      </c>
      <c r="I123" s="93" t="s">
        <v>238</v>
      </c>
    </row>
    <row r="124" spans="2:10" x14ac:dyDescent="0.2">
      <c r="B124" s="90" t="str">
        <f>links!B22</f>
        <v>waterstof_additioneel_overige</v>
      </c>
      <c r="C124" s="90" t="str">
        <f>links!C22</f>
        <v>industrie</v>
      </c>
      <c r="D124" s="90" t="str">
        <f>links!D22</f>
        <v>waterstof</v>
      </c>
      <c r="E124" s="34">
        <f t="shared" si="1"/>
        <v>0</v>
      </c>
      <c r="F124" s="34">
        <f t="shared" si="1"/>
        <v>24.72</v>
      </c>
      <c r="H124" s="92" t="s">
        <v>340</v>
      </c>
      <c r="I124" s="93" t="s">
        <v>238</v>
      </c>
    </row>
    <row r="125" spans="2:10" x14ac:dyDescent="0.2">
      <c r="B125" s="90"/>
      <c r="C125" s="90"/>
      <c r="D125" s="90"/>
      <c r="E125" s="34"/>
      <c r="F125" s="34"/>
      <c r="H125" s="93"/>
      <c r="I125" s="93"/>
    </row>
    <row r="126" spans="2:10" x14ac:dyDescent="0.2">
      <c r="B126" s="90" t="str">
        <f>links!B24</f>
        <v>waterstof_mixer</v>
      </c>
      <c r="C126" s="90" t="str">
        <f>links!C24</f>
        <v>waterstof_naar_elektriciteitscentrales</v>
      </c>
      <c r="D126" s="90" t="str">
        <f>links!D24</f>
        <v>waterstof</v>
      </c>
      <c r="E126" s="34">
        <f>D33</f>
        <v>0</v>
      </c>
      <c r="F126" s="34">
        <f>E33</f>
        <v>0</v>
      </c>
      <c r="H126" s="92" t="s">
        <v>340</v>
      </c>
      <c r="I126" s="93"/>
    </row>
    <row r="127" spans="2:10" x14ac:dyDescent="0.2">
      <c r="B127" s="90"/>
      <c r="C127" s="90"/>
      <c r="D127" s="90"/>
      <c r="E127" s="31"/>
      <c r="F127" s="31"/>
      <c r="H127" s="92"/>
      <c r="I127" s="92"/>
    </row>
    <row r="128" spans="2:10" x14ac:dyDescent="0.2">
      <c r="B128" s="90" t="str">
        <f>links!B26</f>
        <v>waterstof_mixer</v>
      </c>
      <c r="C128" s="90" t="str">
        <f>links!C26</f>
        <v>export</v>
      </c>
      <c r="D128" s="90" t="str">
        <f>links!D26</f>
        <v>waterstof</v>
      </c>
      <c r="E128" s="34">
        <v>0</v>
      </c>
      <c r="F128" s="34">
        <f>E37</f>
        <v>9.7559999999999985</v>
      </c>
      <c r="H128" s="92" t="s">
        <v>340</v>
      </c>
      <c r="I128" s="92" t="s">
        <v>526</v>
      </c>
      <c r="J128" s="14"/>
    </row>
    <row r="129" spans="2:9" x14ac:dyDescent="0.2">
      <c r="B129" s="90"/>
      <c r="C129" s="90"/>
      <c r="D129" s="90"/>
      <c r="E129" s="31"/>
      <c r="F129" s="31"/>
      <c r="H129" s="92"/>
      <c r="I129" s="92"/>
    </row>
    <row r="130" spans="2:9" x14ac:dyDescent="0.2">
      <c r="B130" s="90" t="str">
        <f>links!B28</f>
        <v>grijze_waterstof</v>
      </c>
      <c r="C130" s="90" t="str">
        <f>links!C28</f>
        <v>waterstof_mixer</v>
      </c>
      <c r="D130" s="90" t="str">
        <f>links!D28</f>
        <v>waterstof_grijs</v>
      </c>
      <c r="E130" s="34">
        <v>0</v>
      </c>
      <c r="F130" s="36">
        <v>0</v>
      </c>
      <c r="H130" s="92" t="s">
        <v>340</v>
      </c>
      <c r="I130" s="93" t="s">
        <v>239</v>
      </c>
    </row>
    <row r="131" spans="2:9" x14ac:dyDescent="0.2">
      <c r="B131" s="90" t="str">
        <f>links!B29</f>
        <v>blauwe_waterstof</v>
      </c>
      <c r="C131" s="90" t="str">
        <f>links!C29</f>
        <v>waterstof_mixer</v>
      </c>
      <c r="D131" s="90" t="str">
        <f>links!D29</f>
        <v>waterstof_blauw</v>
      </c>
      <c r="E131" s="34">
        <v>0</v>
      </c>
      <c r="F131" s="36">
        <v>0</v>
      </c>
      <c r="H131" s="92" t="s">
        <v>340</v>
      </c>
      <c r="I131" s="93" t="s">
        <v>239</v>
      </c>
    </row>
    <row r="132" spans="2:9" x14ac:dyDescent="0.2">
      <c r="B132" s="90" t="str">
        <f>links!B30</f>
        <v>groene_waterstof</v>
      </c>
      <c r="C132" s="90" t="str">
        <f>links!C30</f>
        <v>waterstof_mixer</v>
      </c>
      <c r="D132" s="90" t="str">
        <f>links!D30</f>
        <v>waterstof_groen</v>
      </c>
      <c r="E132" s="31">
        <v>0</v>
      </c>
      <c r="F132" s="34">
        <f>F138</f>
        <v>10.799999999999999</v>
      </c>
      <c r="H132" s="92" t="s">
        <v>340</v>
      </c>
      <c r="I132" s="93" t="s">
        <v>239</v>
      </c>
    </row>
    <row r="133" spans="2:9" x14ac:dyDescent="0.2">
      <c r="B133" s="90"/>
      <c r="C133" s="90"/>
      <c r="D133" s="90"/>
      <c r="E133" s="31"/>
      <c r="F133" s="31"/>
      <c r="H133" s="92"/>
      <c r="I133" s="92"/>
    </row>
    <row r="134" spans="2:9" x14ac:dyDescent="0.2">
      <c r="B134" s="90" t="str">
        <f>links!B32</f>
        <v>bron_waterstof</v>
      </c>
      <c r="C134" s="90" t="str">
        <f>links!C32</f>
        <v>waterstof_mixer</v>
      </c>
      <c r="D134" s="90" t="str">
        <f>links!D32</f>
        <v>waterstof</v>
      </c>
      <c r="E134" s="31">
        <f>D36</f>
        <v>0</v>
      </c>
      <c r="F134" s="34">
        <f>E36</f>
        <v>23.64</v>
      </c>
      <c r="H134" s="92" t="s">
        <v>340</v>
      </c>
      <c r="I134" s="92" t="s">
        <v>527</v>
      </c>
    </row>
    <row r="135" spans="2:9" x14ac:dyDescent="0.2">
      <c r="B135" s="90"/>
      <c r="C135" s="90"/>
      <c r="D135" s="90"/>
      <c r="E135" s="31"/>
      <c r="F135" s="31"/>
      <c r="H135" s="92"/>
      <c r="I135" s="92"/>
    </row>
    <row r="136" spans="2:9" x14ac:dyDescent="0.2">
      <c r="B136" s="90" t="str">
        <f>links!B34</f>
        <v>smr_atr</v>
      </c>
      <c r="C136" s="90" t="str">
        <f>links!C34</f>
        <v>grijze_waterstof</v>
      </c>
      <c r="D136" s="90" t="str">
        <f>links!D34</f>
        <v>waterstof</v>
      </c>
      <c r="E136" s="34">
        <v>0</v>
      </c>
      <c r="F136" s="34">
        <v>0</v>
      </c>
      <c r="H136" s="92" t="s">
        <v>340</v>
      </c>
      <c r="I136" s="92"/>
    </row>
    <row r="137" spans="2:9" x14ac:dyDescent="0.2">
      <c r="B137" s="90" t="str">
        <f>links!B35</f>
        <v>smr_atr</v>
      </c>
      <c r="C137" s="90" t="str">
        <f>links!C35</f>
        <v>blauwe_waterstof</v>
      </c>
      <c r="D137" s="90" t="str">
        <f>links!D35</f>
        <v>waterstof</v>
      </c>
      <c r="E137" s="34">
        <v>0</v>
      </c>
      <c r="F137" s="34">
        <v>0</v>
      </c>
      <c r="H137" s="92" t="s">
        <v>340</v>
      </c>
      <c r="I137" s="92"/>
    </row>
    <row r="138" spans="2:9" x14ac:dyDescent="0.2">
      <c r="B138" s="90" t="str">
        <f>links!B36</f>
        <v>elektrolysers</v>
      </c>
      <c r="C138" s="90" t="str">
        <f>links!C36</f>
        <v>groene_waterstof</v>
      </c>
      <c r="D138" s="90" t="str">
        <f>links!D36</f>
        <v>waterstof</v>
      </c>
      <c r="E138" s="31">
        <v>0</v>
      </c>
      <c r="F138" s="34">
        <f>E35</f>
        <v>10.799999999999999</v>
      </c>
      <c r="H138" s="92" t="s">
        <v>340</v>
      </c>
      <c r="I138" s="92" t="s">
        <v>528</v>
      </c>
    </row>
    <row r="139" spans="2:9" x14ac:dyDescent="0.2">
      <c r="B139" s="90"/>
      <c r="C139" s="90"/>
      <c r="D139" s="90"/>
      <c r="E139" s="31"/>
      <c r="F139" s="31"/>
      <c r="H139" s="92"/>
      <c r="I139" s="92"/>
    </row>
    <row r="140" spans="2:9" x14ac:dyDescent="0.2">
      <c r="B140" s="90" t="str">
        <f>links!B38</f>
        <v>bron_elektriciteit</v>
      </c>
      <c r="C140" s="90" t="str">
        <f>links!C38</f>
        <v>elektrolysers</v>
      </c>
      <c r="D140" s="90" t="str">
        <f>links!D38</f>
        <v>elektriciteit</v>
      </c>
      <c r="E140" s="34">
        <v>0</v>
      </c>
      <c r="F140" s="34">
        <f>E24</f>
        <v>15.428571428571429</v>
      </c>
      <c r="H140" s="92" t="s">
        <v>340</v>
      </c>
      <c r="I140" s="92" t="s">
        <v>529</v>
      </c>
    </row>
    <row r="141" spans="2:9" x14ac:dyDescent="0.2">
      <c r="B141" s="90" t="str">
        <f>links!B39</f>
        <v>bron_aardgas</v>
      </c>
      <c r="C141" s="90" t="str">
        <f>links!C39</f>
        <v>smr_atr</v>
      </c>
      <c r="D141" s="90" t="str">
        <f>links!D39</f>
        <v>aardgas</v>
      </c>
      <c r="E141" s="34">
        <v>0</v>
      </c>
      <c r="F141" s="34">
        <v>0</v>
      </c>
      <c r="H141" s="92" t="s">
        <v>340</v>
      </c>
      <c r="I141" s="92"/>
    </row>
    <row r="142" spans="2:9" x14ac:dyDescent="0.2">
      <c r="B142" s="90" t="str">
        <f>links!B40</f>
        <v>bron_restgas</v>
      </c>
      <c r="C142" s="90" t="str">
        <f>links!C40</f>
        <v>smr_atr</v>
      </c>
      <c r="D142" s="90" t="str">
        <f>links!D40</f>
        <v>restgas</v>
      </c>
      <c r="E142" s="36">
        <v>0</v>
      </c>
      <c r="F142" s="34">
        <v>0</v>
      </c>
      <c r="H142" s="92" t="s">
        <v>340</v>
      </c>
      <c r="I142" s="92"/>
    </row>
    <row r="143" spans="2:9" x14ac:dyDescent="0.2">
      <c r="B143" s="90"/>
      <c r="C143" s="90"/>
      <c r="D143" s="90"/>
      <c r="E143" s="31"/>
      <c r="F143" s="31"/>
      <c r="H143" s="92"/>
      <c r="I143" s="92"/>
    </row>
    <row r="144" spans="2:9" x14ac:dyDescent="0.2">
      <c r="B144" s="90" t="str">
        <f>links!B42</f>
        <v>elektrolysers</v>
      </c>
      <c r="C144" s="90" t="str">
        <f>links!C42</f>
        <v>elektrolyse_verlies</v>
      </c>
      <c r="D144" s="90" t="str">
        <f>links!D42</f>
        <v>verlies</v>
      </c>
      <c r="E144" s="34">
        <f>E140-E132</f>
        <v>0</v>
      </c>
      <c r="F144" s="34">
        <f>F140-F132</f>
        <v>4.6285714285714299</v>
      </c>
      <c r="H144" s="92" t="s">
        <v>340</v>
      </c>
      <c r="I144" s="92"/>
    </row>
    <row r="145" spans="2:9" x14ac:dyDescent="0.2">
      <c r="B145" s="90" t="str">
        <f>links!B43</f>
        <v>smr_atr</v>
      </c>
      <c r="C145" s="90" t="str">
        <f>links!C43</f>
        <v>smr_atr_verlies</v>
      </c>
      <c r="D145" s="90" t="str">
        <f>links!D43</f>
        <v>verlies</v>
      </c>
      <c r="E145" s="34">
        <f>E141+E142-E136-E137</f>
        <v>0</v>
      </c>
      <c r="F145" s="34">
        <f>F141+F142-F136-F137</f>
        <v>0</v>
      </c>
      <c r="H145" s="92" t="s">
        <v>340</v>
      </c>
      <c r="I145" s="92"/>
    </row>
    <row r="146" spans="2:9" x14ac:dyDescent="0.2">
      <c r="B146" s="90"/>
      <c r="C146" s="90"/>
      <c r="D146" s="90"/>
      <c r="E146" s="31"/>
      <c r="F146" s="31"/>
      <c r="H146" s="92"/>
      <c r="I146" s="92"/>
    </row>
    <row r="147" spans="2:9" x14ac:dyDescent="0.2">
      <c r="B147" s="97" t="str">
        <f>links!B45</f>
        <v>bron_kolen</v>
      </c>
      <c r="C147" s="97" t="str">
        <f>links!C45</f>
        <v>industrie</v>
      </c>
      <c r="D147" s="97" t="str">
        <f>links!D45</f>
        <v>kolen</v>
      </c>
      <c r="E147" s="104">
        <f>D44</f>
        <v>129.6</v>
      </c>
      <c r="F147" s="65">
        <f>E44</f>
        <v>57.960000000000008</v>
      </c>
      <c r="H147" s="92" t="s">
        <v>534</v>
      </c>
      <c r="I147" s="92"/>
    </row>
    <row r="148" spans="2:9" x14ac:dyDescent="0.2">
      <c r="B148" s="91" t="str">
        <f>links!B46</f>
        <v>bron_afval</v>
      </c>
      <c r="C148" s="91" t="str">
        <f>links!C46</f>
        <v>industrie</v>
      </c>
      <c r="D148" s="91" t="str">
        <f>links!D46</f>
        <v>afval</v>
      </c>
      <c r="E148" s="89">
        <v>0</v>
      </c>
      <c r="F148" s="89">
        <v>0</v>
      </c>
      <c r="H148" s="92"/>
      <c r="I148" s="92"/>
    </row>
    <row r="149" spans="2:9" x14ac:dyDescent="0.2">
      <c r="B149" s="91" t="str">
        <f>links!B47</f>
        <v>bron_biomassa</v>
      </c>
      <c r="C149" s="91" t="str">
        <f>links!C47</f>
        <v>industrie</v>
      </c>
      <c r="D149" s="91" t="str">
        <f>links!D47</f>
        <v>biomassa</v>
      </c>
      <c r="E149" s="89">
        <v>0</v>
      </c>
      <c r="F149" s="89">
        <v>0</v>
      </c>
      <c r="H149" s="92"/>
      <c r="I149" s="92"/>
    </row>
    <row r="150" spans="2:9" x14ac:dyDescent="0.2">
      <c r="B150" s="91" t="str">
        <f>links!B48</f>
        <v>reserveslot_1</v>
      </c>
      <c r="C150" s="91" t="str">
        <f>links!C48</f>
        <v>reserveslot_5</v>
      </c>
      <c r="D150" s="91" t="str">
        <f>links!D48</f>
        <v>reserveslot</v>
      </c>
      <c r="E150" s="89">
        <v>0</v>
      </c>
      <c r="F150" s="89">
        <v>0</v>
      </c>
      <c r="H150" s="92"/>
      <c r="I150" s="92"/>
    </row>
    <row r="151" spans="2:9" x14ac:dyDescent="0.2">
      <c r="B151" s="91" t="str">
        <f>links!B49</f>
        <v>reserveslot_1</v>
      </c>
      <c r="C151" s="91" t="str">
        <f>links!C49</f>
        <v>reserveslot_6</v>
      </c>
      <c r="D151" s="91" t="str">
        <f>links!D49</f>
        <v>reserveslot</v>
      </c>
      <c r="E151" s="89">
        <v>0</v>
      </c>
      <c r="F151" s="89">
        <v>0</v>
      </c>
      <c r="H151" s="92"/>
      <c r="I151" s="92"/>
    </row>
    <row r="152" spans="2:9" x14ac:dyDescent="0.2">
      <c r="B152" s="91" t="str">
        <f>links!B50</f>
        <v>reserveslot_1</v>
      </c>
      <c r="C152" s="91" t="str">
        <f>links!C50</f>
        <v>reserveslot_7</v>
      </c>
      <c r="D152" s="91" t="str">
        <f>links!D50</f>
        <v>reserveslot</v>
      </c>
      <c r="E152" s="89">
        <v>0</v>
      </c>
      <c r="F152" s="89">
        <v>0</v>
      </c>
      <c r="H152" s="92"/>
      <c r="I152" s="92"/>
    </row>
    <row r="153" spans="2:9" x14ac:dyDescent="0.2">
      <c r="B153" s="91" t="str">
        <f>links!B51</f>
        <v>reserveslot_1</v>
      </c>
      <c r="C153" s="91" t="str">
        <f>links!C51</f>
        <v>reserveslot_8</v>
      </c>
      <c r="D153" s="91" t="str">
        <f>links!D51</f>
        <v>reserveslot</v>
      </c>
      <c r="E153" s="89">
        <v>0</v>
      </c>
      <c r="F153" s="89">
        <v>0</v>
      </c>
      <c r="H153" s="92"/>
      <c r="I153" s="92"/>
    </row>
    <row r="154" spans="2:9" x14ac:dyDescent="0.2">
      <c r="B154" s="91" t="str">
        <f>links!B52</f>
        <v>reserveslot_1</v>
      </c>
      <c r="C154" s="91" t="str">
        <f>links!C52</f>
        <v>reserveslot_9</v>
      </c>
      <c r="D154" s="91" t="str">
        <f>links!D52</f>
        <v>reserveslot</v>
      </c>
      <c r="E154" s="89">
        <v>0</v>
      </c>
      <c r="F154" s="89">
        <v>0</v>
      </c>
      <c r="H154" s="92"/>
      <c r="I154" s="92"/>
    </row>
    <row r="155" spans="2:9" x14ac:dyDescent="0.2">
      <c r="B155" s="91" t="str">
        <f>links!B53</f>
        <v>reserveslot_1</v>
      </c>
      <c r="C155" s="91" t="str">
        <f>links!C53</f>
        <v>reserveslot_10</v>
      </c>
      <c r="D155" s="91" t="str">
        <f>links!D53</f>
        <v>reserveslot</v>
      </c>
      <c r="E155" s="89">
        <v>0</v>
      </c>
      <c r="F155" s="89">
        <v>0</v>
      </c>
      <c r="H155" s="92"/>
      <c r="I155" s="92"/>
    </row>
    <row r="156" spans="2:9" x14ac:dyDescent="0.2">
      <c r="B156" s="91" t="str">
        <f>links!B54</f>
        <v>reserveslot_2</v>
      </c>
      <c r="C156" s="91" t="str">
        <f>links!C54</f>
        <v>reserveslot_3</v>
      </c>
      <c r="D156" s="91" t="str">
        <f>links!D54</f>
        <v>reserveslot</v>
      </c>
      <c r="E156" s="89">
        <v>0</v>
      </c>
      <c r="F156" s="89">
        <v>0</v>
      </c>
      <c r="H156" s="92"/>
      <c r="I156" s="92"/>
    </row>
    <row r="157" spans="2:9" x14ac:dyDescent="0.2">
      <c r="B157" s="91" t="str">
        <f>links!B55</f>
        <v>reserveslot_2</v>
      </c>
      <c r="C157" s="91" t="str">
        <f>links!C55</f>
        <v>reserveslot_4</v>
      </c>
      <c r="D157" s="91" t="str">
        <f>links!D55</f>
        <v>reserveslot</v>
      </c>
      <c r="E157" s="89">
        <v>0</v>
      </c>
      <c r="F157" s="89">
        <v>0</v>
      </c>
      <c r="H157" s="92"/>
      <c r="I157" s="92"/>
    </row>
    <row r="158" spans="2:9" x14ac:dyDescent="0.2">
      <c r="B158" s="91" t="str">
        <f>links!B56</f>
        <v>reserveslot_2</v>
      </c>
      <c r="C158" s="91" t="str">
        <f>links!C56</f>
        <v>reserveslot_5</v>
      </c>
      <c r="D158" s="91" t="str">
        <f>links!D56</f>
        <v>reserveslot</v>
      </c>
      <c r="E158" s="89">
        <v>0</v>
      </c>
      <c r="F158" s="89">
        <v>0</v>
      </c>
      <c r="H158" s="92"/>
      <c r="I158" s="92"/>
    </row>
    <row r="159" spans="2:9" x14ac:dyDescent="0.2">
      <c r="B159" s="91" t="str">
        <f>links!B57</f>
        <v>reserveslot_2</v>
      </c>
      <c r="C159" s="91" t="str">
        <f>links!C57</f>
        <v>reserveslot_6</v>
      </c>
      <c r="D159" s="91" t="str">
        <f>links!D57</f>
        <v>reserveslot</v>
      </c>
      <c r="E159" s="89">
        <v>0</v>
      </c>
      <c r="F159" s="89">
        <v>0</v>
      </c>
      <c r="H159" s="92"/>
      <c r="I159" s="92"/>
    </row>
    <row r="160" spans="2:9" x14ac:dyDescent="0.2">
      <c r="B160" s="91" t="str">
        <f>links!B58</f>
        <v>reserveslot_2</v>
      </c>
      <c r="C160" s="91" t="str">
        <f>links!C58</f>
        <v>reserveslot_7</v>
      </c>
      <c r="D160" s="91" t="str">
        <f>links!D58</f>
        <v>reserveslot</v>
      </c>
      <c r="E160" s="89">
        <v>0</v>
      </c>
      <c r="F160" s="89">
        <v>0</v>
      </c>
      <c r="H160" s="92"/>
      <c r="I160" s="92"/>
    </row>
    <row r="161" spans="2:13" x14ac:dyDescent="0.2">
      <c r="B161" s="91" t="str">
        <f>links!B59</f>
        <v>reserveslot_2</v>
      </c>
      <c r="C161" s="91" t="str">
        <f>links!C59</f>
        <v>reserveslot_8</v>
      </c>
      <c r="D161" s="91" t="str">
        <f>links!D59</f>
        <v>reserveslot</v>
      </c>
      <c r="E161" s="89">
        <v>0</v>
      </c>
      <c r="F161" s="89">
        <v>0</v>
      </c>
      <c r="H161" s="92"/>
      <c r="I161" s="31"/>
    </row>
    <row r="162" spans="2:13" x14ac:dyDescent="0.2">
      <c r="B162" s="91"/>
      <c r="C162" s="91"/>
      <c r="D162" s="91"/>
      <c r="E162" s="89"/>
      <c r="F162" s="89"/>
      <c r="H162" s="92"/>
      <c r="I162" s="31"/>
    </row>
    <row r="163" spans="2:13" x14ac:dyDescent="0.2">
      <c r="B163" s="97" t="str">
        <f>links!B61</f>
        <v>co2_bron_aardgasverbranding</v>
      </c>
      <c r="C163" s="97" t="str">
        <f>links!C61</f>
        <v>co2_productie_totaal</v>
      </c>
      <c r="D163" s="97" t="str">
        <f>links!D61</f>
        <v>co2flow</v>
      </c>
      <c r="E163" s="65">
        <f>C83</f>
        <v>986.77440000000047</v>
      </c>
      <c r="F163" s="65">
        <f>C95</f>
        <v>1035.5039999999997</v>
      </c>
      <c r="H163" s="92" t="str">
        <f>"&lt;aanname&gt;&lt;strong&gt;[Noordzeekanaalgebied]&lt;/strong&gt; Berekende CO&lt;sub&gt;2&lt;/sub&gt;-emissie bij verbranding van "&amp;ROUND(C62,0)&amp;" PJ aardgas @ "&amp;D11&amp;" ktonCO&lt;sub&gt;2&lt;/sub&gt;/PJ.&lt;/aanname&gt;"</f>
        <v>&lt;aanname&gt;&lt;strong&gt;[Noordzeekanaalgebied]&lt;/strong&gt; Berekende CO&lt;sub&gt;2&lt;/sub&gt;-emissie bij verbranding van 17 PJ aardgas @ 56.4 ktonCO&lt;sub&gt;2&lt;/sub&gt;/PJ.&lt;/aanname&gt;</v>
      </c>
      <c r="I163" s="92" t="str">
        <f>"&lt;aanname&gt;&lt;strong&gt;[Noordzeekanaalgebied]&lt;/strong&gt; Berekende CO&lt;sub&gt;2&lt;/sub&gt;-emissie bij verbranding van "&amp;ROUND(C71,0) &amp;" PJ aardgas @ "&amp;D11&amp;" ktonCO&lt;sub&gt;2&lt;/sub&gt;/PJ.&lt;/aanname&gt;"</f>
        <v>&lt;aanname&gt;&lt;strong&gt;[Noordzeekanaalgebied]&lt;/strong&gt; Berekende CO&lt;sub&gt;2&lt;/sub&gt;-emissie bij verbranding van 18 PJ aardgas @ 56.4 ktonCO&lt;sub&gt;2&lt;/sub&gt;/PJ.&lt;/aanname&gt;</v>
      </c>
    </row>
    <row r="164" spans="2:13" x14ac:dyDescent="0.2">
      <c r="B164" s="97" t="str">
        <f>links!B62</f>
        <v>co2_bron_restgasverbranding</v>
      </c>
      <c r="C164" s="97" t="str">
        <f>links!C62</f>
        <v>co2_productie_totaal</v>
      </c>
      <c r="D164" s="97" t="str">
        <f>links!D62</f>
        <v>co2flow</v>
      </c>
      <c r="E164" s="65">
        <v>0</v>
      </c>
      <c r="F164" s="65"/>
      <c r="H164" s="92" t="s">
        <v>340</v>
      </c>
      <c r="I164" s="31"/>
    </row>
    <row r="165" spans="2:13" x14ac:dyDescent="0.2">
      <c r="B165" s="97" t="str">
        <f>links!B63</f>
        <v>co2_bron_smr_restgas</v>
      </c>
      <c r="C165" s="97" t="str">
        <f>links!C63</f>
        <v>co2_productie_totaal</v>
      </c>
      <c r="D165" s="97" t="str">
        <f>links!D63</f>
        <v>co2flow</v>
      </c>
      <c r="E165" s="65">
        <v>0</v>
      </c>
      <c r="F165" s="65"/>
      <c r="H165" s="92"/>
      <c r="I165" s="31"/>
    </row>
    <row r="166" spans="2:13" x14ac:dyDescent="0.2">
      <c r="B166" s="97" t="str">
        <f>links!B64</f>
        <v>co2_bron_smr_aardgas</v>
      </c>
      <c r="C166" s="97" t="str">
        <f>links!C64</f>
        <v>co2_productie_totaal</v>
      </c>
      <c r="D166" s="97" t="str">
        <f>links!D64</f>
        <v>co2flow</v>
      </c>
      <c r="E166" s="65">
        <v>0</v>
      </c>
      <c r="F166" s="65"/>
      <c r="H166" s="92"/>
      <c r="I166" s="31"/>
    </row>
    <row r="167" spans="2:13" x14ac:dyDescent="0.2">
      <c r="B167" s="97" t="str">
        <f>links!B65</f>
        <v>co2_bron_overige</v>
      </c>
      <c r="C167" s="97" t="str">
        <f>links!C65</f>
        <v>co2_productie_totaal</v>
      </c>
      <c r="D167" s="97" t="str">
        <f>links!D65</f>
        <v>co2flow</v>
      </c>
      <c r="E167" s="65">
        <v>0</v>
      </c>
      <c r="F167" s="65"/>
      <c r="H167" s="92"/>
      <c r="I167" s="31"/>
    </row>
    <row r="168" spans="2:13" x14ac:dyDescent="0.2">
      <c r="B168" s="97" t="str">
        <f>links!B66</f>
        <v>co2_bron_reserve_slot1</v>
      </c>
      <c r="C168" s="97" t="str">
        <f>links!C66</f>
        <v>co2_productie_totaal</v>
      </c>
      <c r="D168" s="97" t="str">
        <f>links!D66</f>
        <v>co2flow</v>
      </c>
      <c r="E168" s="65">
        <f>C84</f>
        <v>10485.936000000002</v>
      </c>
      <c r="F168" s="65">
        <f>C96</f>
        <v>4689.5436000000009</v>
      </c>
      <c r="H168" s="92" t="str">
        <f>K168&amp;J168</f>
        <v>&lt;aanname&gt;&lt;strong&gt;[Noordzeekanaalgebied]&lt;/strong&gt; Berekende CO&lt;sub&gt;2&lt;/sub&gt;-emissie bij verwerking van 130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v>
      </c>
      <c r="I168" s="92" t="str">
        <f>M168&amp;L168</f>
        <v>&lt;aanname&gt;&lt;strong&gt;[Noordzeekanaalgebied]&lt;/strong&gt; Berekende CO&lt;sub&gt;2&lt;/sub&gt;-emissie bij verwerking van 58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v>
      </c>
      <c r="J168" t="s">
        <v>477</v>
      </c>
      <c r="K168" t="str">
        <f>"&lt;aanname&gt;&lt;strong&gt;[Noordzeekanaalgebied]&lt;/strong&gt; Berekende CO&lt;sub&gt;2&lt;/sub&gt;-emissie bij verwerking van "&amp;ROUND(D44,0) &amp;" PJ kolen @ "&amp;D14&amp;" ktonCO&lt;sub&gt;2&lt;/sub&gt;/PJ. "</f>
        <v xml:space="preserve">&lt;aanname&gt;&lt;strong&gt;[Noordzeekanaalgebied]&lt;/strong&gt; Berekende CO&lt;sub&gt;2&lt;/sub&gt;-emissie bij verwerking van 130 PJ kolen @ 89.9 ktonCO&lt;sub&gt;2&lt;/sub&gt;/PJ. </v>
      </c>
      <c r="L168" t="s">
        <v>477</v>
      </c>
      <c r="M168" t="str">
        <f>"&lt;aanname&gt;&lt;strong&gt;[Noordzeekanaalgebied]&lt;/strong&gt; Berekende CO&lt;sub&gt;2&lt;/sub&gt;-emissie bij verwerking van "&amp;ROUND(E44,0) &amp;" PJ kolen @ "&amp;D14&amp;" ktonCO&lt;sub&gt;2&lt;/sub&gt;/PJ. "</f>
        <v xml:space="preserve">&lt;aanname&gt;&lt;strong&gt;[Noordzeekanaalgebied]&lt;/strong&gt; Berekende CO&lt;sub&gt;2&lt;/sub&gt;-emissie bij verwerking van 58 PJ kolen @ 89.9 ktonCO&lt;sub&gt;2&lt;/sub&gt;/PJ. </v>
      </c>
    </row>
    <row r="169" spans="2:13" x14ac:dyDescent="0.2">
      <c r="B169" s="97" t="str">
        <f>links!B67</f>
        <v>co2_bron_reserve_slot2</v>
      </c>
      <c r="C169" s="97" t="str">
        <f>links!C67</f>
        <v>co2_productie_totaal</v>
      </c>
      <c r="D169" s="97" t="str">
        <f>links!D67</f>
        <v>co2flow</v>
      </c>
      <c r="E169" s="65">
        <f>C85</f>
        <v>1500</v>
      </c>
      <c r="F169" s="65">
        <f>C97</f>
        <v>1500</v>
      </c>
      <c r="H169" s="92" t="str">
        <f>"&lt;aanname&gt;&lt;strong&gt;[Noordzeekanaalgebied]&lt;/strong&gt; De CO2-uitstoot van de AEB centrale is overgenomen uit een &lt;a href="&amp;E85&amp;"&gt;artikel van binnenlandsbestuur.nl&lt;/a&gt;.&lt;/aanname&gt;"</f>
        <v>&lt;aanname&gt;&lt;strong&gt;[Noordzeekanaalgebied]&lt;/strong&gt; De CO2-uitstoot van de AEB centrale is overgenomen uit een &lt;a href=https://www.binnenlandsbestuur.nl/ruimte-en-milieu/klimaatambitie-amsterdam-alleen-haalbaar-met-grote-ingrepen#:~:text=Maar%20AEB%20heeft%20een%20totale,koolstofdioxide%20worden%20afgevangen%20en%20opgeslagen&gt;artikel van binnenlandsbestuur.nl&lt;/a&gt;.&lt;/aanname&gt;</v>
      </c>
      <c r="I169" s="92" t="str">
        <f>"&lt;aanname&gt;&lt;strong&gt;[Noordzeekanaalgebied]&lt;/strong&gt; De CO2-uitstoot van de AEB centrale is overgenomen uit een &lt;a href="&amp;H85&amp;"&gt;artikel van binnenlandsbestuur.nl&lt;/a&gt;.&lt;/aanname&gt;"</f>
        <v>&lt;aanname&gt;&lt;strong&gt;[Noordzeekanaalgebied]&lt;/strong&gt; De CO2-uitstoot van de AEB centrale is overgenomen uit een &lt;a href=&gt;artikel van binnenlandsbestuur.nl&lt;/a&gt;.&lt;/aanname&gt;</v>
      </c>
    </row>
    <row r="170" spans="2:13" x14ac:dyDescent="0.2">
      <c r="B170" s="97" t="str">
        <f>links!B68</f>
        <v>co2_bron_reserve_slot3</v>
      </c>
      <c r="C170" s="97" t="str">
        <f>links!C68</f>
        <v>co2_productie_totaal</v>
      </c>
      <c r="D170" s="97" t="str">
        <f>links!D68</f>
        <v>co2flow</v>
      </c>
      <c r="E170" s="65">
        <v>0</v>
      </c>
      <c r="F170" s="65"/>
      <c r="H170" s="92"/>
      <c r="I170" s="31"/>
    </row>
    <row r="171" spans="2:13" x14ac:dyDescent="0.2">
      <c r="B171" s="97" t="str">
        <f>links!B69</f>
        <v>co2_bron_reserve_slot4</v>
      </c>
      <c r="C171" s="97" t="str">
        <f>links!C69</f>
        <v>co2_productie_totaal</v>
      </c>
      <c r="D171" s="97" t="str">
        <f>links!D69</f>
        <v>co2flow</v>
      </c>
      <c r="E171" s="65">
        <v>0</v>
      </c>
      <c r="F171" s="65"/>
      <c r="H171" s="92"/>
      <c r="I171" s="31"/>
    </row>
    <row r="172" spans="2:13" x14ac:dyDescent="0.2">
      <c r="B172" s="97" t="str">
        <f>links!B70</f>
        <v>co2_bron_reserve_slot5</v>
      </c>
      <c r="C172" s="97" t="str">
        <f>links!C70</f>
        <v>co2_productie_totaal</v>
      </c>
      <c r="D172" s="97" t="str">
        <f>links!D70</f>
        <v>co2flow</v>
      </c>
      <c r="E172" s="65">
        <v>0</v>
      </c>
      <c r="F172" s="65"/>
      <c r="H172" s="92"/>
      <c r="I172" s="31"/>
    </row>
    <row r="173" spans="2:13" x14ac:dyDescent="0.2">
      <c r="B173" s="97"/>
      <c r="C173" s="97"/>
      <c r="D173" s="97"/>
      <c r="E173" s="65"/>
      <c r="F173" s="65"/>
      <c r="H173" s="92"/>
      <c r="I173" s="31"/>
    </row>
    <row r="174" spans="2:13" x14ac:dyDescent="0.2">
      <c r="B174" s="97" t="str">
        <f>links!B72</f>
        <v>co2_productie_totaal</v>
      </c>
      <c r="C174" s="97" t="str">
        <f>links!C72</f>
        <v>co2_afvang_smr_restgas</v>
      </c>
      <c r="D174" s="97" t="str">
        <f>links!D72</f>
        <v>co2flow</v>
      </c>
      <c r="E174" s="65">
        <v>0</v>
      </c>
      <c r="F174" s="65"/>
      <c r="H174" s="92"/>
      <c r="I174" s="31"/>
    </row>
    <row r="175" spans="2:13" x14ac:dyDescent="0.2">
      <c r="B175" s="97" t="str">
        <f>links!B73</f>
        <v>co2_productie_totaal</v>
      </c>
      <c r="C175" s="97" t="str">
        <f>links!C73</f>
        <v>co2_afvang_smr_aardgas</v>
      </c>
      <c r="D175" s="97" t="str">
        <f>links!D73</f>
        <v>co2flow</v>
      </c>
      <c r="E175" s="65">
        <v>0</v>
      </c>
      <c r="F175" s="65"/>
      <c r="H175" s="92"/>
      <c r="I175" s="31"/>
    </row>
    <row r="176" spans="2:13" x14ac:dyDescent="0.2">
      <c r="B176" s="97" t="str">
        <f>links!B74</f>
        <v>co2_productie_totaal</v>
      </c>
      <c r="C176" s="97" t="str">
        <f>links!C74</f>
        <v>co2_afvang_overige</v>
      </c>
      <c r="D176" s="97" t="str">
        <f>links!D74</f>
        <v>co2flow</v>
      </c>
      <c r="E176" s="65">
        <v>0</v>
      </c>
      <c r="F176" s="65"/>
      <c r="H176" s="92"/>
      <c r="I176" s="31"/>
    </row>
    <row r="177" spans="2:9" x14ac:dyDescent="0.2">
      <c r="B177" s="97" t="str">
        <f>links!B75</f>
        <v>co2_productie_totaal</v>
      </c>
      <c r="C177" s="97" t="str">
        <f>links!C75</f>
        <v>co2_afvang_reserve_slot1</v>
      </c>
      <c r="D177" s="97" t="str">
        <f>links!D75</f>
        <v>co2flow</v>
      </c>
      <c r="E177" s="65">
        <v>0</v>
      </c>
      <c r="F177" s="65">
        <f>C90</f>
        <v>600</v>
      </c>
      <c r="H177" s="92"/>
      <c r="I177" s="92" t="s">
        <v>530</v>
      </c>
    </row>
    <row r="178" spans="2:9" x14ac:dyDescent="0.2">
      <c r="B178" s="97" t="str">
        <f>links!B76</f>
        <v>co2_productie_totaal</v>
      </c>
      <c r="C178" s="97" t="str">
        <f>links!C76</f>
        <v>co2_afvang_reserve_slot2</v>
      </c>
      <c r="D178" s="97" t="str">
        <f>links!D76</f>
        <v>co2flow</v>
      </c>
      <c r="E178" s="65">
        <v>0</v>
      </c>
      <c r="F178" s="65">
        <f>C91</f>
        <v>500</v>
      </c>
      <c r="H178" s="92"/>
      <c r="I178" s="92" t="s">
        <v>531</v>
      </c>
    </row>
    <row r="179" spans="2:9" x14ac:dyDescent="0.2">
      <c r="B179" s="97" t="str">
        <f>links!B77</f>
        <v>co2_productie_totaal</v>
      </c>
      <c r="C179" s="97" t="str">
        <f>links!C77</f>
        <v>co2_afvang_reserve_slot3</v>
      </c>
      <c r="D179" s="97" t="str">
        <f>links!D77</f>
        <v>co2flow</v>
      </c>
      <c r="E179" s="65">
        <v>0</v>
      </c>
      <c r="F179" s="65"/>
      <c r="H179" s="92"/>
      <c r="I179" s="31"/>
    </row>
    <row r="180" spans="2:9" x14ac:dyDescent="0.2">
      <c r="B180" s="97" t="str">
        <f>links!B78</f>
        <v>co2_productie_totaal</v>
      </c>
      <c r="C180" s="97" t="str">
        <f>links!C78</f>
        <v>co2_afvang_reserve_slot4</v>
      </c>
      <c r="D180" s="97" t="str">
        <f>links!D78</f>
        <v>co2flow</v>
      </c>
      <c r="E180" s="65">
        <v>0</v>
      </c>
      <c r="F180" s="65"/>
      <c r="H180" s="92"/>
      <c r="I180" s="31"/>
    </row>
    <row r="181" spans="2:9" x14ac:dyDescent="0.2">
      <c r="B181" s="97" t="str">
        <f>links!B79</f>
        <v>co2_productie_totaal</v>
      </c>
      <c r="C181" s="97" t="str">
        <f>links!C79</f>
        <v>co2_afvang_reserve_slot5</v>
      </c>
      <c r="D181" s="97" t="str">
        <f>links!D79</f>
        <v>co2flow</v>
      </c>
      <c r="E181" s="65">
        <v>0</v>
      </c>
      <c r="F181" s="65"/>
      <c r="H181" s="92"/>
      <c r="I181" s="31"/>
    </row>
    <row r="182" spans="2:9" x14ac:dyDescent="0.2">
      <c r="B182" s="97"/>
      <c r="C182" s="97"/>
      <c r="D182" s="97"/>
      <c r="E182" s="65"/>
      <c r="F182" s="65"/>
      <c r="H182" s="92"/>
      <c r="I182" s="31"/>
    </row>
    <row r="183" spans="2:9" x14ac:dyDescent="0.2">
      <c r="B183" s="97" t="str">
        <f>links!B81</f>
        <v>co2_afvang_smr_restgas</v>
      </c>
      <c r="C183" s="97" t="str">
        <f>links!C81</f>
        <v>co2_afvang_totaal</v>
      </c>
      <c r="D183" s="97" t="str">
        <f>links!D81</f>
        <v>co2flow</v>
      </c>
      <c r="E183" s="65">
        <v>0</v>
      </c>
      <c r="F183" s="65"/>
      <c r="H183" s="92"/>
      <c r="I183" s="31"/>
    </row>
    <row r="184" spans="2:9" x14ac:dyDescent="0.2">
      <c r="B184" s="97" t="str">
        <f>links!B82</f>
        <v>co2_afvang_smr_aardgas</v>
      </c>
      <c r="C184" s="97" t="str">
        <f>links!C82</f>
        <v>co2_afvang_totaal</v>
      </c>
      <c r="D184" s="97" t="str">
        <f>links!D82</f>
        <v>co2flow</v>
      </c>
      <c r="E184" s="65">
        <v>0</v>
      </c>
      <c r="F184" s="65"/>
      <c r="H184" s="92"/>
      <c r="I184" s="31"/>
    </row>
    <row r="185" spans="2:9" x14ac:dyDescent="0.2">
      <c r="B185" s="97" t="str">
        <f>links!B83</f>
        <v>co2_afvang_overige</v>
      </c>
      <c r="C185" s="97" t="str">
        <f>links!C83</f>
        <v>co2_afvang_totaal</v>
      </c>
      <c r="D185" s="97" t="str">
        <f>links!D83</f>
        <v>co2flow</v>
      </c>
      <c r="E185" s="65">
        <v>0</v>
      </c>
      <c r="F185" s="65"/>
      <c r="H185" s="92"/>
      <c r="I185" s="31"/>
    </row>
    <row r="186" spans="2:9" x14ac:dyDescent="0.2">
      <c r="B186" s="97" t="str">
        <f>links!B84</f>
        <v>co2_afvang_reserve_slot1</v>
      </c>
      <c r="C186" s="97" t="str">
        <f>links!C84</f>
        <v>co2_afvang_totaal</v>
      </c>
      <c r="D186" s="97" t="str">
        <f>links!D84</f>
        <v>co2flow</v>
      </c>
      <c r="E186" s="65">
        <v>0</v>
      </c>
      <c r="F186" s="65">
        <f>C90</f>
        <v>600</v>
      </c>
      <c r="H186" s="92"/>
      <c r="I186" s="31"/>
    </row>
    <row r="187" spans="2:9" x14ac:dyDescent="0.2">
      <c r="B187" s="97" t="str">
        <f>links!B85</f>
        <v>co2_afvang_reserve_slot2</v>
      </c>
      <c r="C187" s="97" t="str">
        <f>links!C85</f>
        <v>co2_afvang_totaal</v>
      </c>
      <c r="D187" s="97" t="str">
        <f>links!D85</f>
        <v>co2flow</v>
      </c>
      <c r="E187" s="65">
        <v>0</v>
      </c>
      <c r="F187" s="65">
        <f>F178</f>
        <v>500</v>
      </c>
      <c r="H187" s="92"/>
      <c r="I187" s="31"/>
    </row>
    <row r="188" spans="2:9" x14ac:dyDescent="0.2">
      <c r="B188" s="97" t="str">
        <f>links!B86</f>
        <v>co2_afvang_reserve_slot3</v>
      </c>
      <c r="C188" s="97" t="str">
        <f>links!C86</f>
        <v>co2_afvang_totaal</v>
      </c>
      <c r="D188" s="97" t="str">
        <f>links!D86</f>
        <v>co2flow</v>
      </c>
      <c r="E188" s="65">
        <v>0</v>
      </c>
      <c r="F188" s="65"/>
      <c r="H188" s="92"/>
      <c r="I188" s="31"/>
    </row>
    <row r="189" spans="2:9" x14ac:dyDescent="0.2">
      <c r="B189" s="97" t="str">
        <f>links!B87</f>
        <v>co2_afvang_reserve_slot4</v>
      </c>
      <c r="C189" s="97" t="str">
        <f>links!C87</f>
        <v>co2_afvang_totaal</v>
      </c>
      <c r="D189" s="97" t="str">
        <f>links!D87</f>
        <v>co2flow</v>
      </c>
      <c r="E189" s="65">
        <v>0</v>
      </c>
      <c r="F189" s="65"/>
      <c r="H189" s="92"/>
      <c r="I189" s="31"/>
    </row>
    <row r="190" spans="2:9" x14ac:dyDescent="0.2">
      <c r="B190" s="97" t="str">
        <f>links!B88</f>
        <v>co2_afvang_reserve_slot5</v>
      </c>
      <c r="C190" s="97" t="str">
        <f>links!C88</f>
        <v>co2_afvang_totaal</v>
      </c>
      <c r="D190" s="97" t="str">
        <f>links!D88</f>
        <v>co2flow</v>
      </c>
      <c r="E190" s="65">
        <v>0</v>
      </c>
      <c r="F190" s="65"/>
      <c r="H190" s="92"/>
      <c r="I190" s="31"/>
    </row>
    <row r="191" spans="2:9" x14ac:dyDescent="0.2">
      <c r="B191" s="97"/>
      <c r="C191" s="97"/>
      <c r="D191" s="97"/>
      <c r="E191" s="65"/>
      <c r="F191" s="65"/>
      <c r="H191" s="92"/>
      <c r="I191" s="31"/>
    </row>
    <row r="192" spans="2:9" x14ac:dyDescent="0.2">
      <c r="B192" s="97" t="str">
        <f>links!B90</f>
        <v>co2_afvang_totaal</v>
      </c>
      <c r="C192" s="97" t="str">
        <f>links!C90</f>
        <v>co2_emissies_totaal</v>
      </c>
      <c r="D192" s="97" t="str">
        <f>links!D90</f>
        <v>co2flow</v>
      </c>
      <c r="E192" s="65">
        <v>0</v>
      </c>
      <c r="F192" s="65"/>
      <c r="H192" s="92"/>
      <c r="I192" s="31"/>
    </row>
    <row r="193" spans="1:9" x14ac:dyDescent="0.2">
      <c r="B193" s="97" t="str">
        <f>links!B91</f>
        <v>co2_afvang_totaal</v>
      </c>
      <c r="C193" s="97" t="str">
        <f>links!C91</f>
        <v>co2_afgevangen_totaal</v>
      </c>
      <c r="D193" s="97" t="str">
        <f>links!D91</f>
        <v>co2flow</v>
      </c>
      <c r="E193" s="65">
        <v>0</v>
      </c>
      <c r="F193" s="65">
        <f>F186+F187</f>
        <v>1100</v>
      </c>
      <c r="H193" s="92"/>
      <c r="I193" s="31"/>
    </row>
    <row r="194" spans="1:9" x14ac:dyDescent="0.2">
      <c r="B194" s="97" t="str">
        <f>links!B92</f>
        <v>co2_productie_totaal</v>
      </c>
      <c r="C194" s="97" t="str">
        <f>links!C92</f>
        <v>co2_emissies_totaal</v>
      </c>
      <c r="D194" s="97" t="str">
        <f>links!D92</f>
        <v>co2flow</v>
      </c>
      <c r="E194" s="65">
        <f>SUM(E163:E172)-E185</f>
        <v>12972.710400000002</v>
      </c>
      <c r="F194" s="65">
        <f>SUM(F163:F172)-F193-F192</f>
        <v>6125.0476000000008</v>
      </c>
      <c r="H194" s="92" t="s">
        <v>532</v>
      </c>
      <c r="I194" s="92" t="s">
        <v>533</v>
      </c>
    </row>
    <row r="195" spans="1:9" x14ac:dyDescent="0.2">
      <c r="B195" s="97"/>
      <c r="C195" s="97"/>
      <c r="D195" s="97"/>
      <c r="E195" s="65"/>
      <c r="F195" s="65"/>
      <c r="H195" s="92"/>
      <c r="I195" s="31"/>
    </row>
    <row r="196" spans="1:9" x14ac:dyDescent="0.2">
      <c r="E196"/>
    </row>
    <row r="198" spans="1:9" x14ac:dyDescent="0.2">
      <c r="B198" s="66" t="s">
        <v>165</v>
      </c>
      <c r="C198" s="15">
        <v>2021</v>
      </c>
      <c r="D198" s="71">
        <v>2035</v>
      </c>
    </row>
    <row r="199" spans="1:9" x14ac:dyDescent="0.2">
      <c r="B199" s="25" t="s">
        <v>59</v>
      </c>
      <c r="C199" s="5">
        <f>E140+E141+E142+E134+E105+E108+E109+E110+E106</f>
        <v>29.628000000000011</v>
      </c>
      <c r="D199" s="67">
        <f>F140+F141+F142+F134+F105+F108+F109+F110+F106</f>
        <v>102.78857142857143</v>
      </c>
    </row>
    <row r="200" spans="1:9" x14ac:dyDescent="0.2">
      <c r="B200" s="68" t="s">
        <v>60</v>
      </c>
      <c r="C200" s="69">
        <f>E105+E108+E116+E128+E144+E145+E109+E110+E117+E119+E106</f>
        <v>29.628000000000011</v>
      </c>
      <c r="D200" s="70">
        <f>F105+F108+F116+F128+F144+F145+F109+F110+F117+F119+F106+F126</f>
        <v>102.82457142857142</v>
      </c>
    </row>
    <row r="203" spans="1:9" ht="22" x14ac:dyDescent="0.2">
      <c r="B203" s="73" t="s">
        <v>242</v>
      </c>
      <c r="C203" s="28"/>
      <c r="D203" s="28"/>
    </row>
    <row r="205" spans="1:9" x14ac:dyDescent="0.2">
      <c r="C205" s="1" t="s">
        <v>160</v>
      </c>
      <c r="D205" s="1" t="s">
        <v>159</v>
      </c>
    </row>
    <row r="206" spans="1:9" x14ac:dyDescent="0.2">
      <c r="A206">
        <v>1</v>
      </c>
      <c r="B206" s="4" t="str">
        <f>nodes!C2</f>
        <v>bron_aardgas</v>
      </c>
      <c r="C206" s="31"/>
      <c r="D206" s="31" t="str">
        <f>C206&amp;H105</f>
        <v>&lt;aanname&gt;&lt;strong&gt;[Zeeland]&lt;/strong&gt; Uit de CES is een totaalvolume aardgasverbruik van 55 PJ overgenomen (pagina 42, figuur 9). Dit volume is inclusief het aardgasverbruik van elektriciteitscentrales. Op basis van de elektriciteitsbalans in figuur 12 op pagina 48 van de CES is een inschatting gemaakt van het aardgasverbruik van gasgestookte elektriciteitscentrales (19 PJ aardgas, gebaseerd op aangenomen conversie-efficientie van 50%). Dit volume is in mindering gebracht op de totaalvraag om tot een inschatting van de netto vraag naar aardgas voor industriele toepassingen te komen (55 - 38 = 17 PJ aardgas).&lt;/aanname&gt;</v>
      </c>
    </row>
    <row r="207" spans="1:9" x14ac:dyDescent="0.2">
      <c r="A207">
        <v>2</v>
      </c>
      <c r="B207" s="4" t="str">
        <f>nodes!C3</f>
        <v>bron_restgas</v>
      </c>
      <c r="C207" s="31"/>
      <c r="D207" s="31" t="str">
        <f>C207&amp;H142&amp;H161</f>
        <v>nvt</v>
      </c>
    </row>
    <row r="208" spans="1:9" x14ac:dyDescent="0.2">
      <c r="A208">
        <v>3</v>
      </c>
      <c r="B208" s="4" t="str">
        <f>nodes!C4</f>
        <v>bron_kolen</v>
      </c>
      <c r="C208" s="31"/>
      <c r="D208" s="31" t="str">
        <f>H147</f>
        <v>&lt;bron&gt;&lt;strong&gt;[Noordzeekanaalgebied]&lt;/strong&gt; Het totaalvolume kolenverbruik is overgenomen uit de CES (pagina 42, figuur 9).&lt;/bron&gt;</v>
      </c>
    </row>
    <row r="209" spans="1:4" x14ac:dyDescent="0.2">
      <c r="A209">
        <v>4</v>
      </c>
      <c r="B209" s="4" t="str">
        <f>nodes!C5</f>
        <v>bron_cokes</v>
      </c>
      <c r="C209" s="31"/>
      <c r="D209" s="31"/>
    </row>
    <row r="210" spans="1:4" x14ac:dyDescent="0.2">
      <c r="A210">
        <v>5</v>
      </c>
      <c r="B210" s="4" t="str">
        <f>nodes!C6</f>
        <v>bron_aardolie</v>
      </c>
      <c r="C210" s="31"/>
      <c r="D210" s="31"/>
    </row>
    <row r="211" spans="1:4" x14ac:dyDescent="0.2">
      <c r="A211">
        <v>6</v>
      </c>
      <c r="B211" s="4" t="str">
        <f>nodes!C7</f>
        <v>bron_biomassa</v>
      </c>
      <c r="C211" s="31"/>
      <c r="D211" s="31"/>
    </row>
    <row r="212" spans="1:4" x14ac:dyDescent="0.2">
      <c r="A212">
        <v>7</v>
      </c>
      <c r="B212" s="4" t="str">
        <f>nodes!C8</f>
        <v>bron_biogas</v>
      </c>
      <c r="C212" s="31"/>
      <c r="D212" s="31"/>
    </row>
    <row r="213" spans="1:4" x14ac:dyDescent="0.2">
      <c r="A213">
        <v>8</v>
      </c>
      <c r="B213" s="4" t="str">
        <f>nodes!C9</f>
        <v>bron_elektriciteit</v>
      </c>
      <c r="C213" s="31"/>
      <c r="D213" s="31" t="str">
        <f>H108</f>
        <v>&lt;bron&gt;&lt;strong&gt;[Noordzeekanaalgebied]&lt;/strong&gt; Het totaalvolume elektriciteitsverbruik is overgenomen uit de CES (pagina 48, figuur 12).&lt;/bron&gt;</v>
      </c>
    </row>
    <row r="214" spans="1:4" x14ac:dyDescent="0.2">
      <c r="A214">
        <v>9</v>
      </c>
      <c r="B214" s="4" t="str">
        <f>nodes!C10</f>
        <v>bron_waterstof</v>
      </c>
      <c r="C214" s="31"/>
      <c r="D214" s="31"/>
    </row>
    <row r="215" spans="1:4" x14ac:dyDescent="0.2">
      <c r="A215">
        <v>10</v>
      </c>
      <c r="B215" s="4" t="str">
        <f>nodes!C11</f>
        <v>bron_warmte</v>
      </c>
      <c r="C215" s="31"/>
      <c r="D215" s="31"/>
    </row>
    <row r="216" spans="1:4" x14ac:dyDescent="0.2">
      <c r="A216">
        <v>11</v>
      </c>
      <c r="B216" s="4" t="str">
        <f>nodes!C12</f>
        <v>bron_afval</v>
      </c>
      <c r="C216" s="31"/>
      <c r="D216" s="31"/>
    </row>
    <row r="217" spans="1:4" x14ac:dyDescent="0.2">
      <c r="B217" s="4"/>
      <c r="C217" s="31"/>
      <c r="D217" s="31"/>
    </row>
    <row r="218" spans="1:4" x14ac:dyDescent="0.2">
      <c r="A218">
        <v>12</v>
      </c>
      <c r="B218" s="4" t="str">
        <f>nodes!C14</f>
        <v>smr_atr</v>
      </c>
      <c r="C218" s="31"/>
      <c r="D218" s="31" t="str">
        <f>H142&amp;H136&amp;H141&amp;H137&amp;H145&amp;C218</f>
        <v>nvtnvtnvtnvtnvt</v>
      </c>
    </row>
    <row r="219" spans="1:4" x14ac:dyDescent="0.2">
      <c r="A219">
        <v>13</v>
      </c>
      <c r="B219" s="4" t="str">
        <f>nodes!C15</f>
        <v>smr_atr_verlies</v>
      </c>
      <c r="C219" s="31"/>
      <c r="D219" s="31"/>
    </row>
    <row r="220" spans="1:4" x14ac:dyDescent="0.2">
      <c r="B220" s="4"/>
      <c r="C220" s="31"/>
      <c r="D220" s="31"/>
    </row>
    <row r="221" spans="1:4" x14ac:dyDescent="0.2">
      <c r="A221">
        <v>14</v>
      </c>
      <c r="B221" s="4" t="str">
        <f>nodes!C17</f>
        <v>elektriciteit_vraag_2021</v>
      </c>
      <c r="C221" s="31"/>
      <c r="D221" s="31"/>
    </row>
    <row r="222" spans="1:4" x14ac:dyDescent="0.2">
      <c r="A222">
        <v>15</v>
      </c>
      <c r="B222" s="4" t="str">
        <f>nodes!C18</f>
        <v>elektriciteit_aardgassubstitutie_directe_elektrificatie</v>
      </c>
      <c r="C222" s="31"/>
      <c r="D222" s="31" t="str">
        <f>H109&amp;C222</f>
        <v>nvt</v>
      </c>
    </row>
    <row r="223" spans="1:4" x14ac:dyDescent="0.2">
      <c r="A223">
        <v>16</v>
      </c>
      <c r="B223" s="4" t="str">
        <f>nodes!C19</f>
        <v>elektriciteit_additioneel_overige</v>
      </c>
      <c r="C223" s="31"/>
      <c r="D223" s="31" t="str">
        <f>H110&amp;C223</f>
        <v>nvt</v>
      </c>
    </row>
    <row r="224" spans="1:4" x14ac:dyDescent="0.2">
      <c r="A224">
        <v>17</v>
      </c>
      <c r="B224" s="4" t="str">
        <f>nodes!C20</f>
        <v>elektrolysers</v>
      </c>
      <c r="C224" s="31"/>
      <c r="D224" s="31" t="str">
        <f>C224&amp;H140</f>
        <v>nvt</v>
      </c>
    </row>
    <row r="225" spans="1:4" x14ac:dyDescent="0.2">
      <c r="B225" s="4"/>
      <c r="C225" s="31"/>
      <c r="D225" s="31"/>
    </row>
    <row r="226" spans="1:4" x14ac:dyDescent="0.2">
      <c r="A226">
        <v>18</v>
      </c>
      <c r="B226" s="4" t="str">
        <f>nodes!C22</f>
        <v>elektrolyse_verlies</v>
      </c>
      <c r="C226" s="31"/>
      <c r="D226" s="31"/>
    </row>
    <row r="227" spans="1:4" x14ac:dyDescent="0.2">
      <c r="B227" s="4"/>
      <c r="C227" s="31"/>
      <c r="D227" s="31"/>
    </row>
    <row r="228" spans="1:4" x14ac:dyDescent="0.2">
      <c r="A228">
        <v>19</v>
      </c>
      <c r="B228" s="4" t="str">
        <f>nodes!C24</f>
        <v>waterstof_vraag_2021</v>
      </c>
      <c r="C228" s="31"/>
      <c r="D228" s="31" t="str">
        <f>C228&amp;H116</f>
        <v>nvt</v>
      </c>
    </row>
    <row r="229" spans="1:4" x14ac:dyDescent="0.2">
      <c r="A229">
        <v>20</v>
      </c>
      <c r="B229" s="4" t="str">
        <f>nodes!C25</f>
        <v>waterstof_aardgassubstitutie</v>
      </c>
      <c r="C229" s="95"/>
      <c r="D229" s="31"/>
    </row>
    <row r="230" spans="1:4" x14ac:dyDescent="0.2">
      <c r="A230">
        <v>21</v>
      </c>
      <c r="B230" s="4" t="str">
        <f>nodes!C26</f>
        <v>waterstof_additioneel_overige</v>
      </c>
      <c r="C230" s="31"/>
      <c r="D230" s="31" t="str">
        <f>H119&amp;C230</f>
        <v>nvt</v>
      </c>
    </row>
    <row r="231" spans="1:4" x14ac:dyDescent="0.2">
      <c r="A231">
        <v>22</v>
      </c>
      <c r="B231" s="4" t="str">
        <f>nodes!C27</f>
        <v>waterstof_restgassubstitutie</v>
      </c>
      <c r="C231" s="95"/>
      <c r="D231" s="31"/>
    </row>
    <row r="232" spans="1:4" x14ac:dyDescent="0.2">
      <c r="B232" s="4"/>
      <c r="C232" s="31"/>
      <c r="D232" s="31"/>
    </row>
    <row r="233" spans="1:4" x14ac:dyDescent="0.2">
      <c r="A233">
        <v>23</v>
      </c>
      <c r="B233" s="4" t="str">
        <f>nodes!C29</f>
        <v>blauwe_waterstof</v>
      </c>
      <c r="C233" s="31"/>
      <c r="D233" s="31" t="str">
        <f>H137&amp;C233</f>
        <v>nvt</v>
      </c>
    </row>
    <row r="234" spans="1:4" x14ac:dyDescent="0.2">
      <c r="A234">
        <v>24</v>
      </c>
      <c r="B234" s="4" t="str">
        <f>nodes!C30</f>
        <v>grijze_waterstof</v>
      </c>
      <c r="C234" s="31"/>
      <c r="D234" s="31"/>
    </row>
    <row r="235" spans="1:4" x14ac:dyDescent="0.2">
      <c r="A235">
        <v>25</v>
      </c>
      <c r="B235" s="4" t="str">
        <f>nodes!C31</f>
        <v>groene_waterstof</v>
      </c>
      <c r="C235" s="31"/>
      <c r="D235" s="31" t="str">
        <f>C235&amp;H138</f>
        <v>nvt</v>
      </c>
    </row>
    <row r="236" spans="1:4" x14ac:dyDescent="0.2">
      <c r="B236" s="4"/>
      <c r="C236" s="31"/>
      <c r="D236" s="31"/>
    </row>
    <row r="237" spans="1:4" x14ac:dyDescent="0.2">
      <c r="A237">
        <v>26</v>
      </c>
      <c r="B237" s="4" t="str">
        <f>nodes!C33</f>
        <v>waterstof_mixer</v>
      </c>
      <c r="C237" s="31"/>
      <c r="D237" s="31"/>
    </row>
    <row r="238" spans="1:4" x14ac:dyDescent="0.2">
      <c r="B238" s="4"/>
      <c r="C238" s="31"/>
      <c r="D238" s="31"/>
    </row>
    <row r="239" spans="1:4" x14ac:dyDescent="0.2">
      <c r="A239">
        <v>27</v>
      </c>
      <c r="B239" s="4" t="str">
        <f>nodes!C35</f>
        <v>industrie</v>
      </c>
      <c r="C239" s="31"/>
      <c r="D239" s="31"/>
    </row>
    <row r="240" spans="1:4" x14ac:dyDescent="0.2">
      <c r="A240">
        <v>28</v>
      </c>
      <c r="B240" s="4" t="str">
        <f>nodes!C36</f>
        <v>export</v>
      </c>
      <c r="C240" s="31"/>
      <c r="D240" s="31"/>
    </row>
    <row r="241" spans="1:4" x14ac:dyDescent="0.2">
      <c r="B241" s="4"/>
      <c r="C241" s="31"/>
      <c r="D241" s="31"/>
    </row>
    <row r="242" spans="1:4" x14ac:dyDescent="0.2">
      <c r="A242">
        <v>29</v>
      </c>
      <c r="B242" s="4" t="str">
        <f>nodes!C38</f>
        <v>waterstof_naar_elektriciteitscentrales</v>
      </c>
      <c r="C242" s="96"/>
      <c r="D242" s="31"/>
    </row>
    <row r="243" spans="1:4" x14ac:dyDescent="0.2">
      <c r="B243" s="4"/>
      <c r="C243" s="31"/>
      <c r="D243" s="31"/>
    </row>
    <row r="244" spans="1:4" x14ac:dyDescent="0.2">
      <c r="A244">
        <v>30</v>
      </c>
      <c r="B244" s="4" t="str">
        <f>nodes!C40</f>
        <v>reserveslot_1</v>
      </c>
      <c r="C244" s="31"/>
      <c r="D244" s="31"/>
    </row>
    <row r="245" spans="1:4" x14ac:dyDescent="0.2">
      <c r="A245">
        <v>31</v>
      </c>
      <c r="B245" s="4" t="str">
        <f>nodes!C41</f>
        <v>reserveslot_2</v>
      </c>
      <c r="C245" s="31"/>
      <c r="D245" s="31"/>
    </row>
    <row r="246" spans="1:4" x14ac:dyDescent="0.2">
      <c r="A246">
        <v>32</v>
      </c>
      <c r="B246" s="4" t="str">
        <f>nodes!C42</f>
        <v>reserveslot_3</v>
      </c>
      <c r="C246" s="31"/>
      <c r="D246" s="31"/>
    </row>
    <row r="247" spans="1:4" x14ac:dyDescent="0.2">
      <c r="A247">
        <v>33</v>
      </c>
      <c r="B247" s="4" t="str">
        <f>nodes!C43</f>
        <v>reserveslot_4</v>
      </c>
      <c r="C247" s="31"/>
      <c r="D247" s="31"/>
    </row>
    <row r="248" spans="1:4" x14ac:dyDescent="0.2">
      <c r="A248">
        <v>34</v>
      </c>
      <c r="B248" s="4" t="str">
        <f>nodes!C44</f>
        <v>reserveslot_5</v>
      </c>
      <c r="C248" s="31"/>
      <c r="D248" s="31"/>
    </row>
    <row r="249" spans="1:4" x14ac:dyDescent="0.2">
      <c r="A249">
        <v>35</v>
      </c>
      <c r="B249" s="4" t="str">
        <f>nodes!C45</f>
        <v>reserveslot_6</v>
      </c>
      <c r="C249" s="31"/>
      <c r="D249" s="31"/>
    </row>
    <row r="250" spans="1:4" x14ac:dyDescent="0.2">
      <c r="A250">
        <v>36</v>
      </c>
      <c r="B250" s="4" t="str">
        <f>nodes!C46</f>
        <v>reserveslot_7</v>
      </c>
      <c r="C250" s="31"/>
      <c r="D250" s="31"/>
    </row>
    <row r="251" spans="1:4" x14ac:dyDescent="0.2">
      <c r="A251">
        <v>37</v>
      </c>
      <c r="B251" s="4" t="str">
        <f>nodes!C47</f>
        <v>reserveslot_8</v>
      </c>
      <c r="C251" s="31"/>
      <c r="D251" s="31"/>
    </row>
    <row r="252" spans="1:4" x14ac:dyDescent="0.2">
      <c r="A252">
        <v>38</v>
      </c>
      <c r="B252" s="4" t="str">
        <f>nodes!C48</f>
        <v>reserveslot_9</v>
      </c>
      <c r="C252" s="31"/>
      <c r="D252" s="31"/>
    </row>
    <row r="253" spans="1:4" x14ac:dyDescent="0.2">
      <c r="A253">
        <v>39</v>
      </c>
      <c r="B253" s="4" t="str">
        <f>nodes!C49</f>
        <v>reserveslot_10</v>
      </c>
      <c r="C253" s="31"/>
      <c r="D253" s="31"/>
    </row>
    <row r="254" spans="1:4" x14ac:dyDescent="0.2">
      <c r="B254" s="4"/>
      <c r="C254" s="31"/>
      <c r="D254" s="31"/>
    </row>
    <row r="255" spans="1:4" x14ac:dyDescent="0.2">
      <c r="A255">
        <v>40</v>
      </c>
      <c r="B255" s="4" t="str">
        <f>nodes!C51</f>
        <v>co2_bron_aardgasverbranding</v>
      </c>
      <c r="C255" s="31"/>
      <c r="D255" s="31" t="str">
        <f>H163</f>
        <v>&lt;aanname&gt;&lt;strong&gt;[Noordzeekanaalgebied]&lt;/strong&gt; Berekende CO&lt;sub&gt;2&lt;/sub&gt;-emissie bij verbranding van 17 PJ aardgas @ 56.4 ktonCO&lt;sub&gt;2&lt;/sub&gt;/PJ.&lt;/aanname&gt;</v>
      </c>
    </row>
    <row r="256" spans="1:4" x14ac:dyDescent="0.2">
      <c r="A256">
        <v>41</v>
      </c>
      <c r="B256" s="4" t="str">
        <f>nodes!C52</f>
        <v>co2_bron_restgasverbranding</v>
      </c>
      <c r="C256" s="31"/>
      <c r="D256" s="31"/>
    </row>
    <row r="257" spans="1:4" x14ac:dyDescent="0.2">
      <c r="A257">
        <v>42</v>
      </c>
      <c r="B257" s="4" t="str">
        <f>nodes!C53</f>
        <v>co2_bron_smr_restgas</v>
      </c>
      <c r="C257" s="31"/>
      <c r="D257" s="31"/>
    </row>
    <row r="258" spans="1:4" x14ac:dyDescent="0.2">
      <c r="A258">
        <v>43</v>
      </c>
      <c r="B258" s="4" t="str">
        <f>nodes!C54</f>
        <v>co2_bron_smr_aardgas</v>
      </c>
      <c r="C258" s="31"/>
      <c r="D258" s="31"/>
    </row>
    <row r="259" spans="1:4" x14ac:dyDescent="0.2">
      <c r="A259">
        <v>44</v>
      </c>
      <c r="B259" s="4" t="str">
        <f>nodes!C55</f>
        <v>co2_bron_overige</v>
      </c>
      <c r="C259" s="31"/>
      <c r="D259" s="31"/>
    </row>
    <row r="260" spans="1:4" x14ac:dyDescent="0.2">
      <c r="A260">
        <v>45</v>
      </c>
      <c r="B260" s="4" t="str">
        <f>nodes!C56</f>
        <v>co2_bron_reserve_slot1</v>
      </c>
      <c r="C260" s="31" t="s">
        <v>442</v>
      </c>
      <c r="D260" s="31" t="str">
        <f>H168</f>
        <v>&lt;aanname&gt;&lt;strong&gt;[Noordzeekanaalgebied]&lt;/strong&gt; Berekende CO&lt;sub&gt;2&lt;/sub&gt;-emissie bij verwerking van 130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v>
      </c>
    </row>
    <row r="261" spans="1:4" x14ac:dyDescent="0.2">
      <c r="A261">
        <v>46</v>
      </c>
      <c r="B261" s="4" t="str">
        <f>nodes!C57</f>
        <v>co2_bron_reserve_slot2</v>
      </c>
      <c r="C261" s="31"/>
      <c r="D261" s="31" t="str">
        <f>H169</f>
        <v>&lt;aanname&gt;&lt;strong&gt;[Noordzeekanaalgebied]&lt;/strong&gt; De CO2-uitstoot van de AEB centrale is overgenomen uit een &lt;a href=https://www.binnenlandsbestuur.nl/ruimte-en-milieu/klimaatambitie-amsterdam-alleen-haalbaar-met-grote-ingrepen#:~:text=Maar%20AEB%20heeft%20een%20totale,koolstofdioxide%20worden%20afgevangen%20en%20opgeslagen&gt;artikel van binnenlandsbestuur.nl&lt;/a&gt;.&lt;/aanname&gt;</v>
      </c>
    </row>
    <row r="262" spans="1:4" x14ac:dyDescent="0.2">
      <c r="A262">
        <v>47</v>
      </c>
      <c r="B262" s="4" t="str">
        <f>nodes!C58</f>
        <v>co2_bron_reserve_slot3</v>
      </c>
      <c r="C262" s="31"/>
      <c r="D262" s="31"/>
    </row>
    <row r="263" spans="1:4" x14ac:dyDescent="0.2">
      <c r="A263">
        <v>48</v>
      </c>
      <c r="B263" s="4" t="str">
        <f>nodes!C59</f>
        <v>co2_bron_reserve_slot4</v>
      </c>
      <c r="C263" s="31"/>
      <c r="D263" s="31"/>
    </row>
    <row r="264" spans="1:4" x14ac:dyDescent="0.2">
      <c r="A264">
        <v>49</v>
      </c>
      <c r="B264" s="4" t="str">
        <f>nodes!C60</f>
        <v>co2_bron_reserve_slot5</v>
      </c>
      <c r="C264" s="31"/>
      <c r="D264" s="31"/>
    </row>
    <row r="265" spans="1:4" x14ac:dyDescent="0.2">
      <c r="B265" s="4"/>
      <c r="C265" s="31"/>
      <c r="D265" s="31"/>
    </row>
    <row r="266" spans="1:4" x14ac:dyDescent="0.2">
      <c r="A266">
        <v>50</v>
      </c>
      <c r="B266" s="4" t="str">
        <f>nodes!C62</f>
        <v>co2_afvang_smr_restgas</v>
      </c>
      <c r="C266" s="31"/>
      <c r="D266" s="31"/>
    </row>
    <row r="267" spans="1:4" x14ac:dyDescent="0.2">
      <c r="A267">
        <v>51</v>
      </c>
      <c r="B267" s="4" t="str">
        <f>nodes!C63</f>
        <v>co2_afvang_smr_aardgas</v>
      </c>
      <c r="C267" s="31"/>
      <c r="D267" s="31"/>
    </row>
    <row r="268" spans="1:4" x14ac:dyDescent="0.2">
      <c r="A268">
        <v>52</v>
      </c>
      <c r="B268" s="4" t="str">
        <f>nodes!C64</f>
        <v>co2_afvang_overige</v>
      </c>
      <c r="C268" s="31"/>
      <c r="D268" s="31"/>
    </row>
    <row r="269" spans="1:4" x14ac:dyDescent="0.2">
      <c r="A269">
        <v>53</v>
      </c>
      <c r="B269" s="4" t="str">
        <f>nodes!C65</f>
        <v>co2_afvang_reserve_slot1</v>
      </c>
      <c r="C269" s="31"/>
      <c r="D269" s="31"/>
    </row>
    <row r="270" spans="1:4" x14ac:dyDescent="0.2">
      <c r="A270">
        <v>54</v>
      </c>
      <c r="B270" s="4" t="str">
        <f>nodes!C66</f>
        <v>co2_afvang_reserve_slot2</v>
      </c>
      <c r="C270" s="31"/>
      <c r="D270" s="31"/>
    </row>
    <row r="271" spans="1:4" x14ac:dyDescent="0.2">
      <c r="A271">
        <v>55</v>
      </c>
      <c r="B271" s="4" t="str">
        <f>nodes!C67</f>
        <v>co2_afvang_reserve_slot3</v>
      </c>
      <c r="C271" s="31"/>
      <c r="D271" s="31"/>
    </row>
    <row r="272" spans="1:4" x14ac:dyDescent="0.2">
      <c r="A272">
        <v>56</v>
      </c>
      <c r="B272" s="4" t="str">
        <f>nodes!C68</f>
        <v>co2_afvang_reserve_slot4</v>
      </c>
      <c r="C272" s="31"/>
      <c r="D272" s="31"/>
    </row>
    <row r="273" spans="1:15" x14ac:dyDescent="0.2">
      <c r="A273">
        <v>57</v>
      </c>
      <c r="B273" s="4" t="str">
        <f>nodes!C69</f>
        <v>co2_afvang_reserve_slot5</v>
      </c>
      <c r="C273" s="31"/>
      <c r="D273" s="31"/>
    </row>
    <row r="274" spans="1:15" x14ac:dyDescent="0.2">
      <c r="B274" s="4"/>
      <c r="C274" s="31"/>
      <c r="D274" s="31"/>
    </row>
    <row r="275" spans="1:15" x14ac:dyDescent="0.2">
      <c r="A275">
        <v>58</v>
      </c>
      <c r="B275" s="4" t="str">
        <f>nodes!C71</f>
        <v>co2_productie_totaal</v>
      </c>
      <c r="C275" s="31"/>
      <c r="D275" s="31"/>
    </row>
    <row r="276" spans="1:15" x14ac:dyDescent="0.2">
      <c r="A276">
        <v>59</v>
      </c>
      <c r="B276" s="4" t="str">
        <f>nodes!C72</f>
        <v>co2_emissies_totaal</v>
      </c>
      <c r="C276" s="31"/>
      <c r="D276" s="31" t="str">
        <f>H194</f>
        <v>&lt;aanname&gt;&lt;strong&gt;[Noordzeekanaalgebied]&lt;/strong&gt; De berekende totale CO&lt;sub&gt;2&lt;/sub&gt; uitstoot van de industrie bedraagt 13.000 kton CO&lt;sub&gt;2&lt;/sub&gt;. &lt;em&gt;Dit is inclusief de emissies die voortkomen uit de verbranding van hoogovengas elders voor de productie van elektriciteit&lt;/em&gt;. Bij het opstellen van de energiebalans is van een aardgasverbruik van 38 PJ voor elektriciteitscentrales uitgegaan, waarbij circa 2.100 kton CO&lt;sub&gt;2&lt;/sub&gt; emissie vrijkomt. De totale berekende CO&lt;sub&gt;2&lt;/sub&gt; uitstoot van het cluster komt daarmee op 15.100 kton CO&lt;sub&gt;2&lt;/sub&gt;, wat goed overeenstemt met de 15.200 kton CO&lt;sub&gt;2&lt;/sub&gt; genoteerd in de CES (pagina 51, figuur 15).&lt;/aanname&gt;</v>
      </c>
    </row>
    <row r="277" spans="1:15" x14ac:dyDescent="0.2">
      <c r="A277">
        <v>60</v>
      </c>
      <c r="B277" s="4" t="str">
        <f>nodes!C73</f>
        <v>co2_afvang_totaal</v>
      </c>
      <c r="C277" s="31"/>
      <c r="D277" s="31"/>
    </row>
    <row r="278" spans="1:15" x14ac:dyDescent="0.2">
      <c r="A278">
        <v>61</v>
      </c>
      <c r="B278" s="4" t="str">
        <f>nodes!C74</f>
        <v>co2_afgevangen_totaal</v>
      </c>
      <c r="C278" s="31"/>
      <c r="D278" s="31"/>
    </row>
    <row r="280" spans="1:15" x14ac:dyDescent="0.2">
      <c r="A280" t="s">
        <v>2</v>
      </c>
    </row>
    <row r="281" spans="1:15" ht="22" x14ac:dyDescent="0.2">
      <c r="B281" s="73" t="s">
        <v>241</v>
      </c>
      <c r="C281" s="28"/>
      <c r="D281" s="28"/>
      <c r="E281" s="30"/>
      <c r="F281" s="28"/>
      <c r="G281" s="28"/>
      <c r="H281" s="28"/>
      <c r="I281" s="28"/>
      <c r="J281" s="28"/>
      <c r="K281" s="28"/>
      <c r="L281" s="28"/>
      <c r="M281" s="28"/>
      <c r="N281" s="28"/>
      <c r="O281" s="28"/>
    </row>
    <row r="283" spans="1:15" x14ac:dyDescent="0.2">
      <c r="C283" s="1" t="s">
        <v>160</v>
      </c>
      <c r="D283" s="1" t="s">
        <v>159</v>
      </c>
    </row>
    <row r="284" spans="1:15" x14ac:dyDescent="0.2">
      <c r="A284">
        <v>1</v>
      </c>
      <c r="B284" s="4" t="str">
        <f>nodes!C2</f>
        <v>bron_aardgas</v>
      </c>
      <c r="C284" s="31"/>
      <c r="D284" s="31" t="str">
        <f>I105</f>
        <v>&lt;aanname&gt;&lt;strong&gt;[Noordzeekanaalgebied]&lt;/strong&gt; Uit de CES is een totaalvolume aardgasverbruik van 41 PJ overgenomen (pagina 42, figuur 9). Dit volume is inclusief het aardgasverbruik van elektriciteitscentrales. Op basis van de elektriciteitsbalans in figuur 12 op pagina 48 van de CES is een inschatting gemaakt van het aardgasverbruik van aardgasgestookte elektriciteitscentrales (24 PJ aardgas, gebaseerd op een aangenomen conversie-efficientie van 50%). Dit resulteert in een aangenomen 41 - 24 = 17 PJ aardgasverbruik voor industriele toepassingen.&lt;/aanname&gt;</v>
      </c>
    </row>
    <row r="285" spans="1:15" x14ac:dyDescent="0.2">
      <c r="A285">
        <v>2</v>
      </c>
      <c r="B285" s="4" t="str">
        <f>nodes!C3</f>
        <v>bron_restgas</v>
      </c>
      <c r="C285" s="31"/>
      <c r="D285" s="31"/>
    </row>
    <row r="286" spans="1:15" x14ac:dyDescent="0.2">
      <c r="A286">
        <v>3</v>
      </c>
      <c r="B286" s="4" t="str">
        <f>nodes!C4</f>
        <v>bron_kolen</v>
      </c>
      <c r="C286" s="31"/>
      <c r="D286" s="31">
        <f>C286</f>
        <v>0</v>
      </c>
    </row>
    <row r="287" spans="1:15" x14ac:dyDescent="0.2">
      <c r="A287">
        <v>4</v>
      </c>
      <c r="B287" s="4" t="str">
        <f>nodes!C5</f>
        <v>bron_cokes</v>
      </c>
      <c r="C287" s="31"/>
      <c r="D287" s="31"/>
    </row>
    <row r="288" spans="1:15" x14ac:dyDescent="0.2">
      <c r="A288">
        <v>5</v>
      </c>
      <c r="B288" s="4" t="str">
        <f>nodes!C6</f>
        <v>bron_aardolie</v>
      </c>
      <c r="C288" s="31"/>
      <c r="D288" s="31"/>
    </row>
    <row r="289" spans="1:4" x14ac:dyDescent="0.2">
      <c r="A289">
        <v>6</v>
      </c>
      <c r="B289" s="4" t="str">
        <f>nodes!C7</f>
        <v>bron_biomassa</v>
      </c>
      <c r="C289" s="31"/>
      <c r="D289" s="31"/>
    </row>
    <row r="290" spans="1:4" x14ac:dyDescent="0.2">
      <c r="A290">
        <v>7</v>
      </c>
      <c r="B290" s="4" t="str">
        <f>nodes!C8</f>
        <v>bron_biogas</v>
      </c>
      <c r="C290" s="31"/>
      <c r="D290" s="31"/>
    </row>
    <row r="291" spans="1:4" x14ac:dyDescent="0.2">
      <c r="A291">
        <v>8</v>
      </c>
      <c r="B291" s="4" t="str">
        <f>nodes!C9</f>
        <v>bron_elektriciteit</v>
      </c>
      <c r="C291" s="31"/>
      <c r="D291" s="31" t="s">
        <v>525</v>
      </c>
    </row>
    <row r="292" spans="1:4" x14ac:dyDescent="0.2">
      <c r="A292">
        <v>9</v>
      </c>
      <c r="B292" s="4" t="str">
        <f>nodes!C10</f>
        <v>bron_waterstof</v>
      </c>
      <c r="C292" s="31"/>
      <c r="D292" s="31" t="str">
        <f>I134&amp;C292</f>
        <v>&lt;bron&gt;&lt;strong&gt;[Noordzeekanaalgebied]&lt;/strong&gt; Het importvolume waterstof is overgenomen uit de CES (pagina 39, figuur 13).&lt;/bron&gt;</v>
      </c>
    </row>
    <row r="293" spans="1:4" x14ac:dyDescent="0.2">
      <c r="A293">
        <v>10</v>
      </c>
      <c r="B293" s="4" t="str">
        <f>nodes!C11</f>
        <v>bron_warmte</v>
      </c>
      <c r="C293" s="31"/>
      <c r="D293" s="31"/>
    </row>
    <row r="294" spans="1:4" x14ac:dyDescent="0.2">
      <c r="A294">
        <v>11</v>
      </c>
      <c r="B294" s="4" t="str">
        <f>nodes!C12</f>
        <v>bron_afval</v>
      </c>
      <c r="C294" s="31"/>
      <c r="D294" s="31"/>
    </row>
    <row r="295" spans="1:4" x14ac:dyDescent="0.2">
      <c r="B295" s="4"/>
      <c r="C295" s="31"/>
      <c r="D295" s="31"/>
    </row>
    <row r="296" spans="1:4" x14ac:dyDescent="0.2">
      <c r="A296">
        <v>12</v>
      </c>
      <c r="B296" s="4" t="str">
        <f>nodes!C14</f>
        <v>smr_atr</v>
      </c>
      <c r="C296" s="31"/>
      <c r="D296" s="31" t="str">
        <f>I142&amp;I136&amp;I141&amp;I137&amp;I145&amp;C296</f>
        <v/>
      </c>
    </row>
    <row r="297" spans="1:4" x14ac:dyDescent="0.2">
      <c r="A297">
        <v>13</v>
      </c>
      <c r="B297" s="4" t="str">
        <f>nodes!C15</f>
        <v>smr_atr_verlies</v>
      </c>
      <c r="C297" s="31"/>
      <c r="D297" s="94"/>
    </row>
    <row r="298" spans="1:4" x14ac:dyDescent="0.2">
      <c r="B298" s="4"/>
      <c r="C298" s="31"/>
      <c r="D298" s="31"/>
    </row>
    <row r="299" spans="1:4" x14ac:dyDescent="0.2">
      <c r="A299">
        <v>14</v>
      </c>
      <c r="B299" s="4" t="str">
        <f>nodes!C17</f>
        <v>elektriciteit_vraag_2021</v>
      </c>
      <c r="C299" s="31"/>
      <c r="D299" s="31" t="str">
        <f>I108&amp;C299</f>
        <v/>
      </c>
    </row>
    <row r="300" spans="1:4" x14ac:dyDescent="0.2">
      <c r="A300">
        <v>15</v>
      </c>
      <c r="B300" s="4" t="str">
        <f>nodes!C18</f>
        <v>elektriciteit_aardgassubstitutie_directe_elektrificatie</v>
      </c>
      <c r="C300" s="31"/>
      <c r="D300" s="31" t="str">
        <f>I109&amp;C300</f>
        <v/>
      </c>
    </row>
    <row r="301" spans="1:4" x14ac:dyDescent="0.2">
      <c r="A301">
        <v>16</v>
      </c>
      <c r="B301" s="4" t="str">
        <f>nodes!C19</f>
        <v>elektriciteit_additioneel_overige</v>
      </c>
      <c r="C301" s="31"/>
      <c r="D301" s="31" t="str">
        <f>I110&amp;C301</f>
        <v/>
      </c>
    </row>
    <row r="302" spans="1:4" x14ac:dyDescent="0.2">
      <c r="A302">
        <v>17</v>
      </c>
      <c r="B302" s="4" t="str">
        <f>nodes!C20</f>
        <v>elektrolysers</v>
      </c>
      <c r="C302" s="31"/>
      <c r="D302" s="31" t="str">
        <f>C302&amp;I140</f>
        <v>&lt;aanname&gt;&lt;strong&gt;[Noordzeekanaalgebied]&lt;/strong&gt; De CES noteert 11 PJ groene waterstofproductie (pagina 39, figuur 13). Het volume elektriciteitsverbruik voor groene waterstofproductie is ingeschat op basis van een &lt;strong&gt;aangenomen&lt;/strong&gt; conversie-rendement van 70%.&lt;/aanname&gt;</v>
      </c>
    </row>
    <row r="303" spans="1:4" x14ac:dyDescent="0.2">
      <c r="B303" s="4"/>
      <c r="C303" s="31"/>
      <c r="D303" s="31"/>
    </row>
    <row r="304" spans="1:4" x14ac:dyDescent="0.2">
      <c r="A304">
        <v>18</v>
      </c>
      <c r="B304" s="4" t="str">
        <f>nodes!C22</f>
        <v>elektrolyse_verlies</v>
      </c>
      <c r="C304" s="31"/>
      <c r="D304" s="31"/>
    </row>
    <row r="305" spans="1:4" x14ac:dyDescent="0.2">
      <c r="B305" s="4"/>
      <c r="C305" s="31"/>
      <c r="D305" s="31"/>
    </row>
    <row r="306" spans="1:4" ht="17" customHeight="1" x14ac:dyDescent="0.2">
      <c r="A306">
        <v>19</v>
      </c>
      <c r="B306" s="4" t="str">
        <f>nodes!C24</f>
        <v>waterstof_vraag_2021</v>
      </c>
      <c r="C306" s="31"/>
      <c r="D306" s="31" t="str">
        <f>C306&amp;I116</f>
        <v/>
      </c>
    </row>
    <row r="307" spans="1:4" x14ac:dyDescent="0.2">
      <c r="A307">
        <v>20</v>
      </c>
      <c r="B307" s="4" t="str">
        <f>nodes!C25</f>
        <v>waterstof_aardgassubstitutie</v>
      </c>
      <c r="C307" s="95"/>
      <c r="D307" s="31"/>
    </row>
    <row r="308" spans="1:4" x14ac:dyDescent="0.2">
      <c r="A308">
        <v>21</v>
      </c>
      <c r="B308" s="4" t="str">
        <f>nodes!C26</f>
        <v>waterstof_additioneel_overige</v>
      </c>
      <c r="C308" s="31"/>
      <c r="D308" s="31" t="str">
        <f>I119&amp;C308</f>
        <v/>
      </c>
    </row>
    <row r="309" spans="1:4" ht="17" customHeight="1" x14ac:dyDescent="0.2">
      <c r="A309">
        <v>22</v>
      </c>
      <c r="B309" s="4" t="str">
        <f>nodes!C27</f>
        <v>waterstof_restgassubstitutie</v>
      </c>
      <c r="C309" s="95"/>
      <c r="D309" s="31"/>
    </row>
    <row r="310" spans="1:4" x14ac:dyDescent="0.2">
      <c r="B310" s="4"/>
      <c r="C310" s="31"/>
      <c r="D310" s="31"/>
    </row>
    <row r="311" spans="1:4" x14ac:dyDescent="0.2">
      <c r="A311">
        <v>23</v>
      </c>
      <c r="B311" s="4" t="str">
        <f>nodes!C29</f>
        <v>blauwe_waterstof</v>
      </c>
      <c r="C311" s="31"/>
      <c r="D311" s="31" t="str">
        <f>I137&amp;C311</f>
        <v/>
      </c>
    </row>
    <row r="312" spans="1:4" x14ac:dyDescent="0.2">
      <c r="A312">
        <v>24</v>
      </c>
      <c r="B312" s="4" t="str">
        <f>nodes!C30</f>
        <v>grijze_waterstof</v>
      </c>
      <c r="C312" s="31"/>
      <c r="D312" s="31"/>
    </row>
    <row r="313" spans="1:4" x14ac:dyDescent="0.2">
      <c r="A313">
        <v>25</v>
      </c>
      <c r="B313" s="4" t="str">
        <f>nodes!C31</f>
        <v>groene_waterstof</v>
      </c>
      <c r="C313" s="31"/>
      <c r="D313" s="31" t="str">
        <f>C313&amp;I138</f>
        <v>&lt;bron&gt;&lt;strong&gt;[Noordzeekanaalgebied]&lt;/strong&gt; Het productievolume groene waterstof is overgenomen uit de CES (pagina 39, figuur 13).&lt;/bron&gt;</v>
      </c>
    </row>
    <row r="314" spans="1:4" x14ac:dyDescent="0.2">
      <c r="B314" s="4"/>
      <c r="C314" s="31"/>
      <c r="D314" s="31"/>
    </row>
    <row r="315" spans="1:4" x14ac:dyDescent="0.2">
      <c r="A315">
        <v>26</v>
      </c>
      <c r="B315" s="4" t="str">
        <f>nodes!C33</f>
        <v>waterstof_mixer</v>
      </c>
      <c r="C315" s="31"/>
      <c r="D315" s="31"/>
    </row>
    <row r="316" spans="1:4" x14ac:dyDescent="0.2">
      <c r="B316" s="4"/>
      <c r="C316" s="31"/>
      <c r="D316" s="31"/>
    </row>
    <row r="317" spans="1:4" x14ac:dyDescent="0.2">
      <c r="A317">
        <v>27</v>
      </c>
      <c r="B317" s="4" t="str">
        <f>nodes!C35</f>
        <v>industrie</v>
      </c>
      <c r="C317" s="31"/>
      <c r="D317" s="31"/>
    </row>
    <row r="318" spans="1:4" ht="17" customHeight="1" x14ac:dyDescent="0.2">
      <c r="A318">
        <v>28</v>
      </c>
      <c r="B318" s="4" t="str">
        <f>nodes!C36</f>
        <v>export</v>
      </c>
      <c r="C318" s="31"/>
      <c r="D318" s="31" t="str">
        <f>I128&amp;C318</f>
        <v>&lt;bron&gt;&lt;strong&gt;[Noordzeekanaalgebied]&lt;/strong&gt; Het exportvolume waterstof is overgenomen uit de CES (pagina 39, figuur 13).&lt;/bron&gt;</v>
      </c>
    </row>
    <row r="319" spans="1:4" ht="17" customHeight="1" x14ac:dyDescent="0.2">
      <c r="B319" s="4"/>
      <c r="C319" s="31"/>
      <c r="D319" s="31"/>
    </row>
    <row r="320" spans="1:4" ht="17" customHeight="1" x14ac:dyDescent="0.2">
      <c r="A320">
        <v>29</v>
      </c>
      <c r="B320" s="4" t="str">
        <f>nodes!C38</f>
        <v>waterstof_naar_elektriciteitscentrales</v>
      </c>
      <c r="C320" s="31"/>
      <c r="D320" s="31"/>
    </row>
    <row r="321" spans="1:4" x14ac:dyDescent="0.2">
      <c r="B321" s="4"/>
      <c r="C321" s="31"/>
      <c r="D321" s="31"/>
    </row>
    <row r="322" spans="1:4" x14ac:dyDescent="0.2">
      <c r="A322">
        <v>30</v>
      </c>
      <c r="B322" s="4" t="str">
        <f>nodes!C40</f>
        <v>reserveslot_1</v>
      </c>
      <c r="C322" s="31"/>
      <c r="D322" s="31"/>
    </row>
    <row r="323" spans="1:4" x14ac:dyDescent="0.2">
      <c r="A323">
        <v>31</v>
      </c>
      <c r="B323" s="4" t="str">
        <f>nodes!C41</f>
        <v>reserveslot_2</v>
      </c>
      <c r="C323" s="31"/>
      <c r="D323" s="31"/>
    </row>
    <row r="324" spans="1:4" x14ac:dyDescent="0.2">
      <c r="A324">
        <v>32</v>
      </c>
      <c r="B324" s="4" t="str">
        <f>nodes!C42</f>
        <v>reserveslot_3</v>
      </c>
      <c r="C324" s="31"/>
      <c r="D324" s="31"/>
    </row>
    <row r="325" spans="1:4" x14ac:dyDescent="0.2">
      <c r="A325">
        <v>33</v>
      </c>
      <c r="B325" s="4" t="str">
        <f>nodes!C43</f>
        <v>reserveslot_4</v>
      </c>
      <c r="C325" s="31"/>
      <c r="D325" s="31"/>
    </row>
    <row r="326" spans="1:4" x14ac:dyDescent="0.2">
      <c r="A326">
        <v>34</v>
      </c>
      <c r="B326" s="4" t="str">
        <f>nodes!C44</f>
        <v>reserveslot_5</v>
      </c>
      <c r="C326" s="31"/>
      <c r="D326" s="31"/>
    </row>
    <row r="327" spans="1:4" x14ac:dyDescent="0.2">
      <c r="A327">
        <v>35</v>
      </c>
      <c r="B327" s="4" t="str">
        <f>nodes!C45</f>
        <v>reserveslot_6</v>
      </c>
      <c r="C327" s="31"/>
      <c r="D327" s="31"/>
    </row>
    <row r="328" spans="1:4" x14ac:dyDescent="0.2">
      <c r="A328">
        <v>36</v>
      </c>
      <c r="B328" s="4" t="str">
        <f>nodes!C46</f>
        <v>reserveslot_7</v>
      </c>
      <c r="C328" s="31"/>
      <c r="D328" s="31"/>
    </row>
    <row r="329" spans="1:4" x14ac:dyDescent="0.2">
      <c r="A329">
        <v>37</v>
      </c>
      <c r="B329" s="4" t="str">
        <f>nodes!C47</f>
        <v>reserveslot_8</v>
      </c>
      <c r="C329" s="31"/>
      <c r="D329" s="31"/>
    </row>
    <row r="330" spans="1:4" x14ac:dyDescent="0.2">
      <c r="A330">
        <v>38</v>
      </c>
      <c r="B330" s="4" t="str">
        <f>nodes!C48</f>
        <v>reserveslot_9</v>
      </c>
      <c r="C330" s="31"/>
      <c r="D330" s="31"/>
    </row>
    <row r="331" spans="1:4" x14ac:dyDescent="0.2">
      <c r="A331">
        <v>39</v>
      </c>
      <c r="B331" s="4" t="str">
        <f>nodes!C49</f>
        <v>reserveslot_10</v>
      </c>
      <c r="C331" s="31"/>
      <c r="D331" s="31"/>
    </row>
    <row r="332" spans="1:4" x14ac:dyDescent="0.2">
      <c r="B332" s="4"/>
      <c r="C332" s="31"/>
      <c r="D332" s="31"/>
    </row>
    <row r="333" spans="1:4" x14ac:dyDescent="0.2">
      <c r="A333">
        <v>40</v>
      </c>
      <c r="B333" s="4" t="str">
        <f>nodes!C51</f>
        <v>co2_bron_aardgasverbranding</v>
      </c>
      <c r="C333" s="31"/>
      <c r="D333" s="31" t="str">
        <f>I163</f>
        <v>&lt;aanname&gt;&lt;strong&gt;[Noordzeekanaalgebied]&lt;/strong&gt; Berekende CO&lt;sub&gt;2&lt;/sub&gt;-emissie bij verbranding van 18 PJ aardgas @ 56.4 ktonCO&lt;sub&gt;2&lt;/sub&gt;/PJ.&lt;/aanname&gt;</v>
      </c>
    </row>
    <row r="334" spans="1:4" x14ac:dyDescent="0.2">
      <c r="A334">
        <v>41</v>
      </c>
      <c r="B334" s="4" t="str">
        <f>nodes!C52</f>
        <v>co2_bron_restgasverbranding</v>
      </c>
      <c r="C334" s="31"/>
      <c r="D334" s="31">
        <f t="shared" ref="D334:D351" si="2">I164</f>
        <v>0</v>
      </c>
    </row>
    <row r="335" spans="1:4" x14ac:dyDescent="0.2">
      <c r="A335">
        <v>42</v>
      </c>
      <c r="B335" s="4" t="str">
        <f>nodes!C53</f>
        <v>co2_bron_smr_restgas</v>
      </c>
      <c r="C335" s="31"/>
      <c r="D335" s="31">
        <f t="shared" si="2"/>
        <v>0</v>
      </c>
    </row>
    <row r="336" spans="1:4" x14ac:dyDescent="0.2">
      <c r="A336">
        <v>43</v>
      </c>
      <c r="B336" s="4" t="str">
        <f>nodes!C54</f>
        <v>co2_bron_smr_aardgas</v>
      </c>
      <c r="C336" s="31"/>
      <c r="D336" s="31">
        <f t="shared" si="2"/>
        <v>0</v>
      </c>
    </row>
    <row r="337" spans="1:4" x14ac:dyDescent="0.2">
      <c r="A337">
        <v>44</v>
      </c>
      <c r="B337" s="4" t="str">
        <f>nodes!C55</f>
        <v>co2_bron_overige</v>
      </c>
      <c r="C337" s="31"/>
      <c r="D337" s="31">
        <f t="shared" si="2"/>
        <v>0</v>
      </c>
    </row>
    <row r="338" spans="1:4" x14ac:dyDescent="0.2">
      <c r="A338">
        <v>45</v>
      </c>
      <c r="B338" s="4" t="str">
        <f>nodes!C56</f>
        <v>co2_bron_reserve_slot1</v>
      </c>
      <c r="C338" s="31"/>
      <c r="D338" s="31" t="str">
        <f t="shared" si="2"/>
        <v>&lt;aanname&gt;&lt;strong&gt;[Noordzeekanaalgebied]&lt;/strong&gt; Berekende CO&lt;sub&gt;2&lt;/sub&gt;-emissie bij verwerking van 58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v>
      </c>
    </row>
    <row r="339" spans="1:4" x14ac:dyDescent="0.2">
      <c r="A339">
        <v>46</v>
      </c>
      <c r="B339" s="4" t="str">
        <f>nodes!C57</f>
        <v>co2_bron_reserve_slot2</v>
      </c>
      <c r="C339" s="31"/>
      <c r="D339" s="31" t="str">
        <f t="shared" si="2"/>
        <v>&lt;aanname&gt;&lt;strong&gt;[Noordzeekanaalgebied]&lt;/strong&gt; De CO2-uitstoot van de AEB centrale is overgenomen uit een &lt;a href=&gt;artikel van binnenlandsbestuur.nl&lt;/a&gt;.&lt;/aanname&gt;</v>
      </c>
    </row>
    <row r="340" spans="1:4" x14ac:dyDescent="0.2">
      <c r="A340">
        <v>47</v>
      </c>
      <c r="B340" s="4" t="str">
        <f>nodes!C58</f>
        <v>co2_bron_reserve_slot3</v>
      </c>
      <c r="C340" s="31"/>
      <c r="D340" s="31">
        <f t="shared" si="2"/>
        <v>0</v>
      </c>
    </row>
    <row r="341" spans="1:4" x14ac:dyDescent="0.2">
      <c r="A341">
        <v>48</v>
      </c>
      <c r="B341" s="4" t="str">
        <f>nodes!C59</f>
        <v>co2_bron_reserve_slot4</v>
      </c>
      <c r="C341" s="31"/>
      <c r="D341" s="31">
        <f t="shared" si="2"/>
        <v>0</v>
      </c>
    </row>
    <row r="342" spans="1:4" x14ac:dyDescent="0.2">
      <c r="A342">
        <v>49</v>
      </c>
      <c r="B342" s="4" t="str">
        <f>nodes!C60</f>
        <v>co2_bron_reserve_slot5</v>
      </c>
      <c r="C342" s="31"/>
      <c r="D342" s="31">
        <f t="shared" si="2"/>
        <v>0</v>
      </c>
    </row>
    <row r="343" spans="1:4" x14ac:dyDescent="0.2">
      <c r="B343" s="4"/>
      <c r="C343" s="31"/>
      <c r="D343" s="31"/>
    </row>
    <row r="344" spans="1:4" x14ac:dyDescent="0.2">
      <c r="A344">
        <v>50</v>
      </c>
      <c r="B344" s="4" t="str">
        <f>nodes!C62</f>
        <v>co2_afvang_smr_restgas</v>
      </c>
      <c r="C344" s="31"/>
      <c r="D344" s="31">
        <f t="shared" si="2"/>
        <v>0</v>
      </c>
    </row>
    <row r="345" spans="1:4" x14ac:dyDescent="0.2">
      <c r="A345">
        <v>51</v>
      </c>
      <c r="B345" s="4" t="str">
        <f>nodes!C63</f>
        <v>co2_afvang_smr_aardgas</v>
      </c>
      <c r="C345" s="31"/>
      <c r="D345" s="31">
        <f t="shared" si="2"/>
        <v>0</v>
      </c>
    </row>
    <row r="346" spans="1:4" x14ac:dyDescent="0.2">
      <c r="A346">
        <v>52</v>
      </c>
      <c r="B346" s="4" t="str">
        <f>nodes!C64</f>
        <v>co2_afvang_overige</v>
      </c>
      <c r="C346" s="31"/>
      <c r="D346" s="31">
        <f t="shared" si="2"/>
        <v>0</v>
      </c>
    </row>
    <row r="347" spans="1:4" x14ac:dyDescent="0.2">
      <c r="A347">
        <v>53</v>
      </c>
      <c r="B347" s="4" t="str">
        <f>nodes!C65</f>
        <v>co2_afvang_reserve_slot1</v>
      </c>
      <c r="C347" s="31"/>
      <c r="D347" s="31" t="str">
        <f t="shared" si="2"/>
        <v>&lt;bron&gt;&lt;strong&gt;[Noordzeekanaalgebied]&lt;/strong&gt; De 600 kton CO&lt;sub&gt;2&lt;/sub&gt; afvangst bij TSN is overgenomen uit de CES (pagina 37).&lt;/bron&gt;</v>
      </c>
    </row>
    <row r="348" spans="1:4" x14ac:dyDescent="0.2">
      <c r="A348">
        <v>54</v>
      </c>
      <c r="B348" s="4" t="str">
        <f>nodes!C66</f>
        <v>co2_afvang_reserve_slot2</v>
      </c>
      <c r="C348" s="31"/>
      <c r="D348" s="31" t="str">
        <f t="shared" si="2"/>
        <v>&lt;bron&gt;&lt;strong&gt;[Noordzeekanaalgebied]&lt;/strong&gt; De 500 kton CO&lt;sub&gt;2&lt;/sub&gt; afvangst bij AEB is overgenomen uit de CES (pagina 37).&lt;/bron&gt;</v>
      </c>
    </row>
    <row r="349" spans="1:4" x14ac:dyDescent="0.2">
      <c r="A349">
        <v>55</v>
      </c>
      <c r="B349" s="4" t="str">
        <f>nodes!C67</f>
        <v>co2_afvang_reserve_slot3</v>
      </c>
      <c r="C349" s="31"/>
      <c r="D349" s="31">
        <f t="shared" si="2"/>
        <v>0</v>
      </c>
    </row>
    <row r="350" spans="1:4" x14ac:dyDescent="0.2">
      <c r="A350">
        <v>56</v>
      </c>
      <c r="B350" s="4" t="str">
        <f>nodes!C68</f>
        <v>co2_afvang_reserve_slot4</v>
      </c>
      <c r="C350" s="31"/>
      <c r="D350" s="31">
        <f t="shared" si="2"/>
        <v>0</v>
      </c>
    </row>
    <row r="351" spans="1:4" x14ac:dyDescent="0.2">
      <c r="A351">
        <v>57</v>
      </c>
      <c r="B351" s="4" t="str">
        <f>nodes!C69</f>
        <v>co2_afvang_reserve_slot5</v>
      </c>
      <c r="C351" s="31"/>
      <c r="D351" s="31">
        <f t="shared" si="2"/>
        <v>0</v>
      </c>
    </row>
    <row r="352" spans="1:4" x14ac:dyDescent="0.2">
      <c r="B352" s="4"/>
      <c r="C352" s="31"/>
      <c r="D352" s="31"/>
    </row>
    <row r="353" spans="1:4" x14ac:dyDescent="0.2">
      <c r="A353">
        <v>58</v>
      </c>
      <c r="B353" s="4" t="str">
        <f>nodes!C71</f>
        <v>co2_productie_totaal</v>
      </c>
      <c r="C353" s="31"/>
      <c r="D353" s="31"/>
    </row>
    <row r="354" spans="1:4" x14ac:dyDescent="0.2">
      <c r="A354">
        <v>59</v>
      </c>
      <c r="B354" s="4" t="str">
        <f>nodes!C72</f>
        <v>co2_emissies_totaal</v>
      </c>
      <c r="C354" s="31"/>
      <c r="D354" s="31" t="str">
        <f>I194</f>
        <v>&lt;aanname&gt;&lt;strong&gt;[Noordzeekanaalgebied]&lt;/strong&gt; De berekende totale CO&lt;sub&gt;2&lt;/sub&gt; uitstoot van de industrie bedraagt 6.100 kton CO&lt;sub&gt;2&lt;/sub&gt;. &lt;em&gt;Dit is inclusief de emissies die voortkomen uit de verbranding van hoogovengas elders voor de productie van elektriciteit&lt;/em&gt;. Bij het opstellen van de energiebalans is van een aardgasverbruik van 24 PJ voor elektriciteitscentrales uitgegaan, waarbij circa 1.400 kton CO&lt;sub&gt;2&lt;/sub&gt; emissie vrijkomt. De totale berekende resterende CO&lt;sub&gt;2&lt;/sub&gt; uitstoot van het cluster komt daarmee uit op 7.500 kton CO&lt;sub&gt;2&lt;/sub&gt;, wat goed overeenstemt met de in de CES genoteerde resterende CO&lt;sub&gt;2&lt;/sub&gt; emissie van 7.500 kton (pagina 51, figuur 15).&lt;/aanname&gt;</v>
      </c>
    </row>
    <row r="355" spans="1:4" x14ac:dyDescent="0.2">
      <c r="A355">
        <v>60</v>
      </c>
      <c r="B355" s="4" t="str">
        <f>nodes!C73</f>
        <v>co2_afvang_totaal</v>
      </c>
      <c r="C355" s="31"/>
      <c r="D355" s="31"/>
    </row>
    <row r="356" spans="1:4" x14ac:dyDescent="0.2">
      <c r="A356">
        <v>61</v>
      </c>
      <c r="B356" s="4" t="str">
        <f>nodes!C74</f>
        <v>co2_afgevangen_totaal</v>
      </c>
      <c r="C356" s="31"/>
      <c r="D356" s="31"/>
    </row>
  </sheetData>
  <phoneticPr fontId="37" type="noConversion"/>
  <hyperlinks>
    <hyperlink ref="E85" r:id="rId1" location=":~:text=Maar%20AEB%20heeft%20een%20totale,koolstofdioxide%20worden%20afgevangen%20en%20opgeslagen" xr:uid="{DDF1B936-9AA5-7045-AB79-62EE464FC8B9}"/>
  </hyperlinks>
  <pageMargins left="0.7" right="0.7" top="0.75" bottom="0.75" header="0.3" footer="0.3"/>
  <pageSetup paperSize="9" orientation="portrait" horizontalDpi="0" verticalDpi="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DE8F6-07E1-0048-89F8-C9C67E6855EE}">
  <sheetPr>
    <tabColor theme="8" tint="0.39997558519241921"/>
  </sheetPr>
  <dimension ref="A2:R365"/>
  <sheetViews>
    <sheetView zoomScale="106" zoomScaleNormal="90" workbookViewId="0">
      <selection activeCell="B34" sqref="B34"/>
    </sheetView>
  </sheetViews>
  <sheetFormatPr baseColWidth="10" defaultRowHeight="16" x14ac:dyDescent="0.2"/>
  <cols>
    <col min="1" max="1" width="13.33203125" customWidth="1"/>
    <col min="2" max="2" width="106.6640625" customWidth="1"/>
    <col min="3" max="3" width="24.5" customWidth="1"/>
    <col min="4" max="4" width="16.33203125" customWidth="1"/>
    <col min="5" max="5" width="16.6640625" style="5" customWidth="1"/>
    <col min="8" max="8" width="43.83203125" customWidth="1"/>
    <col min="9" max="9" width="29.6640625" customWidth="1"/>
    <col min="10" max="10" width="10.83203125" customWidth="1"/>
    <col min="15" max="15" width="10.83203125" customWidth="1"/>
    <col min="18" max="19" width="10.83203125" customWidth="1"/>
    <col min="24" max="24" width="10.83203125" customWidth="1"/>
  </cols>
  <sheetData>
    <row r="2" spans="2:18" ht="38" customHeight="1" x14ac:dyDescent="0.2">
      <c r="B2" s="73" t="s">
        <v>166</v>
      </c>
      <c r="C2" s="27"/>
      <c r="D2" s="27"/>
      <c r="E2" s="27"/>
      <c r="F2" s="27"/>
      <c r="G2" s="27"/>
      <c r="H2" s="27"/>
      <c r="I2" s="27"/>
      <c r="J2" s="27"/>
      <c r="K2" s="27"/>
      <c r="L2" s="27"/>
      <c r="M2" s="27"/>
      <c r="N2" s="27"/>
      <c r="O2" s="27"/>
    </row>
    <row r="3" spans="2:18" x14ac:dyDescent="0.2">
      <c r="D3" s="5"/>
    </row>
    <row r="4" spans="2:18" ht="24" customHeight="1" x14ac:dyDescent="0.2">
      <c r="B4" s="72" t="s">
        <v>22</v>
      </c>
      <c r="C4" s="72" t="s">
        <v>25</v>
      </c>
      <c r="D4" s="72" t="s">
        <v>24</v>
      </c>
      <c r="E4" s="72" t="s">
        <v>23</v>
      </c>
      <c r="F4" s="75"/>
      <c r="G4" s="75"/>
      <c r="H4" s="75"/>
      <c r="I4" s="75"/>
      <c r="J4" s="75"/>
      <c r="K4" s="75"/>
      <c r="L4" s="75"/>
      <c r="M4" s="75"/>
      <c r="N4" s="75"/>
      <c r="O4" s="75"/>
    </row>
    <row r="5" spans="2:18" x14ac:dyDescent="0.2">
      <c r="B5" s="3" t="s">
        <v>560</v>
      </c>
      <c r="C5" t="s">
        <v>8</v>
      </c>
      <c r="D5">
        <v>0.65</v>
      </c>
      <c r="E5" t="s">
        <v>379</v>
      </c>
      <c r="R5" s="14"/>
    </row>
    <row r="6" spans="2:18" x14ac:dyDescent="0.2">
      <c r="B6" s="3" t="s">
        <v>555</v>
      </c>
      <c r="C6" t="s">
        <v>8</v>
      </c>
      <c r="D6">
        <v>0.65</v>
      </c>
      <c r="E6" t="s">
        <v>379</v>
      </c>
      <c r="R6" s="14"/>
    </row>
    <row r="7" spans="2:18" x14ac:dyDescent="0.2">
      <c r="B7" s="3" t="s">
        <v>556</v>
      </c>
      <c r="C7" s="3" t="s">
        <v>8</v>
      </c>
      <c r="D7" s="117">
        <v>0.9</v>
      </c>
      <c r="E7" t="s">
        <v>37</v>
      </c>
    </row>
    <row r="8" spans="2:18" x14ac:dyDescent="0.2">
      <c r="B8" s="3" t="s">
        <v>326</v>
      </c>
      <c r="C8" s="3" t="s">
        <v>327</v>
      </c>
      <c r="D8" s="23">
        <v>0.12</v>
      </c>
      <c r="E8"/>
    </row>
    <row r="9" spans="2:18" x14ac:dyDescent="0.2">
      <c r="B9" t="s">
        <v>40</v>
      </c>
      <c r="C9" t="s">
        <v>39</v>
      </c>
      <c r="D9">
        <v>56.4</v>
      </c>
      <c r="E9" t="s">
        <v>38</v>
      </c>
    </row>
    <row r="10" spans="2:18" x14ac:dyDescent="0.2">
      <c r="B10" t="s">
        <v>41</v>
      </c>
      <c r="C10" t="s">
        <v>39</v>
      </c>
      <c r="D10">
        <v>61.8</v>
      </c>
      <c r="E10" t="s">
        <v>38</v>
      </c>
    </row>
    <row r="11" spans="2:18" x14ac:dyDescent="0.2">
      <c r="B11" t="s">
        <v>42</v>
      </c>
      <c r="C11" t="s">
        <v>39</v>
      </c>
      <c r="D11">
        <v>64.599999999999994</v>
      </c>
      <c r="E11" t="s">
        <v>38</v>
      </c>
      <c r="F11" s="5"/>
    </row>
    <row r="12" spans="2:18" x14ac:dyDescent="0.2">
      <c r="B12" t="s">
        <v>484</v>
      </c>
      <c r="C12" t="s">
        <v>39</v>
      </c>
      <c r="D12" s="5">
        <f>92.7</f>
        <v>92.7</v>
      </c>
      <c r="E12" t="s">
        <v>38</v>
      </c>
      <c r="F12" s="5"/>
    </row>
    <row r="13" spans="2:18" x14ac:dyDescent="0.2">
      <c r="B13" t="s">
        <v>381</v>
      </c>
      <c r="C13" t="s">
        <v>39</v>
      </c>
      <c r="D13" s="5">
        <f>107.4</f>
        <v>107.4</v>
      </c>
      <c r="E13" t="s">
        <v>38</v>
      </c>
      <c r="F13" s="5"/>
    </row>
    <row r="14" spans="2:18" x14ac:dyDescent="0.2">
      <c r="D14" s="5"/>
      <c r="F14" s="5"/>
    </row>
    <row r="15" spans="2:18" ht="38" customHeight="1" x14ac:dyDescent="0.2">
      <c r="B15" s="73" t="s">
        <v>554</v>
      </c>
      <c r="C15" s="28"/>
      <c r="D15" s="28"/>
      <c r="E15" s="30"/>
      <c r="F15" s="28"/>
      <c r="G15" s="28"/>
      <c r="H15" s="28"/>
      <c r="I15" s="28"/>
      <c r="J15" s="28"/>
      <c r="K15" s="28"/>
      <c r="L15" s="28"/>
      <c r="M15" s="28"/>
      <c r="N15" s="28"/>
      <c r="O15" s="28"/>
    </row>
    <row r="17" spans="2:15" s="2" customFormat="1" ht="25" customHeight="1" x14ac:dyDescent="0.2">
      <c r="B17" s="72" t="s">
        <v>168</v>
      </c>
      <c r="C17" s="72" t="s">
        <v>25</v>
      </c>
      <c r="D17" s="72" t="s">
        <v>29</v>
      </c>
      <c r="E17" s="74" t="s">
        <v>30</v>
      </c>
      <c r="F17" s="72" t="s">
        <v>23</v>
      </c>
      <c r="G17" s="72" t="s">
        <v>176</v>
      </c>
      <c r="H17" s="72"/>
      <c r="I17" s="72"/>
      <c r="J17" s="72"/>
      <c r="K17" s="72"/>
      <c r="L17" s="72"/>
      <c r="M17" s="72"/>
      <c r="N17" s="72"/>
      <c r="O17" s="72"/>
    </row>
    <row r="19" spans="2:15" x14ac:dyDescent="0.2">
      <c r="B19" s="31" t="s">
        <v>225</v>
      </c>
    </row>
    <row r="20" spans="2:15" x14ac:dyDescent="0.2">
      <c r="B20" s="33" t="s">
        <v>557</v>
      </c>
    </row>
    <row r="22" spans="2:15" x14ac:dyDescent="0.2">
      <c r="B22" s="1" t="s">
        <v>89</v>
      </c>
    </row>
    <row r="23" spans="2:15" x14ac:dyDescent="0.2">
      <c r="B23" t="s">
        <v>21</v>
      </c>
      <c r="C23" t="s">
        <v>33</v>
      </c>
      <c r="D23" s="65">
        <v>0</v>
      </c>
      <c r="E23" s="34">
        <f>(22.4-1.6)*3.6</f>
        <v>74.88</v>
      </c>
      <c r="F23" t="s">
        <v>374</v>
      </c>
    </row>
    <row r="24" spans="2:15" x14ac:dyDescent="0.2">
      <c r="B24" t="s">
        <v>27</v>
      </c>
      <c r="C24" t="s">
        <v>33</v>
      </c>
      <c r="D24" s="34">
        <f>0.5*3.6</f>
        <v>1.8</v>
      </c>
      <c r="E24" s="34">
        <f>1.6*3.6</f>
        <v>5.7600000000000007</v>
      </c>
      <c r="F24" t="s">
        <v>375</v>
      </c>
    </row>
    <row r="25" spans="2:15" x14ac:dyDescent="0.2">
      <c r="B25" s="42" t="s">
        <v>163</v>
      </c>
      <c r="C25" s="19" t="s">
        <v>33</v>
      </c>
      <c r="D25" s="45">
        <v>0</v>
      </c>
      <c r="E25" s="106">
        <v>0</v>
      </c>
      <c r="F25" s="26"/>
      <c r="L25" s="40"/>
    </row>
    <row r="27" spans="2:15" x14ac:dyDescent="0.2">
      <c r="B27" s="1" t="s">
        <v>91</v>
      </c>
    </row>
    <row r="28" spans="2:15" x14ac:dyDescent="0.2">
      <c r="B28" t="s">
        <v>274</v>
      </c>
      <c r="C28" t="s">
        <v>35</v>
      </c>
      <c r="D28" s="34">
        <v>0</v>
      </c>
      <c r="E28" s="34">
        <v>0</v>
      </c>
      <c r="F28" t="s">
        <v>389</v>
      </c>
      <c r="G28" s="14"/>
    </row>
    <row r="29" spans="2:15" x14ac:dyDescent="0.2">
      <c r="B29" t="s">
        <v>275</v>
      </c>
      <c r="C29" t="s">
        <v>35</v>
      </c>
      <c r="D29" s="34">
        <v>0</v>
      </c>
      <c r="E29" s="34">
        <f>3.9*3.6</f>
        <v>14.04</v>
      </c>
      <c r="F29" t="s">
        <v>538</v>
      </c>
      <c r="G29" s="14"/>
    </row>
    <row r="30" spans="2:15" x14ac:dyDescent="0.2">
      <c r="B30" t="s">
        <v>26</v>
      </c>
      <c r="C30" t="s">
        <v>32</v>
      </c>
      <c r="D30" s="65">
        <v>0</v>
      </c>
      <c r="E30" s="37">
        <f>J35*D5</f>
        <v>48.671999999999997</v>
      </c>
      <c r="F30" t="s">
        <v>537</v>
      </c>
    </row>
    <row r="31" spans="2:15" x14ac:dyDescent="0.2">
      <c r="B31" t="s">
        <v>385</v>
      </c>
      <c r="C31" t="s">
        <v>43</v>
      </c>
      <c r="D31" s="65">
        <v>0</v>
      </c>
      <c r="E31" s="37">
        <f>J34*D6</f>
        <v>23.400000000000002</v>
      </c>
      <c r="F31" t="s">
        <v>537</v>
      </c>
    </row>
    <row r="32" spans="2:15" x14ac:dyDescent="0.2">
      <c r="B32" t="s">
        <v>14</v>
      </c>
      <c r="C32" t="s">
        <v>35</v>
      </c>
      <c r="D32" s="31">
        <v>0</v>
      </c>
      <c r="E32" s="34">
        <v>0</v>
      </c>
      <c r="F32" t="s">
        <v>536</v>
      </c>
    </row>
    <row r="33" spans="2:15" x14ac:dyDescent="0.2">
      <c r="B33" t="s">
        <v>13</v>
      </c>
      <c r="C33" t="s">
        <v>35</v>
      </c>
      <c r="D33" s="31">
        <v>0</v>
      </c>
      <c r="E33" s="34">
        <f>16.1*3.6</f>
        <v>57.960000000000008</v>
      </c>
      <c r="F33" t="s">
        <v>536</v>
      </c>
      <c r="I33" t="s">
        <v>376</v>
      </c>
    </row>
    <row r="34" spans="2:15" x14ac:dyDescent="0.2">
      <c r="I34" t="s">
        <v>18</v>
      </c>
      <c r="J34">
        <f>10*3.6</f>
        <v>36</v>
      </c>
      <c r="K34" t="s">
        <v>4</v>
      </c>
      <c r="O34">
        <v>0.95679000000000003</v>
      </c>
    </row>
    <row r="35" spans="2:15" x14ac:dyDescent="0.2">
      <c r="B35" s="1" t="s">
        <v>85</v>
      </c>
      <c r="I35" t="s">
        <v>17</v>
      </c>
      <c r="J35">
        <f>(22.4-1.6)*3.6</f>
        <v>74.88</v>
      </c>
      <c r="K35" t="s">
        <v>4</v>
      </c>
    </row>
    <row r="36" spans="2:15" x14ac:dyDescent="0.2">
      <c r="B36" t="s">
        <v>31</v>
      </c>
      <c r="C36" t="s">
        <v>34</v>
      </c>
      <c r="D36" s="34">
        <f>4.9*3.6</f>
        <v>17.64</v>
      </c>
      <c r="E36" s="34">
        <f>2.5*3.6</f>
        <v>9</v>
      </c>
      <c r="F36" s="12" t="s">
        <v>539</v>
      </c>
    </row>
    <row r="37" spans="2:15" x14ac:dyDescent="0.2">
      <c r="B37" t="s">
        <v>386</v>
      </c>
      <c r="C37" t="s">
        <v>34</v>
      </c>
      <c r="D37" s="34">
        <v>0</v>
      </c>
      <c r="E37" s="34">
        <f>J34</f>
        <v>36</v>
      </c>
      <c r="F37" s="12" t="s">
        <v>540</v>
      </c>
    </row>
    <row r="38" spans="2:15" x14ac:dyDescent="0.2">
      <c r="B38" t="s">
        <v>480</v>
      </c>
      <c r="C38" t="s">
        <v>34</v>
      </c>
      <c r="D38" s="34">
        <f>(21.9*3.6)-D36</f>
        <v>61.2</v>
      </c>
      <c r="E38" s="34">
        <f>15.5*3.6-E36-E37</f>
        <v>10.800000000000004</v>
      </c>
      <c r="F38" t="s">
        <v>483</v>
      </c>
    </row>
    <row r="39" spans="2:15" x14ac:dyDescent="0.2">
      <c r="I39" t="s">
        <v>377</v>
      </c>
      <c r="J39">
        <f>20*3.6</f>
        <v>72</v>
      </c>
      <c r="K39" t="s">
        <v>4</v>
      </c>
    </row>
    <row r="40" spans="2:15" x14ac:dyDescent="0.2">
      <c r="B40" s="1"/>
    </row>
    <row r="41" spans="2:15" x14ac:dyDescent="0.2">
      <c r="D41" s="31"/>
      <c r="E41" s="34"/>
      <c r="I41" t="s">
        <v>378</v>
      </c>
      <c r="J41" s="23">
        <f>J39/SUM(J34:J35)</f>
        <v>0.64935064935064934</v>
      </c>
    </row>
    <row r="43" spans="2:15" x14ac:dyDescent="0.2">
      <c r="B43" s="1" t="s">
        <v>164</v>
      </c>
    </row>
    <row r="44" spans="2:15" x14ac:dyDescent="0.2">
      <c r="B44" t="s">
        <v>487</v>
      </c>
      <c r="C44" t="s">
        <v>28</v>
      </c>
      <c r="D44" s="34">
        <v>9000</v>
      </c>
      <c r="E44" s="34">
        <v>1000</v>
      </c>
      <c r="F44" t="s">
        <v>488</v>
      </c>
    </row>
    <row r="45" spans="2:15" x14ac:dyDescent="0.2">
      <c r="B45" t="s">
        <v>456</v>
      </c>
      <c r="C45" t="s">
        <v>28</v>
      </c>
      <c r="D45" s="34">
        <v>1100</v>
      </c>
      <c r="E45" s="34">
        <v>400</v>
      </c>
      <c r="F45" t="s">
        <v>490</v>
      </c>
    </row>
    <row r="46" spans="2:15" x14ac:dyDescent="0.2">
      <c r="B46" t="s">
        <v>489</v>
      </c>
      <c r="C46" t="s">
        <v>28</v>
      </c>
      <c r="D46" s="34">
        <v>0</v>
      </c>
      <c r="E46" s="34">
        <v>175</v>
      </c>
      <c r="F46" t="s">
        <v>488</v>
      </c>
    </row>
    <row r="47" spans="2:15" x14ac:dyDescent="0.2">
      <c r="D47" s="5"/>
    </row>
    <row r="48" spans="2:15" x14ac:dyDescent="0.2">
      <c r="B48" s="1" t="s">
        <v>262</v>
      </c>
      <c r="D48" s="5"/>
    </row>
    <row r="49" spans="2:15" x14ac:dyDescent="0.2">
      <c r="B49" t="s">
        <v>481</v>
      </c>
      <c r="C49" t="s">
        <v>482</v>
      </c>
      <c r="D49" s="34">
        <f>11*3.6</f>
        <v>39.6</v>
      </c>
      <c r="E49" s="34">
        <v>0</v>
      </c>
      <c r="F49" t="s">
        <v>483</v>
      </c>
    </row>
    <row r="50" spans="2:15" x14ac:dyDescent="0.2">
      <c r="D50" s="5"/>
    </row>
    <row r="51" spans="2:15" x14ac:dyDescent="0.2">
      <c r="B51" s="1" t="s">
        <v>368</v>
      </c>
      <c r="D51" s="5"/>
      <c r="I51" s="5"/>
    </row>
    <row r="52" spans="2:15" x14ac:dyDescent="0.2">
      <c r="B52" t="s">
        <v>370</v>
      </c>
      <c r="C52" t="s">
        <v>372</v>
      </c>
      <c r="D52" s="34">
        <f>1.9*3.6</f>
        <v>6.84</v>
      </c>
      <c r="E52" s="34">
        <f>2.2*3.6</f>
        <v>7.9200000000000008</v>
      </c>
      <c r="F52" t="s">
        <v>380</v>
      </c>
    </row>
    <row r="53" spans="2:15" x14ac:dyDescent="0.2">
      <c r="D53" s="5"/>
    </row>
    <row r="54" spans="2:15" x14ac:dyDescent="0.2">
      <c r="B54" s="1" t="s">
        <v>369</v>
      </c>
      <c r="D54" s="5"/>
    </row>
    <row r="55" spans="2:15" x14ac:dyDescent="0.2">
      <c r="B55" s="19" t="s">
        <v>371</v>
      </c>
      <c r="C55" s="19" t="s">
        <v>373</v>
      </c>
      <c r="D55" s="34">
        <f>0.7*3.6</f>
        <v>2.52</v>
      </c>
      <c r="E55" s="34">
        <f>0.7*3.6</f>
        <v>2.52</v>
      </c>
      <c r="F55" t="s">
        <v>380</v>
      </c>
    </row>
    <row r="56" spans="2:15" x14ac:dyDescent="0.2">
      <c r="E56"/>
    </row>
    <row r="57" spans="2:15" ht="24" customHeight="1" x14ac:dyDescent="0.2">
      <c r="B57" s="72" t="s">
        <v>169</v>
      </c>
      <c r="C57" s="72"/>
      <c r="D57" s="72"/>
      <c r="E57" s="74"/>
      <c r="F57" s="72"/>
      <c r="G57" s="72"/>
      <c r="H57" s="72"/>
      <c r="I57" s="72"/>
      <c r="J57" s="72"/>
      <c r="K57" s="72"/>
      <c r="L57" s="72"/>
      <c r="M57" s="72"/>
      <c r="N57" s="72"/>
      <c r="O57" s="72"/>
    </row>
    <row r="59" spans="2:15" x14ac:dyDescent="0.2">
      <c r="B59" s="1" t="s">
        <v>170</v>
      </c>
      <c r="C59" s="1" t="s">
        <v>171</v>
      </c>
      <c r="D59" s="1" t="s">
        <v>172</v>
      </c>
      <c r="E59" s="21" t="s">
        <v>173</v>
      </c>
    </row>
    <row r="62" spans="2:15" x14ac:dyDescent="0.2">
      <c r="C62" s="13"/>
    </row>
    <row r="63" spans="2:15" x14ac:dyDescent="0.2">
      <c r="B63" s="1" t="s">
        <v>204</v>
      </c>
      <c r="C63" s="13"/>
    </row>
    <row r="64" spans="2:15" x14ac:dyDescent="0.2">
      <c r="B64" s="3" t="s">
        <v>206</v>
      </c>
      <c r="C64" s="13">
        <v>0</v>
      </c>
      <c r="D64" t="s">
        <v>212</v>
      </c>
    </row>
    <row r="65" spans="2:5" x14ac:dyDescent="0.2">
      <c r="C65" s="13"/>
    </row>
    <row r="66" spans="2:5" x14ac:dyDescent="0.2">
      <c r="B66" s="1" t="s">
        <v>280</v>
      </c>
      <c r="C66" s="13"/>
    </row>
    <row r="67" spans="2:5" x14ac:dyDescent="0.2">
      <c r="B67" t="s">
        <v>207</v>
      </c>
      <c r="C67" s="13">
        <f>D36</f>
        <v>17.64</v>
      </c>
      <c r="D67" t="s">
        <v>0</v>
      </c>
    </row>
    <row r="68" spans="2:5" x14ac:dyDescent="0.2">
      <c r="C68" s="13"/>
    </row>
    <row r="69" spans="2:5" x14ac:dyDescent="0.2">
      <c r="B69" s="3"/>
      <c r="C69" s="13"/>
    </row>
    <row r="70" spans="2:5" s="2" customFormat="1" ht="26" customHeight="1" x14ac:dyDescent="0.2">
      <c r="B70" s="72" t="s">
        <v>230</v>
      </c>
      <c r="C70" s="102"/>
      <c r="D70" s="102"/>
      <c r="E70" s="102"/>
    </row>
    <row r="71" spans="2:5" x14ac:dyDescent="0.2">
      <c r="C71" s="13"/>
    </row>
    <row r="72" spans="2:5" x14ac:dyDescent="0.2">
      <c r="B72" s="1" t="s">
        <v>202</v>
      </c>
      <c r="C72" s="13"/>
    </row>
    <row r="73" spans="2:5" x14ac:dyDescent="0.2">
      <c r="B73" s="3" t="s">
        <v>192</v>
      </c>
      <c r="C73" s="13">
        <v>0</v>
      </c>
      <c r="D73" t="s">
        <v>0</v>
      </c>
    </row>
    <row r="74" spans="2:5" x14ac:dyDescent="0.2">
      <c r="C74" s="13"/>
    </row>
    <row r="75" spans="2:5" x14ac:dyDescent="0.2">
      <c r="B75" s="1" t="s">
        <v>203</v>
      </c>
      <c r="C75" s="13"/>
    </row>
    <row r="76" spans="2:5" x14ac:dyDescent="0.2">
      <c r="B76" s="3" t="s">
        <v>192</v>
      </c>
      <c r="C76" s="13">
        <f>E36</f>
        <v>9</v>
      </c>
      <c r="D76" t="s">
        <v>0</v>
      </c>
    </row>
    <row r="77" spans="2:5" x14ac:dyDescent="0.2">
      <c r="C77" s="13"/>
    </row>
    <row r="78" spans="2:5" x14ac:dyDescent="0.2">
      <c r="B78" s="76" t="s">
        <v>205</v>
      </c>
      <c r="C78" s="77"/>
    </row>
    <row r="79" spans="2:5" x14ac:dyDescent="0.2">
      <c r="B79" s="79" t="s">
        <v>192</v>
      </c>
      <c r="C79" s="77"/>
    </row>
    <row r="81" spans="2:9" x14ac:dyDescent="0.2">
      <c r="C81" s="13"/>
      <c r="H81" s="5"/>
      <c r="I81" s="10"/>
    </row>
    <row r="82" spans="2:9" s="2" customFormat="1" ht="26" customHeight="1" x14ac:dyDescent="0.2">
      <c r="B82" s="98" t="s">
        <v>231</v>
      </c>
      <c r="C82" s="99"/>
      <c r="D82" s="100"/>
      <c r="E82" s="101"/>
      <c r="H82" s="108"/>
      <c r="I82" s="107"/>
    </row>
    <row r="83" spans="2:9" x14ac:dyDescent="0.2">
      <c r="H83" s="5"/>
    </row>
    <row r="84" spans="2:9" x14ac:dyDescent="0.2">
      <c r="B84" s="43" t="s">
        <v>221</v>
      </c>
    </row>
    <row r="85" spans="2:9" x14ac:dyDescent="0.2">
      <c r="B85" s="17" t="s">
        <v>283</v>
      </c>
      <c r="C85" s="17">
        <v>0</v>
      </c>
      <c r="D85" s="17" t="s">
        <v>9</v>
      </c>
    </row>
    <row r="87" spans="2:9" x14ac:dyDescent="0.2">
      <c r="B87" s="1" t="s">
        <v>284</v>
      </c>
      <c r="C87" s="13"/>
    </row>
    <row r="88" spans="2:9" x14ac:dyDescent="0.2">
      <c r="B88" t="s">
        <v>285</v>
      </c>
      <c r="C88" s="5">
        <f>D36*D9</f>
        <v>994.89599999999996</v>
      </c>
      <c r="D88" t="s">
        <v>9</v>
      </c>
    </row>
    <row r="89" spans="2:9" x14ac:dyDescent="0.2">
      <c r="B89" t="s">
        <v>382</v>
      </c>
      <c r="C89" s="5">
        <f>D55*D13</f>
        <v>270.64800000000002</v>
      </c>
      <c r="D89" t="s">
        <v>9</v>
      </c>
      <c r="G89" s="8"/>
    </row>
    <row r="90" spans="2:9" x14ac:dyDescent="0.2">
      <c r="B90" t="s">
        <v>485</v>
      </c>
      <c r="C90" s="5">
        <f>D38*D9</f>
        <v>3451.6800000000003</v>
      </c>
      <c r="D90" t="s">
        <v>9</v>
      </c>
      <c r="G90" s="8"/>
    </row>
    <row r="91" spans="2:9" x14ac:dyDescent="0.2">
      <c r="B91" s="69" t="s">
        <v>486</v>
      </c>
      <c r="C91" s="69">
        <f>D49*D12</f>
        <v>3670.92</v>
      </c>
      <c r="D91" s="18" t="s">
        <v>9</v>
      </c>
      <c r="G91" s="8"/>
    </row>
    <row r="92" spans="2:9" x14ac:dyDescent="0.2">
      <c r="B92" s="1" t="s">
        <v>288</v>
      </c>
      <c r="C92" s="21">
        <f>SUM(C88:C89)</f>
        <v>1265.5439999999999</v>
      </c>
      <c r="D92" s="81" t="s">
        <v>9</v>
      </c>
      <c r="G92" s="8"/>
    </row>
    <row r="93" spans="2:9" x14ac:dyDescent="0.2">
      <c r="B93" s="1" t="s">
        <v>491</v>
      </c>
      <c r="C93" s="21">
        <f>SUM(C88:C91)-C85</f>
        <v>8388.1440000000002</v>
      </c>
      <c r="D93" s="1" t="s">
        <v>9</v>
      </c>
      <c r="F93" s="5"/>
    </row>
    <row r="95" spans="2:9" x14ac:dyDescent="0.2">
      <c r="B95" s="43" t="s">
        <v>222</v>
      </c>
      <c r="F95" s="5"/>
    </row>
    <row r="96" spans="2:9" x14ac:dyDescent="0.2">
      <c r="B96" t="s">
        <v>383</v>
      </c>
      <c r="C96" s="5">
        <f>E37*D7*D9</f>
        <v>1827.36</v>
      </c>
      <c r="D96" t="s">
        <v>9</v>
      </c>
      <c r="E96"/>
      <c r="I96" s="5"/>
    </row>
    <row r="97" spans="2:15" x14ac:dyDescent="0.2">
      <c r="B97" t="s">
        <v>384</v>
      </c>
      <c r="C97" s="5">
        <f>E46</f>
        <v>175</v>
      </c>
      <c r="D97" t="s">
        <v>9</v>
      </c>
      <c r="E97"/>
    </row>
    <row r="98" spans="2:15" x14ac:dyDescent="0.2">
      <c r="B98" s="15" t="s">
        <v>232</v>
      </c>
      <c r="C98" s="22">
        <f>SUM(C96:C97)</f>
        <v>2002.36</v>
      </c>
      <c r="D98" s="15" t="s">
        <v>9</v>
      </c>
    </row>
    <row r="99" spans="2:15" x14ac:dyDescent="0.2">
      <c r="F99" s="13"/>
    </row>
    <row r="100" spans="2:15" x14ac:dyDescent="0.2">
      <c r="B100" s="1" t="s">
        <v>233</v>
      </c>
      <c r="F100" s="13"/>
      <c r="G100" s="5"/>
    </row>
    <row r="101" spans="2:15" x14ac:dyDescent="0.2">
      <c r="B101" s="5" t="s">
        <v>235</v>
      </c>
      <c r="C101" s="5">
        <f>E36*D9</f>
        <v>507.59999999999997</v>
      </c>
      <c r="D101" t="s">
        <v>9</v>
      </c>
      <c r="F101" s="5"/>
    </row>
    <row r="102" spans="2:15" x14ac:dyDescent="0.2">
      <c r="B102" s="5" t="s">
        <v>394</v>
      </c>
      <c r="C102" s="5">
        <f>E55*D13</f>
        <v>270.64800000000002</v>
      </c>
      <c r="D102" t="s">
        <v>9</v>
      </c>
      <c r="E102" s="20"/>
      <c r="F102" s="5"/>
    </row>
    <row r="103" spans="2:15" x14ac:dyDescent="0.2">
      <c r="B103" t="s">
        <v>387</v>
      </c>
      <c r="C103" s="5">
        <f>C97/D7-C97</f>
        <v>19.444444444444429</v>
      </c>
      <c r="D103" t="s">
        <v>9</v>
      </c>
      <c r="H103" s="5"/>
    </row>
    <row r="104" spans="2:15" x14ac:dyDescent="0.2">
      <c r="B104" t="s">
        <v>388</v>
      </c>
      <c r="C104" s="5">
        <f>E37*(1-D7)*D9</f>
        <v>203.03999999999996</v>
      </c>
      <c r="D104" t="s">
        <v>9</v>
      </c>
      <c r="H104" s="13"/>
    </row>
    <row r="105" spans="2:15" x14ac:dyDescent="0.2">
      <c r="B105" t="s">
        <v>478</v>
      </c>
      <c r="C105" s="5">
        <f>E38*D9</f>
        <v>609.12000000000023</v>
      </c>
      <c r="D105" t="s">
        <v>9</v>
      </c>
      <c r="H105" s="13"/>
    </row>
    <row r="106" spans="2:15" x14ac:dyDescent="0.2">
      <c r="B106" s="5" t="s">
        <v>479</v>
      </c>
      <c r="C106" s="5">
        <f>E49*D12</f>
        <v>0</v>
      </c>
      <c r="D106" t="s">
        <v>9</v>
      </c>
    </row>
    <row r="107" spans="2:15" x14ac:dyDescent="0.2">
      <c r="B107" s="22" t="s">
        <v>287</v>
      </c>
      <c r="C107" s="22">
        <f>SUM(C101:C102)</f>
        <v>778.24800000000005</v>
      </c>
      <c r="D107" s="15" t="s">
        <v>9</v>
      </c>
      <c r="E107" s="20"/>
      <c r="G107" s="1"/>
      <c r="H107" s="5"/>
    </row>
    <row r="108" spans="2:15" x14ac:dyDescent="0.2">
      <c r="B108" s="21" t="s">
        <v>492</v>
      </c>
      <c r="C108" s="21">
        <f>SUM(C101:C106)</f>
        <v>1609.8524444444447</v>
      </c>
      <c r="D108" s="1" t="s">
        <v>9</v>
      </c>
      <c r="E108" s="20"/>
      <c r="G108" s="1"/>
      <c r="H108" s="5"/>
    </row>
    <row r="109" spans="2:15" x14ac:dyDescent="0.2">
      <c r="C109" s="5"/>
    </row>
    <row r="110" spans="2:15" ht="22" x14ac:dyDescent="0.2">
      <c r="B110" s="73" t="s">
        <v>167</v>
      </c>
      <c r="C110" s="28"/>
      <c r="D110" s="28"/>
      <c r="E110" s="30"/>
      <c r="F110" s="28"/>
      <c r="G110" s="28"/>
      <c r="H110" s="28"/>
      <c r="I110" s="28"/>
      <c r="J110" s="28"/>
      <c r="K110" s="28"/>
      <c r="L110" s="28"/>
      <c r="M110" s="28"/>
      <c r="N110" s="28"/>
      <c r="O110" s="28"/>
    </row>
    <row r="111" spans="2:15" x14ac:dyDescent="0.2">
      <c r="C111" s="5"/>
    </row>
    <row r="113" spans="2:9" x14ac:dyDescent="0.2">
      <c r="B113" s="1" t="s">
        <v>47</v>
      </c>
      <c r="C113" s="1" t="s">
        <v>46</v>
      </c>
      <c r="D113" s="1" t="s">
        <v>55</v>
      </c>
      <c r="E113" s="1">
        <v>2021</v>
      </c>
      <c r="F113" s="1">
        <v>2035</v>
      </c>
      <c r="H113" s="1" t="s">
        <v>240</v>
      </c>
      <c r="I113" s="1" t="s">
        <v>75</v>
      </c>
    </row>
    <row r="114" spans="2:9" ht="18" customHeight="1" x14ac:dyDescent="0.2">
      <c r="B114" s="90" t="str">
        <f>links!B3</f>
        <v>bron_aardgas</v>
      </c>
      <c r="C114" s="90" t="str">
        <f>links!C3</f>
        <v>industrie</v>
      </c>
      <c r="D114" s="90" t="str">
        <f>links!D3</f>
        <v>aardgas</v>
      </c>
      <c r="E114" s="34">
        <f>C67</f>
        <v>17.64</v>
      </c>
      <c r="F114" s="34">
        <f>C76</f>
        <v>9</v>
      </c>
      <c r="H114" s="31" t="s">
        <v>541</v>
      </c>
      <c r="I114" s="31" t="s">
        <v>542</v>
      </c>
    </row>
    <row r="115" spans="2:9" ht="17" customHeight="1" x14ac:dyDescent="0.2">
      <c r="B115" s="90" t="str">
        <f>links!B4</f>
        <v>bron_restgas</v>
      </c>
      <c r="C115" s="90" t="str">
        <f>links!C4</f>
        <v>industrie</v>
      </c>
      <c r="D115" s="90" t="str">
        <f>links!D4</f>
        <v>restgas</v>
      </c>
      <c r="E115" s="34">
        <v>0</v>
      </c>
      <c r="F115" s="36">
        <v>0</v>
      </c>
      <c r="H115" s="92" t="s">
        <v>340</v>
      </c>
      <c r="I115" s="92" t="s">
        <v>340</v>
      </c>
    </row>
    <row r="116" spans="2:9" ht="17" customHeight="1" x14ac:dyDescent="0.2">
      <c r="B116" s="90"/>
      <c r="C116" s="90"/>
      <c r="D116" s="90"/>
      <c r="E116" s="34"/>
      <c r="F116" s="34"/>
      <c r="H116" s="92"/>
      <c r="I116" s="92"/>
    </row>
    <row r="117" spans="2:9" ht="16" customHeight="1" x14ac:dyDescent="0.2">
      <c r="B117" s="90" t="str">
        <f>links!B6</f>
        <v>bron_elektriciteit</v>
      </c>
      <c r="C117" s="90" t="str">
        <f>links!C6</f>
        <v>elektriciteit_vraag_2021</v>
      </c>
      <c r="D117" s="90" t="str">
        <f>links!D6</f>
        <v>elektriciteit</v>
      </c>
      <c r="E117" s="34">
        <f>D24</f>
        <v>1.8</v>
      </c>
      <c r="F117" s="34">
        <f>E117</f>
        <v>1.8</v>
      </c>
      <c r="H117" s="92" t="s">
        <v>550</v>
      </c>
      <c r="I117" s="92"/>
    </row>
    <row r="118" spans="2:9" x14ac:dyDescent="0.2">
      <c r="B118" s="90" t="str">
        <f>links!B7</f>
        <v>bron_elektriciteit</v>
      </c>
      <c r="C118" s="90" t="str">
        <f>links!C7</f>
        <v>elektriciteit_aardgassubstitutie_directe_elektrificatie</v>
      </c>
      <c r="D118" s="90" t="str">
        <f>links!D7</f>
        <v>elektriciteit</v>
      </c>
      <c r="E118" s="31">
        <v>0</v>
      </c>
      <c r="F118" s="34">
        <f>E25</f>
        <v>0</v>
      </c>
      <c r="H118" s="92" t="s">
        <v>340</v>
      </c>
      <c r="I118" s="92"/>
    </row>
    <row r="119" spans="2:9" x14ac:dyDescent="0.2">
      <c r="B119" s="90" t="str">
        <f>links!B8</f>
        <v>bron_elektriciteit</v>
      </c>
      <c r="C119" s="90" t="str">
        <f>links!C8</f>
        <v>elektriciteit_additioneel_overige</v>
      </c>
      <c r="D119" s="90" t="str">
        <f>links!D8</f>
        <v>elektriciteit</v>
      </c>
      <c r="E119" s="31">
        <v>0</v>
      </c>
      <c r="F119" s="34">
        <f>E24-F117-F118</f>
        <v>3.9600000000000009</v>
      </c>
      <c r="H119" s="92" t="s">
        <v>340</v>
      </c>
      <c r="I119" s="92"/>
    </row>
    <row r="120" spans="2:9" x14ac:dyDescent="0.2">
      <c r="B120" s="90"/>
      <c r="C120" s="90"/>
      <c r="D120" s="90"/>
      <c r="E120" s="31"/>
      <c r="F120" s="31"/>
      <c r="H120" s="92"/>
      <c r="I120" s="92"/>
    </row>
    <row r="121" spans="2:9" x14ac:dyDescent="0.2">
      <c r="B121" s="90" t="str">
        <f>links!B10</f>
        <v>elektriciteit_vraag_2021</v>
      </c>
      <c r="C121" s="90" t="str">
        <f>links!C10</f>
        <v>industrie</v>
      </c>
      <c r="D121" s="90" t="str">
        <f>links!D10</f>
        <v>elektriciteit</v>
      </c>
      <c r="E121" s="34">
        <f t="shared" ref="E121:F123" si="0">E117</f>
        <v>1.8</v>
      </c>
      <c r="F121" s="34">
        <f t="shared" si="0"/>
        <v>1.8</v>
      </c>
      <c r="H121" s="92" t="s">
        <v>339</v>
      </c>
      <c r="I121" s="93" t="s">
        <v>238</v>
      </c>
    </row>
    <row r="122" spans="2:9" x14ac:dyDescent="0.2">
      <c r="B122" s="90" t="str">
        <f>links!B11</f>
        <v>elektriciteit_aardgassubstitutie_directe_elektrificatie</v>
      </c>
      <c r="C122" s="90" t="str">
        <f>links!C11</f>
        <v>industrie</v>
      </c>
      <c r="D122" s="90" t="str">
        <f>links!D11</f>
        <v>elektriciteit</v>
      </c>
      <c r="E122" s="34">
        <f t="shared" si="0"/>
        <v>0</v>
      </c>
      <c r="F122" s="34">
        <f>F118</f>
        <v>0</v>
      </c>
      <c r="H122" s="92" t="s">
        <v>340</v>
      </c>
      <c r="I122" s="93" t="s">
        <v>238</v>
      </c>
    </row>
    <row r="123" spans="2:9" x14ac:dyDescent="0.2">
      <c r="B123" s="90" t="str">
        <f>links!B12</f>
        <v>elektriciteit_additioneel_overige</v>
      </c>
      <c r="C123" s="90" t="str">
        <f>links!C12</f>
        <v>industrie</v>
      </c>
      <c r="D123" s="90" t="str">
        <f>links!D12</f>
        <v>elektriciteit</v>
      </c>
      <c r="E123" s="34">
        <f t="shared" si="0"/>
        <v>0</v>
      </c>
      <c r="F123" s="34">
        <f t="shared" si="0"/>
        <v>3.9600000000000009</v>
      </c>
      <c r="H123" s="92" t="s">
        <v>340</v>
      </c>
      <c r="I123" s="93" t="s">
        <v>238</v>
      </c>
    </row>
    <row r="124" spans="2:9" x14ac:dyDescent="0.2">
      <c r="B124" s="90"/>
      <c r="C124" s="90"/>
      <c r="D124" s="90"/>
      <c r="E124" s="31"/>
      <c r="F124" s="31"/>
      <c r="H124" s="92"/>
      <c r="I124" s="92"/>
    </row>
    <row r="125" spans="2:9" x14ac:dyDescent="0.2">
      <c r="B125" s="90" t="str">
        <f>links!B14</f>
        <v>waterstof_mixer</v>
      </c>
      <c r="C125" s="90" t="str">
        <f>links!C14</f>
        <v>waterstof_vraag_2021</v>
      </c>
      <c r="D125" s="90" t="str">
        <f>links!D14</f>
        <v>waterstof</v>
      </c>
      <c r="E125" s="34">
        <v>0</v>
      </c>
      <c r="F125" s="34">
        <f>E125</f>
        <v>0</v>
      </c>
      <c r="H125" s="92" t="s">
        <v>340</v>
      </c>
      <c r="I125" s="92"/>
    </row>
    <row r="126" spans="2:9" x14ac:dyDescent="0.2">
      <c r="B126" s="90" t="str">
        <f>links!B15</f>
        <v>waterstof_mixer</v>
      </c>
      <c r="C126" s="90" t="str">
        <f>links!C15</f>
        <v>waterstof_aardgassubstitutie</v>
      </c>
      <c r="D126" s="90" t="str">
        <f>links!D15</f>
        <v>waterstof</v>
      </c>
      <c r="E126" s="31">
        <v>0</v>
      </c>
      <c r="F126" s="34">
        <v>0</v>
      </c>
      <c r="H126" s="92" t="s">
        <v>340</v>
      </c>
      <c r="I126" s="92"/>
    </row>
    <row r="127" spans="2:9" x14ac:dyDescent="0.2">
      <c r="B127" s="90" t="str">
        <f>links!B16</f>
        <v>waterstof_mixer</v>
      </c>
      <c r="C127" s="90" t="str">
        <f>links!C16</f>
        <v>waterstof_restgassubstitutie</v>
      </c>
      <c r="D127" s="90" t="str">
        <f>links!D16</f>
        <v>waterstof</v>
      </c>
      <c r="E127" s="31">
        <v>0</v>
      </c>
      <c r="F127" s="36">
        <v>0</v>
      </c>
      <c r="H127" s="92" t="s">
        <v>340</v>
      </c>
      <c r="I127" s="92" t="s">
        <v>340</v>
      </c>
    </row>
    <row r="128" spans="2:9" x14ac:dyDescent="0.2">
      <c r="B128" s="90" t="str">
        <f>links!B17</f>
        <v>waterstof_mixer</v>
      </c>
      <c r="C128" s="90" t="str">
        <f>links!C17</f>
        <v>waterstof_additioneel_overige</v>
      </c>
      <c r="D128" s="90" t="str">
        <f>links!D17</f>
        <v>waterstof</v>
      </c>
      <c r="E128" s="31">
        <v>0</v>
      </c>
      <c r="F128" s="34">
        <f>E29-F125-F126-F127</f>
        <v>14.04</v>
      </c>
      <c r="H128" s="92" t="s">
        <v>340</v>
      </c>
      <c r="I128" s="92"/>
    </row>
    <row r="129" spans="2:10" x14ac:dyDescent="0.2">
      <c r="B129" s="90"/>
      <c r="C129" s="90"/>
      <c r="D129" s="90"/>
      <c r="E129" s="31"/>
      <c r="F129" s="31"/>
      <c r="H129" s="92"/>
      <c r="I129" s="92"/>
    </row>
    <row r="130" spans="2:10" x14ac:dyDescent="0.2">
      <c r="B130" s="90" t="str">
        <f>links!B19</f>
        <v>waterstof_vraag_2021</v>
      </c>
      <c r="C130" s="90" t="str">
        <f>links!C19</f>
        <v>industrie</v>
      </c>
      <c r="D130" s="90" t="str">
        <f>links!D19</f>
        <v>waterstof</v>
      </c>
      <c r="E130" s="34">
        <v>0</v>
      </c>
      <c r="F130" s="34">
        <f>F125</f>
        <v>0</v>
      </c>
      <c r="H130" s="92" t="s">
        <v>340</v>
      </c>
      <c r="I130" s="93" t="s">
        <v>238</v>
      </c>
    </row>
    <row r="131" spans="2:10" x14ac:dyDescent="0.2">
      <c r="B131" s="90" t="str">
        <f>links!B20</f>
        <v>waterstof_aardgassubstitutie</v>
      </c>
      <c r="C131" s="90" t="str">
        <f>links!C20</f>
        <v>industrie</v>
      </c>
      <c r="D131" s="90" t="str">
        <f>links!D20</f>
        <v>waterstof</v>
      </c>
      <c r="E131" s="34">
        <f t="shared" ref="E131:F133" si="1">E126</f>
        <v>0</v>
      </c>
      <c r="F131" s="34">
        <f t="shared" si="1"/>
        <v>0</v>
      </c>
      <c r="H131" s="92" t="s">
        <v>340</v>
      </c>
      <c r="I131" s="93" t="s">
        <v>238</v>
      </c>
    </row>
    <row r="132" spans="2:10" x14ac:dyDescent="0.2">
      <c r="B132" s="90" t="str">
        <f>links!B21</f>
        <v>waterstof_restgassubstitutie</v>
      </c>
      <c r="C132" s="90" t="str">
        <f>links!C21</f>
        <v>industrie</v>
      </c>
      <c r="D132" s="90" t="str">
        <f>links!D21</f>
        <v>waterstof</v>
      </c>
      <c r="E132" s="31">
        <f t="shared" si="1"/>
        <v>0</v>
      </c>
      <c r="F132" s="36">
        <f t="shared" si="1"/>
        <v>0</v>
      </c>
      <c r="H132" s="92" t="s">
        <v>340</v>
      </c>
      <c r="I132" s="93" t="s">
        <v>238</v>
      </c>
    </row>
    <row r="133" spans="2:10" x14ac:dyDescent="0.2">
      <c r="B133" s="90" t="str">
        <f>links!B22</f>
        <v>waterstof_additioneel_overige</v>
      </c>
      <c r="C133" s="90" t="str">
        <f>links!C22</f>
        <v>industrie</v>
      </c>
      <c r="D133" s="90" t="str">
        <f>links!D22</f>
        <v>waterstof</v>
      </c>
      <c r="E133" s="34">
        <f t="shared" si="1"/>
        <v>0</v>
      </c>
      <c r="F133" s="34">
        <f t="shared" si="1"/>
        <v>14.04</v>
      </c>
      <c r="H133" s="92" t="s">
        <v>340</v>
      </c>
      <c r="I133" s="93" t="s">
        <v>238</v>
      </c>
    </row>
    <row r="134" spans="2:10" x14ac:dyDescent="0.2">
      <c r="B134" s="90"/>
      <c r="C134" s="90"/>
      <c r="D134" s="90"/>
      <c r="E134" s="34"/>
      <c r="F134" s="34"/>
      <c r="H134" s="93"/>
      <c r="I134" s="93"/>
    </row>
    <row r="135" spans="2:10" x14ac:dyDescent="0.2">
      <c r="B135" s="90" t="str">
        <f>links!B24</f>
        <v>waterstof_mixer</v>
      </c>
      <c r="C135" s="90" t="str">
        <f>links!C24</f>
        <v>waterstof_naar_elektriciteitscentrales</v>
      </c>
      <c r="D135" s="90" t="str">
        <f>links!D24</f>
        <v>waterstof</v>
      </c>
      <c r="E135" s="34">
        <f>D28</f>
        <v>0</v>
      </c>
      <c r="F135" s="34">
        <f>E28</f>
        <v>0</v>
      </c>
      <c r="H135" s="92" t="s">
        <v>340</v>
      </c>
      <c r="I135" s="93" t="s">
        <v>340</v>
      </c>
    </row>
    <row r="136" spans="2:10" x14ac:dyDescent="0.2">
      <c r="B136" s="90"/>
      <c r="C136" s="90"/>
      <c r="D136" s="90"/>
      <c r="E136" s="31"/>
      <c r="F136" s="31"/>
      <c r="H136" s="92"/>
      <c r="I136" s="92"/>
    </row>
    <row r="137" spans="2:10" x14ac:dyDescent="0.2">
      <c r="B137" s="90" t="str">
        <f>links!B26</f>
        <v>waterstof_mixer</v>
      </c>
      <c r="C137" s="90" t="str">
        <f>links!C26</f>
        <v>export</v>
      </c>
      <c r="D137" s="90" t="str">
        <f>links!D26</f>
        <v>waterstof</v>
      </c>
      <c r="E137" s="34">
        <v>0</v>
      </c>
      <c r="F137" s="34">
        <f>E33</f>
        <v>57.960000000000008</v>
      </c>
      <c r="H137" s="92" t="s">
        <v>340</v>
      </c>
      <c r="I137" s="92" t="s">
        <v>543</v>
      </c>
      <c r="J137" s="14"/>
    </row>
    <row r="138" spans="2:10" x14ac:dyDescent="0.2">
      <c r="B138" s="90"/>
      <c r="C138" s="90"/>
      <c r="D138" s="90"/>
      <c r="E138" s="31"/>
      <c r="F138" s="31"/>
      <c r="H138" s="92"/>
      <c r="I138" s="92"/>
    </row>
    <row r="139" spans="2:10" x14ac:dyDescent="0.2">
      <c r="B139" s="90" t="str">
        <f>links!B28</f>
        <v>grijze_waterstof</v>
      </c>
      <c r="C139" s="90" t="str">
        <f>links!C28</f>
        <v>waterstof_mixer</v>
      </c>
      <c r="D139" s="90" t="str">
        <f>links!D28</f>
        <v>waterstof_grijs</v>
      </c>
      <c r="E139" s="34">
        <v>0</v>
      </c>
      <c r="F139" s="36">
        <v>0</v>
      </c>
      <c r="H139" s="92" t="s">
        <v>340</v>
      </c>
      <c r="I139" s="93" t="s">
        <v>239</v>
      </c>
    </row>
    <row r="140" spans="2:10" x14ac:dyDescent="0.2">
      <c r="B140" s="90" t="str">
        <f>links!B29</f>
        <v>blauwe_waterstof</v>
      </c>
      <c r="C140" s="90" t="str">
        <f>links!C29</f>
        <v>waterstof_mixer</v>
      </c>
      <c r="D140" s="90" t="str">
        <f>links!D29</f>
        <v>waterstof_blauw</v>
      </c>
      <c r="E140" s="34">
        <v>0</v>
      </c>
      <c r="F140" s="36">
        <f>F146</f>
        <v>23.400000000000002</v>
      </c>
      <c r="H140" s="92" t="s">
        <v>340</v>
      </c>
      <c r="I140" s="93" t="s">
        <v>239</v>
      </c>
    </row>
    <row r="141" spans="2:10" x14ac:dyDescent="0.2">
      <c r="B141" s="90" t="str">
        <f>links!B30</f>
        <v>groene_waterstof</v>
      </c>
      <c r="C141" s="90" t="str">
        <f>links!C30</f>
        <v>waterstof_mixer</v>
      </c>
      <c r="D141" s="90" t="str">
        <f>links!D30</f>
        <v>waterstof_groen</v>
      </c>
      <c r="E141" s="31">
        <v>0</v>
      </c>
      <c r="F141" s="34">
        <f>F147</f>
        <v>48.671999999999997</v>
      </c>
      <c r="H141" s="92" t="s">
        <v>340</v>
      </c>
      <c r="I141" s="93" t="s">
        <v>239</v>
      </c>
    </row>
    <row r="142" spans="2:10" x14ac:dyDescent="0.2">
      <c r="B142" s="90"/>
      <c r="C142" s="90"/>
      <c r="D142" s="90"/>
      <c r="E142" s="31"/>
      <c r="F142" s="31"/>
      <c r="H142" s="92"/>
      <c r="I142" s="92"/>
    </row>
    <row r="143" spans="2:10" x14ac:dyDescent="0.2">
      <c r="B143" s="90" t="str">
        <f>links!B32</f>
        <v>bron_waterstof</v>
      </c>
      <c r="C143" s="90" t="str">
        <f>links!C32</f>
        <v>waterstof_mixer</v>
      </c>
      <c r="D143" s="90" t="str">
        <f>links!D32</f>
        <v>waterstof</v>
      </c>
      <c r="E143" s="31">
        <f>D32</f>
        <v>0</v>
      </c>
      <c r="F143" s="34">
        <f>E32</f>
        <v>0</v>
      </c>
      <c r="H143" s="92" t="s">
        <v>340</v>
      </c>
      <c r="I143" s="92" t="s">
        <v>535</v>
      </c>
    </row>
    <row r="144" spans="2:10" x14ac:dyDescent="0.2">
      <c r="B144" s="90"/>
      <c r="C144" s="90"/>
      <c r="D144" s="90"/>
      <c r="E144" s="31"/>
      <c r="F144" s="31"/>
      <c r="H144" s="92"/>
      <c r="I144" s="92"/>
    </row>
    <row r="145" spans="2:9" x14ac:dyDescent="0.2">
      <c r="B145" s="90" t="str">
        <f>links!B34</f>
        <v>smr_atr</v>
      </c>
      <c r="C145" s="90" t="str">
        <f>links!C34</f>
        <v>grijze_waterstof</v>
      </c>
      <c r="D145" s="90" t="str">
        <f>links!D34</f>
        <v>waterstof</v>
      </c>
      <c r="E145" s="34">
        <v>0</v>
      </c>
      <c r="F145" s="34">
        <v>0</v>
      </c>
      <c r="H145" s="92" t="s">
        <v>340</v>
      </c>
      <c r="I145" s="92" t="s">
        <v>340</v>
      </c>
    </row>
    <row r="146" spans="2:9" x14ac:dyDescent="0.2">
      <c r="B146" s="90" t="str">
        <f>links!B35</f>
        <v>smr_atr</v>
      </c>
      <c r="C146" s="90" t="str">
        <f>links!C35</f>
        <v>blauwe_waterstof</v>
      </c>
      <c r="D146" s="90" t="str">
        <f>links!D35</f>
        <v>waterstof</v>
      </c>
      <c r="E146" s="34">
        <v>0</v>
      </c>
      <c r="F146" s="34">
        <f>E31</f>
        <v>23.400000000000002</v>
      </c>
      <c r="H146" s="92" t="s">
        <v>340</v>
      </c>
      <c r="I146" s="92" t="s">
        <v>544</v>
      </c>
    </row>
    <row r="147" spans="2:9" x14ac:dyDescent="0.2">
      <c r="B147" s="90" t="str">
        <f>links!B36</f>
        <v>elektrolysers</v>
      </c>
      <c r="C147" s="90" t="str">
        <f>links!C36</f>
        <v>groene_waterstof</v>
      </c>
      <c r="D147" s="90" t="str">
        <f>links!D36</f>
        <v>waterstof</v>
      </c>
      <c r="E147" s="31">
        <v>0</v>
      </c>
      <c r="F147" s="34">
        <f>E30</f>
        <v>48.671999999999997</v>
      </c>
      <c r="H147" s="92" t="s">
        <v>340</v>
      </c>
      <c r="I147" s="92" t="s">
        <v>565</v>
      </c>
    </row>
    <row r="148" spans="2:9" x14ac:dyDescent="0.2">
      <c r="B148" s="90"/>
      <c r="C148" s="90"/>
      <c r="D148" s="90"/>
      <c r="E148" s="31"/>
      <c r="F148" s="31"/>
      <c r="H148" s="92"/>
      <c r="I148" s="92"/>
    </row>
    <row r="149" spans="2:9" x14ac:dyDescent="0.2">
      <c r="B149" s="90" t="str">
        <f>links!B38</f>
        <v>bron_elektriciteit</v>
      </c>
      <c r="C149" s="90" t="str">
        <f>links!C38</f>
        <v>elektrolysers</v>
      </c>
      <c r="D149" s="90" t="str">
        <f>links!D38</f>
        <v>elektriciteit</v>
      </c>
      <c r="E149" s="34">
        <v>0</v>
      </c>
      <c r="F149" s="34">
        <f>E23</f>
        <v>74.88</v>
      </c>
      <c r="H149" s="92" t="s">
        <v>340</v>
      </c>
      <c r="I149" s="92" t="s">
        <v>545</v>
      </c>
    </row>
    <row r="150" spans="2:9" x14ac:dyDescent="0.2">
      <c r="B150" s="90" t="str">
        <f>links!B39</f>
        <v>bron_aardgas</v>
      </c>
      <c r="C150" s="90" t="str">
        <f>links!C39</f>
        <v>smr_atr</v>
      </c>
      <c r="D150" s="90" t="str">
        <f>links!D39</f>
        <v>aardgas</v>
      </c>
      <c r="E150" s="34">
        <v>0</v>
      </c>
      <c r="F150" s="34">
        <f>E37</f>
        <v>36</v>
      </c>
      <c r="H150" s="92" t="s">
        <v>340</v>
      </c>
      <c r="I150" s="92"/>
    </row>
    <row r="151" spans="2:9" x14ac:dyDescent="0.2">
      <c r="B151" s="90" t="str">
        <f>links!B40</f>
        <v>bron_restgas</v>
      </c>
      <c r="C151" s="90" t="str">
        <f>links!C40</f>
        <v>smr_atr</v>
      </c>
      <c r="D151" s="90" t="str">
        <f>links!D40</f>
        <v>restgas</v>
      </c>
      <c r="E151" s="36">
        <v>0</v>
      </c>
      <c r="F151" s="34">
        <v>0</v>
      </c>
      <c r="H151" s="92" t="s">
        <v>340</v>
      </c>
      <c r="I151" s="92" t="s">
        <v>340</v>
      </c>
    </row>
    <row r="152" spans="2:9" x14ac:dyDescent="0.2">
      <c r="B152" s="90"/>
      <c r="C152" s="90"/>
      <c r="D152" s="90"/>
      <c r="E152" s="31"/>
      <c r="F152" s="31"/>
      <c r="H152" s="92"/>
      <c r="I152" s="92"/>
    </row>
    <row r="153" spans="2:9" x14ac:dyDescent="0.2">
      <c r="B153" s="90" t="str">
        <f>links!B42</f>
        <v>elektrolysers</v>
      </c>
      <c r="C153" s="90" t="str">
        <f>links!C42</f>
        <v>elektrolyse_verlies</v>
      </c>
      <c r="D153" s="90" t="str">
        <f>links!D42</f>
        <v>verlies</v>
      </c>
      <c r="E153" s="34">
        <f>E149-E141</f>
        <v>0</v>
      </c>
      <c r="F153" s="34">
        <f>F149-F141</f>
        <v>26.207999999999998</v>
      </c>
      <c r="H153" s="92" t="s">
        <v>340</v>
      </c>
      <c r="I153" s="92"/>
    </row>
    <row r="154" spans="2:9" x14ac:dyDescent="0.2">
      <c r="B154" s="90" t="str">
        <f>links!B43</f>
        <v>smr_atr</v>
      </c>
      <c r="C154" s="90" t="str">
        <f>links!C43</f>
        <v>smr_atr_verlies</v>
      </c>
      <c r="D154" s="90" t="str">
        <f>links!D43</f>
        <v>verlies</v>
      </c>
      <c r="E154" s="34">
        <f>E150+E151-E145-E146</f>
        <v>0</v>
      </c>
      <c r="F154" s="34">
        <f>F150+F151-F145-F146</f>
        <v>12.599999999999998</v>
      </c>
      <c r="H154" s="92" t="s">
        <v>340</v>
      </c>
      <c r="I154" s="92"/>
    </row>
    <row r="155" spans="2:9" x14ac:dyDescent="0.2">
      <c r="B155" s="90"/>
      <c r="C155" s="90"/>
      <c r="D155" s="90"/>
      <c r="E155" s="31"/>
      <c r="F155" s="31"/>
      <c r="H155" s="92"/>
      <c r="I155" s="92"/>
    </row>
    <row r="156" spans="2:9" x14ac:dyDescent="0.2">
      <c r="B156" s="97" t="str">
        <f>links!B45</f>
        <v>bron_kolen</v>
      </c>
      <c r="C156" s="97" t="str">
        <f>links!C45</f>
        <v>industrie</v>
      </c>
      <c r="D156" s="97" t="str">
        <f>links!D45</f>
        <v>kolen</v>
      </c>
      <c r="E156" s="104">
        <f>D41</f>
        <v>0</v>
      </c>
      <c r="F156" s="65">
        <f>E41</f>
        <v>0</v>
      </c>
      <c r="H156" s="92" t="s">
        <v>340</v>
      </c>
      <c r="I156" s="92" t="s">
        <v>340</v>
      </c>
    </row>
    <row r="157" spans="2:9" x14ac:dyDescent="0.2">
      <c r="B157" s="90" t="str">
        <f>links!B46</f>
        <v>bron_afval</v>
      </c>
      <c r="C157" s="90" t="str">
        <f>links!C46</f>
        <v>industrie</v>
      </c>
      <c r="D157" s="90" t="str">
        <f>links!D46</f>
        <v>afval</v>
      </c>
      <c r="E157" s="34">
        <f>D55</f>
        <v>2.52</v>
      </c>
      <c r="F157" s="34">
        <f>E55</f>
        <v>2.52</v>
      </c>
      <c r="H157" s="92" t="s">
        <v>546</v>
      </c>
      <c r="I157" s="92" t="s">
        <v>548</v>
      </c>
    </row>
    <row r="158" spans="2:9" x14ac:dyDescent="0.2">
      <c r="B158" s="90" t="str">
        <f>links!B47</f>
        <v>bron_biomassa</v>
      </c>
      <c r="C158" s="90" t="str">
        <f>links!C47</f>
        <v>industrie</v>
      </c>
      <c r="D158" s="90" t="str">
        <f>links!D47</f>
        <v>biomassa</v>
      </c>
      <c r="E158" s="34">
        <f>D52</f>
        <v>6.84</v>
      </c>
      <c r="F158" s="34">
        <f>E52</f>
        <v>7.9200000000000008</v>
      </c>
      <c r="H158" s="92" t="s">
        <v>547</v>
      </c>
      <c r="I158" s="92" t="s">
        <v>549</v>
      </c>
    </row>
    <row r="159" spans="2:9" x14ac:dyDescent="0.2">
      <c r="B159" s="91" t="str">
        <f>links!B48</f>
        <v>reserveslot_1</v>
      </c>
      <c r="C159" s="91" t="str">
        <f>links!C48</f>
        <v>reserveslot_5</v>
      </c>
      <c r="D159" s="91" t="str">
        <f>links!D48</f>
        <v>reserveslot</v>
      </c>
      <c r="E159" s="89">
        <v>0</v>
      </c>
      <c r="F159" s="89">
        <v>0</v>
      </c>
      <c r="H159" s="92"/>
      <c r="I159" s="92"/>
    </row>
    <row r="160" spans="2:9" x14ac:dyDescent="0.2">
      <c r="B160" s="91" t="str">
        <f>links!B49</f>
        <v>reserveslot_1</v>
      </c>
      <c r="C160" s="91" t="str">
        <f>links!C49</f>
        <v>reserveslot_6</v>
      </c>
      <c r="D160" s="91" t="str">
        <f>links!D49</f>
        <v>reserveslot</v>
      </c>
      <c r="E160" s="89">
        <v>0</v>
      </c>
      <c r="F160" s="89">
        <v>0</v>
      </c>
      <c r="H160" s="92"/>
      <c r="I160" s="92"/>
    </row>
    <row r="161" spans="2:9" x14ac:dyDescent="0.2">
      <c r="B161" s="91" t="str">
        <f>links!B50</f>
        <v>reserveslot_1</v>
      </c>
      <c r="C161" s="91" t="str">
        <f>links!C50</f>
        <v>reserveslot_7</v>
      </c>
      <c r="D161" s="91" t="str">
        <f>links!D50</f>
        <v>reserveslot</v>
      </c>
      <c r="E161" s="89">
        <v>0</v>
      </c>
      <c r="F161" s="89">
        <v>0</v>
      </c>
      <c r="H161" s="92"/>
      <c r="I161" s="92"/>
    </row>
    <row r="162" spans="2:9" x14ac:dyDescent="0.2">
      <c r="B162" s="91" t="str">
        <f>links!B51</f>
        <v>reserveslot_1</v>
      </c>
      <c r="C162" s="91" t="str">
        <f>links!C51</f>
        <v>reserveslot_8</v>
      </c>
      <c r="D162" s="91" t="str">
        <f>links!D51</f>
        <v>reserveslot</v>
      </c>
      <c r="E162" s="89">
        <v>0</v>
      </c>
      <c r="F162" s="89">
        <v>0</v>
      </c>
      <c r="H162" s="92"/>
      <c r="I162" s="92"/>
    </row>
    <row r="163" spans="2:9" x14ac:dyDescent="0.2">
      <c r="B163" s="91" t="str">
        <f>links!B52</f>
        <v>reserveslot_1</v>
      </c>
      <c r="C163" s="91" t="str">
        <f>links!C52</f>
        <v>reserveslot_9</v>
      </c>
      <c r="D163" s="91" t="str">
        <f>links!D52</f>
        <v>reserveslot</v>
      </c>
      <c r="E163" s="89">
        <v>0</v>
      </c>
      <c r="F163" s="89">
        <v>0</v>
      </c>
      <c r="H163" s="92"/>
      <c r="I163" s="92"/>
    </row>
    <row r="164" spans="2:9" x14ac:dyDescent="0.2">
      <c r="B164" s="91" t="str">
        <f>links!B53</f>
        <v>reserveslot_1</v>
      </c>
      <c r="C164" s="91" t="str">
        <f>links!C53</f>
        <v>reserveslot_10</v>
      </c>
      <c r="D164" s="91" t="str">
        <f>links!D53</f>
        <v>reserveslot</v>
      </c>
      <c r="E164" s="89">
        <v>0</v>
      </c>
      <c r="F164" s="89">
        <v>0</v>
      </c>
      <c r="H164" s="92"/>
      <c r="I164" s="92"/>
    </row>
    <row r="165" spans="2:9" x14ac:dyDescent="0.2">
      <c r="B165" s="91" t="str">
        <f>links!B54</f>
        <v>reserveslot_2</v>
      </c>
      <c r="C165" s="91" t="str">
        <f>links!C54</f>
        <v>reserveslot_3</v>
      </c>
      <c r="D165" s="91" t="str">
        <f>links!D54</f>
        <v>reserveslot</v>
      </c>
      <c r="E165" s="89">
        <v>0</v>
      </c>
      <c r="F165" s="89">
        <v>0</v>
      </c>
      <c r="H165" s="92"/>
      <c r="I165" s="92"/>
    </row>
    <row r="166" spans="2:9" x14ac:dyDescent="0.2">
      <c r="B166" s="91" t="str">
        <f>links!B55</f>
        <v>reserveslot_2</v>
      </c>
      <c r="C166" s="91" t="str">
        <f>links!C55</f>
        <v>reserveslot_4</v>
      </c>
      <c r="D166" s="91" t="str">
        <f>links!D55</f>
        <v>reserveslot</v>
      </c>
      <c r="E166" s="89">
        <v>0</v>
      </c>
      <c r="F166" s="89">
        <v>0</v>
      </c>
      <c r="H166" s="92"/>
      <c r="I166" s="92"/>
    </row>
    <row r="167" spans="2:9" x14ac:dyDescent="0.2">
      <c r="B167" s="91" t="str">
        <f>links!B56</f>
        <v>reserveslot_2</v>
      </c>
      <c r="C167" s="91" t="str">
        <f>links!C56</f>
        <v>reserveslot_5</v>
      </c>
      <c r="D167" s="91" t="str">
        <f>links!D56</f>
        <v>reserveslot</v>
      </c>
      <c r="E167" s="89">
        <v>0</v>
      </c>
      <c r="F167" s="89">
        <v>0</v>
      </c>
      <c r="H167" s="92"/>
      <c r="I167" s="92"/>
    </row>
    <row r="168" spans="2:9" x14ac:dyDescent="0.2">
      <c r="B168" s="91" t="str">
        <f>links!B57</f>
        <v>reserveslot_2</v>
      </c>
      <c r="C168" s="91" t="str">
        <f>links!C57</f>
        <v>reserveslot_6</v>
      </c>
      <c r="D168" s="91" t="str">
        <f>links!D57</f>
        <v>reserveslot</v>
      </c>
      <c r="E168" s="89">
        <v>0</v>
      </c>
      <c r="F168" s="89">
        <v>0</v>
      </c>
      <c r="H168" s="92"/>
      <c r="I168" s="92"/>
    </row>
    <row r="169" spans="2:9" x14ac:dyDescent="0.2">
      <c r="B169" s="91" t="str">
        <f>links!B58</f>
        <v>reserveslot_2</v>
      </c>
      <c r="C169" s="91" t="str">
        <f>links!C58</f>
        <v>reserveslot_7</v>
      </c>
      <c r="D169" s="91" t="str">
        <f>links!D58</f>
        <v>reserveslot</v>
      </c>
      <c r="E169" s="89">
        <v>0</v>
      </c>
      <c r="F169" s="89">
        <v>0</v>
      </c>
      <c r="H169" s="92"/>
      <c r="I169" s="92"/>
    </row>
    <row r="170" spans="2:9" x14ac:dyDescent="0.2">
      <c r="B170" s="91" t="str">
        <f>links!B59</f>
        <v>reserveslot_2</v>
      </c>
      <c r="C170" s="91" t="str">
        <f>links!C59</f>
        <v>reserveslot_8</v>
      </c>
      <c r="D170" s="91" t="str">
        <f>links!D59</f>
        <v>reserveslot</v>
      </c>
      <c r="E170" s="89">
        <v>0</v>
      </c>
      <c r="F170" s="89">
        <v>0</v>
      </c>
      <c r="H170" s="92"/>
      <c r="I170" s="31"/>
    </row>
    <row r="171" spans="2:9" x14ac:dyDescent="0.2">
      <c r="B171" s="91"/>
      <c r="C171" s="91"/>
      <c r="D171" s="91"/>
      <c r="E171" s="89"/>
      <c r="F171" s="89"/>
      <c r="H171" s="92"/>
      <c r="I171" s="31"/>
    </row>
    <row r="172" spans="2:9" x14ac:dyDescent="0.2">
      <c r="B172" s="97" t="str">
        <f>links!B61</f>
        <v>co2_bron_aardgasverbranding</v>
      </c>
      <c r="C172" s="97" t="str">
        <f>links!C61</f>
        <v>co2_productie_totaal</v>
      </c>
      <c r="D172" s="97" t="str">
        <f>links!D61</f>
        <v>co2flow</v>
      </c>
      <c r="E172" s="65">
        <f>C88</f>
        <v>994.89599999999996</v>
      </c>
      <c r="F172" s="65">
        <f>C101</f>
        <v>507.59999999999997</v>
      </c>
      <c r="H172" s="92" t="str">
        <f>"&lt;aanname&gt;&lt;strong&gt;[Noord-Nederland]&lt;/strong&gt; Berekende CO&lt;sub&gt;2&lt;/sub&gt;-emissie bij verbranding van "&amp;ROUND(C67,0) &amp;" PJ aardgas @ "&amp;D9&amp;" ktonCO&lt;sub&gt;2&lt;/sub&gt;/PJ.&lt;/aanname&gt;"</f>
        <v>&lt;aanname&gt;&lt;strong&gt;[Noord-Nederland]&lt;/strong&gt; Berekende CO&lt;sub&gt;2&lt;/sub&gt;-emissie bij verbranding van 18 PJ aardgas @ 56.4 ktonCO&lt;sub&gt;2&lt;/sub&gt;/PJ.&lt;/aanname&gt;</v>
      </c>
      <c r="I172" s="92" t="str">
        <f>"&lt;aanname&gt;&lt;strong&gt;[Noord-Nederland]&lt;/strong&gt; Berekende CO&lt;sub&gt;2&lt;/sub&gt;-emissie bij verbranding van "&amp;ROUND(C76,0) &amp;" PJ aardgas @ "&amp;D9&amp;" ktonCO&lt;sub&gt;2&lt;/sub&gt;/PJ.&lt;/aanname&gt;"</f>
        <v>&lt;aanname&gt;&lt;strong&gt;[Noord-Nederland]&lt;/strong&gt; Berekende CO&lt;sub&gt;2&lt;/sub&gt;-emissie bij verbranding van 9 PJ aardgas @ 56.4 ktonCO&lt;sub&gt;2&lt;/sub&gt;/PJ.&lt;/aanname&gt;</v>
      </c>
    </row>
    <row r="173" spans="2:9" x14ac:dyDescent="0.2">
      <c r="B173" s="97" t="str">
        <f>links!B62</f>
        <v>co2_bron_restgasverbranding</v>
      </c>
      <c r="C173" s="97" t="str">
        <f>links!C62</f>
        <v>co2_productie_totaal</v>
      </c>
      <c r="D173" s="97" t="str">
        <f>links!D62</f>
        <v>co2flow</v>
      </c>
      <c r="E173" s="65">
        <v>0</v>
      </c>
      <c r="F173" s="65"/>
      <c r="H173" s="92" t="s">
        <v>340</v>
      </c>
      <c r="I173" s="31"/>
    </row>
    <row r="174" spans="2:9" x14ac:dyDescent="0.2">
      <c r="B174" s="97" t="str">
        <f>links!B63</f>
        <v>co2_bron_smr_restgas</v>
      </c>
      <c r="C174" s="97" t="str">
        <f>links!C63</f>
        <v>co2_productie_totaal</v>
      </c>
      <c r="D174" s="97" t="str">
        <f>links!D63</f>
        <v>co2flow</v>
      </c>
      <c r="E174" s="65">
        <v>0</v>
      </c>
      <c r="F174" s="65"/>
      <c r="H174" s="92"/>
      <c r="I174" s="31"/>
    </row>
    <row r="175" spans="2:9" x14ac:dyDescent="0.2">
      <c r="B175" s="97" t="str">
        <f>links!B64</f>
        <v>co2_bron_smr_aardgas</v>
      </c>
      <c r="C175" s="97" t="str">
        <f>links!C64</f>
        <v>co2_productie_totaal</v>
      </c>
      <c r="D175" s="97" t="str">
        <f>links!D64</f>
        <v>co2flow</v>
      </c>
      <c r="E175" s="65">
        <v>0</v>
      </c>
      <c r="F175" s="65">
        <f>C96+C104</f>
        <v>2030.3999999999999</v>
      </c>
      <c r="H175" s="92"/>
      <c r="I175" s="31" t="str">
        <f>"&lt;aanname&gt;&lt;strong&gt;[Noord-Nederland]&lt;/strong&gt; Berekende CO&lt;sub&gt;2&lt;/sub&gt;-emissie bij verbranding van "&amp;ROUND(E37,0) &amp;" PJ aardgas @ "&amp;D9&amp;" ktonCO&lt;sub&gt;2&lt;/sub&gt;/PJ.&lt;/aaname&gt;"</f>
        <v>&lt;aanname&gt;&lt;strong&gt;[Noord-Nederland]&lt;/strong&gt; Berekende CO&lt;sub&gt;2&lt;/sub&gt;-emissie bij verbranding van 36 PJ aardgas @ 56.4 ktonCO&lt;sub&gt;2&lt;/sub&gt;/PJ.&lt;/aaname&gt;</v>
      </c>
    </row>
    <row r="176" spans="2:9" x14ac:dyDescent="0.2">
      <c r="B176" s="97" t="str">
        <f>links!B65</f>
        <v>co2_bron_overige</v>
      </c>
      <c r="C176" s="97" t="str">
        <f>links!C65</f>
        <v>co2_productie_totaal</v>
      </c>
      <c r="D176" s="97" t="str">
        <f>links!D65</f>
        <v>co2flow</v>
      </c>
      <c r="E176" s="65">
        <v>0</v>
      </c>
      <c r="F176" s="65">
        <f>C97</f>
        <v>175</v>
      </c>
      <c r="H176" s="92"/>
      <c r="I176" s="31" t="str">
        <f>"&lt;bron&gt;&lt;strong&gt;[Noord-Nederland]&lt;/strong&gt; CO&lt;sub&gt;2&lt;/sub&gt;-afvang vermeld in CES maar ongespecificeerd (pagina 30, figuur 4.8).&lt;/bron&gt;"</f>
        <v>&lt;bron&gt;&lt;strong&gt;[Noord-Nederland]&lt;/strong&gt; CO&lt;sub&gt;2&lt;/sub&gt;-afvang vermeld in CES maar ongespecificeerd (pagina 30, figuur 4.8).&lt;/bron&gt;</v>
      </c>
    </row>
    <row r="177" spans="2:9" x14ac:dyDescent="0.2">
      <c r="B177" s="97" t="str">
        <f>links!B66</f>
        <v>co2_bron_reserve_slot1</v>
      </c>
      <c r="C177" s="97" t="str">
        <f>links!C66</f>
        <v>co2_productie_totaal</v>
      </c>
      <c r="D177" s="97" t="str">
        <f>links!D66</f>
        <v>co2flow</v>
      </c>
      <c r="E177" s="65">
        <v>0</v>
      </c>
      <c r="F177" s="65">
        <v>0</v>
      </c>
      <c r="H177" s="92"/>
      <c r="I177" s="31"/>
    </row>
    <row r="178" spans="2:9" x14ac:dyDescent="0.2">
      <c r="B178" s="97" t="str">
        <f>links!B67</f>
        <v>co2_bron_reserve_slot2</v>
      </c>
      <c r="C178" s="97" t="str">
        <f>links!C67</f>
        <v>co2_productie_totaal</v>
      </c>
      <c r="D178" s="97" t="str">
        <f>links!D67</f>
        <v>co2flow</v>
      </c>
      <c r="E178" s="65">
        <v>0</v>
      </c>
      <c r="F178" s="65">
        <v>0</v>
      </c>
      <c r="H178" s="92"/>
      <c r="I178" s="31"/>
    </row>
    <row r="179" spans="2:9" x14ac:dyDescent="0.2">
      <c r="B179" s="97" t="str">
        <f>links!B68</f>
        <v>co2_bron_reserve_slot3</v>
      </c>
      <c r="C179" s="97" t="str">
        <f>links!C68</f>
        <v>co2_productie_totaal</v>
      </c>
      <c r="D179" s="97" t="str">
        <f>links!D68</f>
        <v>co2flow</v>
      </c>
      <c r="E179" s="65">
        <f>C89</f>
        <v>270.64800000000002</v>
      </c>
      <c r="F179" s="65">
        <f>C102</f>
        <v>270.64800000000002</v>
      </c>
      <c r="H179" s="92" t="str">
        <f>"&lt;aanname&gt;&lt;strong&gt;[Noord-Nederland]&lt;/strong&gt; Berekende CO&lt;sub&gt;2&lt;/sub&gt;-emissie bij verbranding van "&amp;ROUND(D55,0) &amp;" PJ afval @ "&amp;D13&amp;" ktonCO&lt;sub&gt;2&lt;/sub&gt;/PJ.&lt;/aanname&gt;"</f>
        <v>&lt;aanname&gt;&lt;strong&gt;[Noord-Nederland]&lt;/strong&gt; Berekende CO&lt;sub&gt;2&lt;/sub&gt;-emissie bij verbranding van 3 PJ afval @ 107.4 ktonCO&lt;sub&gt;2&lt;/sub&gt;/PJ.&lt;/aanname&gt;</v>
      </c>
      <c r="I179" s="31" t="str">
        <f>"&lt;aanname&gt;&lt;strong&gt;[Noord-Nederland]&lt;/strong&gt; Berekende CO&lt;sub&gt;2&lt;/sub&gt;-emissie bij verbranding van "&amp;ROUND(D55,0) &amp;" PJ afval @ "&amp;D13&amp;" ktonCO&lt;sub&gt;2&lt;/sub&gt;/PJ.&lt;/aanname&gt;"</f>
        <v>&lt;aanname&gt;&lt;strong&gt;[Noord-Nederland]&lt;/strong&gt; Berekende CO&lt;sub&gt;2&lt;/sub&gt;-emissie bij verbranding van 3 PJ afval @ 107.4 ktonCO&lt;sub&gt;2&lt;/sub&gt;/PJ.&lt;/aanname&gt;</v>
      </c>
    </row>
    <row r="180" spans="2:9" x14ac:dyDescent="0.2">
      <c r="B180" s="97" t="str">
        <f>links!B69</f>
        <v>co2_bron_reserve_slot4</v>
      </c>
      <c r="C180" s="97" t="str">
        <f>links!C69</f>
        <v>co2_productie_totaal</v>
      </c>
      <c r="D180" s="97" t="str">
        <f>links!D69</f>
        <v>co2flow</v>
      </c>
      <c r="E180" s="65">
        <v>0</v>
      </c>
      <c r="F180" s="65"/>
      <c r="H180" s="92"/>
      <c r="I180" s="31"/>
    </row>
    <row r="181" spans="2:9" x14ac:dyDescent="0.2">
      <c r="B181" s="97" t="str">
        <f>links!B70</f>
        <v>co2_bron_reserve_slot5</v>
      </c>
      <c r="C181" s="97" t="str">
        <f>links!C70</f>
        <v>co2_productie_totaal</v>
      </c>
      <c r="D181" s="97" t="str">
        <f>links!D70</f>
        <v>co2flow</v>
      </c>
      <c r="E181" s="65">
        <v>0</v>
      </c>
      <c r="F181" s="65"/>
      <c r="H181" s="92"/>
      <c r="I181" s="31"/>
    </row>
    <row r="182" spans="2:9" x14ac:dyDescent="0.2">
      <c r="B182" s="97"/>
      <c r="C182" s="97"/>
      <c r="D182" s="97"/>
      <c r="E182" s="65"/>
      <c r="F182" s="65"/>
      <c r="H182" s="92"/>
      <c r="I182" s="31"/>
    </row>
    <row r="183" spans="2:9" x14ac:dyDescent="0.2">
      <c r="B183" s="97" t="str">
        <f>links!B72</f>
        <v>co2_productie_totaal</v>
      </c>
      <c r="C183" s="97" t="str">
        <f>links!C72</f>
        <v>co2_afvang_smr_restgas</v>
      </c>
      <c r="D183" s="97" t="str">
        <f>links!D72</f>
        <v>co2flow</v>
      </c>
      <c r="E183" s="65">
        <v>0</v>
      </c>
      <c r="F183" s="65"/>
      <c r="H183" s="92"/>
      <c r="I183" s="31"/>
    </row>
    <row r="184" spans="2:9" x14ac:dyDescent="0.2">
      <c r="B184" s="97" t="str">
        <f>links!B73</f>
        <v>co2_productie_totaal</v>
      </c>
      <c r="C184" s="97" t="str">
        <f>links!C73</f>
        <v>co2_afvang_smr_aardgas</v>
      </c>
      <c r="D184" s="97" t="str">
        <f>links!D73</f>
        <v>co2flow</v>
      </c>
      <c r="E184" s="65">
        <v>0</v>
      </c>
      <c r="F184" s="65">
        <f>F175</f>
        <v>2030.3999999999999</v>
      </c>
      <c r="H184" s="92"/>
      <c r="I184" s="31"/>
    </row>
    <row r="185" spans="2:9" x14ac:dyDescent="0.2">
      <c r="B185" s="97" t="str">
        <f>links!B74</f>
        <v>co2_productie_totaal</v>
      </c>
      <c r="C185" s="97" t="str">
        <f>links!C74</f>
        <v>co2_afvang_overige</v>
      </c>
      <c r="D185" s="97" t="str">
        <f>links!D74</f>
        <v>co2flow</v>
      </c>
      <c r="E185" s="65">
        <v>0</v>
      </c>
      <c r="F185" s="65">
        <f>C97</f>
        <v>175</v>
      </c>
      <c r="H185" s="92"/>
      <c r="I185" s="31"/>
    </row>
    <row r="186" spans="2:9" x14ac:dyDescent="0.2">
      <c r="B186" s="97" t="str">
        <f>links!B75</f>
        <v>co2_productie_totaal</v>
      </c>
      <c r="C186" s="97" t="str">
        <f>links!C75</f>
        <v>co2_afvang_reserve_slot1</v>
      </c>
      <c r="D186" s="97" t="str">
        <f>links!D75</f>
        <v>co2flow</v>
      </c>
      <c r="E186" s="65">
        <v>0</v>
      </c>
      <c r="F186" s="65"/>
      <c r="H186" s="92"/>
      <c r="I186" s="31"/>
    </row>
    <row r="187" spans="2:9" x14ac:dyDescent="0.2">
      <c r="B187" s="97" t="str">
        <f>links!B76</f>
        <v>co2_productie_totaal</v>
      </c>
      <c r="C187" s="97" t="str">
        <f>links!C76</f>
        <v>co2_afvang_reserve_slot2</v>
      </c>
      <c r="D187" s="97" t="str">
        <f>links!D76</f>
        <v>co2flow</v>
      </c>
      <c r="E187" s="65">
        <v>0</v>
      </c>
      <c r="F187" s="65"/>
      <c r="H187" s="92"/>
      <c r="I187" s="31"/>
    </row>
    <row r="188" spans="2:9" x14ac:dyDescent="0.2">
      <c r="B188" s="97" t="str">
        <f>links!B77</f>
        <v>co2_productie_totaal</v>
      </c>
      <c r="C188" s="97" t="str">
        <f>links!C77</f>
        <v>co2_afvang_reserve_slot3</v>
      </c>
      <c r="D188" s="97" t="str">
        <f>links!D77</f>
        <v>co2flow</v>
      </c>
      <c r="E188" s="65">
        <v>0</v>
      </c>
      <c r="F188" s="65"/>
      <c r="H188" s="92"/>
      <c r="I188" s="31"/>
    </row>
    <row r="189" spans="2:9" x14ac:dyDescent="0.2">
      <c r="B189" s="97" t="str">
        <f>links!B78</f>
        <v>co2_productie_totaal</v>
      </c>
      <c r="C189" s="97" t="str">
        <f>links!C78</f>
        <v>co2_afvang_reserve_slot4</v>
      </c>
      <c r="D189" s="97" t="str">
        <f>links!D78</f>
        <v>co2flow</v>
      </c>
      <c r="E189" s="65">
        <v>0</v>
      </c>
      <c r="F189" s="65"/>
      <c r="H189" s="92"/>
      <c r="I189" s="31"/>
    </row>
    <row r="190" spans="2:9" x14ac:dyDescent="0.2">
      <c r="B190" s="97" t="str">
        <f>links!B79</f>
        <v>co2_productie_totaal</v>
      </c>
      <c r="C190" s="97" t="str">
        <f>links!C79</f>
        <v>co2_afvang_reserve_slot5</v>
      </c>
      <c r="D190" s="97" t="str">
        <f>links!D79</f>
        <v>co2flow</v>
      </c>
      <c r="E190" s="65">
        <v>0</v>
      </c>
      <c r="F190" s="65"/>
      <c r="H190" s="92"/>
      <c r="I190" s="31"/>
    </row>
    <row r="191" spans="2:9" x14ac:dyDescent="0.2">
      <c r="B191" s="97"/>
      <c r="C191" s="97"/>
      <c r="D191" s="97"/>
      <c r="E191" s="65"/>
      <c r="F191" s="65"/>
      <c r="H191" s="92"/>
      <c r="I191" s="31"/>
    </row>
    <row r="192" spans="2:9" x14ac:dyDescent="0.2">
      <c r="B192" s="97" t="str">
        <f>links!B81</f>
        <v>co2_afvang_smr_restgas</v>
      </c>
      <c r="C192" s="97" t="str">
        <f>links!C81</f>
        <v>co2_afvang_totaal</v>
      </c>
      <c r="D192" s="97" t="str">
        <f>links!D81</f>
        <v>co2flow</v>
      </c>
      <c r="E192" s="65">
        <v>0</v>
      </c>
      <c r="F192" s="65"/>
      <c r="H192" s="92"/>
      <c r="I192" s="31"/>
    </row>
    <row r="193" spans="1:18" x14ac:dyDescent="0.2">
      <c r="B193" s="97" t="str">
        <f>links!B82</f>
        <v>co2_afvang_smr_aardgas</v>
      </c>
      <c r="C193" s="97" t="str">
        <f>links!C82</f>
        <v>co2_afvang_totaal</v>
      </c>
      <c r="D193" s="97" t="str">
        <f>links!D82</f>
        <v>co2flow</v>
      </c>
      <c r="E193" s="65">
        <v>0</v>
      </c>
      <c r="F193" s="65">
        <f>F184</f>
        <v>2030.3999999999999</v>
      </c>
      <c r="H193" s="92"/>
      <c r="I193" s="31"/>
    </row>
    <row r="194" spans="1:18" x14ac:dyDescent="0.2">
      <c r="B194" s="97" t="str">
        <f>links!B83</f>
        <v>co2_afvang_overige</v>
      </c>
      <c r="C194" s="97" t="str">
        <f>links!C83</f>
        <v>co2_afvang_totaal</v>
      </c>
      <c r="D194" s="97" t="str">
        <f>links!D83</f>
        <v>co2flow</v>
      </c>
      <c r="E194" s="65">
        <v>0</v>
      </c>
      <c r="F194" s="65">
        <f>F176</f>
        <v>175</v>
      </c>
      <c r="H194" s="92"/>
      <c r="I194" s="31"/>
    </row>
    <row r="195" spans="1:18" x14ac:dyDescent="0.2">
      <c r="B195" s="97" t="str">
        <f>links!B84</f>
        <v>co2_afvang_reserve_slot1</v>
      </c>
      <c r="C195" s="97" t="str">
        <f>links!C84</f>
        <v>co2_afvang_totaal</v>
      </c>
      <c r="D195" s="97" t="str">
        <f>links!D84</f>
        <v>co2flow</v>
      </c>
      <c r="E195" s="65">
        <v>0</v>
      </c>
      <c r="F195" s="65"/>
      <c r="H195" s="92"/>
      <c r="I195" s="31"/>
    </row>
    <row r="196" spans="1:18" x14ac:dyDescent="0.2">
      <c r="B196" s="97" t="str">
        <f>links!B85</f>
        <v>co2_afvang_reserve_slot2</v>
      </c>
      <c r="C196" s="97" t="str">
        <f>links!C85</f>
        <v>co2_afvang_totaal</v>
      </c>
      <c r="D196" s="97" t="str">
        <f>links!D85</f>
        <v>co2flow</v>
      </c>
      <c r="E196" s="65">
        <v>0</v>
      </c>
      <c r="F196" s="65"/>
      <c r="H196" s="92"/>
      <c r="I196" s="31"/>
    </row>
    <row r="197" spans="1:18" x14ac:dyDescent="0.2">
      <c r="B197" s="97" t="str">
        <f>links!B86</f>
        <v>co2_afvang_reserve_slot3</v>
      </c>
      <c r="C197" s="97" t="str">
        <f>links!C86</f>
        <v>co2_afvang_totaal</v>
      </c>
      <c r="D197" s="97" t="str">
        <f>links!D86</f>
        <v>co2flow</v>
      </c>
      <c r="E197" s="65">
        <v>0</v>
      </c>
      <c r="F197" s="65"/>
      <c r="H197" s="92"/>
      <c r="I197" s="31"/>
    </row>
    <row r="198" spans="1:18" x14ac:dyDescent="0.2">
      <c r="B198" s="97" t="str">
        <f>links!B87</f>
        <v>co2_afvang_reserve_slot4</v>
      </c>
      <c r="C198" s="97" t="str">
        <f>links!C87</f>
        <v>co2_afvang_totaal</v>
      </c>
      <c r="D198" s="97" t="str">
        <f>links!D87</f>
        <v>co2flow</v>
      </c>
      <c r="E198" s="65">
        <v>0</v>
      </c>
      <c r="F198" s="65"/>
      <c r="H198" s="92"/>
      <c r="I198" s="31"/>
    </row>
    <row r="199" spans="1:18" x14ac:dyDescent="0.2">
      <c r="B199" s="97" t="str">
        <f>links!B88</f>
        <v>co2_afvang_reserve_slot5</v>
      </c>
      <c r="C199" s="97" t="str">
        <f>links!C88</f>
        <v>co2_afvang_totaal</v>
      </c>
      <c r="D199" s="97" t="str">
        <f>links!D88</f>
        <v>co2flow</v>
      </c>
      <c r="E199" s="65">
        <v>0</v>
      </c>
      <c r="F199" s="65"/>
      <c r="H199" s="92"/>
      <c r="I199" s="31"/>
    </row>
    <row r="200" spans="1:18" x14ac:dyDescent="0.2">
      <c r="B200" s="97"/>
      <c r="C200" s="97"/>
      <c r="D200" s="97"/>
      <c r="E200" s="65"/>
      <c r="F200" s="65"/>
      <c r="H200" s="92"/>
      <c r="I200" s="31"/>
    </row>
    <row r="201" spans="1:18" x14ac:dyDescent="0.2">
      <c r="B201" s="97" t="str">
        <f>links!B90</f>
        <v>co2_afvang_totaal</v>
      </c>
      <c r="C201" s="97" t="str">
        <f>links!C90</f>
        <v>co2_emissies_totaal</v>
      </c>
      <c r="D201" s="97" t="str">
        <f>links!D90</f>
        <v>co2flow</v>
      </c>
      <c r="E201" s="65">
        <v>0</v>
      </c>
      <c r="F201" s="65">
        <f>C103+C104</f>
        <v>222.48444444444439</v>
      </c>
      <c r="H201" s="92"/>
      <c r="I201" s="31"/>
    </row>
    <row r="202" spans="1:18" x14ac:dyDescent="0.2">
      <c r="B202" s="97" t="str">
        <f>links!B91</f>
        <v>co2_afvang_totaal</v>
      </c>
      <c r="C202" s="97" t="str">
        <f>links!C91</f>
        <v>co2_afgevangen_totaal</v>
      </c>
      <c r="D202" s="97" t="str">
        <f>links!D91</f>
        <v>co2flow</v>
      </c>
      <c r="E202" s="65">
        <v>0</v>
      </c>
      <c r="F202" s="65">
        <f>SUM(F193:F199)</f>
        <v>2205.3999999999996</v>
      </c>
      <c r="H202" s="92"/>
      <c r="I202" s="31"/>
    </row>
    <row r="203" spans="1:18" x14ac:dyDescent="0.2">
      <c r="B203" s="97" t="str">
        <f>links!B92</f>
        <v>co2_productie_totaal</v>
      </c>
      <c r="C203" s="97" t="str">
        <f>links!C92</f>
        <v>co2_emissies_totaal</v>
      </c>
      <c r="D203" s="97" t="str">
        <f>links!D92</f>
        <v>co2flow</v>
      </c>
      <c r="E203" s="65">
        <f>SUM(E172:E181)-E194</f>
        <v>1265.5439999999999</v>
      </c>
      <c r="F203" s="65">
        <f>F172+F179</f>
        <v>778.24800000000005</v>
      </c>
      <c r="H203" s="92" t="s">
        <v>493</v>
      </c>
      <c r="I203" s="92" t="s">
        <v>494</v>
      </c>
    </row>
    <row r="204" spans="1:18" x14ac:dyDescent="0.2">
      <c r="B204" s="97"/>
      <c r="C204" s="97"/>
      <c r="D204" s="97"/>
      <c r="E204" s="65"/>
      <c r="F204" s="65"/>
      <c r="H204" s="92"/>
      <c r="I204" s="31"/>
    </row>
    <row r="205" spans="1:18" x14ac:dyDescent="0.2">
      <c r="E205"/>
    </row>
    <row r="207" spans="1:18" x14ac:dyDescent="0.2">
      <c r="B207" s="66" t="s">
        <v>165</v>
      </c>
      <c r="C207" s="15">
        <v>2021</v>
      </c>
      <c r="D207" s="71">
        <v>2035</v>
      </c>
    </row>
    <row r="208" spans="1:18" s="5" customFormat="1" x14ac:dyDescent="0.2">
      <c r="A208"/>
      <c r="B208" s="25" t="s">
        <v>59</v>
      </c>
      <c r="C208" s="5">
        <f>E149+E150+E151+E143+E114+E117+E118+E119+E115</f>
        <v>19.440000000000001</v>
      </c>
      <c r="D208" s="67">
        <f>F149+F150+F151+F143+F114+F117+F118+F119+F115</f>
        <v>125.63999999999999</v>
      </c>
      <c r="F208"/>
      <c r="G208"/>
      <c r="H208"/>
      <c r="I208"/>
      <c r="J208"/>
      <c r="K208"/>
      <c r="L208"/>
      <c r="M208"/>
      <c r="N208"/>
      <c r="O208"/>
      <c r="P208"/>
      <c r="Q208"/>
      <c r="R208"/>
    </row>
    <row r="209" spans="1:18" s="5" customFormat="1" x14ac:dyDescent="0.2">
      <c r="A209"/>
      <c r="B209" s="68" t="s">
        <v>60</v>
      </c>
      <c r="C209" s="69">
        <f>E114+E117+E125+E137+E153+E154+E118+E119+E126+E128+E115</f>
        <v>19.440000000000001</v>
      </c>
      <c r="D209" s="70">
        <f>F114+F117+F125+F137+F153+F154+F118+F119+F126+F128+F115+F135</f>
        <v>125.56799999999998</v>
      </c>
      <c r="F209"/>
      <c r="G209"/>
      <c r="H209"/>
      <c r="I209"/>
      <c r="J209"/>
      <c r="K209"/>
      <c r="L209"/>
      <c r="M209"/>
      <c r="N209"/>
      <c r="O209"/>
      <c r="P209"/>
      <c r="Q209"/>
      <c r="R209"/>
    </row>
    <row r="212" spans="1:18" s="5" customFormat="1" ht="22" x14ac:dyDescent="0.2">
      <c r="A212"/>
      <c r="B212" s="73" t="s">
        <v>242</v>
      </c>
      <c r="C212" s="28"/>
      <c r="D212" s="28"/>
      <c r="F212"/>
      <c r="G212"/>
      <c r="H212"/>
      <c r="I212"/>
      <c r="J212"/>
      <c r="K212"/>
      <c r="L212"/>
      <c r="M212"/>
      <c r="N212"/>
      <c r="O212"/>
      <c r="P212"/>
      <c r="Q212"/>
      <c r="R212"/>
    </row>
    <row r="214" spans="1:18" s="5" customFormat="1" x14ac:dyDescent="0.2">
      <c r="A214"/>
      <c r="B214"/>
      <c r="C214" s="1" t="s">
        <v>160</v>
      </c>
      <c r="D214" s="1" t="s">
        <v>159</v>
      </c>
      <c r="F214"/>
      <c r="G214"/>
      <c r="H214"/>
      <c r="I214"/>
      <c r="J214"/>
      <c r="K214"/>
      <c r="L214"/>
      <c r="M214"/>
      <c r="N214"/>
      <c r="O214"/>
      <c r="P214"/>
      <c r="Q214"/>
      <c r="R214"/>
    </row>
    <row r="215" spans="1:18" s="5" customFormat="1" x14ac:dyDescent="0.2">
      <c r="A215">
        <v>1</v>
      </c>
      <c r="B215" s="4" t="str">
        <f>nodes!C2</f>
        <v>bron_aardgas</v>
      </c>
      <c r="C215" s="31"/>
      <c r="D215" s="31" t="str">
        <f>C215&amp;H114</f>
        <v>&lt;bron&gt;&lt;strong&gt;[Noord-Nederland]&lt;/strong&gt; Het totaalvolume aardgasverbruik (inclusief elektriciteitscentrales) en het volume aardgasverbruik voor industriele processen (inclusief WKK's) zijn overgenomen uit de CES (pagina 20, figuur 4.1).&lt;/bron&gt;</v>
      </c>
      <c r="F215"/>
      <c r="G215"/>
      <c r="H215"/>
      <c r="I215"/>
      <c r="J215"/>
      <c r="K215"/>
      <c r="L215"/>
      <c r="M215"/>
      <c r="N215"/>
      <c r="O215"/>
      <c r="P215"/>
      <c r="Q215"/>
      <c r="R215"/>
    </row>
    <row r="216" spans="1:18" s="5" customFormat="1" x14ac:dyDescent="0.2">
      <c r="A216">
        <v>2</v>
      </c>
      <c r="B216" s="4" t="str">
        <f>nodes!C3</f>
        <v>bron_restgas</v>
      </c>
      <c r="C216" s="31"/>
      <c r="D216" s="31" t="str">
        <f>C216&amp;H151&amp;H170</f>
        <v>nvt</v>
      </c>
      <c r="F216"/>
      <c r="G216"/>
      <c r="H216"/>
      <c r="I216"/>
      <c r="J216"/>
      <c r="K216"/>
      <c r="L216"/>
      <c r="M216"/>
      <c r="N216"/>
      <c r="O216"/>
      <c r="P216"/>
      <c r="Q216"/>
      <c r="R216"/>
    </row>
    <row r="217" spans="1:18" s="5" customFormat="1" x14ac:dyDescent="0.2">
      <c r="A217">
        <v>3</v>
      </c>
      <c r="B217" s="4" t="str">
        <f>nodes!C4</f>
        <v>bron_kolen</v>
      </c>
      <c r="C217" s="31"/>
      <c r="D217" s="31">
        <f>C217</f>
        <v>0</v>
      </c>
      <c r="F217"/>
      <c r="G217"/>
      <c r="H217"/>
      <c r="I217"/>
      <c r="J217"/>
      <c r="K217"/>
      <c r="L217"/>
      <c r="M217"/>
      <c r="N217"/>
      <c r="O217"/>
      <c r="P217"/>
      <c r="Q217"/>
      <c r="R217"/>
    </row>
    <row r="218" spans="1:18" s="5" customFormat="1" x14ac:dyDescent="0.2">
      <c r="A218">
        <v>4</v>
      </c>
      <c r="B218" s="4" t="str">
        <f>nodes!C5</f>
        <v>bron_cokes</v>
      </c>
      <c r="C218" s="31"/>
      <c r="D218" s="31"/>
      <c r="F218"/>
      <c r="G218"/>
      <c r="H218"/>
      <c r="I218"/>
      <c r="J218"/>
      <c r="K218"/>
      <c r="L218"/>
      <c r="M218"/>
      <c r="N218"/>
      <c r="O218"/>
      <c r="P218"/>
      <c r="Q218"/>
      <c r="R218"/>
    </row>
    <row r="219" spans="1:18" s="5" customFormat="1" x14ac:dyDescent="0.2">
      <c r="A219">
        <v>5</v>
      </c>
      <c r="B219" s="4" t="str">
        <f>nodes!C6</f>
        <v>bron_aardolie</v>
      </c>
      <c r="C219" s="31"/>
      <c r="D219" s="31"/>
      <c r="F219"/>
      <c r="G219"/>
      <c r="H219"/>
      <c r="I219"/>
      <c r="J219"/>
      <c r="K219"/>
      <c r="L219"/>
      <c r="M219"/>
      <c r="N219"/>
      <c r="O219"/>
      <c r="P219"/>
      <c r="Q219"/>
      <c r="R219"/>
    </row>
    <row r="220" spans="1:18" s="5" customFormat="1" x14ac:dyDescent="0.2">
      <c r="A220">
        <v>6</v>
      </c>
      <c r="B220" s="4" t="str">
        <f>nodes!C7</f>
        <v>bron_biomassa</v>
      </c>
      <c r="C220" s="31"/>
      <c r="D220" s="31" t="str">
        <f>H158</f>
        <v>&lt;bron&gt;&lt;strong&gt;[Noord-Nederland]&lt;/strong&gt; Het totaalvolume biomassaverbruik (voor industrie exclusief elektriciteitscentrales) is overgenomen uit de CES (pagina 20, figuur 4.1).&lt;/bron&gt;</v>
      </c>
      <c r="F220"/>
      <c r="G220"/>
      <c r="H220"/>
      <c r="I220"/>
      <c r="J220"/>
      <c r="K220"/>
      <c r="L220"/>
      <c r="M220"/>
      <c r="N220"/>
      <c r="O220"/>
      <c r="P220"/>
      <c r="Q220"/>
      <c r="R220"/>
    </row>
    <row r="221" spans="1:18" s="5" customFormat="1" x14ac:dyDescent="0.2">
      <c r="A221">
        <v>7</v>
      </c>
      <c r="B221" s="4" t="str">
        <f>nodes!C8</f>
        <v>bron_biogas</v>
      </c>
      <c r="C221" s="31"/>
      <c r="D221" s="31"/>
      <c r="F221"/>
      <c r="G221"/>
      <c r="H221"/>
      <c r="I221"/>
      <c r="J221"/>
      <c r="K221"/>
      <c r="L221"/>
      <c r="M221"/>
      <c r="N221"/>
      <c r="O221"/>
      <c r="P221"/>
      <c r="Q221"/>
      <c r="R221"/>
    </row>
    <row r="222" spans="1:18" s="5" customFormat="1" x14ac:dyDescent="0.2">
      <c r="A222">
        <v>8</v>
      </c>
      <c r="B222" s="4" t="str">
        <f>nodes!C9</f>
        <v>bron_elektriciteit</v>
      </c>
      <c r="C222" s="31"/>
      <c r="D222" s="31" t="str">
        <f>C222&amp;H117</f>
        <v>&lt;bron&gt;&lt;strong&gt;[Noord-Nederland]&lt;/strong&gt; Het totaalvolume elektriciteitsverbruik is overgenomen uit de CES (pagina 21 figuur 4.3, pagina 22 figuur 4.4).&lt;/bron&gt;</v>
      </c>
      <c r="F222"/>
      <c r="G222"/>
      <c r="H222"/>
      <c r="I222"/>
      <c r="J222"/>
      <c r="K222"/>
      <c r="L222"/>
      <c r="M222"/>
      <c r="N222"/>
      <c r="O222"/>
      <c r="P222"/>
      <c r="Q222"/>
      <c r="R222"/>
    </row>
    <row r="223" spans="1:18" s="5" customFormat="1" x14ac:dyDescent="0.2">
      <c r="A223">
        <v>9</v>
      </c>
      <c r="B223" s="4" t="str">
        <f>nodes!C10</f>
        <v>bron_waterstof</v>
      </c>
      <c r="C223" s="31"/>
      <c r="D223" s="31"/>
      <c r="F223"/>
      <c r="G223"/>
      <c r="H223"/>
      <c r="I223"/>
      <c r="J223"/>
      <c r="K223"/>
      <c r="L223"/>
      <c r="M223"/>
      <c r="N223"/>
      <c r="O223"/>
      <c r="P223"/>
      <c r="Q223"/>
      <c r="R223"/>
    </row>
    <row r="224" spans="1:18" s="5" customFormat="1" x14ac:dyDescent="0.2">
      <c r="A224">
        <v>10</v>
      </c>
      <c r="B224" s="4" t="str">
        <f>nodes!C11</f>
        <v>bron_warmte</v>
      </c>
      <c r="C224" s="31"/>
      <c r="D224" s="31"/>
      <c r="F224"/>
      <c r="G224"/>
      <c r="H224"/>
      <c r="I224"/>
      <c r="J224"/>
      <c r="K224"/>
      <c r="L224"/>
      <c r="M224"/>
      <c r="N224"/>
      <c r="O224"/>
      <c r="P224"/>
      <c r="Q224"/>
      <c r="R224"/>
    </row>
    <row r="225" spans="1:18" s="5" customFormat="1" x14ac:dyDescent="0.2">
      <c r="A225">
        <v>11</v>
      </c>
      <c r="B225" s="4" t="str">
        <f>nodes!C12</f>
        <v>bron_afval</v>
      </c>
      <c r="C225" s="31"/>
      <c r="D225" s="31" t="str">
        <f>H157</f>
        <v>&lt;bron&gt;&lt;strong&gt;[Noord-Nederland]&lt;/strong&gt; Het totaalvolume non-biogeen afval (voor industrie exclusief elektriciteitscentrales) is overgenomen uit de CES (pagina 20, figuur 4.1).&lt;/bron&gt;</v>
      </c>
      <c r="F225"/>
      <c r="G225"/>
      <c r="H225"/>
      <c r="I225"/>
      <c r="J225"/>
      <c r="K225"/>
      <c r="L225"/>
      <c r="M225"/>
      <c r="N225"/>
      <c r="O225"/>
      <c r="P225"/>
      <c r="Q225"/>
      <c r="R225"/>
    </row>
    <row r="226" spans="1:18" s="5" customFormat="1" x14ac:dyDescent="0.2">
      <c r="A226"/>
      <c r="B226" s="4"/>
      <c r="C226" s="31"/>
      <c r="D226" s="31"/>
      <c r="F226"/>
      <c r="G226"/>
      <c r="H226"/>
      <c r="I226"/>
      <c r="J226"/>
      <c r="K226"/>
      <c r="L226"/>
      <c r="M226"/>
      <c r="N226"/>
      <c r="O226"/>
      <c r="P226"/>
      <c r="Q226"/>
      <c r="R226"/>
    </row>
    <row r="227" spans="1:18" s="5" customFormat="1" x14ac:dyDescent="0.2">
      <c r="A227">
        <v>12</v>
      </c>
      <c r="B227" s="4" t="str">
        <f>nodes!C14</f>
        <v>smr_atr</v>
      </c>
      <c r="C227" s="31"/>
      <c r="D227" s="31" t="str">
        <f>H151&amp;H145&amp;H150&amp;H146&amp;H154&amp;C227</f>
        <v>nvtnvtnvtnvtnvt</v>
      </c>
      <c r="F227"/>
      <c r="G227"/>
      <c r="H227"/>
      <c r="I227"/>
      <c r="J227"/>
      <c r="K227"/>
      <c r="L227"/>
      <c r="M227"/>
      <c r="N227"/>
      <c r="O227"/>
      <c r="P227"/>
      <c r="Q227"/>
      <c r="R227"/>
    </row>
    <row r="228" spans="1:18" s="5" customFormat="1" x14ac:dyDescent="0.2">
      <c r="A228">
        <v>13</v>
      </c>
      <c r="B228" s="4" t="str">
        <f>nodes!C15</f>
        <v>smr_atr_verlies</v>
      </c>
      <c r="C228" s="31"/>
      <c r="D228" s="31"/>
      <c r="F228"/>
      <c r="G228"/>
      <c r="H228"/>
      <c r="I228"/>
      <c r="J228"/>
      <c r="K228"/>
      <c r="L228"/>
      <c r="M228"/>
      <c r="N228"/>
      <c r="O228"/>
      <c r="P228"/>
      <c r="Q228"/>
      <c r="R228"/>
    </row>
    <row r="229" spans="1:18" s="5" customFormat="1" x14ac:dyDescent="0.2">
      <c r="A229"/>
      <c r="B229" s="4"/>
      <c r="C229" s="31"/>
      <c r="D229" s="31"/>
      <c r="F229"/>
      <c r="G229"/>
      <c r="H229"/>
      <c r="I229"/>
      <c r="J229"/>
      <c r="K229"/>
      <c r="L229"/>
      <c r="M229"/>
      <c r="N229"/>
      <c r="O229"/>
      <c r="P229"/>
      <c r="Q229"/>
      <c r="R229"/>
    </row>
    <row r="230" spans="1:18" s="5" customFormat="1" x14ac:dyDescent="0.2">
      <c r="A230">
        <v>14</v>
      </c>
      <c r="B230" s="4" t="str">
        <f>nodes!C17</f>
        <v>elektriciteit_vraag_2021</v>
      </c>
      <c r="C230" s="31"/>
      <c r="D230" s="31"/>
      <c r="F230"/>
      <c r="G230"/>
      <c r="H230"/>
      <c r="I230"/>
      <c r="J230"/>
      <c r="K230"/>
      <c r="L230"/>
      <c r="M230"/>
      <c r="N230"/>
      <c r="O230"/>
      <c r="P230"/>
      <c r="Q230"/>
      <c r="R230"/>
    </row>
    <row r="231" spans="1:18" s="5" customFormat="1" x14ac:dyDescent="0.2">
      <c r="A231">
        <v>15</v>
      </c>
      <c r="B231" s="4" t="str">
        <f>nodes!C18</f>
        <v>elektriciteit_aardgassubstitutie_directe_elektrificatie</v>
      </c>
      <c r="C231" s="31"/>
      <c r="D231" s="31" t="str">
        <f>H118&amp;C231</f>
        <v>nvt</v>
      </c>
      <c r="F231"/>
      <c r="G231"/>
      <c r="H231"/>
      <c r="I231"/>
      <c r="J231"/>
      <c r="K231"/>
      <c r="L231"/>
      <c r="M231"/>
      <c r="N231"/>
      <c r="O231"/>
      <c r="P231"/>
      <c r="Q231"/>
      <c r="R231"/>
    </row>
    <row r="232" spans="1:18" s="5" customFormat="1" x14ac:dyDescent="0.2">
      <c r="A232">
        <v>16</v>
      </c>
      <c r="B232" s="4" t="str">
        <f>nodes!C19</f>
        <v>elektriciteit_additioneel_overige</v>
      </c>
      <c r="C232" s="31"/>
      <c r="D232" s="31" t="str">
        <f>H119&amp;C232</f>
        <v>nvt</v>
      </c>
      <c r="F232"/>
      <c r="G232"/>
      <c r="H232"/>
      <c r="I232"/>
      <c r="J232"/>
      <c r="K232"/>
      <c r="L232"/>
      <c r="M232"/>
      <c r="N232"/>
      <c r="O232"/>
      <c r="P232"/>
      <c r="Q232"/>
      <c r="R232"/>
    </row>
    <row r="233" spans="1:18" s="5" customFormat="1" x14ac:dyDescent="0.2">
      <c r="A233">
        <v>17</v>
      </c>
      <c r="B233" s="4" t="str">
        <f>nodes!C20</f>
        <v>elektrolysers</v>
      </c>
      <c r="C233" s="31"/>
      <c r="D233" s="31" t="str">
        <f>C233&amp;H149</f>
        <v>nvt</v>
      </c>
      <c r="F233"/>
      <c r="G233"/>
      <c r="H233"/>
      <c r="I233"/>
      <c r="J233"/>
      <c r="K233"/>
      <c r="L233"/>
      <c r="M233"/>
      <c r="N233"/>
      <c r="O233"/>
      <c r="P233"/>
      <c r="Q233"/>
      <c r="R233"/>
    </row>
    <row r="234" spans="1:18" s="5" customFormat="1" x14ac:dyDescent="0.2">
      <c r="A234"/>
      <c r="B234" s="4"/>
      <c r="C234" s="31"/>
      <c r="D234" s="31"/>
      <c r="F234"/>
      <c r="G234"/>
      <c r="H234"/>
      <c r="I234"/>
      <c r="J234"/>
      <c r="K234"/>
      <c r="L234"/>
      <c r="M234"/>
      <c r="N234"/>
      <c r="O234"/>
      <c r="P234"/>
      <c r="Q234"/>
      <c r="R234"/>
    </row>
    <row r="235" spans="1:18" s="5" customFormat="1" x14ac:dyDescent="0.2">
      <c r="A235">
        <v>18</v>
      </c>
      <c r="B235" s="4" t="str">
        <f>nodes!C22</f>
        <v>elektrolyse_verlies</v>
      </c>
      <c r="C235" s="31"/>
      <c r="D235" s="31"/>
      <c r="F235"/>
      <c r="G235"/>
      <c r="H235"/>
      <c r="I235"/>
      <c r="J235"/>
      <c r="K235"/>
      <c r="L235"/>
      <c r="M235"/>
      <c r="N235"/>
      <c r="O235"/>
      <c r="P235"/>
      <c r="Q235"/>
      <c r="R235"/>
    </row>
    <row r="236" spans="1:18" s="5" customFormat="1" x14ac:dyDescent="0.2">
      <c r="A236"/>
      <c r="B236" s="4"/>
      <c r="C236" s="31"/>
      <c r="D236" s="31"/>
      <c r="F236"/>
      <c r="G236"/>
      <c r="H236"/>
      <c r="I236"/>
      <c r="J236"/>
      <c r="K236"/>
      <c r="L236"/>
      <c r="M236"/>
      <c r="N236"/>
      <c r="O236"/>
      <c r="P236"/>
      <c r="Q236"/>
      <c r="R236"/>
    </row>
    <row r="237" spans="1:18" s="5" customFormat="1" x14ac:dyDescent="0.2">
      <c r="A237">
        <v>19</v>
      </c>
      <c r="B237" s="4" t="str">
        <f>nodes!C24</f>
        <v>waterstof_vraag_2021</v>
      </c>
      <c r="C237" s="31"/>
      <c r="D237" s="31" t="str">
        <f>C237&amp;H125</f>
        <v>nvt</v>
      </c>
      <c r="F237"/>
      <c r="G237"/>
      <c r="H237"/>
      <c r="I237"/>
      <c r="J237"/>
      <c r="K237"/>
      <c r="L237"/>
      <c r="M237"/>
      <c r="N237"/>
      <c r="O237"/>
      <c r="P237"/>
      <c r="Q237"/>
      <c r="R237"/>
    </row>
    <row r="238" spans="1:18" s="5" customFormat="1" x14ac:dyDescent="0.2">
      <c r="A238">
        <v>20</v>
      </c>
      <c r="B238" s="4" t="str">
        <f>nodes!C25</f>
        <v>waterstof_aardgassubstitutie</v>
      </c>
      <c r="C238" s="95"/>
      <c r="D238" s="31"/>
      <c r="F238"/>
      <c r="G238"/>
      <c r="H238"/>
      <c r="I238"/>
      <c r="J238"/>
      <c r="K238"/>
      <c r="L238"/>
      <c r="M238"/>
      <c r="N238"/>
      <c r="O238"/>
      <c r="P238"/>
      <c r="Q238"/>
      <c r="R238"/>
    </row>
    <row r="239" spans="1:18" s="5" customFormat="1" x14ac:dyDescent="0.2">
      <c r="A239">
        <v>21</v>
      </c>
      <c r="B239" s="4" t="str">
        <f>nodes!C26</f>
        <v>waterstof_additioneel_overige</v>
      </c>
      <c r="C239" s="31"/>
      <c r="D239" s="31" t="str">
        <f>H128&amp;C239</f>
        <v>nvt</v>
      </c>
      <c r="F239"/>
      <c r="G239"/>
      <c r="H239"/>
      <c r="I239"/>
      <c r="J239"/>
      <c r="K239"/>
      <c r="L239"/>
      <c r="M239"/>
      <c r="N239"/>
      <c r="O239"/>
      <c r="P239"/>
      <c r="Q239"/>
      <c r="R239"/>
    </row>
    <row r="240" spans="1:18" s="5" customFormat="1" x14ac:dyDescent="0.2">
      <c r="A240">
        <v>22</v>
      </c>
      <c r="B240" s="4" t="str">
        <f>nodes!C27</f>
        <v>waterstof_restgassubstitutie</v>
      </c>
      <c r="C240" s="95"/>
      <c r="D240" s="31"/>
      <c r="F240"/>
      <c r="G240"/>
      <c r="H240"/>
      <c r="I240"/>
      <c r="J240"/>
      <c r="K240"/>
      <c r="L240"/>
      <c r="M240"/>
      <c r="N240"/>
      <c r="O240"/>
      <c r="P240"/>
      <c r="Q240"/>
      <c r="R240"/>
    </row>
    <row r="241" spans="1:18" s="5" customFormat="1" x14ac:dyDescent="0.2">
      <c r="A241"/>
      <c r="B241" s="4"/>
      <c r="C241" s="31"/>
      <c r="D241" s="31"/>
      <c r="F241"/>
      <c r="G241"/>
      <c r="H241"/>
      <c r="I241"/>
      <c r="J241"/>
      <c r="K241"/>
      <c r="L241"/>
      <c r="M241"/>
      <c r="N241"/>
      <c r="O241"/>
      <c r="P241"/>
      <c r="Q241"/>
      <c r="R241"/>
    </row>
    <row r="242" spans="1:18" s="5" customFormat="1" x14ac:dyDescent="0.2">
      <c r="A242">
        <v>23</v>
      </c>
      <c r="B242" s="4" t="str">
        <f>nodes!C29</f>
        <v>blauwe_waterstof</v>
      </c>
      <c r="C242" s="31"/>
      <c r="D242" s="31" t="str">
        <f>H146&amp;C242</f>
        <v>nvt</v>
      </c>
      <c r="F242"/>
      <c r="G242"/>
      <c r="H242"/>
      <c r="I242"/>
      <c r="J242"/>
      <c r="K242"/>
      <c r="L242"/>
      <c r="M242"/>
      <c r="N242"/>
      <c r="O242"/>
      <c r="P242"/>
      <c r="Q242"/>
      <c r="R242"/>
    </row>
    <row r="243" spans="1:18" s="5" customFormat="1" x14ac:dyDescent="0.2">
      <c r="A243">
        <v>24</v>
      </c>
      <c r="B243" s="4" t="str">
        <f>nodes!C30</f>
        <v>grijze_waterstof</v>
      </c>
      <c r="C243" s="31"/>
      <c r="D243" s="31"/>
      <c r="F243"/>
      <c r="G243"/>
      <c r="H243"/>
      <c r="I243"/>
      <c r="J243"/>
      <c r="K243"/>
      <c r="L243"/>
      <c r="M243"/>
      <c r="N243"/>
      <c r="O243"/>
      <c r="P243"/>
      <c r="Q243"/>
      <c r="R243"/>
    </row>
    <row r="244" spans="1:18" s="5" customFormat="1" x14ac:dyDescent="0.2">
      <c r="A244">
        <v>25</v>
      </c>
      <c r="B244" s="4" t="str">
        <f>nodes!C31</f>
        <v>groene_waterstof</v>
      </c>
      <c r="C244" s="31"/>
      <c r="D244" s="31" t="str">
        <f>C244&amp;H147</f>
        <v>nvt</v>
      </c>
      <c r="F244"/>
      <c r="G244"/>
      <c r="H244"/>
      <c r="I244"/>
      <c r="J244"/>
      <c r="K244"/>
      <c r="L244"/>
      <c r="M244"/>
      <c r="N244"/>
      <c r="O244"/>
      <c r="P244"/>
      <c r="Q244"/>
      <c r="R244"/>
    </row>
    <row r="245" spans="1:18" s="5" customFormat="1" x14ac:dyDescent="0.2">
      <c r="A245"/>
      <c r="B245" s="4"/>
      <c r="C245" s="31"/>
      <c r="D245" s="31"/>
      <c r="F245"/>
      <c r="G245"/>
      <c r="H245"/>
      <c r="I245"/>
      <c r="J245"/>
      <c r="K245"/>
      <c r="L245"/>
      <c r="M245"/>
      <c r="N245"/>
      <c r="O245"/>
      <c r="P245"/>
      <c r="Q245"/>
      <c r="R245"/>
    </row>
    <row r="246" spans="1:18" s="5" customFormat="1" x14ac:dyDescent="0.2">
      <c r="A246">
        <v>26</v>
      </c>
      <c r="B246" s="4" t="str">
        <f>nodes!C33</f>
        <v>waterstof_mixer</v>
      </c>
      <c r="C246" s="31"/>
      <c r="D246" s="31"/>
      <c r="F246"/>
      <c r="G246"/>
      <c r="H246"/>
      <c r="I246"/>
      <c r="J246"/>
      <c r="K246"/>
      <c r="L246"/>
      <c r="M246"/>
      <c r="N246"/>
      <c r="O246"/>
      <c r="P246"/>
      <c r="Q246"/>
      <c r="R246"/>
    </row>
    <row r="247" spans="1:18" s="5" customFormat="1" x14ac:dyDescent="0.2">
      <c r="A247"/>
      <c r="B247" s="4"/>
      <c r="C247" s="31"/>
      <c r="D247" s="31"/>
      <c r="F247"/>
      <c r="G247"/>
      <c r="H247"/>
      <c r="I247"/>
      <c r="J247"/>
      <c r="K247"/>
      <c r="L247"/>
      <c r="M247"/>
      <c r="N247"/>
      <c r="O247"/>
      <c r="P247"/>
      <c r="Q247"/>
      <c r="R247"/>
    </row>
    <row r="248" spans="1:18" s="5" customFormat="1" x14ac:dyDescent="0.2">
      <c r="A248">
        <v>27</v>
      </c>
      <c r="B248" s="4" t="str">
        <f>nodes!C35</f>
        <v>industrie</v>
      </c>
      <c r="C248" s="31"/>
      <c r="D248" s="31"/>
      <c r="F248"/>
      <c r="G248"/>
      <c r="H248"/>
      <c r="I248"/>
      <c r="J248"/>
      <c r="K248"/>
      <c r="L248"/>
      <c r="M248"/>
      <c r="N248"/>
      <c r="O248"/>
      <c r="P248"/>
      <c r="Q248"/>
      <c r="R248"/>
    </row>
    <row r="249" spans="1:18" s="5" customFormat="1" x14ac:dyDescent="0.2">
      <c r="A249">
        <v>28</v>
      </c>
      <c r="B249" s="4" t="str">
        <f>nodes!C36</f>
        <v>export</v>
      </c>
      <c r="C249" s="31"/>
      <c r="D249" s="31"/>
      <c r="F249"/>
      <c r="G249"/>
      <c r="H249"/>
      <c r="I249"/>
      <c r="J249"/>
      <c r="K249"/>
      <c r="L249"/>
      <c r="M249"/>
      <c r="N249"/>
      <c r="O249"/>
      <c r="P249"/>
      <c r="Q249"/>
      <c r="R249"/>
    </row>
    <row r="250" spans="1:18" s="5" customFormat="1" x14ac:dyDescent="0.2">
      <c r="A250"/>
      <c r="B250" s="4"/>
      <c r="C250" s="31"/>
      <c r="D250" s="31"/>
      <c r="F250"/>
      <c r="G250"/>
      <c r="H250"/>
      <c r="I250"/>
      <c r="J250"/>
      <c r="K250"/>
      <c r="L250"/>
      <c r="M250"/>
      <c r="N250"/>
      <c r="O250"/>
      <c r="P250"/>
      <c r="Q250"/>
      <c r="R250"/>
    </row>
    <row r="251" spans="1:18" s="5" customFormat="1" x14ac:dyDescent="0.2">
      <c r="A251">
        <v>29</v>
      </c>
      <c r="B251" s="4" t="str">
        <f>nodes!C38</f>
        <v>waterstof_naar_elektriciteitscentrales</v>
      </c>
      <c r="C251" s="96"/>
      <c r="D251" s="31"/>
      <c r="F251"/>
      <c r="G251"/>
      <c r="H251"/>
      <c r="I251"/>
      <c r="J251"/>
      <c r="K251"/>
      <c r="L251"/>
      <c r="M251"/>
      <c r="N251"/>
      <c r="O251"/>
      <c r="P251"/>
      <c r="Q251"/>
      <c r="R251"/>
    </row>
    <row r="252" spans="1:18" s="5" customFormat="1" x14ac:dyDescent="0.2">
      <c r="A252"/>
      <c r="B252" s="4"/>
      <c r="C252" s="31"/>
      <c r="D252" s="31"/>
      <c r="F252"/>
      <c r="G252"/>
      <c r="H252"/>
      <c r="I252"/>
      <c r="J252"/>
      <c r="K252"/>
      <c r="L252"/>
      <c r="M252"/>
      <c r="N252"/>
      <c r="O252"/>
      <c r="P252"/>
      <c r="Q252"/>
      <c r="R252"/>
    </row>
    <row r="253" spans="1:18" s="5" customFormat="1" x14ac:dyDescent="0.2">
      <c r="A253">
        <v>30</v>
      </c>
      <c r="B253" s="4" t="str">
        <f>nodes!C40</f>
        <v>reserveslot_1</v>
      </c>
      <c r="C253" s="31"/>
      <c r="D253" s="31"/>
      <c r="F253"/>
      <c r="G253"/>
      <c r="H253"/>
      <c r="I253"/>
      <c r="J253"/>
      <c r="K253"/>
      <c r="L253"/>
      <c r="M253"/>
      <c r="N253"/>
      <c r="O253"/>
      <c r="P253"/>
      <c r="Q253"/>
      <c r="R253"/>
    </row>
    <row r="254" spans="1:18" s="5" customFormat="1" x14ac:dyDescent="0.2">
      <c r="A254">
        <v>31</v>
      </c>
      <c r="B254" s="4" t="str">
        <f>nodes!C41</f>
        <v>reserveslot_2</v>
      </c>
      <c r="C254" s="31"/>
      <c r="D254" s="31"/>
      <c r="F254"/>
      <c r="G254"/>
      <c r="H254"/>
      <c r="I254"/>
      <c r="J254"/>
      <c r="K254"/>
      <c r="L254"/>
      <c r="M254"/>
      <c r="N254"/>
      <c r="O254"/>
      <c r="P254"/>
      <c r="Q254"/>
      <c r="R254"/>
    </row>
    <row r="255" spans="1:18" s="5" customFormat="1" x14ac:dyDescent="0.2">
      <c r="A255">
        <v>32</v>
      </c>
      <c r="B255" s="4" t="str">
        <f>nodes!C42</f>
        <v>reserveslot_3</v>
      </c>
      <c r="C255" s="31"/>
      <c r="D255" s="31"/>
      <c r="F255"/>
      <c r="G255"/>
      <c r="H255"/>
      <c r="I255"/>
      <c r="J255"/>
      <c r="K255"/>
      <c r="L255"/>
      <c r="M255"/>
      <c r="N255"/>
      <c r="O255"/>
      <c r="P255"/>
      <c r="Q255"/>
      <c r="R255"/>
    </row>
    <row r="256" spans="1:18" s="5" customFormat="1" x14ac:dyDescent="0.2">
      <c r="A256">
        <v>33</v>
      </c>
      <c r="B256" s="4" t="str">
        <f>nodes!C43</f>
        <v>reserveslot_4</v>
      </c>
      <c r="C256" s="31"/>
      <c r="D256" s="31"/>
      <c r="F256"/>
      <c r="G256"/>
      <c r="H256"/>
      <c r="I256"/>
      <c r="J256"/>
      <c r="K256"/>
      <c r="L256"/>
      <c r="M256"/>
      <c r="N256"/>
      <c r="O256"/>
      <c r="P256"/>
      <c r="Q256"/>
      <c r="R256"/>
    </row>
    <row r="257" spans="1:18" s="5" customFormat="1" x14ac:dyDescent="0.2">
      <c r="A257">
        <v>34</v>
      </c>
      <c r="B257" s="4" t="str">
        <f>nodes!C44</f>
        <v>reserveslot_5</v>
      </c>
      <c r="C257" s="31"/>
      <c r="D257" s="31"/>
      <c r="F257"/>
      <c r="G257"/>
      <c r="H257"/>
      <c r="I257"/>
      <c r="J257"/>
      <c r="K257"/>
      <c r="L257"/>
      <c r="M257"/>
      <c r="N257"/>
      <c r="O257"/>
      <c r="P257"/>
      <c r="Q257"/>
      <c r="R257"/>
    </row>
    <row r="258" spans="1:18" s="5" customFormat="1" x14ac:dyDescent="0.2">
      <c r="A258">
        <v>35</v>
      </c>
      <c r="B258" s="4" t="str">
        <f>nodes!C45</f>
        <v>reserveslot_6</v>
      </c>
      <c r="C258" s="31"/>
      <c r="D258" s="31"/>
      <c r="F258"/>
      <c r="G258"/>
      <c r="H258"/>
      <c r="I258"/>
      <c r="J258"/>
      <c r="K258"/>
      <c r="L258"/>
      <c r="M258"/>
      <c r="N258"/>
      <c r="O258"/>
      <c r="P258"/>
      <c r="Q258"/>
      <c r="R258"/>
    </row>
    <row r="259" spans="1:18" s="5" customFormat="1" x14ac:dyDescent="0.2">
      <c r="A259">
        <v>36</v>
      </c>
      <c r="B259" s="4" t="str">
        <f>nodes!C46</f>
        <v>reserveslot_7</v>
      </c>
      <c r="C259" s="31"/>
      <c r="D259" s="31"/>
      <c r="F259"/>
      <c r="G259"/>
      <c r="H259"/>
      <c r="I259"/>
      <c r="J259"/>
      <c r="K259"/>
      <c r="L259"/>
      <c r="M259"/>
      <c r="N259"/>
      <c r="O259"/>
      <c r="P259"/>
      <c r="Q259"/>
      <c r="R259"/>
    </row>
    <row r="260" spans="1:18" s="5" customFormat="1" x14ac:dyDescent="0.2">
      <c r="A260">
        <v>37</v>
      </c>
      <c r="B260" s="4" t="str">
        <f>nodes!C47</f>
        <v>reserveslot_8</v>
      </c>
      <c r="C260" s="31"/>
      <c r="D260" s="31"/>
      <c r="F260"/>
      <c r="G260"/>
      <c r="H260"/>
      <c r="I260"/>
      <c r="J260"/>
      <c r="K260"/>
      <c r="L260"/>
      <c r="M260"/>
      <c r="N260"/>
      <c r="O260"/>
      <c r="P260"/>
      <c r="Q260"/>
      <c r="R260"/>
    </row>
    <row r="261" spans="1:18" s="5" customFormat="1" x14ac:dyDescent="0.2">
      <c r="A261">
        <v>38</v>
      </c>
      <c r="B261" s="4" t="str">
        <f>nodes!C48</f>
        <v>reserveslot_9</v>
      </c>
      <c r="C261" s="31"/>
      <c r="D261" s="31"/>
      <c r="F261"/>
      <c r="G261"/>
      <c r="H261"/>
      <c r="I261"/>
      <c r="J261"/>
      <c r="K261"/>
      <c r="L261"/>
      <c r="M261"/>
      <c r="N261"/>
      <c r="O261"/>
      <c r="P261"/>
      <c r="Q261"/>
      <c r="R261"/>
    </row>
    <row r="262" spans="1:18" s="5" customFormat="1" x14ac:dyDescent="0.2">
      <c r="A262">
        <v>39</v>
      </c>
      <c r="B262" s="4" t="str">
        <f>nodes!C49</f>
        <v>reserveslot_10</v>
      </c>
      <c r="C262" s="31"/>
      <c r="D262" s="31"/>
      <c r="F262"/>
      <c r="G262"/>
      <c r="H262"/>
      <c r="I262"/>
      <c r="J262"/>
      <c r="K262"/>
      <c r="L262"/>
      <c r="M262"/>
      <c r="N262"/>
      <c r="O262"/>
      <c r="P262"/>
      <c r="Q262"/>
      <c r="R262"/>
    </row>
    <row r="263" spans="1:18" s="5" customFormat="1" x14ac:dyDescent="0.2">
      <c r="A263"/>
      <c r="B263" s="4"/>
      <c r="C263" s="31"/>
      <c r="D263" s="31"/>
      <c r="F263"/>
      <c r="G263"/>
      <c r="H263"/>
      <c r="I263"/>
      <c r="J263"/>
      <c r="K263"/>
      <c r="L263"/>
      <c r="M263"/>
      <c r="N263"/>
      <c r="O263"/>
      <c r="P263"/>
      <c r="Q263"/>
      <c r="R263"/>
    </row>
    <row r="264" spans="1:18" s="5" customFormat="1" x14ac:dyDescent="0.2">
      <c r="A264">
        <v>40</v>
      </c>
      <c r="B264" s="4" t="str">
        <f>nodes!C51</f>
        <v>co2_bron_aardgasverbranding</v>
      </c>
      <c r="C264" s="31"/>
      <c r="D264" s="31" t="str">
        <f>H172</f>
        <v>&lt;aanname&gt;&lt;strong&gt;[Noord-Nederland]&lt;/strong&gt; Berekende CO&lt;sub&gt;2&lt;/sub&gt;-emissie bij verbranding van 18 PJ aardgas @ 56.4 ktonCO&lt;sub&gt;2&lt;/sub&gt;/PJ.&lt;/aanname&gt;</v>
      </c>
      <c r="F264"/>
      <c r="G264"/>
      <c r="H264"/>
      <c r="I264"/>
      <c r="J264"/>
      <c r="K264"/>
      <c r="L264"/>
      <c r="M264"/>
      <c r="N264"/>
      <c r="O264"/>
      <c r="P264"/>
      <c r="Q264"/>
      <c r="R264"/>
    </row>
    <row r="265" spans="1:18" s="5" customFormat="1" x14ac:dyDescent="0.2">
      <c r="A265">
        <v>41</v>
      </c>
      <c r="B265" s="4" t="str">
        <f>nodes!C52</f>
        <v>co2_bron_restgasverbranding</v>
      </c>
      <c r="C265" s="31"/>
      <c r="D265" s="31"/>
      <c r="F265"/>
      <c r="G265"/>
      <c r="H265"/>
      <c r="I265"/>
      <c r="J265"/>
      <c r="K265"/>
      <c r="L265"/>
      <c r="M265"/>
      <c r="N265"/>
      <c r="O265"/>
      <c r="P265"/>
      <c r="Q265"/>
      <c r="R265"/>
    </row>
    <row r="266" spans="1:18" s="5" customFormat="1" x14ac:dyDescent="0.2">
      <c r="A266">
        <v>42</v>
      </c>
      <c r="B266" s="4" t="str">
        <f>nodes!C53</f>
        <v>co2_bron_smr_restgas</v>
      </c>
      <c r="C266" s="31"/>
      <c r="D266" s="31"/>
      <c r="F266"/>
      <c r="G266"/>
      <c r="H266"/>
      <c r="I266"/>
      <c r="J266"/>
      <c r="K266"/>
      <c r="L266"/>
      <c r="M266"/>
      <c r="N266"/>
      <c r="O266"/>
      <c r="P266"/>
      <c r="Q266"/>
      <c r="R266"/>
    </row>
    <row r="267" spans="1:18" s="5" customFormat="1" x14ac:dyDescent="0.2">
      <c r="A267">
        <v>43</v>
      </c>
      <c r="B267" s="4" t="str">
        <f>nodes!C54</f>
        <v>co2_bron_smr_aardgas</v>
      </c>
      <c r="C267" s="31"/>
      <c r="D267" s="31"/>
      <c r="F267"/>
      <c r="G267"/>
      <c r="H267"/>
      <c r="I267"/>
      <c r="J267"/>
      <c r="K267"/>
      <c r="L267"/>
      <c r="M267"/>
      <c r="N267"/>
      <c r="O267"/>
      <c r="P267"/>
      <c r="Q267"/>
      <c r="R267"/>
    </row>
    <row r="268" spans="1:18" s="5" customFormat="1" x14ac:dyDescent="0.2">
      <c r="A268">
        <v>44</v>
      </c>
      <c r="B268" s="4" t="str">
        <f>nodes!C55</f>
        <v>co2_bron_overige</v>
      </c>
      <c r="C268" s="31"/>
      <c r="D268" s="31"/>
      <c r="F268"/>
      <c r="G268"/>
      <c r="H268"/>
      <c r="I268"/>
      <c r="J268"/>
      <c r="K268"/>
      <c r="L268"/>
      <c r="M268"/>
      <c r="N268"/>
      <c r="O268"/>
      <c r="P268"/>
      <c r="Q268"/>
      <c r="R268"/>
    </row>
    <row r="269" spans="1:18" s="5" customFormat="1" x14ac:dyDescent="0.2">
      <c r="A269">
        <v>45</v>
      </c>
      <c r="B269" s="4" t="str">
        <f>nodes!C56</f>
        <v>co2_bron_reserve_slot1</v>
      </c>
      <c r="C269" s="31"/>
      <c r="D269" s="31"/>
      <c r="F269"/>
      <c r="G269"/>
      <c r="H269"/>
      <c r="I269"/>
      <c r="J269"/>
      <c r="K269"/>
      <c r="L269"/>
      <c r="M269"/>
      <c r="N269"/>
      <c r="O269"/>
      <c r="P269"/>
      <c r="Q269"/>
      <c r="R269"/>
    </row>
    <row r="270" spans="1:18" s="5" customFormat="1" x14ac:dyDescent="0.2">
      <c r="A270">
        <v>46</v>
      </c>
      <c r="B270" s="4" t="str">
        <f>nodes!C57</f>
        <v>co2_bron_reserve_slot2</v>
      </c>
      <c r="C270" s="31"/>
      <c r="D270" s="31"/>
      <c r="F270"/>
      <c r="G270"/>
      <c r="H270"/>
      <c r="I270"/>
      <c r="J270"/>
      <c r="K270"/>
      <c r="L270"/>
      <c r="M270"/>
      <c r="N270"/>
      <c r="O270"/>
      <c r="P270"/>
      <c r="Q270"/>
      <c r="R270"/>
    </row>
    <row r="271" spans="1:18" s="5" customFormat="1" x14ac:dyDescent="0.2">
      <c r="A271">
        <v>47</v>
      </c>
      <c r="B271" s="4" t="str">
        <f>nodes!C58</f>
        <v>co2_bron_reserve_slot3</v>
      </c>
      <c r="C271" s="31"/>
      <c r="D271" s="31" t="str">
        <f>H179</f>
        <v>&lt;aanname&gt;&lt;strong&gt;[Noord-Nederland]&lt;/strong&gt; Berekende CO&lt;sub&gt;2&lt;/sub&gt;-emissie bij verbranding van 3 PJ afval @ 107.4 ktonCO&lt;sub&gt;2&lt;/sub&gt;/PJ.&lt;/aanname&gt;</v>
      </c>
      <c r="F271"/>
      <c r="G271"/>
      <c r="H271"/>
      <c r="I271"/>
      <c r="J271"/>
      <c r="K271"/>
      <c r="L271"/>
      <c r="M271"/>
      <c r="N271"/>
      <c r="O271"/>
      <c r="P271"/>
      <c r="Q271"/>
      <c r="R271"/>
    </row>
    <row r="272" spans="1:18" s="5" customFormat="1" x14ac:dyDescent="0.2">
      <c r="A272">
        <v>48</v>
      </c>
      <c r="B272" s="4" t="str">
        <f>nodes!C59</f>
        <v>co2_bron_reserve_slot4</v>
      </c>
      <c r="C272" s="31"/>
      <c r="D272" s="31"/>
      <c r="F272"/>
      <c r="G272"/>
      <c r="H272"/>
      <c r="I272"/>
      <c r="J272"/>
      <c r="K272"/>
      <c r="L272"/>
      <c r="M272"/>
      <c r="N272"/>
      <c r="O272"/>
      <c r="P272"/>
      <c r="Q272"/>
      <c r="R272"/>
    </row>
    <row r="273" spans="1:18" s="5" customFormat="1" x14ac:dyDescent="0.2">
      <c r="A273">
        <v>49</v>
      </c>
      <c r="B273" s="4" t="str">
        <f>nodes!C60</f>
        <v>co2_bron_reserve_slot5</v>
      </c>
      <c r="C273" s="31"/>
      <c r="D273" s="31"/>
      <c r="F273"/>
      <c r="G273"/>
      <c r="H273"/>
      <c r="I273"/>
      <c r="J273"/>
      <c r="K273"/>
      <c r="L273"/>
      <c r="M273"/>
      <c r="N273"/>
      <c r="O273"/>
      <c r="P273"/>
      <c r="Q273"/>
      <c r="R273"/>
    </row>
    <row r="274" spans="1:18" s="5" customFormat="1" x14ac:dyDescent="0.2">
      <c r="A274"/>
      <c r="B274" s="4"/>
      <c r="C274" s="31"/>
      <c r="D274" s="31"/>
      <c r="F274"/>
      <c r="G274"/>
      <c r="H274"/>
      <c r="I274"/>
      <c r="J274"/>
      <c r="K274"/>
      <c r="L274"/>
      <c r="M274"/>
      <c r="N274"/>
      <c r="O274"/>
      <c r="P274"/>
      <c r="Q274"/>
      <c r="R274"/>
    </row>
    <row r="275" spans="1:18" s="5" customFormat="1" x14ac:dyDescent="0.2">
      <c r="A275">
        <v>50</v>
      </c>
      <c r="B275" s="4" t="str">
        <f>nodes!C62</f>
        <v>co2_afvang_smr_restgas</v>
      </c>
      <c r="C275" s="31"/>
      <c r="D275" s="31"/>
      <c r="F275"/>
      <c r="G275"/>
      <c r="H275"/>
      <c r="I275"/>
      <c r="J275"/>
      <c r="K275"/>
      <c r="L275"/>
      <c r="M275"/>
      <c r="N275"/>
      <c r="O275"/>
      <c r="P275"/>
      <c r="Q275"/>
      <c r="R275"/>
    </row>
    <row r="276" spans="1:18" s="5" customFormat="1" x14ac:dyDescent="0.2">
      <c r="A276">
        <v>51</v>
      </c>
      <c r="B276" s="4" t="str">
        <f>nodes!C63</f>
        <v>co2_afvang_smr_aardgas</v>
      </c>
      <c r="C276" s="31"/>
      <c r="D276" s="31"/>
      <c r="F276"/>
      <c r="G276"/>
      <c r="H276"/>
      <c r="I276"/>
      <c r="J276"/>
      <c r="K276"/>
      <c r="L276"/>
      <c r="M276"/>
      <c r="N276"/>
      <c r="O276"/>
      <c r="P276"/>
      <c r="Q276"/>
      <c r="R276"/>
    </row>
    <row r="277" spans="1:18" s="5" customFormat="1" x14ac:dyDescent="0.2">
      <c r="A277">
        <v>52</v>
      </c>
      <c r="B277" s="4" t="str">
        <f>nodes!C64</f>
        <v>co2_afvang_overige</v>
      </c>
      <c r="C277" s="31"/>
      <c r="D277" s="31"/>
      <c r="F277"/>
      <c r="G277"/>
      <c r="H277"/>
      <c r="I277"/>
      <c r="J277"/>
      <c r="K277"/>
      <c r="L277"/>
      <c r="M277"/>
      <c r="N277"/>
      <c r="O277"/>
      <c r="P277"/>
      <c r="Q277"/>
      <c r="R277"/>
    </row>
    <row r="278" spans="1:18" s="5" customFormat="1" x14ac:dyDescent="0.2">
      <c r="A278">
        <v>53</v>
      </c>
      <c r="B278" s="4" t="str">
        <f>nodes!C65</f>
        <v>co2_afvang_reserve_slot1</v>
      </c>
      <c r="C278" s="31"/>
      <c r="D278" s="31"/>
      <c r="F278"/>
      <c r="G278"/>
      <c r="H278"/>
      <c r="I278"/>
      <c r="J278"/>
      <c r="K278"/>
      <c r="L278"/>
      <c r="M278"/>
      <c r="N278"/>
      <c r="O278"/>
      <c r="P278"/>
      <c r="Q278"/>
      <c r="R278"/>
    </row>
    <row r="279" spans="1:18" s="5" customFormat="1" x14ac:dyDescent="0.2">
      <c r="A279">
        <v>54</v>
      </c>
      <c r="B279" s="4" t="str">
        <f>nodes!C66</f>
        <v>co2_afvang_reserve_slot2</v>
      </c>
      <c r="C279" s="31"/>
      <c r="D279" s="31"/>
      <c r="F279"/>
      <c r="G279"/>
      <c r="H279"/>
      <c r="I279"/>
      <c r="J279"/>
      <c r="K279"/>
      <c r="L279"/>
      <c r="M279"/>
      <c r="N279"/>
      <c r="O279"/>
      <c r="P279"/>
      <c r="Q279"/>
      <c r="R279"/>
    </row>
    <row r="280" spans="1:18" s="5" customFormat="1" x14ac:dyDescent="0.2">
      <c r="A280">
        <v>55</v>
      </c>
      <c r="B280" s="4" t="str">
        <f>nodes!C67</f>
        <v>co2_afvang_reserve_slot3</v>
      </c>
      <c r="C280" s="31"/>
      <c r="D280" s="31"/>
      <c r="F280"/>
      <c r="G280"/>
      <c r="H280"/>
      <c r="I280"/>
      <c r="J280"/>
      <c r="K280"/>
      <c r="L280"/>
      <c r="M280"/>
      <c r="N280"/>
      <c r="O280"/>
      <c r="P280"/>
      <c r="Q280"/>
      <c r="R280"/>
    </row>
    <row r="281" spans="1:18" s="5" customFormat="1" x14ac:dyDescent="0.2">
      <c r="A281">
        <v>56</v>
      </c>
      <c r="B281" s="4" t="str">
        <f>nodes!C68</f>
        <v>co2_afvang_reserve_slot4</v>
      </c>
      <c r="C281" s="31"/>
      <c r="D281" s="31"/>
      <c r="F281"/>
      <c r="G281"/>
      <c r="H281"/>
      <c r="I281"/>
      <c r="J281"/>
      <c r="K281"/>
      <c r="L281"/>
      <c r="M281"/>
      <c r="N281"/>
      <c r="O281"/>
      <c r="P281"/>
      <c r="Q281"/>
      <c r="R281"/>
    </row>
    <row r="282" spans="1:18" s="5" customFormat="1" x14ac:dyDescent="0.2">
      <c r="A282">
        <v>57</v>
      </c>
      <c r="B282" s="4" t="str">
        <f>nodes!C69</f>
        <v>co2_afvang_reserve_slot5</v>
      </c>
      <c r="C282" s="31"/>
      <c r="D282" s="31"/>
      <c r="F282"/>
      <c r="G282"/>
      <c r="H282"/>
      <c r="I282"/>
      <c r="J282"/>
      <c r="K282"/>
      <c r="L282"/>
      <c r="M282"/>
      <c r="N282"/>
      <c r="O282"/>
      <c r="P282"/>
      <c r="Q282"/>
      <c r="R282"/>
    </row>
    <row r="283" spans="1:18" s="5" customFormat="1" x14ac:dyDescent="0.2">
      <c r="A283"/>
      <c r="B283" s="4"/>
      <c r="C283" s="31"/>
      <c r="D283" s="31"/>
      <c r="F283"/>
      <c r="G283"/>
      <c r="H283"/>
      <c r="I283"/>
      <c r="J283"/>
      <c r="K283"/>
      <c r="L283"/>
      <c r="M283"/>
      <c r="N283"/>
      <c r="O283"/>
      <c r="P283"/>
      <c r="Q283"/>
      <c r="R283"/>
    </row>
    <row r="284" spans="1:18" s="5" customFormat="1" x14ac:dyDescent="0.2">
      <c r="A284">
        <v>58</v>
      </c>
      <c r="B284" s="4" t="str">
        <f>nodes!C71</f>
        <v>co2_productie_totaal</v>
      </c>
      <c r="C284" s="31"/>
      <c r="D284" s="31"/>
      <c r="F284"/>
      <c r="G284"/>
      <c r="H284"/>
      <c r="I284"/>
      <c r="J284"/>
      <c r="K284"/>
      <c r="L284"/>
      <c r="M284"/>
      <c r="N284"/>
      <c r="O284"/>
      <c r="P284"/>
      <c r="Q284"/>
      <c r="R284"/>
    </row>
    <row r="285" spans="1:18" s="5" customFormat="1" x14ac:dyDescent="0.2">
      <c r="A285">
        <v>59</v>
      </c>
      <c r="B285" s="4" t="str">
        <f>nodes!C72</f>
        <v>co2_emissies_totaal</v>
      </c>
      <c r="C285" s="31"/>
      <c r="D285" s="31" t="str">
        <f>H203</f>
        <v>&lt;aanname&gt;&lt;strong&gt;[Noord-Nederland]&lt;/strong&gt; De berekende totale CO&lt;sub&gt;2&lt;/sub&gt; uitstoot van de industrie (exclusief elektriciteitscentrales en waterstofproductie) bedraagt 1.300 kton CO&lt;sub&gt;2&lt;/sub&gt;, de CES noteert in figuur 4.8 op pagina 30 een CO&lt;sub&gt;2&lt;/sub&gt; uitstoot van de industrie (exclusief elektriciteitscentrales en waterstofproductie) van 1.100 kton CO&lt;sub&gt;2&lt;/sub&gt; (200 kton mismatch). De berekende totale CO&lt;sub&gt;2&lt;/sub&gt; uitstoot inclusief elektriciteitscentrales en waterstofproductie bedraagt 8.400 kton CO&lt;sub&gt;2&lt;/sub&gt;, de CES noteert in figuur 4.7 op pagina 29 een CO&lt;sub&gt;2&lt;/sub&gt; uitstoot inclusief elektriciteitscentrales en waterstofproductie van 9.000 kton CO&lt;sub&gt;2&lt;/sub&gt; (600 kton mismatch).&lt;/aanname&gt;</v>
      </c>
      <c r="F285"/>
      <c r="G285"/>
      <c r="H285"/>
      <c r="I285"/>
      <c r="J285"/>
      <c r="K285"/>
      <c r="L285"/>
      <c r="M285"/>
      <c r="N285"/>
      <c r="O285"/>
      <c r="P285"/>
      <c r="Q285"/>
      <c r="R285"/>
    </row>
    <row r="286" spans="1:18" s="5" customFormat="1" x14ac:dyDescent="0.2">
      <c r="A286">
        <v>60</v>
      </c>
      <c r="B286" s="4" t="str">
        <f>nodes!C73</f>
        <v>co2_afvang_totaal</v>
      </c>
      <c r="C286" s="31"/>
      <c r="D286" s="31"/>
      <c r="F286"/>
      <c r="G286"/>
      <c r="H286"/>
      <c r="I286"/>
      <c r="J286"/>
      <c r="K286"/>
      <c r="L286"/>
      <c r="M286"/>
      <c r="N286"/>
      <c r="O286"/>
      <c r="P286"/>
      <c r="Q286"/>
      <c r="R286"/>
    </row>
    <row r="287" spans="1:18" s="5" customFormat="1" x14ac:dyDescent="0.2">
      <c r="A287">
        <v>61</v>
      </c>
      <c r="B287" s="4" t="str">
        <f>nodes!C74</f>
        <v>co2_afgevangen_totaal</v>
      </c>
      <c r="C287" s="31"/>
      <c r="D287" s="31"/>
      <c r="F287"/>
      <c r="G287"/>
      <c r="H287"/>
      <c r="I287"/>
      <c r="J287"/>
      <c r="K287"/>
      <c r="L287"/>
      <c r="M287"/>
      <c r="N287"/>
      <c r="O287"/>
      <c r="P287"/>
      <c r="Q287"/>
      <c r="R287"/>
    </row>
    <row r="289" spans="1:18" x14ac:dyDescent="0.2">
      <c r="A289" t="s">
        <v>2</v>
      </c>
    </row>
    <row r="290" spans="1:18" ht="22" x14ac:dyDescent="0.2">
      <c r="B290" s="73" t="s">
        <v>241</v>
      </c>
      <c r="C290" s="28"/>
      <c r="D290" s="28"/>
      <c r="E290" s="30"/>
      <c r="F290" s="28"/>
      <c r="G290" s="28"/>
      <c r="H290" s="28"/>
      <c r="I290" s="28"/>
      <c r="J290" s="28"/>
      <c r="K290" s="28"/>
      <c r="L290" s="28"/>
      <c r="M290" s="28"/>
      <c r="N290" s="28"/>
      <c r="O290" s="28"/>
    </row>
    <row r="292" spans="1:18" x14ac:dyDescent="0.2">
      <c r="C292" s="1" t="s">
        <v>160</v>
      </c>
      <c r="D292" s="1" t="s">
        <v>159</v>
      </c>
    </row>
    <row r="293" spans="1:18" x14ac:dyDescent="0.2">
      <c r="A293">
        <v>1</v>
      </c>
      <c r="B293" s="4" t="str">
        <f>nodes!C2</f>
        <v>bron_aardgas</v>
      </c>
      <c r="C293" s="31"/>
      <c r="D293" s="31" t="str">
        <f>I114</f>
        <v>&lt;bron&gt;&lt;strong&gt;[Noord-Nederland]&lt;/strong&gt; Het totaalvolume aardgasverbruik (inclusief elektriciteitscentrales), het volume aardgasverbruik voor industriele processen (inclusief WKK's) en het aardgasverbruik voor waterstofproductie zijn overgenomen uit de CES (pagina 21 figuur 4.3, pagina 22 figuur 4.4).&lt;/bron&gt;</v>
      </c>
    </row>
    <row r="294" spans="1:18" x14ac:dyDescent="0.2">
      <c r="A294">
        <v>2</v>
      </c>
      <c r="B294" s="4" t="str">
        <f>nodes!C3</f>
        <v>bron_restgas</v>
      </c>
      <c r="C294" s="31"/>
      <c r="D294" s="31" t="str">
        <f>C294&amp;I115</f>
        <v>nvt</v>
      </c>
    </row>
    <row r="295" spans="1:18" x14ac:dyDescent="0.2">
      <c r="A295">
        <v>3</v>
      </c>
      <c r="B295" s="4" t="str">
        <f>nodes!C4</f>
        <v>bron_kolen</v>
      </c>
      <c r="C295" s="31"/>
      <c r="D295" s="31">
        <f>C295</f>
        <v>0</v>
      </c>
    </row>
    <row r="296" spans="1:18" x14ac:dyDescent="0.2">
      <c r="A296">
        <v>4</v>
      </c>
      <c r="B296" s="4" t="str">
        <f>nodes!C5</f>
        <v>bron_cokes</v>
      </c>
      <c r="C296" s="31"/>
      <c r="D296" s="31"/>
    </row>
    <row r="297" spans="1:18" x14ac:dyDescent="0.2">
      <c r="A297">
        <v>5</v>
      </c>
      <c r="B297" s="4" t="str">
        <f>nodes!C6</f>
        <v>bron_aardolie</v>
      </c>
      <c r="C297" s="31"/>
      <c r="D297" s="31"/>
    </row>
    <row r="298" spans="1:18" x14ac:dyDescent="0.2">
      <c r="A298">
        <v>6</v>
      </c>
      <c r="B298" s="4" t="str">
        <f>nodes!C7</f>
        <v>bron_biomassa</v>
      </c>
      <c r="C298" s="31"/>
      <c r="D298" s="31" t="str">
        <f>I158</f>
        <v>&lt;bron&gt;&lt;strong&gt;[Noord-Nederland]&lt;/strong&gt; Het totaalvolume biomassaverbruik (voor industrie exclusief elektriciteitscentrales) is overgenomen uit de CES (pagina 22, figuur 4.4).&lt;/bron&gt;</v>
      </c>
    </row>
    <row r="299" spans="1:18" x14ac:dyDescent="0.2">
      <c r="A299">
        <v>7</v>
      </c>
      <c r="B299" s="4" t="str">
        <f>nodes!C8</f>
        <v>bron_biogas</v>
      </c>
      <c r="C299" s="31"/>
      <c r="D299" s="31"/>
    </row>
    <row r="300" spans="1:18" x14ac:dyDescent="0.2">
      <c r="A300">
        <v>8</v>
      </c>
      <c r="B300" s="4" t="str">
        <f>nodes!C9</f>
        <v>bron_elektriciteit</v>
      </c>
      <c r="C300" s="31"/>
      <c r="D300" s="31" t="s">
        <v>443</v>
      </c>
    </row>
    <row r="301" spans="1:18" x14ac:dyDescent="0.2">
      <c r="A301">
        <v>9</v>
      </c>
      <c r="B301" s="4" t="str">
        <f>nodes!C10</f>
        <v>bron_waterstof</v>
      </c>
      <c r="C301" s="31"/>
      <c r="D301" s="31" t="str">
        <f>I143&amp;C301</f>
        <v>&lt;bron&gt;&lt;strong&gt;[Noord-Nederland]&lt;/strong&gt; Het importvolume waterstof is overgenomen uit de CES (pagina 21, figuur 4.3).&lt;/bron&gt;</v>
      </c>
    </row>
    <row r="302" spans="1:18" x14ac:dyDescent="0.2">
      <c r="A302">
        <v>10</v>
      </c>
      <c r="B302" s="4" t="str">
        <f>nodes!C11</f>
        <v>bron_warmte</v>
      </c>
      <c r="C302" s="31"/>
      <c r="D302" s="31"/>
    </row>
    <row r="303" spans="1:18" x14ac:dyDescent="0.2">
      <c r="A303">
        <v>11</v>
      </c>
      <c r="B303" s="4" t="str">
        <f>nodes!C12</f>
        <v>bron_afval</v>
      </c>
      <c r="C303" s="31"/>
      <c r="D303" s="31" t="str">
        <f>I157</f>
        <v>&lt;bron&gt;&lt;strong&gt;[Noord-Nederland]&lt;/strong&gt; Het totaalvolume non-biogeen afval (voor industrie exclusief elektriciteitscentrales) is overgenomen uit de CES (pagina 22, figuur 4.4).&lt;/bron&gt;</v>
      </c>
    </row>
    <row r="304" spans="1:18" s="5" customFormat="1" x14ac:dyDescent="0.2">
      <c r="A304"/>
      <c r="B304" s="4"/>
      <c r="C304" s="31"/>
      <c r="D304" s="31"/>
      <c r="F304"/>
      <c r="G304"/>
      <c r="H304"/>
      <c r="I304"/>
      <c r="J304"/>
      <c r="K304"/>
      <c r="L304"/>
      <c r="M304"/>
      <c r="N304"/>
      <c r="O304"/>
      <c r="P304"/>
      <c r="Q304"/>
      <c r="R304"/>
    </row>
    <row r="305" spans="1:18" s="5" customFormat="1" x14ac:dyDescent="0.2">
      <c r="A305">
        <v>12</v>
      </c>
      <c r="B305" s="4" t="str">
        <f>nodes!C14</f>
        <v>smr_atr</v>
      </c>
      <c r="C305" s="31"/>
      <c r="D305" s="31" t="str">
        <f>I151&amp;I145&amp;I150&amp;I154&amp;C305</f>
        <v>nvtnvt</v>
      </c>
      <c r="F305"/>
      <c r="G305"/>
      <c r="H305"/>
      <c r="I305"/>
      <c r="J305"/>
      <c r="K305"/>
      <c r="L305"/>
      <c r="M305"/>
      <c r="N305"/>
      <c r="O305"/>
      <c r="P305"/>
      <c r="Q305"/>
      <c r="R305"/>
    </row>
    <row r="306" spans="1:18" s="5" customFormat="1" x14ac:dyDescent="0.2">
      <c r="A306">
        <v>13</v>
      </c>
      <c r="B306" s="4" t="str">
        <f>nodes!C15</f>
        <v>smr_atr_verlies</v>
      </c>
      <c r="C306" s="31"/>
      <c r="D306" s="94"/>
      <c r="F306"/>
      <c r="G306"/>
      <c r="H306"/>
      <c r="I306"/>
      <c r="J306"/>
      <c r="K306"/>
      <c r="L306"/>
      <c r="M306"/>
      <c r="N306"/>
      <c r="O306"/>
      <c r="P306"/>
      <c r="Q306"/>
      <c r="R306"/>
    </row>
    <row r="307" spans="1:18" s="5" customFormat="1" x14ac:dyDescent="0.2">
      <c r="A307"/>
      <c r="B307" s="4"/>
      <c r="C307" s="31"/>
      <c r="D307" s="31"/>
      <c r="F307"/>
      <c r="G307"/>
      <c r="H307"/>
      <c r="I307"/>
      <c r="J307"/>
      <c r="K307"/>
      <c r="L307"/>
      <c r="M307"/>
      <c r="N307"/>
      <c r="O307"/>
      <c r="P307"/>
      <c r="Q307"/>
      <c r="R307"/>
    </row>
    <row r="308" spans="1:18" s="5" customFormat="1" x14ac:dyDescent="0.2">
      <c r="A308">
        <v>14</v>
      </c>
      <c r="B308" s="4" t="str">
        <f>nodes!C17</f>
        <v>elektriciteit_vraag_2021</v>
      </c>
      <c r="C308" s="31"/>
      <c r="D308" s="31" t="str">
        <f>I117&amp;C308</f>
        <v/>
      </c>
      <c r="F308"/>
      <c r="G308"/>
      <c r="H308"/>
      <c r="I308"/>
      <c r="J308"/>
      <c r="K308"/>
      <c r="L308"/>
      <c r="M308"/>
      <c r="N308"/>
      <c r="O308"/>
      <c r="P308"/>
      <c r="Q308"/>
      <c r="R308"/>
    </row>
    <row r="309" spans="1:18" s="5" customFormat="1" x14ac:dyDescent="0.2">
      <c r="A309">
        <v>15</v>
      </c>
      <c r="B309" s="4" t="str">
        <f>nodes!C18</f>
        <v>elektriciteit_aardgassubstitutie_directe_elektrificatie</v>
      </c>
      <c r="C309" s="31"/>
      <c r="D309" s="31" t="str">
        <f>I118&amp;C309</f>
        <v/>
      </c>
      <c r="F309"/>
      <c r="G309"/>
      <c r="H309"/>
      <c r="I309"/>
      <c r="J309"/>
      <c r="K309"/>
      <c r="L309"/>
      <c r="M309"/>
      <c r="N309"/>
      <c r="O309"/>
      <c r="P309"/>
      <c r="Q309"/>
      <c r="R309"/>
    </row>
    <row r="310" spans="1:18" s="5" customFormat="1" x14ac:dyDescent="0.2">
      <c r="A310">
        <v>16</v>
      </c>
      <c r="B310" s="4" t="str">
        <f>nodes!C19</f>
        <v>elektriciteit_additioneel_overige</v>
      </c>
      <c r="C310" s="31"/>
      <c r="D310" s="31" t="str">
        <f>I119&amp;C310</f>
        <v/>
      </c>
      <c r="F310"/>
      <c r="G310"/>
      <c r="H310"/>
      <c r="I310"/>
      <c r="J310"/>
      <c r="K310"/>
      <c r="L310"/>
      <c r="M310"/>
      <c r="N310"/>
      <c r="O310"/>
      <c r="P310"/>
      <c r="Q310"/>
      <c r="R310"/>
    </row>
    <row r="311" spans="1:18" s="5" customFormat="1" x14ac:dyDescent="0.2">
      <c r="A311">
        <v>17</v>
      </c>
      <c r="B311" s="4" t="str">
        <f>nodes!C20</f>
        <v>elektrolysers</v>
      </c>
      <c r="C311" s="31"/>
      <c r="D311" s="31" t="str">
        <f>C311&amp;I149</f>
        <v>&lt;bron&gt;&lt;strong&gt;[Noord-Nederland]&lt;/strong&gt; Het volume elektriciteitsverbruik voor groene waterstofproductie is overgenomen uit de CES (pagina 21, figuur 4.3).&lt;/bron&gt;</v>
      </c>
      <c r="F311"/>
      <c r="G311"/>
      <c r="H311"/>
      <c r="I311"/>
      <c r="J311"/>
      <c r="K311"/>
      <c r="L311"/>
      <c r="M311"/>
      <c r="N311"/>
      <c r="O311"/>
      <c r="P311"/>
      <c r="Q311"/>
      <c r="R311"/>
    </row>
    <row r="312" spans="1:18" s="5" customFormat="1" x14ac:dyDescent="0.2">
      <c r="A312"/>
      <c r="B312" s="4"/>
      <c r="C312" s="31"/>
      <c r="D312" s="31"/>
      <c r="F312"/>
      <c r="G312"/>
      <c r="H312"/>
      <c r="I312"/>
      <c r="J312"/>
      <c r="K312"/>
      <c r="L312"/>
      <c r="M312"/>
      <c r="N312"/>
      <c r="O312"/>
      <c r="P312"/>
      <c r="Q312"/>
      <c r="R312"/>
    </row>
    <row r="313" spans="1:18" s="5" customFormat="1" x14ac:dyDescent="0.2">
      <c r="A313">
        <v>18</v>
      </c>
      <c r="B313" s="4" t="str">
        <f>nodes!C22</f>
        <v>elektrolyse_verlies</v>
      </c>
      <c r="C313" s="31"/>
      <c r="D313" s="31"/>
      <c r="F313"/>
      <c r="G313"/>
      <c r="H313"/>
      <c r="I313"/>
      <c r="J313"/>
      <c r="K313"/>
      <c r="L313"/>
      <c r="M313"/>
      <c r="N313"/>
      <c r="O313"/>
      <c r="P313"/>
      <c r="Q313"/>
      <c r="R313"/>
    </row>
    <row r="314" spans="1:18" s="5" customFormat="1" x14ac:dyDescent="0.2">
      <c r="A314"/>
      <c r="B314" s="4"/>
      <c r="C314" s="31"/>
      <c r="D314" s="31"/>
      <c r="F314"/>
      <c r="G314"/>
      <c r="H314"/>
      <c r="I314"/>
      <c r="J314"/>
      <c r="K314"/>
      <c r="L314"/>
      <c r="M314"/>
      <c r="N314"/>
      <c r="O314"/>
      <c r="P314"/>
      <c r="Q314"/>
      <c r="R314"/>
    </row>
    <row r="315" spans="1:18" s="5" customFormat="1" ht="17" customHeight="1" x14ac:dyDescent="0.2">
      <c r="A315">
        <v>19</v>
      </c>
      <c r="B315" s="4" t="str">
        <f>nodes!C24</f>
        <v>waterstof_vraag_2021</v>
      </c>
      <c r="C315" s="31"/>
      <c r="D315" s="31" t="str">
        <f>C315&amp;I125</f>
        <v/>
      </c>
      <c r="F315"/>
      <c r="G315"/>
      <c r="H315"/>
      <c r="I315"/>
      <c r="J315"/>
      <c r="K315"/>
      <c r="L315"/>
      <c r="M315"/>
      <c r="N315"/>
      <c r="O315"/>
      <c r="P315"/>
      <c r="Q315"/>
      <c r="R315"/>
    </row>
    <row r="316" spans="1:18" s="5" customFormat="1" x14ac:dyDescent="0.2">
      <c r="A316">
        <v>20</v>
      </c>
      <c r="B316" s="4" t="str">
        <f>nodes!C25</f>
        <v>waterstof_aardgassubstitutie</v>
      </c>
      <c r="C316" s="95"/>
      <c r="D316" s="31"/>
      <c r="F316"/>
      <c r="G316"/>
      <c r="H316"/>
      <c r="I316"/>
      <c r="J316"/>
      <c r="K316"/>
      <c r="L316"/>
      <c r="M316"/>
      <c r="N316"/>
      <c r="O316"/>
      <c r="P316"/>
      <c r="Q316"/>
      <c r="R316"/>
    </row>
    <row r="317" spans="1:18" s="5" customFormat="1" x14ac:dyDescent="0.2">
      <c r="A317">
        <v>21</v>
      </c>
      <c r="B317" s="4" t="str">
        <f>nodes!C26</f>
        <v>waterstof_additioneel_overige</v>
      </c>
      <c r="C317" s="31"/>
      <c r="D317" s="31" t="str">
        <f>I128&amp;C317</f>
        <v/>
      </c>
      <c r="F317"/>
      <c r="G317"/>
      <c r="H317"/>
      <c r="I317"/>
      <c r="J317"/>
      <c r="K317"/>
      <c r="L317"/>
      <c r="M317"/>
      <c r="N317"/>
      <c r="O317"/>
      <c r="P317"/>
      <c r="Q317"/>
      <c r="R317"/>
    </row>
    <row r="318" spans="1:18" s="5" customFormat="1" ht="17" customHeight="1" x14ac:dyDescent="0.2">
      <c r="A318">
        <v>22</v>
      </c>
      <c r="B318" s="4" t="str">
        <f>nodes!C27</f>
        <v>waterstof_restgassubstitutie</v>
      </c>
      <c r="C318" s="95"/>
      <c r="D318" s="31"/>
      <c r="F318"/>
      <c r="G318"/>
      <c r="H318"/>
      <c r="I318"/>
      <c r="J318"/>
      <c r="K318"/>
      <c r="L318"/>
      <c r="M318"/>
      <c r="N318"/>
      <c r="O318"/>
      <c r="P318"/>
      <c r="Q318"/>
      <c r="R318"/>
    </row>
    <row r="319" spans="1:18" s="5" customFormat="1" x14ac:dyDescent="0.2">
      <c r="A319"/>
      <c r="B319" s="4"/>
      <c r="C319" s="31"/>
      <c r="D319" s="31"/>
      <c r="F319"/>
      <c r="G319"/>
      <c r="H319"/>
      <c r="I319"/>
      <c r="J319"/>
      <c r="K319"/>
      <c r="L319"/>
      <c r="M319"/>
      <c r="N319"/>
      <c r="O319"/>
      <c r="P319"/>
      <c r="Q319"/>
      <c r="R319"/>
    </row>
    <row r="320" spans="1:18" s="5" customFormat="1" x14ac:dyDescent="0.2">
      <c r="A320">
        <v>23</v>
      </c>
      <c r="B320" s="4" t="str">
        <f>nodes!C29</f>
        <v>blauwe_waterstof</v>
      </c>
      <c r="C320" s="31"/>
      <c r="D320" s="31" t="str">
        <f>I146&amp;C320</f>
        <v>&lt;aanname&gt;&lt;strong&gt;[Noord-Nederland]&lt;/strong&gt; Het productievolume blauwe waterstof is berekend op basis van het aardgasverbruik voor waterstofproductie vermeld in figuur 4.3, pagina 21 en een aangenomen conversierendement van 0.65.&lt;/aanname&gt;</v>
      </c>
      <c r="F320"/>
      <c r="G320"/>
      <c r="H320"/>
      <c r="I320"/>
      <c r="J320"/>
      <c r="K320"/>
      <c r="L320"/>
      <c r="M320"/>
      <c r="N320"/>
      <c r="O320"/>
      <c r="P320"/>
      <c r="Q320"/>
      <c r="R320"/>
    </row>
    <row r="321" spans="1:18" s="5" customFormat="1" x14ac:dyDescent="0.2">
      <c r="A321">
        <v>24</v>
      </c>
      <c r="B321" s="4" t="str">
        <f>nodes!C30</f>
        <v>grijze_waterstof</v>
      </c>
      <c r="C321" s="31"/>
      <c r="D321" s="31"/>
      <c r="F321"/>
      <c r="G321"/>
      <c r="H321"/>
      <c r="I321"/>
      <c r="J321"/>
      <c r="K321"/>
      <c r="L321"/>
      <c r="M321"/>
      <c r="N321"/>
      <c r="O321"/>
      <c r="P321"/>
      <c r="Q321"/>
      <c r="R321"/>
    </row>
    <row r="322" spans="1:18" s="5" customFormat="1" x14ac:dyDescent="0.2">
      <c r="A322">
        <v>25</v>
      </c>
      <c r="B322" s="4" t="str">
        <f>nodes!C31</f>
        <v>groene_waterstof</v>
      </c>
      <c r="C322" s="31"/>
      <c r="D322" s="31" t="str">
        <f>C322&amp;I147</f>
        <v>&lt;aanname&gt;&lt;strong&gt;[Noord-Nederland]&lt;/strong&gt; Het productievolume groene waterstof is berekend op basis van het volume elektriciteitsverbruik voor waterstofproductie vermeld in figuur 4.3, pagina 21 en een aangenomen conversie-rendement van 0.65.&lt;/aanname&gt;</v>
      </c>
      <c r="F322"/>
      <c r="G322"/>
      <c r="H322"/>
      <c r="I322"/>
      <c r="J322"/>
      <c r="K322"/>
      <c r="L322"/>
      <c r="M322"/>
      <c r="N322"/>
      <c r="O322"/>
      <c r="P322"/>
      <c r="Q322"/>
      <c r="R322"/>
    </row>
    <row r="323" spans="1:18" s="5" customFormat="1" x14ac:dyDescent="0.2">
      <c r="A323"/>
      <c r="B323" s="4"/>
      <c r="C323" s="31"/>
      <c r="D323" s="31"/>
      <c r="F323"/>
      <c r="G323"/>
      <c r="H323"/>
      <c r="I323"/>
      <c r="J323"/>
      <c r="K323"/>
      <c r="L323"/>
      <c r="M323"/>
      <c r="N323"/>
      <c r="O323"/>
      <c r="P323"/>
      <c r="Q323"/>
      <c r="R323"/>
    </row>
    <row r="324" spans="1:18" s="5" customFormat="1" x14ac:dyDescent="0.2">
      <c r="A324">
        <v>26</v>
      </c>
      <c r="B324" s="4" t="str">
        <f>nodes!C33</f>
        <v>waterstof_mixer</v>
      </c>
      <c r="C324" s="31"/>
      <c r="D324" s="31"/>
      <c r="F324"/>
      <c r="G324"/>
      <c r="H324"/>
      <c r="I324"/>
      <c r="J324"/>
      <c r="K324"/>
      <c r="L324"/>
      <c r="M324"/>
      <c r="N324"/>
      <c r="O324"/>
      <c r="P324"/>
      <c r="Q324"/>
      <c r="R324"/>
    </row>
    <row r="325" spans="1:18" s="5" customFormat="1" x14ac:dyDescent="0.2">
      <c r="A325"/>
      <c r="B325" s="4"/>
      <c r="C325" s="31"/>
      <c r="D325" s="31"/>
      <c r="F325"/>
      <c r="G325"/>
      <c r="H325"/>
      <c r="I325"/>
      <c r="J325"/>
      <c r="K325"/>
      <c r="L325"/>
      <c r="M325"/>
      <c r="N325"/>
      <c r="O325"/>
      <c r="P325"/>
      <c r="Q325"/>
      <c r="R325"/>
    </row>
    <row r="326" spans="1:18" s="5" customFormat="1" x14ac:dyDescent="0.2">
      <c r="A326">
        <v>27</v>
      </c>
      <c r="B326" s="4" t="str">
        <f>nodes!C35</f>
        <v>industrie</v>
      </c>
      <c r="C326" s="31"/>
      <c r="D326" s="31"/>
      <c r="F326"/>
      <c r="G326"/>
      <c r="H326"/>
      <c r="I326"/>
      <c r="J326"/>
      <c r="K326"/>
      <c r="L326"/>
      <c r="M326"/>
      <c r="N326"/>
      <c r="O326"/>
      <c r="P326"/>
      <c r="Q326"/>
      <c r="R326"/>
    </row>
    <row r="327" spans="1:18" s="5" customFormat="1" ht="17" customHeight="1" x14ac:dyDescent="0.2">
      <c r="A327">
        <v>28</v>
      </c>
      <c r="B327" s="4" t="str">
        <f>nodes!C36</f>
        <v>export</v>
      </c>
      <c r="C327" s="31"/>
      <c r="D327" s="31" t="str">
        <f>I137&amp;C327</f>
        <v>&lt;bron&gt;&lt;strong&gt;[Noord-Nederland]&lt;/strong&gt; Het exportvolume waterstof is overgenomen uit de CES pagina 21, figuur 4.3).&lt;/bron&gt;</v>
      </c>
      <c r="F327"/>
      <c r="G327"/>
      <c r="H327"/>
      <c r="I327"/>
      <c r="J327"/>
      <c r="K327"/>
      <c r="L327"/>
      <c r="M327"/>
      <c r="N327"/>
      <c r="O327"/>
      <c r="P327"/>
      <c r="Q327"/>
      <c r="R327"/>
    </row>
    <row r="328" spans="1:18" s="5" customFormat="1" ht="17" customHeight="1" x14ac:dyDescent="0.2">
      <c r="A328"/>
      <c r="B328" s="4"/>
      <c r="C328" s="31"/>
      <c r="D328" s="31"/>
      <c r="F328"/>
      <c r="G328"/>
      <c r="H328"/>
      <c r="I328"/>
      <c r="J328"/>
      <c r="K328"/>
      <c r="L328"/>
      <c r="M328"/>
      <c r="N328"/>
      <c r="O328"/>
      <c r="P328"/>
      <c r="Q328"/>
      <c r="R328"/>
    </row>
    <row r="329" spans="1:18" s="5" customFormat="1" ht="17" customHeight="1" x14ac:dyDescent="0.2">
      <c r="A329">
        <v>29</v>
      </c>
      <c r="B329" s="4" t="str">
        <f>nodes!C38</f>
        <v>waterstof_naar_elektriciteitscentrales</v>
      </c>
      <c r="C329" s="31"/>
      <c r="D329" s="31"/>
      <c r="F329"/>
      <c r="G329"/>
      <c r="H329"/>
      <c r="I329"/>
      <c r="J329"/>
      <c r="K329"/>
      <c r="L329"/>
      <c r="M329"/>
      <c r="N329"/>
      <c r="O329"/>
      <c r="P329"/>
      <c r="Q329"/>
      <c r="R329"/>
    </row>
    <row r="330" spans="1:18" s="5" customFormat="1" x14ac:dyDescent="0.2">
      <c r="A330"/>
      <c r="B330" s="4"/>
      <c r="C330" s="31"/>
      <c r="D330" s="31"/>
      <c r="F330"/>
      <c r="G330"/>
      <c r="H330"/>
      <c r="I330"/>
      <c r="J330"/>
      <c r="K330"/>
      <c r="L330"/>
      <c r="M330"/>
      <c r="N330"/>
      <c r="O330"/>
      <c r="P330"/>
      <c r="Q330"/>
      <c r="R330"/>
    </row>
    <row r="331" spans="1:18" s="5" customFormat="1" x14ac:dyDescent="0.2">
      <c r="A331">
        <v>30</v>
      </c>
      <c r="B331" s="4" t="str">
        <f>nodes!C40</f>
        <v>reserveslot_1</v>
      </c>
      <c r="C331" s="31"/>
      <c r="D331" s="31"/>
      <c r="F331"/>
      <c r="G331"/>
      <c r="H331"/>
      <c r="I331"/>
      <c r="J331"/>
      <c r="K331"/>
      <c r="L331"/>
      <c r="M331"/>
      <c r="N331"/>
      <c r="O331"/>
      <c r="P331"/>
      <c r="Q331"/>
      <c r="R331"/>
    </row>
    <row r="332" spans="1:18" s="5" customFormat="1" x14ac:dyDescent="0.2">
      <c r="A332">
        <v>31</v>
      </c>
      <c r="B332" s="4" t="str">
        <f>nodes!C41</f>
        <v>reserveslot_2</v>
      </c>
      <c r="C332" s="31"/>
      <c r="D332" s="31"/>
      <c r="F332"/>
      <c r="G332"/>
      <c r="H332"/>
      <c r="I332"/>
      <c r="J332"/>
      <c r="K332"/>
      <c r="L332"/>
      <c r="M332"/>
      <c r="N332"/>
      <c r="O332"/>
      <c r="P332"/>
      <c r="Q332"/>
      <c r="R332"/>
    </row>
    <row r="333" spans="1:18" s="5" customFormat="1" x14ac:dyDescent="0.2">
      <c r="A333">
        <v>32</v>
      </c>
      <c r="B333" s="4" t="str">
        <f>nodes!C42</f>
        <v>reserveslot_3</v>
      </c>
      <c r="C333" s="31"/>
      <c r="D333" s="31"/>
      <c r="F333"/>
      <c r="G333"/>
      <c r="H333"/>
      <c r="I333"/>
      <c r="J333"/>
      <c r="K333"/>
      <c r="L333"/>
      <c r="M333"/>
      <c r="N333"/>
      <c r="O333"/>
      <c r="P333"/>
      <c r="Q333"/>
      <c r="R333"/>
    </row>
    <row r="334" spans="1:18" s="5" customFormat="1" x14ac:dyDescent="0.2">
      <c r="A334">
        <v>33</v>
      </c>
      <c r="B334" s="4" t="str">
        <f>nodes!C43</f>
        <v>reserveslot_4</v>
      </c>
      <c r="C334" s="31"/>
      <c r="D334" s="31"/>
      <c r="F334"/>
      <c r="G334"/>
      <c r="H334"/>
      <c r="I334"/>
      <c r="J334"/>
      <c r="K334"/>
      <c r="L334"/>
      <c r="M334"/>
      <c r="N334"/>
      <c r="O334"/>
      <c r="P334"/>
      <c r="Q334"/>
      <c r="R334"/>
    </row>
    <row r="335" spans="1:18" s="5" customFormat="1" x14ac:dyDescent="0.2">
      <c r="A335">
        <v>34</v>
      </c>
      <c r="B335" s="4" t="str">
        <f>nodes!C44</f>
        <v>reserveslot_5</v>
      </c>
      <c r="C335" s="31"/>
      <c r="D335" s="31"/>
      <c r="F335"/>
      <c r="G335"/>
      <c r="H335"/>
      <c r="I335"/>
      <c r="J335"/>
      <c r="K335"/>
      <c r="L335"/>
      <c r="M335"/>
      <c r="N335"/>
      <c r="O335"/>
      <c r="P335"/>
      <c r="Q335"/>
      <c r="R335"/>
    </row>
    <row r="336" spans="1:18" s="5" customFormat="1" x14ac:dyDescent="0.2">
      <c r="A336">
        <v>35</v>
      </c>
      <c r="B336" s="4" t="str">
        <f>nodes!C45</f>
        <v>reserveslot_6</v>
      </c>
      <c r="C336" s="31"/>
      <c r="D336" s="31"/>
      <c r="F336"/>
      <c r="G336"/>
      <c r="H336"/>
      <c r="I336"/>
      <c r="J336"/>
      <c r="K336"/>
      <c r="L336"/>
      <c r="M336"/>
      <c r="N336"/>
      <c r="O336"/>
      <c r="P336"/>
      <c r="Q336"/>
      <c r="R336"/>
    </row>
    <row r="337" spans="1:18" s="5" customFormat="1" x14ac:dyDescent="0.2">
      <c r="A337">
        <v>36</v>
      </c>
      <c r="B337" s="4" t="str">
        <f>nodes!C46</f>
        <v>reserveslot_7</v>
      </c>
      <c r="C337" s="31"/>
      <c r="D337" s="31"/>
      <c r="F337"/>
      <c r="G337"/>
      <c r="H337"/>
      <c r="I337"/>
      <c r="J337"/>
      <c r="K337"/>
      <c r="L337"/>
      <c r="M337"/>
      <c r="N337"/>
      <c r="O337"/>
      <c r="P337"/>
      <c r="Q337"/>
      <c r="R337"/>
    </row>
    <row r="338" spans="1:18" s="5" customFormat="1" x14ac:dyDescent="0.2">
      <c r="A338">
        <v>37</v>
      </c>
      <c r="B338" s="4" t="str">
        <f>nodes!C47</f>
        <v>reserveslot_8</v>
      </c>
      <c r="C338" s="31"/>
      <c r="D338" s="31"/>
      <c r="F338"/>
      <c r="G338"/>
      <c r="H338"/>
      <c r="I338"/>
      <c r="J338"/>
      <c r="K338"/>
      <c r="L338"/>
      <c r="M338"/>
      <c r="N338"/>
      <c r="O338"/>
      <c r="P338"/>
      <c r="Q338"/>
      <c r="R338"/>
    </row>
    <row r="339" spans="1:18" s="5" customFormat="1" x14ac:dyDescent="0.2">
      <c r="A339">
        <v>38</v>
      </c>
      <c r="B339" s="4" t="str">
        <f>nodes!C48</f>
        <v>reserveslot_9</v>
      </c>
      <c r="C339" s="31"/>
      <c r="D339" s="31"/>
      <c r="F339"/>
      <c r="G339"/>
      <c r="H339"/>
      <c r="I339"/>
      <c r="J339"/>
      <c r="K339"/>
      <c r="L339"/>
      <c r="M339"/>
      <c r="N339"/>
      <c r="O339"/>
      <c r="P339"/>
      <c r="Q339"/>
      <c r="R339"/>
    </row>
    <row r="340" spans="1:18" s="5" customFormat="1" x14ac:dyDescent="0.2">
      <c r="A340">
        <v>39</v>
      </c>
      <c r="B340" s="4" t="str">
        <f>nodes!C49</f>
        <v>reserveslot_10</v>
      </c>
      <c r="C340" s="31"/>
      <c r="D340" s="31"/>
      <c r="F340"/>
      <c r="G340"/>
      <c r="H340"/>
      <c r="I340"/>
      <c r="J340"/>
      <c r="K340"/>
      <c r="L340"/>
      <c r="M340"/>
      <c r="N340"/>
      <c r="O340"/>
      <c r="P340"/>
      <c r="Q340"/>
      <c r="R340"/>
    </row>
    <row r="341" spans="1:18" s="5" customFormat="1" x14ac:dyDescent="0.2">
      <c r="A341"/>
      <c r="B341" s="4"/>
      <c r="C341" s="31"/>
      <c r="D341" s="31"/>
      <c r="F341"/>
      <c r="G341"/>
      <c r="H341"/>
      <c r="I341"/>
      <c r="J341"/>
      <c r="K341"/>
      <c r="L341"/>
      <c r="M341"/>
      <c r="N341"/>
      <c r="O341"/>
      <c r="P341"/>
      <c r="Q341"/>
      <c r="R341"/>
    </row>
    <row r="342" spans="1:18" s="5" customFormat="1" x14ac:dyDescent="0.2">
      <c r="A342">
        <v>40</v>
      </c>
      <c r="B342" s="4" t="str">
        <f>nodes!C51</f>
        <v>co2_bron_aardgasverbranding</v>
      </c>
      <c r="C342" s="31"/>
      <c r="D342" s="31" t="str">
        <f>I172</f>
        <v>&lt;aanname&gt;&lt;strong&gt;[Noord-Nederland]&lt;/strong&gt; Berekende CO&lt;sub&gt;2&lt;/sub&gt;-emissie bij verbranding van 9 PJ aardgas @ 56.4 ktonCO&lt;sub&gt;2&lt;/sub&gt;/PJ.&lt;/aanname&gt;</v>
      </c>
      <c r="F342"/>
      <c r="G342"/>
      <c r="H342"/>
      <c r="I342"/>
      <c r="J342"/>
      <c r="K342"/>
      <c r="L342"/>
      <c r="M342"/>
      <c r="N342"/>
      <c r="O342"/>
      <c r="P342"/>
      <c r="Q342"/>
      <c r="R342"/>
    </row>
    <row r="343" spans="1:18" s="5" customFormat="1" x14ac:dyDescent="0.2">
      <c r="A343">
        <v>41</v>
      </c>
      <c r="B343" s="4" t="str">
        <f>nodes!C52</f>
        <v>co2_bron_restgasverbranding</v>
      </c>
      <c r="C343" s="31"/>
      <c r="D343" s="31"/>
      <c r="F343"/>
      <c r="G343"/>
      <c r="H343"/>
      <c r="I343"/>
      <c r="J343"/>
      <c r="K343"/>
      <c r="L343"/>
      <c r="M343"/>
      <c r="N343"/>
      <c r="O343"/>
      <c r="P343"/>
      <c r="Q343"/>
      <c r="R343"/>
    </row>
    <row r="344" spans="1:18" s="5" customFormat="1" x14ac:dyDescent="0.2">
      <c r="A344">
        <v>42</v>
      </c>
      <c r="B344" s="4" t="str">
        <f>nodes!C53</f>
        <v>co2_bron_smr_restgas</v>
      </c>
      <c r="C344" s="31"/>
      <c r="D344" s="31"/>
      <c r="F344"/>
      <c r="G344"/>
      <c r="H344"/>
      <c r="I344"/>
      <c r="J344"/>
      <c r="K344"/>
      <c r="L344"/>
      <c r="M344"/>
      <c r="N344"/>
      <c r="O344"/>
      <c r="P344"/>
      <c r="Q344"/>
      <c r="R344"/>
    </row>
    <row r="345" spans="1:18" s="5" customFormat="1" x14ac:dyDescent="0.2">
      <c r="A345">
        <v>43</v>
      </c>
      <c r="B345" s="4" t="str">
        <f>nodes!C54</f>
        <v>co2_bron_smr_aardgas</v>
      </c>
      <c r="C345" s="31"/>
      <c r="D345" s="31" t="str">
        <f t="shared" ref="D345:D364" si="2">I175</f>
        <v>&lt;aanname&gt;&lt;strong&gt;[Noord-Nederland]&lt;/strong&gt; Berekende CO&lt;sub&gt;2&lt;/sub&gt;-emissie bij verbranding van 36 PJ aardgas @ 56.4 ktonCO&lt;sub&gt;2&lt;/sub&gt;/PJ.&lt;/aaname&gt;</v>
      </c>
      <c r="F345"/>
      <c r="G345"/>
      <c r="H345"/>
      <c r="I345"/>
      <c r="J345"/>
      <c r="K345"/>
      <c r="L345"/>
      <c r="M345"/>
      <c r="N345"/>
      <c r="O345"/>
      <c r="P345"/>
      <c r="Q345"/>
      <c r="R345"/>
    </row>
    <row r="346" spans="1:18" s="5" customFormat="1" x14ac:dyDescent="0.2">
      <c r="A346">
        <v>44</v>
      </c>
      <c r="B346" s="4" t="str">
        <f>nodes!C55</f>
        <v>co2_bron_overige</v>
      </c>
      <c r="C346" s="31"/>
      <c r="D346" s="31" t="str">
        <f t="shared" si="2"/>
        <v>&lt;bron&gt;&lt;strong&gt;[Noord-Nederland]&lt;/strong&gt; CO&lt;sub&gt;2&lt;/sub&gt;-afvang vermeld in CES maar ongespecificeerd (pagina 30, figuur 4.8).&lt;/bron&gt;</v>
      </c>
      <c r="F346"/>
      <c r="G346"/>
      <c r="H346"/>
      <c r="I346"/>
      <c r="J346"/>
      <c r="K346"/>
      <c r="L346"/>
      <c r="M346"/>
      <c r="N346"/>
      <c r="O346"/>
      <c r="P346"/>
      <c r="Q346"/>
      <c r="R346"/>
    </row>
    <row r="347" spans="1:18" s="5" customFormat="1" x14ac:dyDescent="0.2">
      <c r="A347">
        <v>45</v>
      </c>
      <c r="B347" s="4" t="str">
        <f>nodes!C56</f>
        <v>co2_bron_reserve_slot1</v>
      </c>
      <c r="C347" s="31"/>
      <c r="D347" s="31"/>
      <c r="F347"/>
      <c r="G347"/>
      <c r="H347"/>
      <c r="I347"/>
      <c r="J347"/>
      <c r="K347"/>
      <c r="L347"/>
      <c r="M347"/>
      <c r="N347"/>
      <c r="O347"/>
      <c r="P347"/>
      <c r="Q347"/>
      <c r="R347"/>
    </row>
    <row r="348" spans="1:18" s="5" customFormat="1" x14ac:dyDescent="0.2">
      <c r="A348">
        <v>46</v>
      </c>
      <c r="B348" s="4" t="str">
        <f>nodes!C57</f>
        <v>co2_bron_reserve_slot2</v>
      </c>
      <c r="C348" s="31"/>
      <c r="D348" s="31"/>
      <c r="F348"/>
      <c r="G348"/>
      <c r="H348"/>
      <c r="I348"/>
      <c r="J348"/>
      <c r="K348"/>
      <c r="L348"/>
      <c r="M348"/>
      <c r="N348"/>
      <c r="O348"/>
      <c r="P348"/>
      <c r="Q348"/>
      <c r="R348"/>
    </row>
    <row r="349" spans="1:18" s="5" customFormat="1" x14ac:dyDescent="0.2">
      <c r="A349">
        <v>47</v>
      </c>
      <c r="B349" s="4" t="str">
        <f>nodes!C58</f>
        <v>co2_bron_reserve_slot3</v>
      </c>
      <c r="C349" s="31"/>
      <c r="D349" s="31" t="str">
        <f t="shared" si="2"/>
        <v>&lt;aanname&gt;&lt;strong&gt;[Noord-Nederland]&lt;/strong&gt; Berekende CO&lt;sub&gt;2&lt;/sub&gt;-emissie bij verbranding van 3 PJ afval @ 107.4 ktonCO&lt;sub&gt;2&lt;/sub&gt;/PJ.&lt;/aanname&gt;</v>
      </c>
      <c r="F349"/>
      <c r="G349"/>
      <c r="H349"/>
      <c r="I349"/>
      <c r="J349"/>
      <c r="K349"/>
      <c r="L349"/>
      <c r="M349"/>
      <c r="N349"/>
      <c r="O349"/>
      <c r="P349"/>
      <c r="Q349"/>
      <c r="R349"/>
    </row>
    <row r="350" spans="1:18" s="5" customFormat="1" x14ac:dyDescent="0.2">
      <c r="A350">
        <v>48</v>
      </c>
      <c r="B350" s="4" t="str">
        <f>nodes!C59</f>
        <v>co2_bron_reserve_slot4</v>
      </c>
      <c r="C350" s="31"/>
      <c r="D350" s="31"/>
      <c r="F350"/>
      <c r="G350"/>
      <c r="H350"/>
      <c r="I350"/>
      <c r="J350"/>
      <c r="K350"/>
      <c r="L350"/>
      <c r="M350"/>
      <c r="N350"/>
      <c r="O350"/>
      <c r="P350"/>
      <c r="Q350"/>
      <c r="R350"/>
    </row>
    <row r="351" spans="1:18" s="5" customFormat="1" x14ac:dyDescent="0.2">
      <c r="A351">
        <v>49</v>
      </c>
      <c r="B351" s="4" t="str">
        <f>nodes!C60</f>
        <v>co2_bron_reserve_slot5</v>
      </c>
      <c r="C351" s="31"/>
      <c r="D351" s="31"/>
      <c r="F351"/>
      <c r="G351"/>
      <c r="H351"/>
      <c r="I351"/>
      <c r="J351"/>
      <c r="K351"/>
      <c r="L351"/>
      <c r="M351"/>
      <c r="N351"/>
      <c r="O351"/>
      <c r="P351"/>
      <c r="Q351"/>
      <c r="R351"/>
    </row>
    <row r="352" spans="1:18" s="5" customFormat="1" x14ac:dyDescent="0.2">
      <c r="A352"/>
      <c r="B352" s="4"/>
      <c r="C352" s="31"/>
      <c r="D352" s="31"/>
      <c r="F352"/>
      <c r="G352"/>
      <c r="H352"/>
      <c r="I352"/>
      <c r="J352"/>
      <c r="K352"/>
      <c r="L352"/>
      <c r="M352"/>
      <c r="N352"/>
      <c r="O352"/>
      <c r="P352"/>
      <c r="Q352"/>
      <c r="R352"/>
    </row>
    <row r="353" spans="1:18" s="5" customFormat="1" x14ac:dyDescent="0.2">
      <c r="A353">
        <v>50</v>
      </c>
      <c r="B353" s="4" t="str">
        <f>nodes!C62</f>
        <v>co2_afvang_smr_restgas</v>
      </c>
      <c r="C353" s="31"/>
      <c r="D353" s="31"/>
      <c r="F353"/>
      <c r="G353"/>
      <c r="H353"/>
      <c r="I353"/>
      <c r="J353"/>
      <c r="K353"/>
      <c r="L353"/>
      <c r="M353"/>
      <c r="N353"/>
      <c r="O353"/>
      <c r="P353"/>
      <c r="Q353"/>
      <c r="R353"/>
    </row>
    <row r="354" spans="1:18" s="5" customFormat="1" x14ac:dyDescent="0.2">
      <c r="A354">
        <v>51</v>
      </c>
      <c r="B354" s="4" t="str">
        <f>nodes!C63</f>
        <v>co2_afvang_smr_aardgas</v>
      </c>
      <c r="C354" s="31"/>
      <c r="D354" s="31">
        <f t="shared" si="2"/>
        <v>0</v>
      </c>
      <c r="F354"/>
      <c r="G354"/>
      <c r="H354"/>
      <c r="I354"/>
      <c r="J354"/>
      <c r="K354"/>
      <c r="L354"/>
      <c r="M354"/>
      <c r="N354"/>
      <c r="O354"/>
      <c r="P354"/>
      <c r="Q354"/>
      <c r="R354"/>
    </row>
    <row r="355" spans="1:18" s="5" customFormat="1" x14ac:dyDescent="0.2">
      <c r="A355">
        <v>52</v>
      </c>
      <c r="B355" s="4" t="str">
        <f>nodes!C64</f>
        <v>co2_afvang_overige</v>
      </c>
      <c r="C355" s="31"/>
      <c r="D355" s="31">
        <f t="shared" si="2"/>
        <v>0</v>
      </c>
      <c r="F355"/>
      <c r="G355"/>
      <c r="H355"/>
      <c r="I355"/>
      <c r="J355"/>
      <c r="K355"/>
      <c r="L355"/>
      <c r="M355"/>
      <c r="N355"/>
      <c r="O355"/>
      <c r="P355"/>
      <c r="Q355"/>
      <c r="R355"/>
    </row>
    <row r="356" spans="1:18" s="5" customFormat="1" x14ac:dyDescent="0.2">
      <c r="A356">
        <v>53</v>
      </c>
      <c r="B356" s="4" t="str">
        <f>nodes!C65</f>
        <v>co2_afvang_reserve_slot1</v>
      </c>
      <c r="C356" s="31"/>
      <c r="D356" s="31"/>
      <c r="F356"/>
      <c r="G356"/>
      <c r="H356"/>
      <c r="I356"/>
      <c r="J356"/>
      <c r="K356"/>
      <c r="L356"/>
      <c r="M356"/>
      <c r="N356"/>
      <c r="O356"/>
      <c r="P356"/>
      <c r="Q356"/>
      <c r="R356"/>
    </row>
    <row r="357" spans="1:18" s="5" customFormat="1" x14ac:dyDescent="0.2">
      <c r="A357">
        <v>54</v>
      </c>
      <c r="B357" s="4" t="str">
        <f>nodes!C66</f>
        <v>co2_afvang_reserve_slot2</v>
      </c>
      <c r="C357" s="31"/>
      <c r="D357" s="31"/>
      <c r="F357"/>
      <c r="G357"/>
      <c r="H357"/>
      <c r="I357"/>
      <c r="J357"/>
      <c r="K357"/>
      <c r="L357"/>
      <c r="M357"/>
      <c r="N357"/>
      <c r="O357"/>
      <c r="P357"/>
      <c r="Q357"/>
      <c r="R357"/>
    </row>
    <row r="358" spans="1:18" s="5" customFormat="1" x14ac:dyDescent="0.2">
      <c r="A358">
        <v>55</v>
      </c>
      <c r="B358" s="4" t="str">
        <f>nodes!C67</f>
        <v>co2_afvang_reserve_slot3</v>
      </c>
      <c r="C358" s="31"/>
      <c r="D358" s="31"/>
      <c r="F358"/>
      <c r="G358"/>
      <c r="H358"/>
      <c r="I358"/>
      <c r="J358"/>
      <c r="K358"/>
      <c r="L358"/>
      <c r="M358"/>
      <c r="N358"/>
      <c r="O358"/>
      <c r="P358"/>
      <c r="Q358"/>
      <c r="R358"/>
    </row>
    <row r="359" spans="1:18" s="5" customFormat="1" x14ac:dyDescent="0.2">
      <c r="A359">
        <v>56</v>
      </c>
      <c r="B359" s="4" t="str">
        <f>nodes!C68</f>
        <v>co2_afvang_reserve_slot4</v>
      </c>
      <c r="C359" s="31"/>
      <c r="D359" s="31"/>
      <c r="F359"/>
      <c r="G359"/>
      <c r="H359"/>
      <c r="I359"/>
      <c r="J359"/>
      <c r="K359"/>
      <c r="L359"/>
      <c r="M359"/>
      <c r="N359"/>
      <c r="O359"/>
      <c r="P359"/>
      <c r="Q359"/>
      <c r="R359"/>
    </row>
    <row r="360" spans="1:18" s="5" customFormat="1" x14ac:dyDescent="0.2">
      <c r="A360">
        <v>57</v>
      </c>
      <c r="B360" s="4" t="str">
        <f>nodes!C69</f>
        <v>co2_afvang_reserve_slot5</v>
      </c>
      <c r="C360" s="31"/>
      <c r="D360" s="31"/>
      <c r="F360"/>
      <c r="G360"/>
      <c r="H360"/>
      <c r="I360"/>
      <c r="J360"/>
      <c r="K360"/>
      <c r="L360"/>
      <c r="M360"/>
      <c r="N360"/>
      <c r="O360"/>
      <c r="P360"/>
      <c r="Q360"/>
      <c r="R360"/>
    </row>
    <row r="361" spans="1:18" s="5" customFormat="1" x14ac:dyDescent="0.2">
      <c r="A361"/>
      <c r="B361" s="4"/>
      <c r="C361" s="31"/>
      <c r="D361" s="31"/>
      <c r="F361"/>
      <c r="G361"/>
      <c r="H361"/>
      <c r="I361"/>
      <c r="J361"/>
      <c r="K361"/>
      <c r="L361"/>
      <c r="M361"/>
      <c r="N361"/>
      <c r="O361"/>
      <c r="P361"/>
      <c r="Q361"/>
      <c r="R361"/>
    </row>
    <row r="362" spans="1:18" s="5" customFormat="1" x14ac:dyDescent="0.2">
      <c r="A362">
        <v>58</v>
      </c>
      <c r="B362" s="4" t="str">
        <f>nodes!C71</f>
        <v>co2_productie_totaal</v>
      </c>
      <c r="C362" s="31"/>
      <c r="D362" s="31"/>
      <c r="F362"/>
      <c r="G362"/>
      <c r="H362"/>
      <c r="I362"/>
      <c r="J362"/>
      <c r="K362"/>
      <c r="L362"/>
      <c r="M362"/>
      <c r="N362"/>
      <c r="O362"/>
      <c r="P362"/>
      <c r="Q362"/>
      <c r="R362"/>
    </row>
    <row r="363" spans="1:18" s="5" customFormat="1" x14ac:dyDescent="0.2">
      <c r="A363">
        <v>59</v>
      </c>
      <c r="B363" s="4" t="str">
        <f>nodes!C72</f>
        <v>co2_emissies_totaal</v>
      </c>
      <c r="C363" s="31"/>
      <c r="D363" s="31" t="str">
        <f>I203</f>
        <v>&lt;aanname&gt;&lt;strong&gt;[Noord-Nederland]&lt;/strong&gt; De berekende totale CO&lt;sub&gt;2&lt;/sub&gt; uitstoot van de industrie (exclusief elektriciteitscentrales en waterstofproductie) bedraagt 800 kton CO&lt;sub&gt;2&lt;/sub&gt;, de CES noteert in figuur 4.8 op pagina 30 een CO&lt;sub&gt;2&lt;/sub&gt; uitstoot van de industrie (exclusief elektriciteitscentrales en waterstofproductie) van 400 kton CO&lt;sub&gt;2&lt;/sub&gt; (400 kton mismatch). De berekende totale CO&lt;sub&gt;2&lt;/sub&gt; uitstoot inclusief elektriciteitscentrales en waterstofproductie bedraagt 1.600 kton CO&lt;sub&gt;2&lt;/sub&gt;, de CES noteert in figuur 4.7 op pagina 29 een CO&lt;sub&gt;2&lt;/sub&gt; uitstoot inclusief elektriciteitscentrales en waterstofproductie van 1.000 kton CO&lt;sub&gt;2&lt;/sub&gt; (600 kton mismatch).&lt;/aanname&gt;</v>
      </c>
      <c r="F363"/>
      <c r="G363"/>
      <c r="H363"/>
      <c r="I363"/>
      <c r="J363"/>
      <c r="K363"/>
      <c r="L363"/>
      <c r="M363"/>
      <c r="N363"/>
      <c r="O363"/>
      <c r="P363"/>
      <c r="Q363"/>
      <c r="R363"/>
    </row>
    <row r="364" spans="1:18" s="5" customFormat="1" x14ac:dyDescent="0.2">
      <c r="A364">
        <v>60</v>
      </c>
      <c r="B364" s="4" t="str">
        <f>nodes!C73</f>
        <v>co2_afvang_totaal</v>
      </c>
      <c r="C364" s="31"/>
      <c r="D364" s="31">
        <f t="shared" si="2"/>
        <v>0</v>
      </c>
      <c r="F364"/>
      <c r="G364"/>
      <c r="H364"/>
      <c r="I364"/>
      <c r="J364"/>
      <c r="K364"/>
      <c r="L364"/>
      <c r="M364"/>
      <c r="N364"/>
      <c r="O364"/>
      <c r="P364"/>
      <c r="Q364"/>
      <c r="R364"/>
    </row>
    <row r="365" spans="1:18" s="5" customFormat="1" x14ac:dyDescent="0.2">
      <c r="A365">
        <v>61</v>
      </c>
      <c r="B365" s="4" t="str">
        <f>nodes!C74</f>
        <v>co2_afgevangen_totaal</v>
      </c>
      <c r="C365" s="31"/>
      <c r="D365" s="31"/>
      <c r="F365"/>
      <c r="G365"/>
      <c r="H365"/>
      <c r="I365"/>
      <c r="J365"/>
      <c r="K365"/>
      <c r="L365"/>
      <c r="M365"/>
      <c r="N365"/>
      <c r="O365"/>
      <c r="P365"/>
      <c r="Q365"/>
      <c r="R365"/>
    </row>
  </sheetData>
  <pageMargins left="0.7" right="0.7" top="0.75" bottom="0.75" header="0.3" footer="0.3"/>
  <pageSetup paperSize="9" orientation="portrait" horizontalDpi="0" verticalDpi="0"/>
  <legacyDrawing r:id="rId1"/>
</worksheet>
</file>

<file path=docMetadata/LabelInfo.xml><?xml version="1.0" encoding="utf-8"?>
<clbl:labelList xmlns:clbl="http://schemas.microsoft.com/office/2020/mipLabelMetadata">
  <clbl:label id="{acd88dc2-102c-473d-aa45-6161565a3617}" enabled="1" method="Standard" siteId="{1321633e-f6b9-44e2-a44f-59b9d264ecb7}" contentBits="2"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nodes</vt:lpstr>
      <vt:lpstr>links</vt:lpstr>
      <vt:lpstr>remarks</vt:lpstr>
      <vt:lpstr>settings</vt:lpstr>
      <vt:lpstr>legend</vt:lpstr>
      <vt:lpstr>data_rotterdam_moerdijk</vt:lpstr>
      <vt:lpstr>data_zeeland</vt:lpstr>
      <vt:lpstr>data_noordzeekanaalgebied</vt:lpstr>
      <vt:lpstr>data_noord_nederland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Langeveld, T. (Tijs)</dc:creator>
  <cp:lastModifiedBy>Langeveld, T. (Tijs)</cp:lastModifiedBy>
  <dcterms:created xsi:type="dcterms:W3CDTF">2024-07-01T13:10:08Z</dcterms:created>
  <dcterms:modified xsi:type="dcterms:W3CDTF">2024-12-09T14:47:30Z</dcterms:modified>
</cp:coreProperties>
</file>