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activeTab="2"/>
  </bookViews>
  <sheets>
    <sheet name="库存" sheetId="2" r:id="rId1"/>
    <sheet name="Y2" sheetId="3" r:id="rId2"/>
    <sheet name="物料" sheetId="4" r:id="rId3"/>
    <sheet name="春节备货" sheetId="5" r:id="rId4"/>
    <sheet name="TK" sheetId="6" r:id="rId5"/>
    <sheet name="成本" sheetId="7" r:id="rId6"/>
  </sheets>
  <definedNames>
    <definedName name="_xlnm._FilterDatabase" localSheetId="0" hidden="1">库存!$A$1:$Q$371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" name="ID_30FEF4260E7F47DF9D7ED48000543465" descr="core_image_url__exec_download_3375174859"/>
        <xdr:cNvPicPr/>
      </xdr:nvPicPr>
      <xdr:blipFill>
        <a:blip r:embed="rId1"/>
        <a:stretch>
          <a:fillRect/>
        </a:stretch>
      </xdr:blipFill>
      <xdr:spPr>
        <a:xfrm>
          <a:off x="0" y="0"/>
          <a:ext cx="2133600" cy="1857375"/>
        </a:xfrm>
        <a:prstGeom prst="rect">
          <a:avLst/>
        </a:prstGeom>
      </xdr:spPr>
    </xdr:pic>
  </etc:cellImage>
  <etc:cellImage>
    <xdr:pic>
      <xdr:nvPicPr>
        <xdr:cNvPr id="36" name="ID_0AEF78A74A034CDEA3126CC827AFFEA9" descr="core_image_url__exec_download_385676529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568565" y="16043910"/>
          <a:ext cx="238760" cy="238125"/>
        </a:xfrm>
        <a:prstGeom prst="rect">
          <a:avLst/>
        </a:prstGeom>
      </xdr:spPr>
    </xdr:pic>
  </etc:cellImage>
  <etc:cellImage>
    <xdr:pic>
      <xdr:nvPicPr>
        <xdr:cNvPr id="39" name="ID_E753691337F7436B9CB2FD5FB7C2A2C9" descr="core_image_url__exec_download_212673796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02385" y="1103630"/>
          <a:ext cx="282575" cy="273050"/>
        </a:xfrm>
        <a:prstGeom prst="rect">
          <a:avLst/>
        </a:prstGeom>
      </xdr:spPr>
    </xdr:pic>
  </etc:cellImage>
  <etc:cellImage>
    <xdr:pic>
      <xdr:nvPicPr>
        <xdr:cNvPr id="38" name="ID_A870D18DD5134A02AB0F7136C685A4DD" descr="core_image_url__exec_download_68728481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50315" y="1106805"/>
          <a:ext cx="281940" cy="279400"/>
        </a:xfrm>
        <a:prstGeom prst="rect">
          <a:avLst/>
        </a:prstGeom>
      </xdr:spPr>
    </xdr:pic>
  </etc:cellImage>
  <etc:cellImage>
    <xdr:pic>
      <xdr:nvPicPr>
        <xdr:cNvPr id="37" name="ID_0D23395E99614A8BAAC93D263961FF6F" descr="core_image_url__exec_download_154924863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90320" y="3588385"/>
          <a:ext cx="305435" cy="306705"/>
        </a:xfrm>
        <a:prstGeom prst="rect">
          <a:avLst/>
        </a:prstGeom>
      </xdr:spPr>
    </xdr:pic>
  </etc:cellImage>
  <etc:cellImage>
    <xdr:pic>
      <xdr:nvPicPr>
        <xdr:cNvPr id="23" name="ID_621B01C9D3D14120A40FF08A45BFA29D" descr="core_image_url__exec_download_2522774385"/>
        <xdr:cNvPicPr/>
      </xdr:nvPicPr>
      <xdr:blipFill>
        <a:blip r:embed="rId6"/>
        <a:stretch>
          <a:fillRect/>
        </a:stretch>
      </xdr:blipFill>
      <xdr:spPr>
        <a:xfrm>
          <a:off x="0" y="0"/>
          <a:ext cx="7581900" cy="7496175"/>
        </a:xfrm>
        <a:prstGeom prst="rect">
          <a:avLst/>
        </a:prstGeom>
      </xdr:spPr>
    </xdr:pic>
  </etc:cellImage>
  <etc:cellImage>
    <xdr:pic>
      <xdr:nvPicPr>
        <xdr:cNvPr id="35" name="ID_E72D4E2C1F58495DA3627F2F0C63876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57300" y="751205"/>
          <a:ext cx="293370" cy="272415"/>
        </a:xfrm>
        <a:prstGeom prst="rect">
          <a:avLst/>
        </a:prstGeom>
      </xdr:spPr>
    </xdr:pic>
  </etc:cellImage>
  <etc:cellImage>
    <xdr:pic>
      <xdr:nvPicPr>
        <xdr:cNvPr id="34" name="ID_549E8CF82E404519941A3F3F61274872" descr="core_image_url__exec_download_13334291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91590" y="17649190"/>
          <a:ext cx="267335" cy="257175"/>
        </a:xfrm>
        <a:prstGeom prst="rect">
          <a:avLst/>
        </a:prstGeom>
      </xdr:spPr>
    </xdr:pic>
  </etc:cellImage>
  <etc:cellImage>
    <xdr:pic>
      <xdr:nvPicPr>
        <xdr:cNvPr id="19" name="ID_AACEC2F577FE4F9D8C9C96845B3DC77B" descr="core_image_url__exec_download_163821155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57300" y="6781800"/>
          <a:ext cx="295275" cy="288925"/>
        </a:xfrm>
        <a:prstGeom prst="rect">
          <a:avLst/>
        </a:prstGeom>
      </xdr:spPr>
    </xdr:pic>
  </etc:cellImage>
  <etc:cellImage>
    <xdr:pic>
      <xdr:nvPicPr>
        <xdr:cNvPr id="16" name="ID_342FBDB523F84B9A8017522AB968E57B" descr="core_image_url__exec_download_352264003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90955" y="14611350"/>
          <a:ext cx="304165" cy="295275"/>
        </a:xfrm>
        <a:prstGeom prst="rect">
          <a:avLst/>
        </a:prstGeom>
      </xdr:spPr>
    </xdr:pic>
  </etc:cellImage>
  <etc:cellImage>
    <xdr:pic>
      <xdr:nvPicPr>
        <xdr:cNvPr id="33" name="ID_7886006CA02E41C2B023A07BDDDB6BB9" descr="core_image_url__exec_download_352264003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300480" y="12611100"/>
          <a:ext cx="294640" cy="285750"/>
        </a:xfrm>
        <a:prstGeom prst="rect">
          <a:avLst/>
        </a:prstGeom>
      </xdr:spPr>
    </xdr:pic>
  </etc:cellImage>
  <etc:cellImage>
    <xdr:pic>
      <xdr:nvPicPr>
        <xdr:cNvPr id="17" name="ID_9E3BC1D596CD4040BA5617DD6951326C" descr="core_image_url__exec_download_1671475843"/>
        <xdr:cNvPicPr/>
      </xdr:nvPicPr>
      <xdr:blipFill>
        <a:blip r:embed="rId11"/>
        <a:stretch>
          <a:fillRect/>
        </a:stretch>
      </xdr:blipFill>
      <xdr:spPr>
        <a:xfrm>
          <a:off x="0" y="0"/>
          <a:ext cx="6429375" cy="6372225"/>
        </a:xfrm>
        <a:prstGeom prst="rect">
          <a:avLst/>
        </a:prstGeom>
      </xdr:spPr>
    </xdr:pic>
  </etc:cellImage>
  <etc:cellImage>
    <xdr:pic>
      <xdr:nvPicPr>
        <xdr:cNvPr id="12" name="ID_DE885DCBA31A4E7AB97AA9A699AF42CD" descr="core_image_url__exec_download_3752196096"/>
        <xdr:cNvPicPr/>
      </xdr:nvPicPr>
      <xdr:blipFill>
        <a:blip r:embed="rId12"/>
        <a:stretch>
          <a:fillRect/>
        </a:stretch>
      </xdr:blipFill>
      <xdr:spPr>
        <a:xfrm>
          <a:off x="0" y="0"/>
          <a:ext cx="8305800" cy="8267700"/>
        </a:xfrm>
        <a:prstGeom prst="rect">
          <a:avLst/>
        </a:prstGeom>
      </xdr:spPr>
    </xdr:pic>
  </etc:cellImage>
  <etc:cellImage>
    <xdr:pic>
      <xdr:nvPicPr>
        <xdr:cNvPr id="27" name="ID_E2893AB7010B429B84DAD28B22673297" descr="core_image_url__exec_download_110406423"/>
        <xdr:cNvPicPr/>
      </xdr:nvPicPr>
      <xdr:blipFill>
        <a:blip r:embed="rId13"/>
        <a:stretch>
          <a:fillRect/>
        </a:stretch>
      </xdr:blipFill>
      <xdr:spPr>
        <a:xfrm>
          <a:off x="0" y="0"/>
          <a:ext cx="8296275" cy="8029575"/>
        </a:xfrm>
        <a:prstGeom prst="rect">
          <a:avLst/>
        </a:prstGeom>
      </xdr:spPr>
    </xdr:pic>
  </etc:cellImage>
  <etc:cellImage>
    <xdr:pic>
      <xdr:nvPicPr>
        <xdr:cNvPr id="52" name="ID_C97B01602ADD4A49B810E1DC2A9AC414" descr="core_image_url__exec_download_163183816"/>
        <xdr:cNvPicPr/>
      </xdr:nvPicPr>
      <xdr:blipFill>
        <a:blip r:embed="rId14"/>
        <a:stretch>
          <a:fillRect/>
        </a:stretch>
      </xdr:blipFill>
      <xdr:spPr>
        <a:xfrm>
          <a:off x="0" y="0"/>
          <a:ext cx="628650" cy="628650"/>
        </a:xfrm>
        <a:prstGeom prst="rect">
          <a:avLst/>
        </a:prstGeom>
      </xdr:spPr>
    </xdr:pic>
  </etc:cellImage>
  <etc:cellImage>
    <xdr:pic>
      <xdr:nvPicPr>
        <xdr:cNvPr id="3" name="ID_A42A779FF43F4FEFA1C63539BB9F33C1" descr="core_image_url__exec_download_3060176490"/>
        <xdr:cNvPicPr/>
      </xdr:nvPicPr>
      <xdr:blipFill>
        <a:blip r:embed="rId15"/>
        <a:stretch>
          <a:fillRect/>
        </a:stretch>
      </xdr:blipFill>
      <xdr:spPr>
        <a:xfrm>
          <a:off x="0" y="0"/>
          <a:ext cx="2286000" cy="2286000"/>
        </a:xfrm>
        <a:prstGeom prst="rect">
          <a:avLst/>
        </a:prstGeom>
      </xdr:spPr>
    </xdr:pic>
  </etc:cellImage>
  <etc:cellImage>
    <xdr:pic>
      <xdr:nvPicPr>
        <xdr:cNvPr id="24" name="ID_B3C4C400A90247AB9B669579B8229933" descr="core_image_url__exec_download_4154242473"/>
        <xdr:cNvPicPr/>
      </xdr:nvPicPr>
      <xdr:blipFill>
        <a:blip r:embed="rId16"/>
        <a:stretch>
          <a:fillRect/>
        </a:stretch>
      </xdr:blipFill>
      <xdr:spPr>
        <a:xfrm>
          <a:off x="0" y="0"/>
          <a:ext cx="2286000" cy="2295525"/>
        </a:xfrm>
        <a:prstGeom prst="rect">
          <a:avLst/>
        </a:prstGeom>
      </xdr:spPr>
    </xdr:pic>
  </etc:cellImage>
  <etc:cellImage>
    <xdr:pic>
      <xdr:nvPicPr>
        <xdr:cNvPr id="14" name="ID_7497143588444F198C779D5538435D18" descr="core_image_url__exec_download_2152354355"/>
        <xdr:cNvPicPr/>
      </xdr:nvPicPr>
      <xdr:blipFill>
        <a:blip r:embed="rId17"/>
        <a:stretch>
          <a:fillRect/>
        </a:stretch>
      </xdr:blipFill>
      <xdr:spPr>
        <a:xfrm>
          <a:off x="0" y="0"/>
          <a:ext cx="3914775" cy="3914775"/>
        </a:xfrm>
        <a:prstGeom prst="rect">
          <a:avLst/>
        </a:prstGeom>
      </xdr:spPr>
    </xdr:pic>
  </etc:cellImage>
  <etc:cellImage>
    <xdr:pic>
      <xdr:nvPicPr>
        <xdr:cNvPr id="29" name="ID_BF60BB662C27484893705C925301D8C6" descr="core_image_url__exec_download_4098025908"/>
        <xdr:cNvPicPr/>
      </xdr:nvPicPr>
      <xdr:blipFill>
        <a:blip r:embed="rId18"/>
        <a:stretch>
          <a:fillRect/>
        </a:stretch>
      </xdr:blipFill>
      <xdr:spPr>
        <a:xfrm>
          <a:off x="0" y="0"/>
          <a:ext cx="1571625" cy="1590675"/>
        </a:xfrm>
        <a:prstGeom prst="rect">
          <a:avLst/>
        </a:prstGeom>
      </xdr:spPr>
    </xdr:pic>
  </etc:cellImage>
  <etc:cellImage>
    <xdr:pic>
      <xdr:nvPicPr>
        <xdr:cNvPr id="51" name="ID_3AAB81197BEB4625B255FDD86B9C3392" descr="core_image_url__exec_download_212673796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13525" y="27058620"/>
          <a:ext cx="263525" cy="254635"/>
        </a:xfrm>
        <a:prstGeom prst="rect">
          <a:avLst/>
        </a:prstGeom>
      </xdr:spPr>
    </xdr:pic>
  </etc:cellImage>
  <etc:cellImage>
    <xdr:pic>
      <xdr:nvPicPr>
        <xdr:cNvPr id="30" name="ID_FF1EFB6CCF294A3E9051B039049EA606" descr="core_image_url__exec_download_375958844"/>
        <xdr:cNvPicPr/>
      </xdr:nvPicPr>
      <xdr:blipFill>
        <a:blip r:embed="rId19"/>
        <a:stretch>
          <a:fillRect/>
        </a:stretch>
      </xdr:blipFill>
      <xdr:spPr>
        <a:xfrm>
          <a:off x="0" y="0"/>
          <a:ext cx="1647825" cy="1676400"/>
        </a:xfrm>
        <a:prstGeom prst="rect">
          <a:avLst/>
        </a:prstGeom>
      </xdr:spPr>
    </xdr:pic>
  </etc:cellImage>
  <etc:cellImage>
    <xdr:pic>
      <xdr:nvPicPr>
        <xdr:cNvPr id="50" name="ID_6496FD904BC44F6DBB446327A0F7D54B" descr="core_image_url__exec_download_27696756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659880" y="10822940"/>
          <a:ext cx="334010" cy="231775"/>
        </a:xfrm>
        <a:prstGeom prst="rect">
          <a:avLst/>
        </a:prstGeom>
      </xdr:spPr>
    </xdr:pic>
  </etc:cellImage>
  <etc:cellImage>
    <xdr:pic>
      <xdr:nvPicPr>
        <xdr:cNvPr id="32" name="ID_773E9C3A7C2A42CB8EEA52FFEEB5624B" descr="core_image_url__exec_download_4192118346"/>
        <xdr:cNvPicPr/>
      </xdr:nvPicPr>
      <xdr:blipFill>
        <a:blip r:embed="rId21"/>
        <a:stretch>
          <a:fillRect/>
        </a:stretch>
      </xdr:blipFill>
      <xdr:spPr>
        <a:xfrm>
          <a:off x="0" y="0"/>
          <a:ext cx="1562100" cy="1543050"/>
        </a:xfrm>
        <a:prstGeom prst="rect">
          <a:avLst/>
        </a:prstGeom>
      </xdr:spPr>
    </xdr:pic>
  </etc:cellImage>
  <etc:cellImage>
    <xdr:pic>
      <xdr:nvPicPr>
        <xdr:cNvPr id="48" name="ID_D5AC5E2501A3469583DD6039E9181655" descr="core_image_url__exec_download_3597047428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656705" y="9272270"/>
          <a:ext cx="257175" cy="257175"/>
        </a:xfrm>
        <a:prstGeom prst="rect">
          <a:avLst/>
        </a:prstGeom>
      </xdr:spPr>
    </xdr:pic>
  </etc:cellImage>
  <etc:cellImage>
    <xdr:pic>
      <xdr:nvPicPr>
        <xdr:cNvPr id="4" name="ID_0155A3126FD741E7899809CF69DE096B"/>
        <xdr:cNvPicPr/>
      </xdr:nvPicPr>
      <xdr:blipFill>
        <a:blip r:embed="rId23"/>
        <a:stretch>
          <a:fillRect/>
        </a:stretch>
      </xdr:blipFill>
      <xdr:spPr>
        <a:xfrm>
          <a:off x="1321435" y="914400"/>
          <a:ext cx="476250" cy="476250"/>
        </a:xfrm>
        <a:prstGeom prst="rect">
          <a:avLst/>
        </a:prstGeom>
      </xdr:spPr>
    </xdr:pic>
  </etc:cellImage>
  <etc:cellImage>
    <xdr:pic>
      <xdr:nvPicPr>
        <xdr:cNvPr id="5" name="ID_0B13E8EFB29B48CEAE19032B4458E964" descr="core_image_url__exec_download_407871446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306830" y="17297400"/>
          <a:ext cx="215265" cy="191135"/>
        </a:xfrm>
        <a:prstGeom prst="rect">
          <a:avLst/>
        </a:prstGeom>
      </xdr:spPr>
    </xdr:pic>
  </etc:cellImage>
  <etc:cellImage>
    <xdr:pic>
      <xdr:nvPicPr>
        <xdr:cNvPr id="47" name="ID_A32AAE097FC74DC7AF90F615814BFC32" descr="core_image_url__exec_download_149744087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566535" y="5751830"/>
          <a:ext cx="295275" cy="292100"/>
        </a:xfrm>
        <a:prstGeom prst="rect">
          <a:avLst/>
        </a:prstGeom>
      </xdr:spPr>
    </xdr:pic>
  </etc:cellImage>
  <etc:cellImage>
    <xdr:pic>
      <xdr:nvPicPr>
        <xdr:cNvPr id="6" name="ID_CD3728645B59476D8C4B93819ADC24F8" descr="core_image_url__exec_download_3840395975"/>
        <xdr:cNvPicPr/>
      </xdr:nvPicPr>
      <xdr:blipFill>
        <a:blip r:embed="rId26"/>
        <a:stretch>
          <a:fillRect/>
        </a:stretch>
      </xdr:blipFill>
      <xdr:spPr>
        <a:xfrm>
          <a:off x="0" y="0"/>
          <a:ext cx="5038725" cy="4962525"/>
        </a:xfrm>
        <a:prstGeom prst="rect">
          <a:avLst/>
        </a:prstGeom>
      </xdr:spPr>
    </xdr:pic>
  </etc:cellImage>
  <etc:cellImage>
    <xdr:pic>
      <xdr:nvPicPr>
        <xdr:cNvPr id="26" name="ID_0B3A8F5E8A7C418DBF49166FEE978FBB" descr="core_image_url__exec_download_4078714469"/>
        <xdr:cNvPicPr/>
      </xdr:nvPicPr>
      <xdr:blipFill>
        <a:blip r:embed="rId24"/>
        <a:stretch>
          <a:fillRect/>
        </a:stretch>
      </xdr:blipFill>
      <xdr:spPr>
        <a:xfrm>
          <a:off x="0" y="0"/>
          <a:ext cx="6591300" cy="5905500"/>
        </a:xfrm>
        <a:prstGeom prst="rect">
          <a:avLst/>
        </a:prstGeom>
      </xdr:spPr>
    </xdr:pic>
  </etc:cellImage>
  <etc:cellImage>
    <xdr:pic>
      <xdr:nvPicPr>
        <xdr:cNvPr id="28" name="ID_4CF93B507BA2419FAF1D2E0A3DE7E343" descr="core_image_url__exec_download_276967569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628130" y="7936230"/>
          <a:ext cx="334010" cy="231775"/>
        </a:xfrm>
        <a:prstGeom prst="rect">
          <a:avLst/>
        </a:prstGeom>
      </xdr:spPr>
    </xdr:pic>
  </etc:cellImage>
  <etc:cellImage>
    <xdr:pic>
      <xdr:nvPicPr>
        <xdr:cNvPr id="9" name="ID_C94D7705B28D42548BBE1762DFCFD6A3" descr="core_image_url__exec_download_3177135718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80795" y="20212050"/>
          <a:ext cx="266700" cy="266700"/>
        </a:xfrm>
        <a:prstGeom prst="rect">
          <a:avLst/>
        </a:prstGeom>
      </xdr:spPr>
    </xdr:pic>
  </etc:cellImage>
  <etc:cellImage>
    <xdr:pic>
      <xdr:nvPicPr>
        <xdr:cNvPr id="45" name="ID_BDE8539FBB144E81A5006000DD9762B3" descr="core_image_url__exec_download_317343297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539865" y="4773295"/>
          <a:ext cx="255905" cy="249555"/>
        </a:xfrm>
        <a:prstGeom prst="rect">
          <a:avLst/>
        </a:prstGeom>
      </xdr:spPr>
    </xdr:pic>
  </etc:cellImage>
  <etc:cellImage>
    <xdr:pic>
      <xdr:nvPicPr>
        <xdr:cNvPr id="20" name="ID_A5C25AC503314AB7B9E16D533ED5EBDE" descr="core_image_url__exec_download_2715584475"/>
        <xdr:cNvPicPr/>
      </xdr:nvPicPr>
      <xdr:blipFill>
        <a:blip r:embed="rId29"/>
        <a:stretch>
          <a:fillRect/>
        </a:stretch>
      </xdr:blipFill>
      <xdr:spPr>
        <a:xfrm>
          <a:off x="0" y="0"/>
          <a:ext cx="5981700" cy="5895975"/>
        </a:xfrm>
        <a:prstGeom prst="rect">
          <a:avLst/>
        </a:prstGeom>
      </xdr:spPr>
    </xdr:pic>
  </etc:cellImage>
  <etc:cellImage>
    <xdr:pic>
      <xdr:nvPicPr>
        <xdr:cNvPr id="43" name="ID_21917ECC33AF4B9CB37ACA5BF09C165F" descr="core_image_url__exec_download_28772012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690995" y="2557145"/>
          <a:ext cx="264160" cy="254000"/>
        </a:xfrm>
        <a:prstGeom prst="rect">
          <a:avLst/>
        </a:prstGeom>
      </xdr:spPr>
    </xdr:pic>
  </etc:cellImage>
  <etc:cellImage>
    <xdr:pic>
      <xdr:nvPicPr>
        <xdr:cNvPr id="18" name="ID_FD8996EB6FF04A6F8869EDEC2EBBEC35" descr="core_image_url__exec_download_3242320387"/>
        <xdr:cNvPicPr/>
      </xdr:nvPicPr>
      <xdr:blipFill>
        <a:blip r:embed="rId31"/>
        <a:stretch>
          <a:fillRect/>
        </a:stretch>
      </xdr:blipFill>
      <xdr:spPr>
        <a:xfrm>
          <a:off x="0" y="0"/>
          <a:ext cx="9525000" cy="8286750"/>
        </a:xfrm>
        <a:prstGeom prst="rect">
          <a:avLst/>
        </a:prstGeom>
      </xdr:spPr>
    </xdr:pic>
  </etc:cellImage>
  <etc:cellImage>
    <xdr:pic>
      <xdr:nvPicPr>
        <xdr:cNvPr id="42" name="ID_F472E8E4483746EEAB05049ADDC71A37" descr="core_image_url__exec_download_1728449416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630035" y="1292225"/>
          <a:ext cx="262890" cy="264795"/>
        </a:xfrm>
        <a:prstGeom prst="rect">
          <a:avLst/>
        </a:prstGeom>
      </xdr:spPr>
    </xdr:pic>
  </etc:cellImage>
  <etc:cellImage>
    <xdr:pic>
      <xdr:nvPicPr>
        <xdr:cNvPr id="41" name="ID_21FE4584230A4F61A119C46E1395D996" descr="core_image_url__exec_download_334633258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673215" y="327660"/>
          <a:ext cx="295910" cy="290830"/>
        </a:xfrm>
        <a:prstGeom prst="rect">
          <a:avLst/>
        </a:prstGeom>
      </xdr:spPr>
    </xdr:pic>
  </etc:cellImage>
  <etc:cellImage>
    <xdr:pic>
      <xdr:nvPicPr>
        <xdr:cNvPr id="15" name="ID_6F4F67CD80C246E99FF63865C700B255" descr="core_image_url__exec_download_2988317850"/>
        <xdr:cNvPicPr/>
      </xdr:nvPicPr>
      <xdr:blipFill>
        <a:blip r:embed="rId34"/>
        <a:stretch>
          <a:fillRect/>
        </a:stretch>
      </xdr:blipFill>
      <xdr:spPr>
        <a:xfrm>
          <a:off x="0" y="0"/>
          <a:ext cx="10057765" cy="9973945"/>
        </a:xfrm>
        <a:prstGeom prst="rect">
          <a:avLst/>
        </a:prstGeom>
      </xdr:spPr>
    </xdr:pic>
  </etc:cellImage>
  <etc:cellImage>
    <xdr:pic>
      <xdr:nvPicPr>
        <xdr:cNvPr id="25" name="ID_6BD7748CCB1B41738D25F319F14E06C7" descr="core_image_url__exec_download_3481261730"/>
        <xdr:cNvPicPr/>
      </xdr:nvPicPr>
      <xdr:blipFill>
        <a:blip r:embed="rId35"/>
        <a:stretch>
          <a:fillRect/>
        </a:stretch>
      </xdr:blipFill>
      <xdr:spPr>
        <a:xfrm>
          <a:off x="0" y="0"/>
          <a:ext cx="6286500" cy="4705350"/>
        </a:xfrm>
        <a:prstGeom prst="rect">
          <a:avLst/>
        </a:prstGeom>
      </xdr:spPr>
    </xdr:pic>
  </etc:cellImage>
  <etc:cellImage>
    <xdr:pic>
      <xdr:nvPicPr>
        <xdr:cNvPr id="49" name="ID_A948A2F20139495FAEF6AF7EA8E722FC" descr="core_image_url__exec_download_3857191440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614160" y="10191115"/>
          <a:ext cx="344805" cy="249555"/>
        </a:xfrm>
        <a:prstGeom prst="rect">
          <a:avLst/>
        </a:prstGeom>
      </xdr:spPr>
    </xdr:pic>
  </etc:cellImage>
  <etc:cellImage>
    <xdr:pic>
      <xdr:nvPicPr>
        <xdr:cNvPr id="31" name="ID_2A3362ADDDBD4C639ED0DBA89ACA851D" descr="core_image_url__exec_download_2824950739"/>
        <xdr:cNvPicPr/>
      </xdr:nvPicPr>
      <xdr:blipFill>
        <a:blip r:embed="rId37"/>
        <a:stretch>
          <a:fillRect/>
        </a:stretch>
      </xdr:blipFill>
      <xdr:spPr>
        <a:xfrm>
          <a:off x="0" y="0"/>
          <a:ext cx="609600" cy="638175"/>
        </a:xfrm>
        <a:prstGeom prst="rect">
          <a:avLst/>
        </a:prstGeom>
      </xdr:spPr>
    </xdr:pic>
  </etc:cellImage>
  <etc:cellImage>
    <xdr:pic>
      <xdr:nvPicPr>
        <xdr:cNvPr id="21" name="ID_B70B3B7D02F447BCA996922EF6EEA15C" descr="core_image_url__exec_download_2037296719"/>
        <xdr:cNvPicPr/>
      </xdr:nvPicPr>
      <xdr:blipFill>
        <a:blip r:embed="rId38"/>
        <a:stretch>
          <a:fillRect/>
        </a:stretch>
      </xdr:blipFill>
      <xdr:spPr>
        <a:xfrm>
          <a:off x="0" y="0"/>
          <a:ext cx="9783445" cy="10058400"/>
        </a:xfrm>
        <a:prstGeom prst="rect">
          <a:avLst/>
        </a:prstGeom>
      </xdr:spPr>
    </xdr:pic>
  </etc:cellImage>
  <etc:cellImage>
    <xdr:pic>
      <xdr:nvPicPr>
        <xdr:cNvPr id="22" name="ID_F7CDF90288DD4C1990058D513C5AF54B" descr="core_image_url__exec_download_3756362863"/>
        <xdr:cNvPicPr/>
      </xdr:nvPicPr>
      <xdr:blipFill>
        <a:blip r:embed="rId39"/>
        <a:stretch>
          <a:fillRect/>
        </a:stretch>
      </xdr:blipFill>
      <xdr:spPr>
        <a:xfrm>
          <a:off x="0" y="0"/>
          <a:ext cx="8562975" cy="8562975"/>
        </a:xfrm>
        <a:prstGeom prst="rect">
          <a:avLst/>
        </a:prstGeom>
      </xdr:spPr>
    </xdr:pic>
  </etc:cellImage>
  <etc:cellImage>
    <xdr:pic>
      <xdr:nvPicPr>
        <xdr:cNvPr id="7" name="ID_19C99156BD9B4EDFB599AB630AA170ED" descr="core_image_url__exec_download_1163089826"/>
        <xdr:cNvPicPr/>
      </xdr:nvPicPr>
      <xdr:blipFill>
        <a:blip r:embed="rId40"/>
        <a:stretch>
          <a:fillRect/>
        </a:stretch>
      </xdr:blipFill>
      <xdr:spPr>
        <a:xfrm>
          <a:off x="0" y="0"/>
          <a:ext cx="3800475" cy="4257675"/>
        </a:xfrm>
        <a:prstGeom prst="rect">
          <a:avLst/>
        </a:prstGeom>
      </xdr:spPr>
    </xdr:pic>
  </etc:cellImage>
  <etc:cellImage>
    <xdr:pic>
      <xdr:nvPicPr>
        <xdr:cNvPr id="8" name="ID_078E361A85494EC58A7C9F6399426A85" descr="core_image_url__exec_download_3713937854"/>
        <xdr:cNvPicPr/>
      </xdr:nvPicPr>
      <xdr:blipFill>
        <a:blip r:embed="rId41"/>
        <a:stretch>
          <a:fillRect/>
        </a:stretch>
      </xdr:blipFill>
      <xdr:spPr>
        <a:xfrm>
          <a:off x="0" y="0"/>
          <a:ext cx="9955530" cy="10058400"/>
        </a:xfrm>
        <a:prstGeom prst="rect">
          <a:avLst/>
        </a:prstGeom>
      </xdr:spPr>
    </xdr:pic>
  </etc:cellImage>
  <etc:cellImage>
    <xdr:pic>
      <xdr:nvPicPr>
        <xdr:cNvPr id="11" name="ID_FE7122350893468C841D8285AF652966" descr="core_image_url__exec_download_4151479468"/>
        <xdr:cNvPicPr/>
      </xdr:nvPicPr>
      <xdr:blipFill>
        <a:blip r:embed="rId42"/>
        <a:stretch>
          <a:fillRect/>
        </a:stretch>
      </xdr:blipFill>
      <xdr:spPr>
        <a:xfrm>
          <a:off x="0" y="0"/>
          <a:ext cx="2647950" cy="2676525"/>
        </a:xfrm>
        <a:prstGeom prst="rect">
          <a:avLst/>
        </a:prstGeom>
      </xdr:spPr>
    </xdr:pic>
  </etc:cellImage>
  <etc:cellImage>
    <xdr:pic>
      <xdr:nvPicPr>
        <xdr:cNvPr id="13" name="ID_C9D4BB79FD56471AB6AF21848E76FB37" descr="core_image_url__exec_download_3187505647"/>
        <xdr:cNvPicPr/>
      </xdr:nvPicPr>
      <xdr:blipFill>
        <a:blip r:embed="rId43"/>
        <a:stretch>
          <a:fillRect/>
        </a:stretch>
      </xdr:blipFill>
      <xdr:spPr>
        <a:xfrm>
          <a:off x="0" y="0"/>
          <a:ext cx="2228850" cy="2019300"/>
        </a:xfrm>
        <a:prstGeom prst="rect">
          <a:avLst/>
        </a:prstGeom>
      </xdr:spPr>
    </xdr:pic>
  </etc:cellImage>
  <etc:cellImage>
    <xdr:pic>
      <xdr:nvPicPr>
        <xdr:cNvPr id="2" name="ID_F18ED41D27AC45CDAC1A81EA79A1AF27" descr="core_image_url__exec_download_1774999608"/>
        <xdr:cNvPicPr/>
      </xdr:nvPicPr>
      <xdr:blipFill>
        <a:blip r:embed="rId44"/>
        <a:stretch>
          <a:fillRect/>
        </a:stretch>
      </xdr:blipFill>
      <xdr:spPr>
        <a:xfrm>
          <a:off x="0" y="0"/>
          <a:ext cx="4238625" cy="4238625"/>
        </a:xfrm>
        <a:prstGeom prst="rect">
          <a:avLst/>
        </a:prstGeom>
      </xdr:spPr>
    </xdr:pic>
  </etc:cellImage>
</etc:cellImages>
</file>

<file path=xl/comments1.xml><?xml version="1.0" encoding="utf-8"?>
<comments xmlns="http://schemas.openxmlformats.org/spreadsheetml/2006/main">
  <authors>
    <author>Unknown User</author>
  </authors>
  <commentList>
    <comment ref="J724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25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26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27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28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29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30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31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32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33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34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35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36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  <comment ref="J737" authorId="0">
      <text>
        <r>
          <rPr>
            <b/>
            <sz val="9"/>
            <rFont val="宋体"/>
            <charset val="0"/>
          </rPr>
          <t>rw1019:</t>
        </r>
        <r>
          <rPr>
            <sz val="9"/>
            <rFont val="宋体"/>
            <charset val="0"/>
          </rPr>
          <t xml:space="preserve">
18mm</t>
        </r>
      </text>
    </comment>
  </commentList>
</comments>
</file>

<file path=xl/sharedStrings.xml><?xml version="1.0" encoding="utf-8"?>
<sst xmlns="http://schemas.openxmlformats.org/spreadsheetml/2006/main" count="319" uniqueCount="236">
  <si>
    <t>采购</t>
  </si>
  <si>
    <t>发货</t>
  </si>
  <si>
    <t>产品</t>
  </si>
  <si>
    <t>单价</t>
  </si>
  <si>
    <t>运费</t>
  </si>
  <si>
    <t>TEMU运费</t>
  </si>
  <si>
    <t>广告平均单价</t>
  </si>
  <si>
    <t>成本
(单个)</t>
  </si>
  <si>
    <t>数量</t>
  </si>
  <si>
    <t>申报价</t>
  </si>
  <si>
    <t>净利率</t>
  </si>
  <si>
    <t>每单赚</t>
  </si>
  <si>
    <t>总价</t>
  </si>
  <si>
    <t>单个重量
(kg)</t>
  </si>
  <si>
    <t>缩略图</t>
  </si>
  <si>
    <t>SKC</t>
  </si>
  <si>
    <t>备注</t>
  </si>
  <si>
    <t>白色关节</t>
  </si>
  <si>
    <t>每个尺寸5个，有6个尺寸，总共30，加配件60个</t>
  </si>
  <si>
    <t>分2个备货单发出</t>
  </si>
  <si>
    <t>实发29个</t>
  </si>
  <si>
    <t>剩5个</t>
  </si>
  <si>
    <t>tk</t>
  </si>
  <si>
    <t>tk退供</t>
  </si>
  <si>
    <t>新关节</t>
  </si>
  <si>
    <t>SKC：47044173701</t>
  </si>
  <si>
    <t>海外仓备货</t>
  </si>
  <si>
    <t>小店-关节</t>
  </si>
  <si>
    <t>玻璃刀</t>
  </si>
  <si>
    <t>绿色</t>
  </si>
  <si>
    <t>下次采购多加一个油壶</t>
  </si>
  <si>
    <t>剩下1个</t>
  </si>
  <si>
    <t>加上之前剩下的2个</t>
  </si>
  <si>
    <t>退货</t>
  </si>
  <si>
    <t>红色</t>
  </si>
  <si>
    <t>蓝色一字款</t>
  </si>
  <si>
    <t>旧挂饰绳x3</t>
  </si>
  <si>
    <t>旧版-美、英站被下架</t>
  </si>
  <si>
    <t>3组拿去送检</t>
  </si>
  <si>
    <t>分装好，每袋加0.1元</t>
  </si>
  <si>
    <t>新-挂饰绳x3</t>
  </si>
  <si>
    <t>新版</t>
  </si>
  <si>
    <t>1.5粗绳按0.7一根</t>
  </si>
  <si>
    <t>更换供应商，加包装每根0.62，裸装0.6一根，包邮</t>
  </si>
  <si>
    <t>更换另外一家，发货更快，收基础运费5元</t>
  </si>
  <si>
    <t>15-45mm关节</t>
  </si>
  <si>
    <t>15mm-关节</t>
  </si>
  <si>
    <t>急采单</t>
  </si>
  <si>
    <t>从这更换10mm</t>
  </si>
  <si>
    <t>20mm-关节</t>
  </si>
  <si>
    <t>25mm-关节</t>
  </si>
  <si>
    <t>30mm-关节</t>
  </si>
  <si>
    <t>35mm-关节</t>
  </si>
  <si>
    <t>40mm-关节</t>
  </si>
  <si>
    <t>45mm-关节</t>
  </si>
  <si>
    <t>发货日期忘了</t>
  </si>
  <si>
    <t>猫眼彩色眼睛</t>
  </si>
  <si>
    <t>每包20个，混色</t>
  </si>
  <si>
    <t>18mm</t>
  </si>
  <si>
    <t>24mm</t>
  </si>
  <si>
    <t>30mm</t>
  </si>
  <si>
    <t>睫毛-彩色眼睛</t>
  </si>
  <si>
    <t>SKC：7341120356</t>
  </si>
  <si>
    <t>12mm</t>
  </si>
  <si>
    <t>16mm</t>
  </si>
  <si>
    <t>18mm-实际购买16mm</t>
  </si>
  <si>
    <t>25mm</t>
  </si>
  <si>
    <t>单尺寸  睫毛眼睛 18mmx20</t>
  </si>
  <si>
    <t>卖家悄悄的降价</t>
  </si>
  <si>
    <t>彩色眼睛</t>
  </si>
  <si>
    <t>炒冷饭-更换新供应</t>
  </si>
  <si>
    <t>DIY钥匙扣串珠配件</t>
  </si>
  <si>
    <t>5种三角鼻</t>
  </si>
  <si>
    <t>50个起订，单价9.8</t>
  </si>
  <si>
    <t>新店 5种三角鼻</t>
  </si>
  <si>
    <t>年后按9.2一包</t>
  </si>
  <si>
    <t>黑色圆眼</t>
  </si>
  <si>
    <t>新链接</t>
  </si>
  <si>
    <t>旧链接，尺寸同步缩小，降低成本</t>
  </si>
  <si>
    <t>新供应商</t>
  </si>
  <si>
    <t>滞销款</t>
  </si>
  <si>
    <t>每包30颗</t>
  </si>
  <si>
    <t>https://www.amazon.com/dp/B0BRKSK745</t>
  </si>
  <si>
    <t>16个装，每个颜色2个</t>
  </si>
  <si>
    <t>"高顶帽每个色5个，总共15个
毛球帽每个色2个，总共12个"</t>
  </si>
  <si>
    <t>家居、厨房用品 &gt; 活动和派对用品 &gt; 派对小礼品 &gt; 其他（派对小礼品）</t>
  </si>
  <si>
    <t>侵权</t>
  </si>
  <si>
    <t>高顶帽每个色6个，总共18个
毛球帽每个色2个，总共12个</t>
  </si>
  <si>
    <t>艺术品、工艺品和缝纫用品 &gt; 工艺工具和用品 &gt; 玩偶制作用品 &gt; 其他（玩偶制作用品）</t>
  </si>
  <si>
    <t>大号别针x1</t>
  </si>
  <si>
    <t>120个，8mm</t>
  </si>
  <si>
    <t>200个，10mm</t>
  </si>
  <si>
    <t>钓鱼诱饵-青蛙</t>
  </si>
  <si>
    <t>120个x6mm</t>
  </si>
  <si>
    <t>止滑珠-金色</t>
  </si>
  <si>
    <t>S</t>
  </si>
  <si>
    <t>M</t>
  </si>
  <si>
    <t>L</t>
  </si>
  <si>
    <t>200个，8mm</t>
  </si>
  <si>
    <t>Z</t>
  </si>
  <si>
    <t>黑眼每尺寸x10个，8个尺寸</t>
  </si>
  <si>
    <t>shein</t>
  </si>
  <si>
    <t>希音发货</t>
  </si>
  <si>
    <t>一起发货</t>
  </si>
  <si>
    <t>3个黑，3个白</t>
  </si>
  <si>
    <t>彩眼+彩鼻*10个，加鼻子总共9个尺寸</t>
  </si>
  <si>
    <t>彩色眼睛+彩色三角鼻</t>
  </si>
  <si>
    <t>眼睛5个
鼻子10个</t>
  </si>
  <si>
    <t>实发19</t>
  </si>
  <si>
    <t xml:space="preserve">三角鼻每尺寸*10个，9个尺寸
</t>
  </si>
  <si>
    <t>黑眼+三角鼻</t>
  </si>
  <si>
    <t>数量对不上</t>
  </si>
  <si>
    <t>退回报废</t>
  </si>
  <si>
    <t>之前退供的，数量不准</t>
  </si>
  <si>
    <t>https://www.amazon.com/L-Lweik-Plastic-Washers-Amigurumi-Stuffed/dp/B08GCR475C</t>
  </si>
  <si>
    <t>降价促销测试爆款</t>
  </si>
  <si>
    <t>眼睛5个</t>
  </si>
  <si>
    <t>圆形彩眼睛</t>
  </si>
  <si>
    <t>每个尺寸5个，8个尺寸，总共40个，加配件80个</t>
  </si>
  <si>
    <t>新圆形眼睛</t>
  </si>
  <si>
    <t>镭射歪眼睛-20mm</t>
  </si>
  <si>
    <t>镭射歪眼睛-30mm</t>
  </si>
  <si>
    <t>绿色;  型号:14x10MM（7）</t>
  </si>
  <si>
    <t>陶娃眼睛</t>
  </si>
  <si>
    <t>棕色;  型号:14#10MM（7）</t>
  </si>
  <si>
    <t>棕色;  型号:23*16MM（12）</t>
  </si>
  <si>
    <t>白色纽扣延长器</t>
  </si>
  <si>
    <t>每颗0.26元，每包加0.1元</t>
  </si>
  <si>
    <t>包装好的价格，每包加0.2元</t>
  </si>
  <si>
    <t>紧急备货单</t>
  </si>
  <si>
    <t>多出2包</t>
  </si>
  <si>
    <t>跟价到2.73</t>
  </si>
  <si>
    <t>黑色纽扣延长器</t>
  </si>
  <si>
    <t>3个装关节-35mm</t>
  </si>
  <si>
    <t>3个装关节-45mm</t>
  </si>
  <si>
    <t>新挂绳x5根</t>
  </si>
  <si>
    <t>SKC：49942872031</t>
  </si>
  <si>
    <t>SKC：48999925630</t>
  </si>
  <si>
    <t>SKC：81538575862</t>
  </si>
  <si>
    <t>20个歪眼睛-12MM</t>
  </si>
  <si>
    <t>20个歪眼睛-16MM</t>
  </si>
  <si>
    <t>新店-20个歪眼睛-12MM</t>
  </si>
  <si>
    <t>新店-20个歪眼睛-16MM</t>
  </si>
  <si>
    <t>新店-20个歪眼睛-20mm</t>
  </si>
  <si>
    <t>20mm</t>
  </si>
  <si>
    <t>公主练妆玩偶-5个装</t>
  </si>
  <si>
    <t>斜视眼睛 - 12个/包12mm</t>
  </si>
  <si>
    <t>新玻璃刀-绿色</t>
  </si>
  <si>
    <t>新玻璃刀-红色</t>
  </si>
  <si>
    <t>新玻璃刀-蓝色</t>
  </si>
  <si>
    <t>15mmX20 单尺寸关节</t>
  </si>
  <si>
    <t>新店-15mmX20 单尺寸关节</t>
  </si>
  <si>
    <t>新店 斜视眼睛 15mmx20  实际采购12mm</t>
  </si>
  <si>
    <t>新的睫毛眼-12mm</t>
  </si>
  <si>
    <t>新的睫毛眼-16mm</t>
  </si>
  <si>
    <t>新的睫毛眼-25mm</t>
  </si>
  <si>
    <t>新店 单尺寸  睫毛眼睛 18mmx20</t>
  </si>
  <si>
    <t xml:space="preserve"> 斜视眼睛 - 20个/包 16mm-实际采购12mm</t>
  </si>
  <si>
    <t>斜视眼睛 - 20个/包 20mm-实际采购18mm</t>
  </si>
  <si>
    <t>斜视眼睛 - 20个/包 25mm-实际采购22mm</t>
  </si>
  <si>
    <t>从这单开始按22mm采购</t>
  </si>
  <si>
    <t>新-挂饰绳x3   SKC：4095715233</t>
  </si>
  <si>
    <t>咖啡色挂饰绳</t>
  </si>
  <si>
    <t>三片装关节15mm</t>
  </si>
  <si>
    <t>35mm</t>
  </si>
  <si>
    <t>45mm</t>
  </si>
  <si>
    <t>55mm</t>
  </si>
  <si>
    <t>订单日期</t>
  </si>
  <si>
    <t>产品名</t>
  </si>
  <si>
    <t>采购价</t>
  </si>
  <si>
    <t>活动价</t>
  </si>
  <si>
    <t>重量kg</t>
  </si>
  <si>
    <t>国内快递</t>
  </si>
  <si>
    <t>Y2头程</t>
  </si>
  <si>
    <t>操作贴单</t>
  </si>
  <si>
    <t>尾程运费</t>
  </si>
  <si>
    <t>平台补贴</t>
  </si>
  <si>
    <t>成本价</t>
  </si>
  <si>
    <t>毛利率</t>
  </si>
  <si>
    <t>头程/kg</t>
  </si>
  <si>
    <t>操作+贴单</t>
  </si>
  <si>
    <t>汇率</t>
  </si>
  <si>
    <t>关节</t>
  </si>
  <si>
    <t>挂绳</t>
  </si>
  <si>
    <t>日期</t>
  </si>
  <si>
    <t>名称</t>
  </si>
  <si>
    <t>费用</t>
  </si>
  <si>
    <t>标签纸</t>
  </si>
  <si>
    <t>快递包装袋</t>
  </si>
  <si>
    <t>胶带</t>
  </si>
  <si>
    <t>快递袋</t>
  </si>
  <si>
    <t>pe自封袋</t>
  </si>
  <si>
    <t>opp自粘袋</t>
  </si>
  <si>
    <t>珠光袋</t>
  </si>
  <si>
    <t>热敏打印机</t>
  </si>
  <si>
    <t>旧打印机转让</t>
  </si>
  <si>
    <t>快递费</t>
  </si>
  <si>
    <t>商家助手(Temu版)</t>
  </si>
  <si>
    <t>检测费</t>
  </si>
  <si>
    <t>编织袋</t>
  </si>
  <si>
    <t>temu商家助手1年</t>
  </si>
  <si>
    <t>透明胶</t>
  </si>
  <si>
    <t>挂饰绳检测费</t>
  </si>
  <si>
    <t>土耳其代理</t>
  </si>
  <si>
    <t>欧代</t>
  </si>
  <si>
    <t>德国包装申报</t>
  </si>
  <si>
    <t>土代</t>
  </si>
  <si>
    <t>气泡袋</t>
  </si>
  <si>
    <t>欧代+土代</t>
  </si>
  <si>
    <t>打包工具</t>
  </si>
  <si>
    <t>产品名称</t>
  </si>
  <si>
    <t>最近7天</t>
  </si>
  <si>
    <t>最近30天</t>
  </si>
  <si>
    <t>仓内可用</t>
  </si>
  <si>
    <t>已发库存</t>
  </si>
  <si>
    <t>已采购</t>
  </si>
  <si>
    <t>卖家
发货天数</t>
  </si>
  <si>
    <t>物流天数</t>
  </si>
  <si>
    <t>入库时长</t>
  </si>
  <si>
    <t>预计可销售到</t>
  </si>
  <si>
    <t>剩余采购数量
7天销售</t>
  </si>
  <si>
    <t>剩余采购数量
30天销售</t>
  </si>
  <si>
    <t>总金额</t>
  </si>
  <si>
    <t>采购状态</t>
  </si>
  <si>
    <t>√</t>
  </si>
  <si>
    <t>关节x3</t>
  </si>
  <si>
    <t>玻璃刀-绿</t>
  </si>
  <si>
    <t>玻璃刀-红</t>
  </si>
  <si>
    <t>玻璃刀-蓝</t>
  </si>
  <si>
    <t>5色三角鼻</t>
  </si>
  <si>
    <t>睫毛眼睛</t>
  </si>
  <si>
    <t>金额</t>
  </si>
  <si>
    <t>医社保</t>
  </si>
  <si>
    <t>房租</t>
  </si>
  <si>
    <t>水电</t>
  </si>
  <si>
    <t>三餐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</si>
</sst>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.00_ "/>
    <numFmt numFmtId="179" formatCode="0.0"/>
    <numFmt numFmtId="180" formatCode="0.0_ "/>
    <numFmt numFmtId="181" formatCode="0.0_);[Red]\(0.0\)"/>
  </numFmts>
  <fonts count="42"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color rgb="FF000000"/>
      <name val="等线"/>
      <charset val="134"/>
    </font>
    <font>
      <sz val="9"/>
      <color theme="1"/>
      <name val="Arial"/>
      <charset val="134"/>
    </font>
    <font>
      <b/>
      <sz val="1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0"/>
      <color theme="1"/>
      <name val="华文楷体"/>
      <charset val="134"/>
    </font>
    <font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name val="微软雅黑"/>
      <charset val="134"/>
    </font>
    <font>
      <strike/>
      <sz val="10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华文楷体"/>
      <charset val="134"/>
    </font>
    <font>
      <b/>
      <sz val="10"/>
      <color theme="1"/>
      <name val="微软雅黑"/>
      <charset val="134"/>
    </font>
    <font>
      <u/>
      <sz val="10"/>
      <color rgb="FF0000FF"/>
      <name val="微软雅黑"/>
      <charset val="134"/>
    </font>
    <font>
      <sz val="9"/>
      <color theme="1"/>
      <name val="微软雅黑"/>
      <charset val="134"/>
    </font>
    <font>
      <sz val="9"/>
      <color theme="1"/>
      <name val="PingFangSC-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/>
      <right/>
      <top/>
      <bottom style="medium">
        <color rgb="FFEBEB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6" applyNumberFormat="0" applyAlignment="0" applyProtection="0">
      <alignment vertical="center"/>
    </xf>
    <xf numFmtId="0" fontId="30" fillId="8" borderId="7" applyNumberFormat="0" applyAlignment="0" applyProtection="0">
      <alignment vertical="center"/>
    </xf>
    <xf numFmtId="0" fontId="31" fillId="8" borderId="6" applyNumberFormat="0" applyAlignment="0" applyProtection="0">
      <alignment vertical="center"/>
    </xf>
    <xf numFmtId="0" fontId="32" fillId="9" borderId="8" applyNumberFormat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22" fontId="3" fillId="2" borderId="1" xfId="0" applyNumberFormat="1" applyFont="1" applyFill="1" applyBorder="1" applyAlignment="1">
      <alignment horizontal="left" vertical="center" wrapText="1"/>
    </xf>
    <xf numFmtId="8" fontId="3" fillId="2" borderId="1" xfId="0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1" fillId="0" borderId="0" xfId="0" applyNumberFormat="1" applyFont="1" applyFill="1" applyAlignment="1">
      <alignment horizontal="center" vertical="center"/>
    </xf>
    <xf numFmtId="177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NumberFormat="1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8" fillId="3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58" fontId="5" fillId="0" borderId="0" xfId="0" applyNumberFormat="1" applyFont="1" applyFill="1" applyAlignment="1">
      <alignment horizontal="left" vertical="center"/>
    </xf>
    <xf numFmtId="1" fontId="5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vertical="center"/>
    </xf>
    <xf numFmtId="1" fontId="4" fillId="0" borderId="0" xfId="0" applyNumberFormat="1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left" vertical="center"/>
    </xf>
    <xf numFmtId="177" fontId="4" fillId="0" borderId="0" xfId="0" applyNumberFormat="1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Alignment="1">
      <alignment horizontal="left" vertical="center"/>
    </xf>
    <xf numFmtId="177" fontId="5" fillId="0" borderId="0" xfId="0" applyNumberFormat="1" applyFont="1" applyFill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 wrapText="1"/>
    </xf>
    <xf numFmtId="1" fontId="5" fillId="0" borderId="0" xfId="0" applyNumberFormat="1" applyFont="1" applyFill="1" applyAlignment="1">
      <alignment horizontal="center" vertical="center"/>
    </xf>
    <xf numFmtId="58" fontId="5" fillId="0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58" fontId="6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4" fontId="5" fillId="0" borderId="0" xfId="0" applyNumberFormat="1" applyFont="1" applyFill="1" applyAlignment="1">
      <alignment horizontal="left" vertical="center"/>
    </xf>
    <xf numFmtId="10" fontId="5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5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9" fontId="5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9" fontId="11" fillId="4" borderId="0" xfId="0" applyNumberFormat="1" applyFont="1" applyFill="1" applyAlignment="1">
      <alignment horizontal="center" vertical="center"/>
    </xf>
    <xf numFmtId="0" fontId="13" fillId="4" borderId="0" xfId="0" applyNumberFormat="1" applyFont="1" applyFill="1" applyAlignment="1">
      <alignment horizontal="center" vertical="center"/>
    </xf>
    <xf numFmtId="1" fontId="6" fillId="0" borderId="0" xfId="0" applyNumberFormat="1" applyFont="1" applyFill="1" applyAlignment="1">
      <alignment vertical="center"/>
    </xf>
    <xf numFmtId="58" fontId="8" fillId="0" borderId="0" xfId="0" applyNumberFormat="1" applyFont="1" applyFill="1" applyAlignment="1">
      <alignment horizontal="center" vertical="center"/>
    </xf>
    <xf numFmtId="58" fontId="7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left" vertical="center"/>
    </xf>
    <xf numFmtId="178" fontId="5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58" fontId="5" fillId="0" borderId="0" xfId="0" applyNumberFormat="1" applyFont="1" applyFill="1" applyAlignment="1">
      <alignment vertical="center"/>
    </xf>
    <xf numFmtId="58" fontId="6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180" fontId="5" fillId="0" borderId="0" xfId="0" applyNumberFormat="1" applyFont="1" applyFill="1" applyAlignment="1">
      <alignment horizontal="center" vertical="center"/>
    </xf>
    <xf numFmtId="58" fontId="16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177" fontId="9" fillId="0" borderId="0" xfId="0" applyNumberFormat="1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58" fontId="0" fillId="0" borderId="0" xfId="0" applyNumberFormat="1" applyFont="1" applyFill="1" applyAlignment="1">
      <alignment horizontal="center" vertical="center"/>
    </xf>
    <xf numFmtId="58" fontId="11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177" fontId="18" fillId="0" borderId="0" xfId="6" applyNumberFormat="1" applyFont="1" applyAlignment="1">
      <alignment horizontal="left" vertical="center"/>
    </xf>
    <xf numFmtId="181" fontId="5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19" fillId="0" borderId="0" xfId="0" applyFont="1" applyFill="1" applyAlignment="1">
      <alignment vertical="center"/>
    </xf>
    <xf numFmtId="58" fontId="6" fillId="0" borderId="0" xfId="0" applyNumberFormat="1" applyFont="1" applyFill="1" applyAlignment="1">
      <alignment horizontal="center" vertical="center" wrapText="1"/>
    </xf>
    <xf numFmtId="2" fontId="0" fillId="0" borderId="0" xfId="0" applyNumberFormat="1" applyFont="1" applyFill="1" applyAlignment="1">
      <alignment vertical="center"/>
    </xf>
    <xf numFmtId="0" fontId="18" fillId="0" borderId="0" xfId="6" applyFont="1">
      <alignment vertical="center"/>
    </xf>
    <xf numFmtId="177" fontId="6" fillId="0" borderId="0" xfId="0" applyNumberFormat="1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15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D73434"/>
      </font>
      <fill>
        <patternFill patternType="solid">
          <bgColor rgb="FFFEC8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jpeg"/><Relationship Id="rId5" Type="http://schemas.openxmlformats.org/officeDocument/2006/relationships/image" Target="media/image5.png"/><Relationship Id="rId44" Type="http://schemas.openxmlformats.org/officeDocument/2006/relationships/image" Target="media/image44.jpe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jpeg"/><Relationship Id="rId39" Type="http://schemas.openxmlformats.org/officeDocument/2006/relationships/image" Target="media/image39.jpeg"/><Relationship Id="rId38" Type="http://schemas.openxmlformats.org/officeDocument/2006/relationships/image" Target="media/image38.jpeg"/><Relationship Id="rId37" Type="http://schemas.openxmlformats.org/officeDocument/2006/relationships/image" Target="media/image37.jpeg"/><Relationship Id="rId36" Type="http://schemas.openxmlformats.org/officeDocument/2006/relationships/image" Target="media/image36.jpeg"/><Relationship Id="rId35" Type="http://schemas.openxmlformats.org/officeDocument/2006/relationships/image" Target="media/image35.jpeg"/><Relationship Id="rId34" Type="http://schemas.openxmlformats.org/officeDocument/2006/relationships/image" Target="media/image34.jpeg"/><Relationship Id="rId33" Type="http://schemas.openxmlformats.org/officeDocument/2006/relationships/image" Target="media/image33.png"/><Relationship Id="rId32" Type="http://schemas.openxmlformats.org/officeDocument/2006/relationships/image" Target="media/image32.jpe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jpeg"/><Relationship Id="rId29" Type="http://schemas.openxmlformats.org/officeDocument/2006/relationships/image" Target="media/image29.jpe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png"/><Relationship Id="rId25" Type="http://schemas.openxmlformats.org/officeDocument/2006/relationships/image" Target="media/image25.jpeg"/><Relationship Id="rId24" Type="http://schemas.openxmlformats.org/officeDocument/2006/relationships/image" Target="media/image24.jpeg"/><Relationship Id="rId23" Type="http://schemas.openxmlformats.org/officeDocument/2006/relationships/image" Target="media/image23.pn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jpeg"/><Relationship Id="rId19" Type="http://schemas.openxmlformats.org/officeDocument/2006/relationships/image" Target="media/image19.jpeg"/><Relationship Id="rId18" Type="http://schemas.openxmlformats.org/officeDocument/2006/relationships/image" Target="media/image18.jpe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jpeg"/><Relationship Id="rId13" Type="http://schemas.openxmlformats.org/officeDocument/2006/relationships/image" Target="media/image13.jpeg"/><Relationship Id="rId12" Type="http://schemas.openxmlformats.org/officeDocument/2006/relationships/image" Target="media/image12.png"/><Relationship Id="rId11" Type="http://schemas.openxmlformats.org/officeDocument/2006/relationships/image" Target="media/image11.jpeg"/><Relationship Id="rId10" Type="http://schemas.openxmlformats.org/officeDocument/2006/relationships/image" Target="media/image10.jpe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amazon.com/dp/B0BRKSK745" TargetMode="External"/><Relationship Id="rId3" Type="http://schemas.openxmlformats.org/officeDocument/2006/relationships/hyperlink" Target="https://www.amazon.com/L-Lweik-Plastic-Washers-Amigurumi-Stuffed/dp/B08GCR475C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D1411"/>
  <sheetViews>
    <sheetView tabSelected="1" workbookViewId="0">
      <pane ySplit="1" topLeftCell="A2" activePane="bottomLeft" state="frozen"/>
      <selection/>
      <selection pane="bottomLeft" activeCell="A215" sqref="A215:B215"/>
    </sheetView>
  </sheetViews>
  <sheetFormatPr defaultColWidth="10.8888888888889" defaultRowHeight="23" customHeight="1"/>
  <cols>
    <col min="1" max="1" width="7" style="16" customWidth="1"/>
    <col min="2" max="2" width="6.88888888888889" style="16" customWidth="1"/>
    <col min="3" max="3" width="5.77777777777778" style="28" customWidth="1"/>
    <col min="4" max="4" width="5.44444444444444" style="14" customWidth="1"/>
    <col min="5" max="5" width="4.44444444444444" style="14" customWidth="1"/>
    <col min="6" max="7" width="5.11111111111111" style="46" customWidth="1"/>
    <col min="8" max="8" width="6.22222222222222" style="14" customWidth="1"/>
    <col min="9" max="9" width="5" style="47" customWidth="1"/>
    <col min="10" max="10" width="5.11111111111111" style="14" customWidth="1"/>
    <col min="11" max="11" width="5.88888888888889" style="48" customWidth="1"/>
    <col min="12" max="12" width="5.87407407407407" style="14" customWidth="1"/>
    <col min="13" max="13" width="5.87407407407407" style="46" customWidth="1"/>
    <col min="14" max="14" width="6.44444444444444" style="28" customWidth="1"/>
    <col min="15" max="15" width="8.91111111111111" style="33" customWidth="1"/>
    <col min="16" max="16" width="11.237037037037" style="33" customWidth="1"/>
    <col min="17" max="17" width="8.39259259259259" style="28" customWidth="1"/>
    <col min="18" max="18" width="7.66666666666667" style="16" customWidth="1"/>
    <col min="19" max="19" width="7.23703703703704" style="28" customWidth="1"/>
    <col min="20" max="20" width="5.45185185185185" style="28" customWidth="1"/>
    <col min="21" max="21" width="6.92592592592593" style="33" customWidth="1"/>
    <col min="22" max="22" width="7.76296296296296" style="14" customWidth="1"/>
    <col min="23" max="23" width="7.13333333333333" style="28" customWidth="1"/>
    <col min="24" max="24" width="8" style="28" customWidth="1"/>
    <col min="25" max="25" width="9.65185185185185" style="28" customWidth="1"/>
    <col min="26" max="16384" width="10.8888888888889" style="28"/>
  </cols>
  <sheetData>
    <row r="1" s="28" customFormat="1" customHeight="1" spans="1:18">
      <c r="A1" s="49" t="s">
        <v>0</v>
      </c>
      <c r="B1" s="49" t="s">
        <v>1</v>
      </c>
      <c r="C1" s="50" t="s">
        <v>2</v>
      </c>
      <c r="D1" s="49" t="s">
        <v>3</v>
      </c>
      <c r="E1" s="49" t="s">
        <v>4</v>
      </c>
      <c r="F1" s="51" t="s">
        <v>5</v>
      </c>
      <c r="G1" s="51" t="s">
        <v>6</v>
      </c>
      <c r="H1" s="52" t="s">
        <v>7</v>
      </c>
      <c r="I1" s="53" t="s">
        <v>8</v>
      </c>
      <c r="J1" s="50" t="s">
        <v>9</v>
      </c>
      <c r="K1" s="54" t="s">
        <v>10</v>
      </c>
      <c r="L1" s="52" t="s">
        <v>11</v>
      </c>
      <c r="M1" s="55" t="s">
        <v>12</v>
      </c>
      <c r="N1" s="49" t="s">
        <v>13</v>
      </c>
      <c r="O1" s="49" t="s">
        <v>14</v>
      </c>
      <c r="P1" s="49" t="s">
        <v>15</v>
      </c>
      <c r="Q1" s="50" t="s">
        <v>16</v>
      </c>
      <c r="R1" s="56">
        <f>SUM(M:M)</f>
        <v>116510.385</v>
      </c>
    </row>
    <row r="2" customHeight="1" collapsed="1" spans="1:18">
      <c r="A2" s="57" t="s">
        <v>17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32" t="str">
        <f>_xlfn.DISPIMG("ID_21FE4584230A4F61A119C46E1395D996",1)</f>
        <v>=DISPIMG("ID_21FE4584230A4F61A119C46E1395D996",1)</v>
      </c>
      <c r="P2" s="58"/>
      <c r="Q2" s="59"/>
    </row>
    <row r="3" hidden="1" customHeight="1" outlineLevel="1" spans="1:18">
      <c r="A3" s="24">
        <v>45475</v>
      </c>
      <c r="C3" s="14"/>
      <c r="D3" s="14">
        <v>7.5</v>
      </c>
      <c r="E3" s="14">
        <v>2</v>
      </c>
      <c r="F3" s="46">
        <v>2.22</v>
      </c>
      <c r="H3" s="60">
        <f t="shared" ref="H3:H66" si="0">D3+(E3/I3)+(F3/I3)</f>
        <v>7.922</v>
      </c>
      <c r="I3" s="47">
        <v>10</v>
      </c>
      <c r="J3" s="14">
        <v>26</v>
      </c>
      <c r="K3" s="48">
        <f t="shared" ref="K3:K66" si="1">(J3-H3)/J3</f>
        <v>0.695307692307692</v>
      </c>
      <c r="L3" s="61">
        <f t="shared" ref="L3:L66" si="2">J3-H3</f>
        <v>18.078</v>
      </c>
      <c r="M3" s="46">
        <f t="shared" ref="M3:M66" si="3">D3*I3+E3+F3</f>
        <v>79.22</v>
      </c>
      <c r="N3" s="28">
        <v>0.088</v>
      </c>
      <c r="Q3" s="59" t="s">
        <v>18</v>
      </c>
    </row>
    <row r="4" hidden="1" customHeight="1" outlineLevel="1" spans="1:18">
      <c r="A4" s="33">
        <v>45494</v>
      </c>
      <c r="B4" s="24">
        <v>45496</v>
      </c>
      <c r="C4" s="14"/>
      <c r="D4" s="14">
        <v>7.5</v>
      </c>
      <c r="E4" s="14">
        <v>2</v>
      </c>
      <c r="F4" s="46">
        <v>3.43</v>
      </c>
      <c r="H4" s="60">
        <f t="shared" si="0"/>
        <v>8.043</v>
      </c>
      <c r="I4" s="47">
        <v>10</v>
      </c>
      <c r="J4" s="14">
        <v>20.8</v>
      </c>
      <c r="K4" s="48">
        <f t="shared" si="1"/>
        <v>0.613317307692308</v>
      </c>
      <c r="L4" s="61">
        <f t="shared" si="2"/>
        <v>12.757</v>
      </c>
      <c r="M4" s="46">
        <f t="shared" si="3"/>
        <v>80.43</v>
      </c>
      <c r="Q4" s="59"/>
    </row>
    <row r="5" hidden="1" customHeight="1" outlineLevel="1" spans="1:18">
      <c r="A5" s="33">
        <v>45504</v>
      </c>
      <c r="B5" s="24">
        <v>45509</v>
      </c>
      <c r="C5" s="14"/>
      <c r="D5" s="14">
        <v>7.5</v>
      </c>
      <c r="E5" s="14">
        <v>3</v>
      </c>
      <c r="F5" s="46">
        <v>2</v>
      </c>
      <c r="H5" s="60">
        <f t="shared" si="0"/>
        <v>8</v>
      </c>
      <c r="I5" s="47">
        <v>10</v>
      </c>
      <c r="J5" s="14">
        <v>20.8</v>
      </c>
      <c r="K5" s="48">
        <f t="shared" si="1"/>
        <v>0.615384615384615</v>
      </c>
      <c r="L5" s="61">
        <f t="shared" si="2"/>
        <v>12.8</v>
      </c>
      <c r="M5" s="46">
        <f t="shared" si="3"/>
        <v>80</v>
      </c>
      <c r="Q5" s="59"/>
    </row>
    <row r="6" hidden="1" customHeight="1" outlineLevel="1" spans="1:18">
      <c r="A6" s="33">
        <v>45513</v>
      </c>
      <c r="B6" s="24">
        <v>45517</v>
      </c>
      <c r="C6" s="14"/>
      <c r="D6" s="14">
        <v>7.5</v>
      </c>
      <c r="E6" s="14">
        <v>1</v>
      </c>
      <c r="F6" s="46">
        <v>14</v>
      </c>
      <c r="H6" s="60">
        <f t="shared" si="0"/>
        <v>8.75</v>
      </c>
      <c r="I6" s="47">
        <v>12</v>
      </c>
      <c r="J6" s="14">
        <v>20.8</v>
      </c>
      <c r="K6" s="48">
        <f t="shared" si="1"/>
        <v>0.579326923076923</v>
      </c>
      <c r="L6" s="61">
        <f t="shared" si="2"/>
        <v>12.05</v>
      </c>
      <c r="M6" s="46">
        <f t="shared" si="3"/>
        <v>105</v>
      </c>
      <c r="Q6" s="59"/>
    </row>
    <row r="7" hidden="1" customHeight="1" outlineLevel="1" spans="1:18">
      <c r="A7" s="33">
        <v>45513</v>
      </c>
      <c r="B7" s="24">
        <v>45520</v>
      </c>
      <c r="C7" s="14"/>
      <c r="D7" s="14">
        <v>7.5</v>
      </c>
      <c r="E7" s="14">
        <v>1</v>
      </c>
      <c r="F7" s="46">
        <v>2</v>
      </c>
      <c r="H7" s="60">
        <f t="shared" si="0"/>
        <v>7.92857142857143</v>
      </c>
      <c r="I7" s="47">
        <v>7</v>
      </c>
      <c r="J7" s="14">
        <v>20.8</v>
      </c>
      <c r="K7" s="48">
        <f t="shared" si="1"/>
        <v>0.618818681318681</v>
      </c>
      <c r="L7" s="61">
        <f t="shared" si="2"/>
        <v>12.8714285714286</v>
      </c>
      <c r="M7" s="46">
        <f t="shared" si="3"/>
        <v>55.5</v>
      </c>
      <c r="Q7" s="59"/>
    </row>
    <row r="8" hidden="1" customHeight="1" outlineLevel="1" spans="1:18">
      <c r="A8" s="33">
        <v>45519</v>
      </c>
      <c r="B8" s="24">
        <v>45521</v>
      </c>
      <c r="C8" s="14"/>
      <c r="D8" s="14">
        <v>7.5</v>
      </c>
      <c r="E8" s="14">
        <v>2</v>
      </c>
      <c r="F8" s="46">
        <v>20.4</v>
      </c>
      <c r="H8" s="60">
        <f t="shared" si="0"/>
        <v>8.9</v>
      </c>
      <c r="I8" s="47">
        <v>16</v>
      </c>
      <c r="J8" s="14">
        <v>20.8</v>
      </c>
      <c r="K8" s="48">
        <f t="shared" si="1"/>
        <v>0.572115384615385</v>
      </c>
      <c r="L8" s="61">
        <f t="shared" si="2"/>
        <v>11.9</v>
      </c>
      <c r="M8" s="46">
        <f t="shared" si="3"/>
        <v>142.4</v>
      </c>
      <c r="Q8" s="59"/>
    </row>
    <row r="9" hidden="1" customHeight="1" outlineLevel="1" spans="1:18">
      <c r="A9" s="33">
        <v>45525</v>
      </c>
      <c r="B9" s="24">
        <v>45526</v>
      </c>
      <c r="C9" s="14"/>
      <c r="D9" s="14">
        <v>7.5</v>
      </c>
      <c r="E9" s="14">
        <v>6</v>
      </c>
      <c r="F9" s="46">
        <v>20</v>
      </c>
      <c r="H9" s="60">
        <f t="shared" si="0"/>
        <v>8.8</v>
      </c>
      <c r="I9" s="47">
        <v>20</v>
      </c>
      <c r="J9" s="14">
        <v>20.8</v>
      </c>
      <c r="K9" s="48">
        <f t="shared" si="1"/>
        <v>0.576923076923077</v>
      </c>
      <c r="L9" s="61">
        <f t="shared" si="2"/>
        <v>12</v>
      </c>
      <c r="M9" s="46">
        <f t="shared" si="3"/>
        <v>176</v>
      </c>
      <c r="Q9" s="59"/>
    </row>
    <row r="10" hidden="1" customHeight="1" outlineLevel="1" spans="1:18">
      <c r="A10" s="33">
        <v>45527</v>
      </c>
      <c r="B10" s="24">
        <v>45529</v>
      </c>
      <c r="C10" s="14"/>
      <c r="D10" s="14">
        <v>7.5</v>
      </c>
      <c r="E10" s="14">
        <v>3</v>
      </c>
      <c r="F10" s="46">
        <v>15</v>
      </c>
      <c r="H10" s="60">
        <f t="shared" si="0"/>
        <v>8.12068965517241</v>
      </c>
      <c r="I10" s="47">
        <v>29</v>
      </c>
      <c r="J10" s="14">
        <v>20.8</v>
      </c>
      <c r="K10" s="48">
        <f t="shared" si="1"/>
        <v>0.609582228116711</v>
      </c>
      <c r="L10" s="61">
        <f t="shared" si="2"/>
        <v>12.6793103448276</v>
      </c>
      <c r="M10" s="46">
        <f t="shared" si="3"/>
        <v>235.5</v>
      </c>
      <c r="Q10" s="59"/>
    </row>
    <row r="11" hidden="1" customHeight="1" outlineLevel="1" spans="1:18">
      <c r="A11" s="33">
        <v>45527</v>
      </c>
      <c r="B11" s="24">
        <v>45533</v>
      </c>
      <c r="C11" s="14"/>
      <c r="D11" s="14">
        <v>7.5</v>
      </c>
      <c r="E11" s="14">
        <v>3</v>
      </c>
      <c r="F11" s="46">
        <v>2.45</v>
      </c>
      <c r="H11" s="60">
        <f t="shared" si="0"/>
        <v>8.40833333333333</v>
      </c>
      <c r="I11" s="47">
        <v>6</v>
      </c>
      <c r="J11" s="14">
        <v>19.8</v>
      </c>
      <c r="K11" s="48">
        <f t="shared" si="1"/>
        <v>0.5753367003367</v>
      </c>
      <c r="L11" s="61">
        <f t="shared" si="2"/>
        <v>11.3916666666667</v>
      </c>
      <c r="M11" s="46">
        <f t="shared" si="3"/>
        <v>50.45</v>
      </c>
      <c r="Q11" s="59"/>
    </row>
    <row r="12" hidden="1" customHeight="1" outlineLevel="1" spans="1:18">
      <c r="A12" s="33">
        <v>45533</v>
      </c>
      <c r="B12" s="24">
        <v>45535</v>
      </c>
      <c r="C12" s="14"/>
      <c r="D12" s="14">
        <v>7.5</v>
      </c>
      <c r="E12" s="14">
        <v>3</v>
      </c>
      <c r="F12" s="46">
        <v>14.4</v>
      </c>
      <c r="H12" s="60">
        <f t="shared" si="0"/>
        <v>8.196</v>
      </c>
      <c r="I12" s="47">
        <v>25</v>
      </c>
      <c r="J12" s="14">
        <v>19.8</v>
      </c>
      <c r="K12" s="48">
        <f t="shared" si="1"/>
        <v>0.586060606060606</v>
      </c>
      <c r="L12" s="61">
        <f t="shared" si="2"/>
        <v>11.604</v>
      </c>
      <c r="M12" s="46">
        <f t="shared" si="3"/>
        <v>204.9</v>
      </c>
      <c r="Q12" s="59"/>
    </row>
    <row r="13" hidden="1" customHeight="1" outlineLevel="1" spans="1:18">
      <c r="A13" s="33">
        <v>45533</v>
      </c>
      <c r="B13" s="24">
        <v>45542</v>
      </c>
      <c r="C13" s="14"/>
      <c r="D13" s="14">
        <v>7.5</v>
      </c>
      <c r="E13" s="14">
        <v>1.5</v>
      </c>
      <c r="F13" s="46">
        <v>3</v>
      </c>
      <c r="H13" s="60">
        <f t="shared" si="0"/>
        <v>7.95</v>
      </c>
      <c r="I13" s="47">
        <v>10</v>
      </c>
      <c r="J13" s="14">
        <v>19.8</v>
      </c>
      <c r="K13" s="48">
        <f t="shared" si="1"/>
        <v>0.598484848484849</v>
      </c>
      <c r="L13" s="61">
        <f t="shared" si="2"/>
        <v>11.85</v>
      </c>
      <c r="M13" s="46">
        <f t="shared" si="3"/>
        <v>79.5</v>
      </c>
      <c r="Q13" s="59"/>
    </row>
    <row r="14" hidden="1" customHeight="1" outlineLevel="1" spans="1:18">
      <c r="A14" s="33">
        <v>45533</v>
      </c>
      <c r="B14" s="24">
        <v>45544</v>
      </c>
      <c r="C14" s="14"/>
      <c r="D14" s="14">
        <v>7.5</v>
      </c>
      <c r="E14" s="14">
        <v>1.5</v>
      </c>
      <c r="F14" s="46">
        <v>2</v>
      </c>
      <c r="H14" s="60">
        <f t="shared" si="0"/>
        <v>7.85</v>
      </c>
      <c r="I14" s="47">
        <v>10</v>
      </c>
      <c r="J14" s="14">
        <v>19.8</v>
      </c>
      <c r="K14" s="48">
        <f t="shared" si="1"/>
        <v>0.603535353535353</v>
      </c>
      <c r="L14" s="61">
        <f t="shared" si="2"/>
        <v>11.95</v>
      </c>
      <c r="M14" s="46">
        <f t="shared" si="3"/>
        <v>78.5</v>
      </c>
      <c r="Q14" s="59"/>
    </row>
    <row r="15" hidden="1" customHeight="1" outlineLevel="1" spans="1:18">
      <c r="A15" s="33">
        <v>45543</v>
      </c>
      <c r="B15" s="24">
        <v>45546</v>
      </c>
      <c r="C15" s="14"/>
      <c r="D15" s="14">
        <v>7.5</v>
      </c>
      <c r="E15" s="14">
        <v>1</v>
      </c>
      <c r="F15" s="46">
        <v>3</v>
      </c>
      <c r="H15" s="60">
        <f t="shared" si="0"/>
        <v>7.72222222222222</v>
      </c>
      <c r="I15" s="47">
        <v>18</v>
      </c>
      <c r="J15" s="14">
        <v>19.8</v>
      </c>
      <c r="K15" s="48">
        <f t="shared" si="1"/>
        <v>0.609988776655443</v>
      </c>
      <c r="L15" s="61">
        <f t="shared" si="2"/>
        <v>12.0777777777778</v>
      </c>
      <c r="M15" s="46">
        <f t="shared" si="3"/>
        <v>139</v>
      </c>
      <c r="Q15" s="59"/>
    </row>
    <row r="16" hidden="1" customHeight="1" outlineLevel="1" spans="1:18">
      <c r="A16" s="33">
        <v>45543</v>
      </c>
      <c r="B16" s="24">
        <v>45548</v>
      </c>
      <c r="C16" s="14"/>
      <c r="D16" s="14">
        <v>7.5</v>
      </c>
      <c r="E16" s="14">
        <v>1</v>
      </c>
      <c r="F16" s="46">
        <v>2.5</v>
      </c>
      <c r="H16" s="60">
        <f t="shared" si="0"/>
        <v>7.70588235294118</v>
      </c>
      <c r="I16" s="47">
        <v>17</v>
      </c>
      <c r="J16" s="14">
        <v>19.8</v>
      </c>
      <c r="K16" s="48">
        <f t="shared" si="1"/>
        <v>0.610814022578728</v>
      </c>
      <c r="L16" s="61">
        <f t="shared" si="2"/>
        <v>12.0941176470588</v>
      </c>
      <c r="M16" s="46">
        <f t="shared" si="3"/>
        <v>131</v>
      </c>
      <c r="Q16" s="59"/>
    </row>
    <row r="17" hidden="1" customHeight="1" outlineLevel="1" spans="1:17">
      <c r="A17" s="33">
        <v>45548</v>
      </c>
      <c r="B17" s="24">
        <v>45550</v>
      </c>
      <c r="C17" s="14"/>
      <c r="D17" s="14">
        <v>7.5</v>
      </c>
      <c r="E17" s="62">
        <v>1</v>
      </c>
      <c r="F17" s="46">
        <v>3</v>
      </c>
      <c r="H17" s="60">
        <f t="shared" si="0"/>
        <v>7.66666666666667</v>
      </c>
      <c r="I17" s="47">
        <v>24</v>
      </c>
      <c r="J17" s="14">
        <v>24.7</v>
      </c>
      <c r="K17" s="48">
        <f t="shared" si="1"/>
        <v>0.689608636977058</v>
      </c>
      <c r="L17" s="61">
        <f t="shared" si="2"/>
        <v>17.0333333333333</v>
      </c>
      <c r="M17" s="46">
        <f t="shared" si="3"/>
        <v>184</v>
      </c>
      <c r="Q17" s="59"/>
    </row>
    <row r="18" hidden="1" customHeight="1" outlineLevel="1" spans="1:17">
      <c r="A18" s="33">
        <v>45548</v>
      </c>
      <c r="B18" s="24">
        <v>45553</v>
      </c>
      <c r="C18" s="14"/>
      <c r="D18" s="14">
        <v>7.5</v>
      </c>
      <c r="E18" s="14">
        <v>1</v>
      </c>
      <c r="F18" s="46">
        <v>3</v>
      </c>
      <c r="H18" s="60">
        <f t="shared" si="0"/>
        <v>7.71052631578947</v>
      </c>
      <c r="I18" s="47">
        <v>19</v>
      </c>
      <c r="J18" s="14">
        <v>23.46</v>
      </c>
      <c r="K18" s="48">
        <f t="shared" si="1"/>
        <v>0.671333064118096</v>
      </c>
      <c r="L18" s="61">
        <f t="shared" si="2"/>
        <v>15.7494736842105</v>
      </c>
      <c r="M18" s="46">
        <f t="shared" si="3"/>
        <v>146.5</v>
      </c>
      <c r="Q18" s="59"/>
    </row>
    <row r="19" hidden="1" customHeight="1" outlineLevel="1" spans="1:17">
      <c r="A19" s="33">
        <v>45548</v>
      </c>
      <c r="B19" s="24">
        <v>45558</v>
      </c>
      <c r="C19" s="14"/>
      <c r="D19" s="14">
        <v>7.5</v>
      </c>
      <c r="E19" s="14">
        <v>0</v>
      </c>
      <c r="F19" s="46">
        <v>2</v>
      </c>
      <c r="H19" s="60">
        <f t="shared" si="0"/>
        <v>7.78571428571429</v>
      </c>
      <c r="I19" s="47">
        <v>7</v>
      </c>
      <c r="J19" s="14">
        <v>23.46</v>
      </c>
      <c r="K19" s="48">
        <f t="shared" si="1"/>
        <v>0.668128120813543</v>
      </c>
      <c r="L19" s="61">
        <f t="shared" si="2"/>
        <v>15.6742857142857</v>
      </c>
      <c r="M19" s="46">
        <f t="shared" si="3"/>
        <v>54.5</v>
      </c>
      <c r="Q19" s="59"/>
    </row>
    <row r="20" hidden="1" customHeight="1" outlineLevel="1" spans="1:17">
      <c r="A20" s="33">
        <v>45558</v>
      </c>
      <c r="B20" s="24">
        <v>45560</v>
      </c>
      <c r="C20" s="14"/>
      <c r="D20" s="14">
        <v>7.5</v>
      </c>
      <c r="E20" s="14">
        <v>1.5</v>
      </c>
      <c r="F20" s="46">
        <v>4</v>
      </c>
      <c r="H20" s="60">
        <f t="shared" si="0"/>
        <v>7.68333333333333</v>
      </c>
      <c r="I20" s="47">
        <v>30</v>
      </c>
      <c r="J20" s="14">
        <v>23.46</v>
      </c>
      <c r="K20" s="48">
        <f t="shared" si="1"/>
        <v>0.672492185279909</v>
      </c>
      <c r="L20" s="61">
        <f t="shared" si="2"/>
        <v>15.7766666666667</v>
      </c>
      <c r="M20" s="46">
        <f t="shared" si="3"/>
        <v>230.5</v>
      </c>
      <c r="Q20" s="59"/>
    </row>
    <row r="21" hidden="1" customHeight="1" outlineLevel="1" spans="1:17">
      <c r="A21" s="33">
        <v>45558</v>
      </c>
      <c r="B21" s="24">
        <v>45565</v>
      </c>
      <c r="C21" s="14"/>
      <c r="D21" s="14">
        <v>7.5</v>
      </c>
      <c r="E21" s="14">
        <v>1.5</v>
      </c>
      <c r="F21" s="46">
        <v>2</v>
      </c>
      <c r="H21" s="60">
        <f t="shared" si="0"/>
        <v>7.85</v>
      </c>
      <c r="I21" s="47">
        <v>10</v>
      </c>
      <c r="J21" s="14">
        <v>23.46</v>
      </c>
      <c r="K21" s="48">
        <f t="shared" si="1"/>
        <v>0.66538789428815</v>
      </c>
      <c r="L21" s="61">
        <f t="shared" si="2"/>
        <v>15.61</v>
      </c>
      <c r="M21" s="46">
        <f t="shared" si="3"/>
        <v>78.5</v>
      </c>
      <c r="Q21" s="59"/>
    </row>
    <row r="22" hidden="1" customHeight="1" outlineLevel="1" spans="1:17">
      <c r="A22" s="33">
        <v>45562</v>
      </c>
      <c r="B22" s="24">
        <v>45565</v>
      </c>
      <c r="C22" s="14"/>
      <c r="D22" s="14">
        <v>7.5</v>
      </c>
      <c r="E22" s="14">
        <v>3.5</v>
      </c>
      <c r="F22" s="46">
        <v>2</v>
      </c>
      <c r="H22" s="60">
        <f t="shared" si="0"/>
        <v>7.72916666666667</v>
      </c>
      <c r="I22" s="47">
        <v>24</v>
      </c>
      <c r="J22" s="14">
        <v>22.28</v>
      </c>
      <c r="K22" s="48">
        <f t="shared" si="1"/>
        <v>0.6530894673848</v>
      </c>
      <c r="L22" s="61">
        <f t="shared" si="2"/>
        <v>14.5508333333333</v>
      </c>
      <c r="M22" s="46">
        <f t="shared" si="3"/>
        <v>185.5</v>
      </c>
      <c r="Q22" s="59"/>
    </row>
    <row r="23" hidden="1" customHeight="1" outlineLevel="1" spans="1:17">
      <c r="A23" s="33">
        <v>45562</v>
      </c>
      <c r="B23" s="37">
        <v>45568</v>
      </c>
      <c r="C23" s="14"/>
      <c r="D23" s="14">
        <v>7.5</v>
      </c>
      <c r="E23" s="14">
        <v>3.5</v>
      </c>
      <c r="F23" s="46">
        <v>2</v>
      </c>
      <c r="H23" s="60">
        <f t="shared" si="0"/>
        <v>8.41666666666667</v>
      </c>
      <c r="I23" s="47">
        <v>6</v>
      </c>
      <c r="J23" s="14">
        <v>22.28</v>
      </c>
      <c r="K23" s="48">
        <f t="shared" si="1"/>
        <v>0.622232196289647</v>
      </c>
      <c r="L23" s="61">
        <f t="shared" si="2"/>
        <v>13.8633333333333</v>
      </c>
      <c r="M23" s="46">
        <f t="shared" si="3"/>
        <v>50.5</v>
      </c>
      <c r="Q23" s="59"/>
    </row>
    <row r="24" hidden="1" customHeight="1" outlineLevel="1" spans="1:17">
      <c r="A24" s="33">
        <v>45565</v>
      </c>
      <c r="B24" s="37"/>
      <c r="C24" s="14"/>
      <c r="D24" s="14">
        <v>7.5</v>
      </c>
      <c r="E24" s="14">
        <v>6</v>
      </c>
      <c r="F24" s="46">
        <v>2</v>
      </c>
      <c r="H24" s="60">
        <f t="shared" si="0"/>
        <v>7.84782608695652</v>
      </c>
      <c r="I24" s="47">
        <v>23</v>
      </c>
      <c r="J24" s="14">
        <v>22.28</v>
      </c>
      <c r="K24" s="48">
        <f t="shared" si="1"/>
        <v>0.647763640621341</v>
      </c>
      <c r="L24" s="61">
        <f t="shared" si="2"/>
        <v>14.4321739130435</v>
      </c>
      <c r="M24" s="46">
        <f t="shared" si="3"/>
        <v>180.5</v>
      </c>
      <c r="Q24" s="59"/>
    </row>
    <row r="25" hidden="1" customHeight="1" outlineLevel="1" spans="1:17">
      <c r="A25" s="33">
        <v>45565</v>
      </c>
      <c r="B25" s="24">
        <v>45580</v>
      </c>
      <c r="C25" s="14"/>
      <c r="D25" s="14">
        <v>7.5</v>
      </c>
      <c r="E25" s="14">
        <v>6</v>
      </c>
      <c r="F25" s="46">
        <v>3</v>
      </c>
      <c r="H25" s="60">
        <f t="shared" si="0"/>
        <v>8.02941176470588</v>
      </c>
      <c r="I25" s="47">
        <v>17</v>
      </c>
      <c r="J25" s="14">
        <v>22.28</v>
      </c>
      <c r="K25" s="48">
        <f t="shared" si="1"/>
        <v>0.639613475551801</v>
      </c>
      <c r="L25" s="61">
        <f t="shared" si="2"/>
        <v>14.2505882352941</v>
      </c>
      <c r="M25" s="46">
        <f t="shared" si="3"/>
        <v>136.5</v>
      </c>
      <c r="Q25" s="59"/>
    </row>
    <row r="26" hidden="1" customHeight="1" outlineLevel="1" spans="1:17">
      <c r="A26" s="33">
        <v>45572</v>
      </c>
      <c r="B26" s="24">
        <v>45583</v>
      </c>
      <c r="C26" s="14"/>
      <c r="D26" s="14">
        <v>7.5</v>
      </c>
      <c r="E26" s="14">
        <v>3</v>
      </c>
      <c r="F26" s="46">
        <v>3.5</v>
      </c>
      <c r="H26" s="60">
        <f t="shared" si="0"/>
        <v>7.76</v>
      </c>
      <c r="I26" s="47">
        <v>25</v>
      </c>
      <c r="J26" s="14">
        <v>22.28</v>
      </c>
      <c r="K26" s="48">
        <f t="shared" si="1"/>
        <v>0.651705565529623</v>
      </c>
      <c r="L26" s="61">
        <f t="shared" si="2"/>
        <v>14.52</v>
      </c>
      <c r="M26" s="46">
        <f t="shared" si="3"/>
        <v>194</v>
      </c>
      <c r="Q26" s="59"/>
    </row>
    <row r="27" hidden="1" customHeight="1" outlineLevel="1" spans="1:17">
      <c r="A27" s="33">
        <v>45572</v>
      </c>
      <c r="B27" s="24">
        <v>45589</v>
      </c>
      <c r="C27" s="14"/>
      <c r="D27" s="14">
        <v>7.5</v>
      </c>
      <c r="E27" s="14">
        <v>2</v>
      </c>
      <c r="F27" s="46">
        <v>3</v>
      </c>
      <c r="H27" s="60">
        <f t="shared" si="0"/>
        <v>7.72727272727273</v>
      </c>
      <c r="I27" s="47">
        <v>22</v>
      </c>
      <c r="J27" s="14">
        <v>22.28</v>
      </c>
      <c r="K27" s="48">
        <f t="shared" si="1"/>
        <v>0.65317447364126</v>
      </c>
      <c r="L27" s="61">
        <f t="shared" si="2"/>
        <v>14.5527272727273</v>
      </c>
      <c r="M27" s="46">
        <f t="shared" si="3"/>
        <v>170</v>
      </c>
      <c r="Q27" s="59"/>
    </row>
    <row r="28" hidden="1" customHeight="1" outlineLevel="1" spans="1:17">
      <c r="A28" s="33">
        <v>45572</v>
      </c>
      <c r="B28" s="24">
        <v>45596</v>
      </c>
      <c r="D28" s="14">
        <v>7.5</v>
      </c>
      <c r="E28" s="14">
        <v>1</v>
      </c>
      <c r="F28" s="46">
        <v>0</v>
      </c>
      <c r="H28" s="60">
        <f t="shared" si="0"/>
        <v>7.83333333333333</v>
      </c>
      <c r="I28" s="47">
        <v>3</v>
      </c>
      <c r="J28" s="14">
        <v>22.28</v>
      </c>
      <c r="K28" s="48">
        <f t="shared" si="1"/>
        <v>0.648414123279473</v>
      </c>
      <c r="L28" s="61">
        <f t="shared" si="2"/>
        <v>14.4466666666667</v>
      </c>
      <c r="M28" s="46">
        <f t="shared" si="3"/>
        <v>23.5</v>
      </c>
    </row>
    <row r="29" hidden="1" customHeight="1" outlineLevel="1" spans="1:17">
      <c r="A29" s="24">
        <v>45593</v>
      </c>
      <c r="B29" s="24">
        <v>45596</v>
      </c>
      <c r="D29" s="14">
        <v>7.5</v>
      </c>
      <c r="E29" s="14">
        <v>6</v>
      </c>
      <c r="F29" s="46">
        <v>4</v>
      </c>
      <c r="H29" s="60">
        <f t="shared" si="0"/>
        <v>7.83333333333333</v>
      </c>
      <c r="I29" s="47">
        <v>30</v>
      </c>
      <c r="J29" s="14">
        <v>22.28</v>
      </c>
      <c r="K29" s="48">
        <f t="shared" si="1"/>
        <v>0.648414123279473</v>
      </c>
      <c r="L29" s="61">
        <f t="shared" si="2"/>
        <v>14.4466666666667</v>
      </c>
      <c r="M29" s="46">
        <f t="shared" si="3"/>
        <v>235</v>
      </c>
    </row>
    <row r="30" hidden="1" customHeight="1" outlineLevel="1" spans="1:17">
      <c r="A30" s="24">
        <v>45600</v>
      </c>
      <c r="B30" s="24">
        <v>45606</v>
      </c>
      <c r="D30" s="14">
        <v>7.5</v>
      </c>
      <c r="E30" s="14">
        <v>3</v>
      </c>
      <c r="F30" s="46">
        <v>4</v>
      </c>
      <c r="H30" s="60">
        <f t="shared" si="0"/>
        <v>7.73333333333333</v>
      </c>
      <c r="I30" s="47">
        <v>30</v>
      </c>
      <c r="J30" s="14">
        <v>22.28</v>
      </c>
      <c r="K30" s="48">
        <f t="shared" si="1"/>
        <v>0.652902453620586</v>
      </c>
      <c r="L30" s="61">
        <f t="shared" si="2"/>
        <v>14.5466666666667</v>
      </c>
      <c r="M30" s="46">
        <f t="shared" si="3"/>
        <v>232</v>
      </c>
    </row>
    <row r="31" hidden="1" customHeight="1" outlineLevel="1" spans="1:17">
      <c r="A31" s="24">
        <v>45612</v>
      </c>
      <c r="B31" s="24">
        <v>45614</v>
      </c>
      <c r="D31" s="14">
        <v>7.5</v>
      </c>
      <c r="E31" s="14">
        <v>3</v>
      </c>
      <c r="F31" s="46">
        <v>4</v>
      </c>
      <c r="H31" s="60">
        <f t="shared" si="0"/>
        <v>7.73333333333333</v>
      </c>
      <c r="I31" s="47">
        <v>30</v>
      </c>
      <c r="J31" s="14">
        <v>20</v>
      </c>
      <c r="K31" s="48">
        <f t="shared" si="1"/>
        <v>0.613333333333333</v>
      </c>
      <c r="L31" s="61">
        <f t="shared" si="2"/>
        <v>12.2666666666667</v>
      </c>
      <c r="M31" s="46">
        <f t="shared" si="3"/>
        <v>232</v>
      </c>
    </row>
    <row r="32" hidden="1" customHeight="1" outlineLevel="1" spans="1:17">
      <c r="A32" s="24">
        <v>45623</v>
      </c>
      <c r="B32" s="24">
        <v>45626</v>
      </c>
      <c r="D32" s="14">
        <v>7.5</v>
      </c>
      <c r="E32" s="14">
        <v>3</v>
      </c>
      <c r="F32" s="46">
        <v>3</v>
      </c>
      <c r="H32" s="60">
        <f t="shared" si="0"/>
        <v>7.8</v>
      </c>
      <c r="I32" s="47">
        <v>20</v>
      </c>
      <c r="J32" s="14">
        <v>20</v>
      </c>
      <c r="K32" s="48">
        <f t="shared" si="1"/>
        <v>0.61</v>
      </c>
      <c r="L32" s="61">
        <f t="shared" si="2"/>
        <v>12.2</v>
      </c>
      <c r="M32" s="46">
        <f t="shared" si="3"/>
        <v>156</v>
      </c>
    </row>
    <row r="33" hidden="1" customHeight="1" outlineLevel="1" spans="1:17">
      <c r="A33" s="24">
        <v>45628</v>
      </c>
      <c r="B33" s="24">
        <v>45632</v>
      </c>
      <c r="D33" s="14">
        <v>7.5</v>
      </c>
      <c r="E33" s="14">
        <v>2</v>
      </c>
      <c r="F33" s="46">
        <v>3.5</v>
      </c>
      <c r="H33" s="60">
        <f t="shared" si="0"/>
        <v>7.86666666666667</v>
      </c>
      <c r="I33" s="47">
        <v>15</v>
      </c>
      <c r="J33" s="14">
        <v>20</v>
      </c>
      <c r="K33" s="48">
        <f t="shared" si="1"/>
        <v>0.606666666666667</v>
      </c>
      <c r="L33" s="61">
        <f t="shared" si="2"/>
        <v>12.1333333333333</v>
      </c>
      <c r="M33" s="46">
        <f t="shared" si="3"/>
        <v>118</v>
      </c>
    </row>
    <row r="34" hidden="1" customHeight="1" outlineLevel="1" spans="1:17">
      <c r="A34" s="24">
        <v>45631</v>
      </c>
      <c r="B34" s="24">
        <v>45633</v>
      </c>
      <c r="D34" s="14">
        <v>7.5</v>
      </c>
      <c r="E34" s="14">
        <v>6</v>
      </c>
      <c r="F34" s="46">
        <v>3</v>
      </c>
      <c r="H34" s="60">
        <f t="shared" si="0"/>
        <v>7.90909090909091</v>
      </c>
      <c r="I34" s="47">
        <v>22</v>
      </c>
      <c r="J34" s="14">
        <v>20</v>
      </c>
      <c r="K34" s="48">
        <f t="shared" si="1"/>
        <v>0.604545454545454</v>
      </c>
      <c r="L34" s="61">
        <f t="shared" si="2"/>
        <v>12.0909090909091</v>
      </c>
      <c r="M34" s="46">
        <f t="shared" si="3"/>
        <v>174</v>
      </c>
    </row>
    <row r="35" hidden="1" customHeight="1" outlineLevel="1" spans="1:17">
      <c r="A35" s="24">
        <v>45631</v>
      </c>
      <c r="B35" s="37">
        <v>45638</v>
      </c>
      <c r="D35" s="14">
        <v>7.5</v>
      </c>
      <c r="E35" s="14">
        <v>0</v>
      </c>
      <c r="F35" s="46">
        <v>3</v>
      </c>
      <c r="H35" s="60">
        <f t="shared" si="0"/>
        <v>8.5</v>
      </c>
      <c r="I35" s="47">
        <v>3</v>
      </c>
      <c r="J35" s="14">
        <v>20</v>
      </c>
      <c r="K35" s="48">
        <f t="shared" si="1"/>
        <v>0.575</v>
      </c>
      <c r="L35" s="61">
        <f t="shared" si="2"/>
        <v>11.5</v>
      </c>
      <c r="M35" s="46">
        <f t="shared" si="3"/>
        <v>25.5</v>
      </c>
    </row>
    <row r="36" hidden="1" customHeight="1" outlineLevel="1" spans="1:17">
      <c r="A36" s="24">
        <v>45635</v>
      </c>
      <c r="B36" s="37"/>
      <c r="D36" s="14">
        <v>7.5</v>
      </c>
      <c r="E36" s="14">
        <v>1.5</v>
      </c>
      <c r="H36" s="60">
        <f t="shared" si="0"/>
        <v>7.55</v>
      </c>
      <c r="I36" s="47">
        <v>30</v>
      </c>
      <c r="J36" s="14">
        <v>20</v>
      </c>
      <c r="K36" s="48">
        <f t="shared" si="1"/>
        <v>0.6225</v>
      </c>
      <c r="L36" s="61">
        <f t="shared" si="2"/>
        <v>12.45</v>
      </c>
      <c r="M36" s="46">
        <f t="shared" si="3"/>
        <v>226.5</v>
      </c>
    </row>
    <row r="37" hidden="1" customHeight="1" outlineLevel="1" spans="1:17">
      <c r="A37" s="24">
        <v>45639</v>
      </c>
      <c r="B37" s="24">
        <v>45641</v>
      </c>
      <c r="D37" s="14">
        <v>7.5</v>
      </c>
      <c r="E37" s="14">
        <v>3</v>
      </c>
      <c r="F37" s="46">
        <v>3</v>
      </c>
      <c r="H37" s="60">
        <f t="shared" si="0"/>
        <v>7.65</v>
      </c>
      <c r="I37" s="47">
        <v>40</v>
      </c>
      <c r="J37" s="14">
        <v>20</v>
      </c>
      <c r="K37" s="48">
        <f t="shared" si="1"/>
        <v>0.6175</v>
      </c>
      <c r="L37" s="61">
        <f t="shared" si="2"/>
        <v>12.35</v>
      </c>
      <c r="M37" s="46">
        <f t="shared" si="3"/>
        <v>306</v>
      </c>
      <c r="Q37" s="13" t="s">
        <v>19</v>
      </c>
    </row>
    <row r="38" hidden="1" customHeight="1" outlineLevel="1" spans="1:17">
      <c r="A38" s="24">
        <v>45641</v>
      </c>
      <c r="B38" s="24">
        <v>45644</v>
      </c>
      <c r="D38" s="14">
        <v>7.5</v>
      </c>
      <c r="E38" s="14">
        <v>3</v>
      </c>
      <c r="F38" s="46">
        <v>7.6</v>
      </c>
      <c r="H38" s="60">
        <f t="shared" si="0"/>
        <v>7.80285714285714</v>
      </c>
      <c r="I38" s="47">
        <v>35</v>
      </c>
      <c r="J38" s="14">
        <v>20</v>
      </c>
      <c r="K38" s="48">
        <f t="shared" si="1"/>
        <v>0.609857142857143</v>
      </c>
      <c r="L38" s="61">
        <f t="shared" si="2"/>
        <v>12.1971428571429</v>
      </c>
      <c r="M38" s="46">
        <f t="shared" si="3"/>
        <v>273.1</v>
      </c>
    </row>
    <row r="39" hidden="1" customHeight="1" outlineLevel="1" spans="1:17">
      <c r="A39" s="24">
        <v>45641</v>
      </c>
      <c r="B39" s="24">
        <v>45644</v>
      </c>
      <c r="D39" s="14">
        <v>7.5</v>
      </c>
      <c r="E39" s="14">
        <v>6</v>
      </c>
      <c r="F39" s="46">
        <v>3</v>
      </c>
      <c r="H39" s="60">
        <f t="shared" si="0"/>
        <v>7.86</v>
      </c>
      <c r="I39" s="47">
        <v>25</v>
      </c>
      <c r="J39" s="14">
        <v>20</v>
      </c>
      <c r="K39" s="48">
        <f t="shared" si="1"/>
        <v>0.607</v>
      </c>
      <c r="L39" s="61">
        <f t="shared" si="2"/>
        <v>12.14</v>
      </c>
      <c r="M39" s="46">
        <f t="shared" si="3"/>
        <v>196.5</v>
      </c>
    </row>
    <row r="40" hidden="1" customHeight="1" outlineLevel="1" spans="1:17">
      <c r="A40" s="24">
        <v>45643</v>
      </c>
      <c r="B40" s="24">
        <v>45646</v>
      </c>
      <c r="D40" s="14">
        <v>7.5</v>
      </c>
      <c r="E40" s="14">
        <v>3</v>
      </c>
      <c r="F40" s="46">
        <v>3</v>
      </c>
      <c r="H40" s="60">
        <f t="shared" si="0"/>
        <v>7.7</v>
      </c>
      <c r="I40" s="47">
        <v>30</v>
      </c>
      <c r="J40" s="14">
        <v>20</v>
      </c>
      <c r="K40" s="48">
        <f t="shared" si="1"/>
        <v>0.615</v>
      </c>
      <c r="L40" s="61">
        <f t="shared" si="2"/>
        <v>12.3</v>
      </c>
      <c r="M40" s="46">
        <f t="shared" si="3"/>
        <v>231</v>
      </c>
      <c r="Q40" s="13" t="s">
        <v>20</v>
      </c>
    </row>
    <row r="41" hidden="1" customHeight="1" outlineLevel="1" spans="1:17">
      <c r="A41" s="24">
        <v>45645</v>
      </c>
      <c r="B41" s="24">
        <v>45647</v>
      </c>
      <c r="D41" s="14">
        <v>7.5</v>
      </c>
      <c r="E41" s="14">
        <v>6</v>
      </c>
      <c r="F41" s="46">
        <v>10</v>
      </c>
      <c r="H41" s="60">
        <f t="shared" si="0"/>
        <v>7.7</v>
      </c>
      <c r="I41" s="47">
        <v>80</v>
      </c>
      <c r="J41" s="14">
        <v>20</v>
      </c>
      <c r="K41" s="48">
        <f t="shared" si="1"/>
        <v>0.615</v>
      </c>
      <c r="L41" s="61">
        <f t="shared" si="2"/>
        <v>12.3</v>
      </c>
      <c r="M41" s="46">
        <f t="shared" si="3"/>
        <v>616</v>
      </c>
    </row>
    <row r="42" hidden="1" customHeight="1" outlineLevel="1" spans="1:17">
      <c r="A42" s="63">
        <v>45655</v>
      </c>
      <c r="B42" s="24">
        <v>45658</v>
      </c>
      <c r="D42" s="14">
        <v>7.5</v>
      </c>
      <c r="E42" s="14">
        <v>2</v>
      </c>
      <c r="F42" s="46">
        <v>6</v>
      </c>
      <c r="H42" s="60">
        <f t="shared" si="0"/>
        <v>7.66</v>
      </c>
      <c r="I42" s="47">
        <v>50</v>
      </c>
      <c r="J42" s="14">
        <v>20</v>
      </c>
      <c r="K42" s="48">
        <f t="shared" si="1"/>
        <v>0.617</v>
      </c>
      <c r="L42" s="61">
        <f t="shared" si="2"/>
        <v>12.34</v>
      </c>
      <c r="M42" s="46">
        <f t="shared" si="3"/>
        <v>383</v>
      </c>
    </row>
    <row r="43" hidden="1" customHeight="1" outlineLevel="1" spans="1:17">
      <c r="A43" s="63">
        <v>45658</v>
      </c>
      <c r="B43" s="24">
        <v>45662</v>
      </c>
      <c r="D43" s="14">
        <v>7.5</v>
      </c>
      <c r="E43" s="14">
        <v>2</v>
      </c>
      <c r="F43" s="46">
        <v>13</v>
      </c>
      <c r="H43" s="60">
        <f t="shared" si="0"/>
        <v>7.625</v>
      </c>
      <c r="I43" s="47">
        <v>120</v>
      </c>
      <c r="J43" s="14">
        <v>20</v>
      </c>
      <c r="K43" s="48">
        <f t="shared" si="1"/>
        <v>0.61875</v>
      </c>
      <c r="L43" s="61">
        <f t="shared" si="2"/>
        <v>12.375</v>
      </c>
      <c r="M43" s="46">
        <f t="shared" si="3"/>
        <v>915</v>
      </c>
    </row>
    <row r="44" hidden="1" customHeight="1" outlineLevel="1" spans="1:17">
      <c r="A44" s="24">
        <v>45664</v>
      </c>
      <c r="B44" s="24">
        <v>45668</v>
      </c>
      <c r="D44" s="14">
        <v>7.5</v>
      </c>
      <c r="E44" s="14">
        <v>6</v>
      </c>
      <c r="F44" s="46">
        <v>7</v>
      </c>
      <c r="H44" s="60">
        <f t="shared" si="0"/>
        <v>7.63</v>
      </c>
      <c r="I44" s="47">
        <v>100</v>
      </c>
      <c r="J44" s="14">
        <v>20</v>
      </c>
      <c r="K44" s="48">
        <f t="shared" si="1"/>
        <v>0.6185</v>
      </c>
      <c r="L44" s="61">
        <f t="shared" si="2"/>
        <v>12.37</v>
      </c>
      <c r="M44" s="46">
        <f t="shared" si="3"/>
        <v>763</v>
      </c>
      <c r="Q44" s="13" t="s">
        <v>21</v>
      </c>
    </row>
    <row r="45" hidden="1" customHeight="1" outlineLevel="1" spans="1:17">
      <c r="A45" s="24">
        <v>45674</v>
      </c>
      <c r="B45" s="24">
        <v>45676</v>
      </c>
      <c r="D45" s="14">
        <v>7.5</v>
      </c>
      <c r="E45" s="14">
        <v>6</v>
      </c>
      <c r="F45" s="46">
        <v>11</v>
      </c>
      <c r="H45" s="60">
        <f t="shared" si="0"/>
        <v>7.66190476190476</v>
      </c>
      <c r="I45" s="47">
        <v>105</v>
      </c>
      <c r="J45" s="14">
        <v>20</v>
      </c>
      <c r="K45" s="48">
        <f t="shared" si="1"/>
        <v>0.616904761904762</v>
      </c>
      <c r="L45" s="61">
        <f t="shared" si="2"/>
        <v>12.3380952380952</v>
      </c>
      <c r="M45" s="46">
        <f t="shared" si="3"/>
        <v>804.5</v>
      </c>
      <c r="Q45" s="13"/>
    </row>
    <row r="46" hidden="1" customHeight="1" outlineLevel="1" spans="1:17">
      <c r="A46" s="24">
        <v>45676</v>
      </c>
      <c r="B46" s="24">
        <v>45679</v>
      </c>
      <c r="D46" s="14">
        <v>7.5</v>
      </c>
      <c r="E46" s="14">
        <v>6</v>
      </c>
      <c r="F46" s="46">
        <v>8</v>
      </c>
      <c r="H46" s="60">
        <f t="shared" si="0"/>
        <v>7.7</v>
      </c>
      <c r="I46" s="47">
        <v>70</v>
      </c>
      <c r="J46" s="14">
        <v>20</v>
      </c>
      <c r="K46" s="48">
        <f t="shared" si="1"/>
        <v>0.615</v>
      </c>
      <c r="L46" s="61">
        <f t="shared" si="2"/>
        <v>12.3</v>
      </c>
      <c r="M46" s="46">
        <f t="shared" si="3"/>
        <v>539</v>
      </c>
      <c r="Q46" s="13"/>
    </row>
    <row r="47" hidden="1" customHeight="1" outlineLevel="1" spans="1:17">
      <c r="A47" s="24">
        <v>45693</v>
      </c>
      <c r="B47" s="24">
        <v>45696</v>
      </c>
      <c r="D47" s="14">
        <v>7.5</v>
      </c>
      <c r="E47" s="14">
        <v>0</v>
      </c>
      <c r="F47" s="46">
        <v>10.5</v>
      </c>
      <c r="H47" s="60">
        <f t="shared" si="0"/>
        <v>7.61666666666667</v>
      </c>
      <c r="I47" s="47">
        <v>90</v>
      </c>
      <c r="J47" s="14">
        <v>20</v>
      </c>
      <c r="K47" s="48">
        <f t="shared" si="1"/>
        <v>0.619166666666667</v>
      </c>
      <c r="L47" s="61">
        <f t="shared" si="2"/>
        <v>12.3833333333333</v>
      </c>
      <c r="M47" s="46">
        <f t="shared" si="3"/>
        <v>685.5</v>
      </c>
      <c r="Q47" s="13"/>
    </row>
    <row r="48" hidden="1" customHeight="1" outlineLevel="1" spans="1:17">
      <c r="A48" s="24">
        <v>45693</v>
      </c>
      <c r="B48" s="24">
        <v>45699</v>
      </c>
      <c r="D48" s="14">
        <v>7.5</v>
      </c>
      <c r="E48" s="14">
        <v>0</v>
      </c>
      <c r="F48" s="46">
        <v>2</v>
      </c>
      <c r="H48" s="60">
        <f t="shared" si="0"/>
        <v>7.68181818181818</v>
      </c>
      <c r="I48" s="47">
        <v>11</v>
      </c>
      <c r="J48" s="14">
        <v>20</v>
      </c>
      <c r="K48" s="48">
        <f t="shared" si="1"/>
        <v>0.615909090909091</v>
      </c>
      <c r="L48" s="61">
        <f t="shared" si="2"/>
        <v>12.3181818181818</v>
      </c>
      <c r="M48" s="46">
        <f t="shared" si="3"/>
        <v>84.5</v>
      </c>
      <c r="Q48" s="13"/>
    </row>
    <row r="49" hidden="1" customHeight="1" outlineLevel="1" spans="1:17">
      <c r="A49" s="24">
        <v>45698</v>
      </c>
      <c r="B49" s="24">
        <v>45703</v>
      </c>
      <c r="D49" s="14">
        <v>7.5</v>
      </c>
      <c r="E49" s="14">
        <v>3</v>
      </c>
      <c r="F49" s="46">
        <v>10.4</v>
      </c>
      <c r="H49" s="60">
        <f t="shared" si="0"/>
        <v>7.64888888888889</v>
      </c>
      <c r="I49" s="47">
        <v>90</v>
      </c>
      <c r="J49" s="14">
        <v>20</v>
      </c>
      <c r="K49" s="48">
        <f t="shared" si="1"/>
        <v>0.617555555555556</v>
      </c>
      <c r="L49" s="61">
        <f t="shared" si="2"/>
        <v>12.3511111111111</v>
      </c>
      <c r="M49" s="46">
        <f t="shared" si="3"/>
        <v>688.4</v>
      </c>
      <c r="Q49" s="13"/>
    </row>
    <row r="50" hidden="1" customHeight="1" outlineLevel="1" spans="1:17">
      <c r="A50" s="24">
        <v>45700</v>
      </c>
      <c r="B50" s="24">
        <v>45702</v>
      </c>
      <c r="D50" s="14">
        <v>7.5</v>
      </c>
      <c r="E50" s="14">
        <v>3</v>
      </c>
      <c r="F50" s="46">
        <v>5.5</v>
      </c>
      <c r="H50" s="60">
        <f t="shared" si="0"/>
        <v>7.64166666666667</v>
      </c>
      <c r="I50" s="47">
        <v>60</v>
      </c>
      <c r="J50" s="14">
        <v>20</v>
      </c>
      <c r="K50" s="48">
        <f t="shared" si="1"/>
        <v>0.617916666666667</v>
      </c>
      <c r="L50" s="61">
        <f t="shared" si="2"/>
        <v>12.3583333333333</v>
      </c>
      <c r="M50" s="46">
        <f t="shared" si="3"/>
        <v>458.5</v>
      </c>
      <c r="Q50" s="13"/>
    </row>
    <row r="51" hidden="1" customHeight="1" outlineLevel="1" spans="1:17">
      <c r="A51" s="24">
        <v>45707</v>
      </c>
      <c r="B51" s="24">
        <v>45710</v>
      </c>
      <c r="D51" s="14">
        <v>7.5</v>
      </c>
      <c r="E51" s="14">
        <v>4</v>
      </c>
      <c r="F51" s="46">
        <v>6</v>
      </c>
      <c r="H51" s="60">
        <f t="shared" si="0"/>
        <v>7.66666666666667</v>
      </c>
      <c r="I51" s="47">
        <v>60</v>
      </c>
      <c r="J51" s="14">
        <v>20</v>
      </c>
      <c r="K51" s="48">
        <f t="shared" si="1"/>
        <v>0.616666666666667</v>
      </c>
      <c r="L51" s="61">
        <f t="shared" si="2"/>
        <v>12.3333333333333</v>
      </c>
      <c r="M51" s="46">
        <f t="shared" si="3"/>
        <v>460</v>
      </c>
      <c r="N51" s="15"/>
      <c r="O51" s="15"/>
      <c r="P51" s="15"/>
    </row>
    <row r="52" hidden="1" customHeight="1" outlineLevel="1" spans="1:17">
      <c r="A52" s="24">
        <v>45707</v>
      </c>
      <c r="B52" s="24">
        <v>45715</v>
      </c>
      <c r="D52" s="14">
        <v>7.5</v>
      </c>
      <c r="E52" s="14">
        <v>4</v>
      </c>
      <c r="F52" s="46">
        <v>6.5</v>
      </c>
      <c r="H52" s="60">
        <f t="shared" si="0"/>
        <v>7.68103448275862</v>
      </c>
      <c r="I52" s="47">
        <v>58</v>
      </c>
      <c r="J52" s="14">
        <v>20</v>
      </c>
      <c r="K52" s="48">
        <f t="shared" si="1"/>
        <v>0.615948275862069</v>
      </c>
      <c r="L52" s="61">
        <f t="shared" si="2"/>
        <v>12.3189655172414</v>
      </c>
      <c r="M52" s="46">
        <f t="shared" si="3"/>
        <v>445.5</v>
      </c>
      <c r="N52" s="15"/>
      <c r="O52" s="15"/>
      <c r="P52" s="15"/>
    </row>
    <row r="53" hidden="1" customHeight="1" outlineLevel="1" spans="1:17">
      <c r="A53" s="24">
        <v>45714</v>
      </c>
      <c r="B53" s="24">
        <v>45717</v>
      </c>
      <c r="D53" s="14">
        <v>7.5</v>
      </c>
      <c r="E53" s="14">
        <v>3</v>
      </c>
      <c r="F53" s="46">
        <v>6</v>
      </c>
      <c r="H53" s="60">
        <f t="shared" si="0"/>
        <v>7.68</v>
      </c>
      <c r="I53" s="47">
        <v>50</v>
      </c>
      <c r="J53" s="14">
        <v>20</v>
      </c>
      <c r="K53" s="48">
        <f t="shared" si="1"/>
        <v>0.616</v>
      </c>
      <c r="L53" s="61">
        <f t="shared" si="2"/>
        <v>12.32</v>
      </c>
      <c r="M53" s="46">
        <f t="shared" si="3"/>
        <v>384</v>
      </c>
      <c r="N53" s="15"/>
      <c r="O53" s="15"/>
      <c r="P53" s="15"/>
    </row>
    <row r="54" hidden="1" customHeight="1" outlineLevel="1" spans="1:17">
      <c r="A54" s="24">
        <v>45718</v>
      </c>
      <c r="B54" s="24">
        <v>45752</v>
      </c>
      <c r="D54" s="14">
        <v>7.5</v>
      </c>
      <c r="E54" s="14">
        <v>1</v>
      </c>
      <c r="F54" s="46">
        <v>5</v>
      </c>
      <c r="H54" s="60">
        <f t="shared" si="0"/>
        <v>7.92857142857143</v>
      </c>
      <c r="I54" s="47">
        <v>14</v>
      </c>
      <c r="J54" s="14">
        <v>20</v>
      </c>
      <c r="K54" s="48">
        <f t="shared" si="1"/>
        <v>0.603571428571429</v>
      </c>
      <c r="L54" s="61">
        <f t="shared" si="2"/>
        <v>12.0714285714286</v>
      </c>
      <c r="M54" s="46">
        <f t="shared" si="3"/>
        <v>111</v>
      </c>
      <c r="N54" s="15"/>
      <c r="O54" s="15"/>
      <c r="P54" s="15"/>
    </row>
    <row r="55" hidden="1" customHeight="1" outlineLevel="1" spans="1:17">
      <c r="A55" s="24">
        <v>45718</v>
      </c>
      <c r="B55" s="24">
        <v>45757</v>
      </c>
      <c r="D55" s="14">
        <v>7.5</v>
      </c>
      <c r="E55" s="14">
        <v>1</v>
      </c>
      <c r="F55" s="46">
        <v>2</v>
      </c>
      <c r="H55" s="60">
        <f t="shared" si="0"/>
        <v>7.71428571428571</v>
      </c>
      <c r="I55" s="47">
        <v>14</v>
      </c>
      <c r="J55" s="14">
        <v>20</v>
      </c>
      <c r="K55" s="48">
        <f t="shared" si="1"/>
        <v>0.614285714285714</v>
      </c>
      <c r="L55" s="61">
        <f t="shared" si="2"/>
        <v>12.2857142857143</v>
      </c>
      <c r="M55" s="46">
        <f t="shared" si="3"/>
        <v>108</v>
      </c>
      <c r="N55" s="15"/>
      <c r="O55" s="15"/>
      <c r="P55" s="15"/>
    </row>
    <row r="56" hidden="1" customHeight="1" outlineLevel="1" spans="1:17">
      <c r="A56" s="24">
        <v>45757</v>
      </c>
      <c r="B56" s="24">
        <v>45759</v>
      </c>
      <c r="D56" s="14">
        <v>7.5</v>
      </c>
      <c r="E56" s="14">
        <v>2</v>
      </c>
      <c r="F56" s="46">
        <v>3</v>
      </c>
      <c r="H56" s="60">
        <f t="shared" si="0"/>
        <v>7.83333333333333</v>
      </c>
      <c r="I56" s="47">
        <v>15</v>
      </c>
      <c r="J56" s="14">
        <v>20</v>
      </c>
      <c r="K56" s="48">
        <f t="shared" si="1"/>
        <v>0.608333333333333</v>
      </c>
      <c r="L56" s="61">
        <f t="shared" si="2"/>
        <v>12.1666666666667</v>
      </c>
      <c r="M56" s="46">
        <f t="shared" si="3"/>
        <v>117.5</v>
      </c>
      <c r="N56" s="15"/>
      <c r="O56" s="15"/>
      <c r="P56" s="15"/>
    </row>
    <row r="57" hidden="1" customHeight="1" outlineLevel="1" spans="1:17">
      <c r="A57" s="24">
        <v>45757</v>
      </c>
      <c r="B57" s="24">
        <v>45761</v>
      </c>
      <c r="D57" s="14">
        <v>7.5</v>
      </c>
      <c r="E57" s="14">
        <v>2</v>
      </c>
      <c r="F57" s="46">
        <v>3</v>
      </c>
      <c r="H57" s="60">
        <f t="shared" si="0"/>
        <v>7.83333333333333</v>
      </c>
      <c r="I57" s="47">
        <v>15</v>
      </c>
      <c r="J57" s="14">
        <v>20</v>
      </c>
      <c r="K57" s="48">
        <f t="shared" si="1"/>
        <v>0.608333333333333</v>
      </c>
      <c r="L57" s="61">
        <f t="shared" si="2"/>
        <v>12.1666666666667</v>
      </c>
      <c r="M57" s="46">
        <f t="shared" si="3"/>
        <v>117.5</v>
      </c>
      <c r="N57" s="15"/>
      <c r="O57" s="15"/>
      <c r="P57" s="15"/>
    </row>
    <row r="58" hidden="1" customHeight="1" outlineLevel="1" spans="1:17">
      <c r="A58" s="24">
        <v>45762</v>
      </c>
      <c r="B58" s="24">
        <v>45766</v>
      </c>
      <c r="D58" s="14">
        <v>7.5</v>
      </c>
      <c r="E58" s="14">
        <v>5</v>
      </c>
      <c r="F58" s="46">
        <v>5</v>
      </c>
      <c r="H58" s="60">
        <f t="shared" si="0"/>
        <v>7.83333333333333</v>
      </c>
      <c r="I58" s="47">
        <v>30</v>
      </c>
      <c r="J58" s="14">
        <v>20</v>
      </c>
      <c r="K58" s="48">
        <f t="shared" si="1"/>
        <v>0.608333333333333</v>
      </c>
      <c r="L58" s="61">
        <f t="shared" si="2"/>
        <v>12.1666666666667</v>
      </c>
      <c r="M58" s="46">
        <f t="shared" si="3"/>
        <v>235</v>
      </c>
      <c r="N58" s="15"/>
      <c r="O58" s="15"/>
      <c r="P58" s="15"/>
    </row>
    <row r="59" hidden="1" customHeight="1" outlineLevel="1" spans="1:17">
      <c r="A59" s="24">
        <v>45767</v>
      </c>
      <c r="B59" s="24">
        <v>45771</v>
      </c>
      <c r="D59" s="14">
        <v>7.5</v>
      </c>
      <c r="E59" s="14">
        <v>0</v>
      </c>
      <c r="F59" s="46">
        <v>2</v>
      </c>
      <c r="H59" s="60">
        <f t="shared" si="0"/>
        <v>7.72222222222222</v>
      </c>
      <c r="I59" s="47">
        <v>9</v>
      </c>
      <c r="J59" s="14">
        <v>20</v>
      </c>
      <c r="K59" s="48">
        <f t="shared" si="1"/>
        <v>0.613888888888889</v>
      </c>
      <c r="L59" s="61">
        <f t="shared" si="2"/>
        <v>12.2777777777778</v>
      </c>
      <c r="M59" s="46">
        <f t="shared" si="3"/>
        <v>69.5</v>
      </c>
      <c r="N59" s="15"/>
      <c r="O59" s="15"/>
      <c r="P59" s="15"/>
    </row>
    <row r="60" hidden="1" customHeight="1" outlineLevel="1" spans="1:17">
      <c r="A60" s="24">
        <v>45767</v>
      </c>
      <c r="B60" s="24">
        <v>45773</v>
      </c>
      <c r="D60" s="14">
        <v>7.5</v>
      </c>
      <c r="E60" s="14">
        <v>0</v>
      </c>
      <c r="F60" s="46">
        <v>2</v>
      </c>
      <c r="H60" s="60">
        <f t="shared" si="0"/>
        <v>7.65384615384615</v>
      </c>
      <c r="I60" s="47">
        <v>13</v>
      </c>
      <c r="J60" s="14">
        <v>20</v>
      </c>
      <c r="K60" s="48">
        <f t="shared" si="1"/>
        <v>0.617307692307692</v>
      </c>
      <c r="L60" s="61">
        <f t="shared" si="2"/>
        <v>12.3461538461538</v>
      </c>
      <c r="M60" s="46">
        <f t="shared" si="3"/>
        <v>99.5</v>
      </c>
      <c r="N60" s="15"/>
      <c r="O60" s="15"/>
      <c r="P60" s="15"/>
    </row>
    <row r="61" hidden="1" customHeight="1" outlineLevel="1" spans="1:17">
      <c r="A61" s="24">
        <v>45767</v>
      </c>
      <c r="B61" s="24">
        <v>45774</v>
      </c>
      <c r="D61" s="14">
        <v>7.5</v>
      </c>
      <c r="E61" s="14">
        <v>0</v>
      </c>
      <c r="F61" s="46">
        <v>3</v>
      </c>
      <c r="H61" s="60">
        <f t="shared" si="0"/>
        <v>7.66666666666667</v>
      </c>
      <c r="I61" s="47">
        <v>18</v>
      </c>
      <c r="J61" s="14">
        <v>20</v>
      </c>
      <c r="K61" s="48">
        <f t="shared" si="1"/>
        <v>0.616666666666667</v>
      </c>
      <c r="L61" s="61">
        <f t="shared" si="2"/>
        <v>12.3333333333333</v>
      </c>
      <c r="M61" s="46">
        <f t="shared" si="3"/>
        <v>138</v>
      </c>
      <c r="N61" s="15"/>
      <c r="O61" s="15"/>
      <c r="P61" s="15"/>
    </row>
    <row r="62" hidden="1" customHeight="1" outlineLevel="1" spans="1:17">
      <c r="A62" s="24">
        <v>45776</v>
      </c>
      <c r="B62" s="24">
        <v>45781</v>
      </c>
      <c r="D62" s="14">
        <v>7.5</v>
      </c>
      <c r="E62" s="14">
        <v>3</v>
      </c>
      <c r="F62" s="46">
        <v>5</v>
      </c>
      <c r="H62" s="60">
        <f t="shared" si="0"/>
        <v>7.9</v>
      </c>
      <c r="I62" s="47">
        <v>20</v>
      </c>
      <c r="J62" s="14">
        <v>20</v>
      </c>
      <c r="K62" s="48">
        <f t="shared" si="1"/>
        <v>0.605</v>
      </c>
      <c r="L62" s="61">
        <f t="shared" si="2"/>
        <v>12.1</v>
      </c>
      <c r="M62" s="46">
        <f t="shared" si="3"/>
        <v>158</v>
      </c>
      <c r="N62" s="15"/>
      <c r="O62" s="15"/>
      <c r="P62" s="15"/>
    </row>
    <row r="63" hidden="1" customHeight="1" outlineLevel="1" spans="1:17">
      <c r="A63" s="24">
        <v>45776</v>
      </c>
      <c r="B63" s="24">
        <v>45782</v>
      </c>
      <c r="D63" s="14">
        <v>7.5</v>
      </c>
      <c r="E63" s="14">
        <v>3</v>
      </c>
      <c r="F63" s="46">
        <v>0</v>
      </c>
      <c r="H63" s="60">
        <f t="shared" si="0"/>
        <v>7.6875</v>
      </c>
      <c r="I63" s="47">
        <v>16</v>
      </c>
      <c r="J63" s="14">
        <v>20</v>
      </c>
      <c r="K63" s="48">
        <f t="shared" si="1"/>
        <v>0.615625</v>
      </c>
      <c r="L63" s="61">
        <f t="shared" si="2"/>
        <v>12.3125</v>
      </c>
      <c r="M63" s="46">
        <f t="shared" si="3"/>
        <v>123</v>
      </c>
      <c r="N63" s="15"/>
      <c r="O63" s="15"/>
      <c r="P63" s="15"/>
    </row>
    <row r="64" hidden="1" customHeight="1" outlineLevel="1" spans="1:17">
      <c r="A64" s="24">
        <v>45785</v>
      </c>
      <c r="B64" s="24">
        <v>45788</v>
      </c>
      <c r="D64" s="14">
        <v>7.5</v>
      </c>
      <c r="E64" s="14">
        <v>3</v>
      </c>
      <c r="F64" s="46">
        <v>6</v>
      </c>
      <c r="H64" s="60">
        <f t="shared" si="0"/>
        <v>7.92857142857143</v>
      </c>
      <c r="I64" s="47">
        <v>21</v>
      </c>
      <c r="J64" s="14">
        <v>20</v>
      </c>
      <c r="K64" s="48">
        <f t="shared" si="1"/>
        <v>0.603571428571429</v>
      </c>
      <c r="L64" s="61">
        <f t="shared" si="2"/>
        <v>12.0714285714286</v>
      </c>
      <c r="M64" s="46">
        <f t="shared" si="3"/>
        <v>166.5</v>
      </c>
      <c r="N64" s="15"/>
      <c r="O64" s="15"/>
      <c r="P64" s="15"/>
    </row>
    <row r="65" hidden="1" customHeight="1" outlineLevel="1" spans="1:17">
      <c r="A65" s="24">
        <v>45785</v>
      </c>
      <c r="B65" s="24">
        <v>45793</v>
      </c>
      <c r="D65" s="14">
        <v>7.5</v>
      </c>
      <c r="E65" s="14">
        <v>3</v>
      </c>
      <c r="F65" s="46">
        <v>3</v>
      </c>
      <c r="H65" s="60">
        <f t="shared" si="0"/>
        <v>7.92857142857143</v>
      </c>
      <c r="I65" s="47">
        <v>14</v>
      </c>
      <c r="J65" s="14">
        <v>20</v>
      </c>
      <c r="K65" s="48">
        <f t="shared" si="1"/>
        <v>0.603571428571429</v>
      </c>
      <c r="L65" s="61">
        <f t="shared" si="2"/>
        <v>12.0714285714286</v>
      </c>
      <c r="M65" s="46">
        <f t="shared" si="3"/>
        <v>111</v>
      </c>
      <c r="N65" s="15"/>
      <c r="O65" s="15"/>
      <c r="P65" s="15"/>
    </row>
    <row r="66" hidden="1" customHeight="1" outlineLevel="1" spans="1:17">
      <c r="A66" s="24">
        <v>45795</v>
      </c>
      <c r="B66" s="24">
        <v>45799</v>
      </c>
      <c r="D66" s="14">
        <v>7.5</v>
      </c>
      <c r="E66" s="14">
        <v>5</v>
      </c>
      <c r="F66" s="46">
        <v>0</v>
      </c>
      <c r="H66" s="60">
        <f t="shared" si="0"/>
        <v>7.62820512820513</v>
      </c>
      <c r="I66" s="47">
        <v>39</v>
      </c>
      <c r="J66" s="14">
        <v>20</v>
      </c>
      <c r="K66" s="48">
        <f t="shared" si="1"/>
        <v>0.618589743589744</v>
      </c>
      <c r="L66" s="61">
        <f t="shared" si="2"/>
        <v>12.3717948717949</v>
      </c>
      <c r="M66" s="46">
        <f t="shared" si="3"/>
        <v>297.5</v>
      </c>
      <c r="N66" s="15"/>
      <c r="O66" s="15"/>
      <c r="P66" s="15"/>
    </row>
    <row r="67" hidden="1" customHeight="1" outlineLevel="1" spans="1:17">
      <c r="A67" s="24">
        <v>45795</v>
      </c>
      <c r="B67" s="24">
        <v>45807</v>
      </c>
      <c r="D67" s="14">
        <v>7.5</v>
      </c>
      <c r="E67" s="14">
        <v>0</v>
      </c>
      <c r="F67" s="46">
        <v>3</v>
      </c>
      <c r="H67" s="60">
        <f t="shared" ref="H67:H130" si="4">D67+(E67/I67)+(F67/I67)</f>
        <v>7.6304347826087</v>
      </c>
      <c r="I67" s="47">
        <v>23</v>
      </c>
      <c r="J67" s="14">
        <v>20</v>
      </c>
      <c r="K67" s="48">
        <f t="shared" ref="K67:K130" si="5">(J67-H67)/J67</f>
        <v>0.618478260869565</v>
      </c>
      <c r="L67" s="61">
        <f t="shared" ref="L67:L130" si="6">J67-H67</f>
        <v>12.3695652173913</v>
      </c>
      <c r="M67" s="46">
        <f t="shared" ref="M67:M130" si="7">D67*I67+E67+F67</f>
        <v>175.5</v>
      </c>
      <c r="N67" s="15"/>
      <c r="O67" s="15"/>
      <c r="P67" s="15"/>
    </row>
    <row r="68" hidden="1" customHeight="1" outlineLevel="1" spans="1:17">
      <c r="A68" s="24">
        <v>45805</v>
      </c>
      <c r="B68" s="24">
        <v>45809</v>
      </c>
      <c r="D68" s="14">
        <v>7.5</v>
      </c>
      <c r="E68" s="14">
        <v>0</v>
      </c>
      <c r="F68" s="46">
        <v>3</v>
      </c>
      <c r="H68" s="60">
        <f t="shared" si="4"/>
        <v>7.66666666666667</v>
      </c>
      <c r="I68" s="47">
        <v>18</v>
      </c>
      <c r="J68" s="14">
        <v>20</v>
      </c>
      <c r="K68" s="48">
        <f t="shared" si="5"/>
        <v>0.616666666666667</v>
      </c>
      <c r="L68" s="61">
        <f t="shared" si="6"/>
        <v>12.3333333333333</v>
      </c>
      <c r="M68" s="46">
        <f t="shared" si="7"/>
        <v>138</v>
      </c>
      <c r="N68" s="15"/>
      <c r="O68" s="15"/>
      <c r="P68" s="15"/>
    </row>
    <row r="69" hidden="1" customHeight="1" outlineLevel="1" spans="1:17">
      <c r="A69" s="24">
        <v>45811</v>
      </c>
      <c r="B69" s="24">
        <v>45815</v>
      </c>
      <c r="D69" s="14">
        <v>7.5</v>
      </c>
      <c r="E69" s="14">
        <v>6</v>
      </c>
      <c r="F69" s="46">
        <v>4</v>
      </c>
      <c r="H69" s="60">
        <f t="shared" si="4"/>
        <v>7.91666666666667</v>
      </c>
      <c r="I69" s="47">
        <v>24</v>
      </c>
      <c r="J69" s="14">
        <v>20</v>
      </c>
      <c r="K69" s="48">
        <f t="shared" si="5"/>
        <v>0.604166666666667</v>
      </c>
      <c r="L69" s="61">
        <f t="shared" si="6"/>
        <v>12.0833333333333</v>
      </c>
      <c r="M69" s="46">
        <f t="shared" si="7"/>
        <v>190</v>
      </c>
      <c r="N69" s="15"/>
      <c r="O69" s="15"/>
      <c r="P69" s="15"/>
    </row>
    <row r="70" hidden="1" customHeight="1" outlineLevel="1" spans="1:17">
      <c r="A70" s="24">
        <v>45821</v>
      </c>
      <c r="B70" s="24">
        <v>45824</v>
      </c>
      <c r="D70" s="14">
        <v>7.5</v>
      </c>
      <c r="E70" s="14">
        <v>6</v>
      </c>
      <c r="F70" s="46">
        <v>2</v>
      </c>
      <c r="H70" s="60">
        <f t="shared" si="4"/>
        <v>8</v>
      </c>
      <c r="I70" s="47">
        <v>16</v>
      </c>
      <c r="J70" s="14">
        <v>20</v>
      </c>
      <c r="K70" s="48">
        <f t="shared" si="5"/>
        <v>0.6</v>
      </c>
      <c r="L70" s="61">
        <f t="shared" si="6"/>
        <v>12</v>
      </c>
      <c r="M70" s="46">
        <f t="shared" si="7"/>
        <v>128</v>
      </c>
      <c r="N70" s="15"/>
      <c r="O70" s="15"/>
      <c r="P70" s="15"/>
    </row>
    <row r="71" hidden="1" customHeight="1" outlineLevel="1" spans="1:17">
      <c r="A71" s="24">
        <v>45825</v>
      </c>
      <c r="B71" s="24">
        <v>45828</v>
      </c>
      <c r="D71" s="14">
        <v>7.5</v>
      </c>
      <c r="E71" s="14">
        <v>2</v>
      </c>
      <c r="F71" s="46">
        <v>2</v>
      </c>
      <c r="H71" s="60">
        <f t="shared" si="4"/>
        <v>7.66</v>
      </c>
      <c r="I71" s="47">
        <v>25</v>
      </c>
      <c r="J71" s="14">
        <v>20</v>
      </c>
      <c r="K71" s="48">
        <f t="shared" si="5"/>
        <v>0.617</v>
      </c>
      <c r="L71" s="61">
        <f t="shared" si="6"/>
        <v>12.34</v>
      </c>
      <c r="M71" s="46">
        <f t="shared" si="7"/>
        <v>191.5</v>
      </c>
      <c r="N71" s="15"/>
      <c r="O71" s="15"/>
      <c r="P71" s="15"/>
    </row>
    <row r="72" hidden="1" customHeight="1" outlineLevel="1" spans="1:17">
      <c r="A72" s="24">
        <v>45835</v>
      </c>
      <c r="B72" s="37">
        <v>45846</v>
      </c>
      <c r="C72" s="58"/>
      <c r="D72" s="14">
        <v>7.5</v>
      </c>
      <c r="E72" s="14">
        <v>3</v>
      </c>
      <c r="F72" s="46">
        <v>2</v>
      </c>
      <c r="H72" s="60">
        <f t="shared" si="4"/>
        <v>8.125</v>
      </c>
      <c r="I72" s="47">
        <v>8</v>
      </c>
      <c r="J72" s="14">
        <v>20</v>
      </c>
      <c r="K72" s="48">
        <f t="shared" si="5"/>
        <v>0.59375</v>
      </c>
      <c r="L72" s="61">
        <f t="shared" si="6"/>
        <v>11.875</v>
      </c>
      <c r="M72" s="46">
        <f t="shared" si="7"/>
        <v>65</v>
      </c>
      <c r="N72" s="15"/>
      <c r="O72" s="15"/>
      <c r="P72" s="15"/>
    </row>
    <row r="73" hidden="1" customHeight="1" outlineLevel="1" spans="1:17">
      <c r="A73" s="40">
        <v>45847</v>
      </c>
      <c r="B73" s="37">
        <v>45850</v>
      </c>
      <c r="C73" s="58"/>
      <c r="D73" s="14">
        <v>7.5</v>
      </c>
      <c r="E73" s="14">
        <v>0</v>
      </c>
      <c r="F73" s="46">
        <v>4</v>
      </c>
      <c r="H73" s="60">
        <f t="shared" si="4"/>
        <v>7.76666666666667</v>
      </c>
      <c r="I73" s="47">
        <v>15</v>
      </c>
      <c r="J73" s="14">
        <v>20</v>
      </c>
      <c r="K73" s="48">
        <f t="shared" si="5"/>
        <v>0.611666666666667</v>
      </c>
      <c r="L73" s="61">
        <f t="shared" si="6"/>
        <v>12.2333333333333</v>
      </c>
      <c r="M73" s="46">
        <f t="shared" si="7"/>
        <v>116.5</v>
      </c>
      <c r="N73" s="58"/>
      <c r="O73" s="15"/>
      <c r="P73" s="15"/>
    </row>
    <row r="74" hidden="1" customHeight="1" outlineLevel="1" spans="1:17">
      <c r="A74" s="40">
        <v>45851</v>
      </c>
      <c r="B74" s="37">
        <v>45857</v>
      </c>
      <c r="C74" s="58"/>
      <c r="D74" s="14">
        <v>7.5</v>
      </c>
      <c r="E74" s="14">
        <v>0</v>
      </c>
      <c r="F74" s="46">
        <v>2</v>
      </c>
      <c r="H74" s="60">
        <f t="shared" si="4"/>
        <v>7.7</v>
      </c>
      <c r="I74" s="47">
        <v>10</v>
      </c>
      <c r="J74" s="14">
        <v>20</v>
      </c>
      <c r="K74" s="48">
        <f t="shared" si="5"/>
        <v>0.615</v>
      </c>
      <c r="L74" s="61">
        <f t="shared" si="6"/>
        <v>12.3</v>
      </c>
      <c r="M74" s="46">
        <f t="shared" si="7"/>
        <v>77</v>
      </c>
      <c r="N74" s="58"/>
      <c r="O74" s="15"/>
      <c r="P74" s="15"/>
    </row>
    <row r="75" hidden="1" customHeight="1" outlineLevel="1" spans="1:17">
      <c r="A75" s="40">
        <v>45858</v>
      </c>
      <c r="B75" s="37">
        <v>45862</v>
      </c>
      <c r="C75" s="58"/>
      <c r="D75" s="14">
        <v>7.5</v>
      </c>
      <c r="E75" s="14">
        <v>0</v>
      </c>
      <c r="F75" s="46">
        <v>3</v>
      </c>
      <c r="H75" s="60">
        <f t="shared" si="4"/>
        <v>7.7</v>
      </c>
      <c r="I75" s="47">
        <v>15</v>
      </c>
      <c r="J75" s="14">
        <v>20</v>
      </c>
      <c r="K75" s="48">
        <f t="shared" si="5"/>
        <v>0.615</v>
      </c>
      <c r="L75" s="61">
        <f t="shared" si="6"/>
        <v>12.3</v>
      </c>
      <c r="M75" s="46">
        <f t="shared" si="7"/>
        <v>115.5</v>
      </c>
      <c r="N75" s="58"/>
      <c r="O75" s="15"/>
      <c r="P75" s="15"/>
    </row>
    <row r="76" hidden="1" customHeight="1" outlineLevel="1" spans="1:17">
      <c r="A76" s="24">
        <v>45862</v>
      </c>
      <c r="B76" s="24">
        <v>45864</v>
      </c>
      <c r="D76" s="14">
        <v>7.5</v>
      </c>
      <c r="E76" s="14">
        <v>0</v>
      </c>
      <c r="F76" s="46">
        <v>3</v>
      </c>
      <c r="H76" s="60">
        <f t="shared" si="4"/>
        <v>7.62</v>
      </c>
      <c r="I76" s="47">
        <v>25</v>
      </c>
      <c r="J76" s="14">
        <v>20</v>
      </c>
      <c r="K76" s="48">
        <f t="shared" si="5"/>
        <v>0.619</v>
      </c>
      <c r="L76" s="61">
        <f t="shared" si="6"/>
        <v>12.38</v>
      </c>
      <c r="M76" s="46">
        <f t="shared" si="7"/>
        <v>190.5</v>
      </c>
      <c r="N76" s="58"/>
      <c r="O76" s="15"/>
      <c r="P76" s="15"/>
    </row>
    <row r="77" hidden="1" customHeight="1" outlineLevel="1" spans="1:17">
      <c r="A77" s="24">
        <v>45867</v>
      </c>
      <c r="B77" s="24">
        <v>45871</v>
      </c>
      <c r="D77" s="14">
        <v>7.5</v>
      </c>
      <c r="E77" s="14">
        <v>3</v>
      </c>
      <c r="F77" s="46">
        <v>2</v>
      </c>
      <c r="H77" s="60">
        <f t="shared" si="4"/>
        <v>7.8125</v>
      </c>
      <c r="I77" s="47">
        <v>16</v>
      </c>
      <c r="J77" s="14">
        <v>20</v>
      </c>
      <c r="K77" s="48">
        <f t="shared" si="5"/>
        <v>0.609375</v>
      </c>
      <c r="L77" s="61">
        <f t="shared" si="6"/>
        <v>12.1875</v>
      </c>
      <c r="M77" s="46">
        <f t="shared" si="7"/>
        <v>125</v>
      </c>
      <c r="N77" s="58"/>
      <c r="O77" s="15"/>
      <c r="P77" s="15"/>
    </row>
    <row r="78" hidden="1" customHeight="1" outlineLevel="1" spans="1:17">
      <c r="A78" s="24">
        <v>45867</v>
      </c>
      <c r="B78" s="24">
        <v>45873</v>
      </c>
      <c r="D78" s="14">
        <v>7.5</v>
      </c>
      <c r="E78" s="14">
        <v>3</v>
      </c>
      <c r="F78" s="46">
        <v>3</v>
      </c>
      <c r="H78" s="60">
        <f t="shared" si="4"/>
        <v>8.16666666666667</v>
      </c>
      <c r="I78" s="47">
        <v>9</v>
      </c>
      <c r="J78" s="14">
        <v>20</v>
      </c>
      <c r="K78" s="48">
        <f t="shared" si="5"/>
        <v>0.591666666666667</v>
      </c>
      <c r="L78" s="61">
        <f t="shared" si="6"/>
        <v>11.8333333333333</v>
      </c>
      <c r="M78" s="46">
        <f t="shared" si="7"/>
        <v>73.5</v>
      </c>
      <c r="N78" s="58"/>
      <c r="O78" s="15"/>
      <c r="P78" s="15"/>
    </row>
    <row r="79" hidden="1" customHeight="1" outlineLevel="1" spans="1:17">
      <c r="A79" s="24">
        <v>45872</v>
      </c>
      <c r="B79" s="24">
        <v>45876</v>
      </c>
      <c r="D79" s="14">
        <v>7.5</v>
      </c>
      <c r="E79" s="14">
        <v>0</v>
      </c>
      <c r="F79" s="46">
        <v>3</v>
      </c>
      <c r="H79" s="60">
        <f t="shared" si="4"/>
        <v>7.65</v>
      </c>
      <c r="I79" s="47">
        <v>20</v>
      </c>
      <c r="J79" s="14">
        <v>20</v>
      </c>
      <c r="K79" s="48">
        <f t="shared" si="5"/>
        <v>0.6175</v>
      </c>
      <c r="L79" s="61">
        <f t="shared" si="6"/>
        <v>12.35</v>
      </c>
      <c r="M79" s="46">
        <f t="shared" si="7"/>
        <v>153</v>
      </c>
      <c r="O79" s="58"/>
      <c r="P79" s="58"/>
      <c r="Q79" s="13"/>
    </row>
    <row r="80" hidden="1" customHeight="1" outlineLevel="1" spans="1:17">
      <c r="A80" s="40">
        <v>45876</v>
      </c>
      <c r="B80" s="37">
        <v>45891</v>
      </c>
      <c r="C80" s="58"/>
      <c r="D80" s="14">
        <v>7.5</v>
      </c>
      <c r="E80" s="14">
        <v>7</v>
      </c>
      <c r="F80" s="46">
        <v>2</v>
      </c>
      <c r="H80" s="60">
        <f t="shared" si="4"/>
        <v>7.95</v>
      </c>
      <c r="I80" s="47">
        <v>20</v>
      </c>
      <c r="J80" s="14">
        <v>20</v>
      </c>
      <c r="K80" s="48">
        <f t="shared" si="5"/>
        <v>0.6025</v>
      </c>
      <c r="L80" s="61">
        <f t="shared" si="6"/>
        <v>12.05</v>
      </c>
      <c r="M80" s="46">
        <f t="shared" si="7"/>
        <v>159</v>
      </c>
      <c r="N80" s="58"/>
      <c r="O80" s="58"/>
      <c r="P80" s="58"/>
      <c r="Q80" s="13"/>
    </row>
    <row r="81" hidden="1" customHeight="1" outlineLevel="1" spans="1:17">
      <c r="A81" s="40">
        <v>45888</v>
      </c>
      <c r="B81" s="40">
        <v>45896</v>
      </c>
      <c r="C81" s="58"/>
      <c r="D81" s="14">
        <v>7.5</v>
      </c>
      <c r="E81" s="14">
        <v>1</v>
      </c>
      <c r="F81" s="46">
        <v>2</v>
      </c>
      <c r="H81" s="60">
        <f t="shared" si="4"/>
        <v>7.8</v>
      </c>
      <c r="I81" s="47">
        <v>10</v>
      </c>
      <c r="J81" s="14">
        <v>20</v>
      </c>
      <c r="K81" s="48">
        <f t="shared" si="5"/>
        <v>0.61</v>
      </c>
      <c r="L81" s="61">
        <f t="shared" si="6"/>
        <v>12.2</v>
      </c>
      <c r="M81" s="46">
        <f t="shared" si="7"/>
        <v>78</v>
      </c>
      <c r="N81" s="58"/>
      <c r="O81" s="58"/>
      <c r="P81" s="58"/>
      <c r="Q81" s="13"/>
    </row>
    <row r="82" hidden="1" customHeight="1" outlineLevel="1" spans="1:17">
      <c r="A82" s="40">
        <v>45898</v>
      </c>
      <c r="B82" s="37">
        <v>45902</v>
      </c>
      <c r="C82" s="58"/>
      <c r="D82" s="14">
        <v>7.5</v>
      </c>
      <c r="E82" s="14">
        <v>3</v>
      </c>
      <c r="F82" s="46">
        <v>1</v>
      </c>
      <c r="H82" s="60">
        <f t="shared" si="4"/>
        <v>8</v>
      </c>
      <c r="I82" s="47">
        <v>8</v>
      </c>
      <c r="J82" s="14">
        <v>20</v>
      </c>
      <c r="K82" s="48">
        <f t="shared" si="5"/>
        <v>0.6</v>
      </c>
      <c r="L82" s="61">
        <f t="shared" si="6"/>
        <v>12</v>
      </c>
      <c r="M82" s="46">
        <f t="shared" si="7"/>
        <v>64</v>
      </c>
      <c r="N82" s="58"/>
      <c r="O82" s="58"/>
      <c r="P82" s="58"/>
      <c r="Q82" s="13"/>
    </row>
    <row r="83" hidden="1" customHeight="1" outlineLevel="1" spans="1:17">
      <c r="A83" s="40">
        <v>45898</v>
      </c>
      <c r="B83" s="40">
        <v>45903</v>
      </c>
      <c r="C83" s="58"/>
      <c r="D83" s="14">
        <v>7.5</v>
      </c>
      <c r="E83" s="14">
        <v>1</v>
      </c>
      <c r="F83" s="46">
        <v>2</v>
      </c>
      <c r="H83" s="60">
        <f t="shared" si="4"/>
        <v>8.1</v>
      </c>
      <c r="I83" s="47">
        <v>5</v>
      </c>
      <c r="J83" s="14">
        <v>20</v>
      </c>
      <c r="K83" s="48">
        <f t="shared" si="5"/>
        <v>0.595</v>
      </c>
      <c r="L83" s="61">
        <f t="shared" si="6"/>
        <v>11.9</v>
      </c>
      <c r="M83" s="46">
        <f t="shared" si="7"/>
        <v>40.5</v>
      </c>
      <c r="N83" s="58"/>
      <c r="O83" s="58"/>
      <c r="P83" s="58"/>
      <c r="Q83" s="13"/>
    </row>
    <row r="84" hidden="1" customHeight="1" outlineLevel="1" spans="1:17">
      <c r="A84" s="40">
        <v>45910</v>
      </c>
      <c r="B84" s="40">
        <v>45918</v>
      </c>
      <c r="C84" s="58"/>
      <c r="D84" s="14">
        <v>7.5</v>
      </c>
      <c r="E84" s="14">
        <v>0</v>
      </c>
      <c r="F84" s="46">
        <v>3</v>
      </c>
      <c r="H84" s="60">
        <f t="shared" si="4"/>
        <v>7.65</v>
      </c>
      <c r="I84" s="47">
        <v>20</v>
      </c>
      <c r="J84" s="14">
        <v>20</v>
      </c>
      <c r="K84" s="48">
        <f t="shared" si="5"/>
        <v>0.6175</v>
      </c>
      <c r="L84" s="61">
        <f t="shared" si="6"/>
        <v>12.35</v>
      </c>
      <c r="M84" s="46">
        <f t="shared" si="7"/>
        <v>153</v>
      </c>
      <c r="N84" s="58"/>
      <c r="O84" s="58"/>
      <c r="P84" s="58"/>
      <c r="Q84" s="13"/>
    </row>
    <row r="85" hidden="1" customHeight="1" outlineLevel="1" spans="1:17">
      <c r="A85" s="40">
        <v>45918</v>
      </c>
      <c r="B85" s="40">
        <v>45921</v>
      </c>
      <c r="C85" s="58"/>
      <c r="D85" s="14">
        <v>7.5</v>
      </c>
      <c r="E85" s="14">
        <v>0</v>
      </c>
      <c r="F85" s="46">
        <v>2</v>
      </c>
      <c r="H85" s="60">
        <f t="shared" si="4"/>
        <v>7.6</v>
      </c>
      <c r="I85" s="47">
        <v>20</v>
      </c>
      <c r="J85" s="14">
        <v>20</v>
      </c>
      <c r="K85" s="48">
        <f t="shared" si="5"/>
        <v>0.62</v>
      </c>
      <c r="L85" s="61">
        <f t="shared" si="6"/>
        <v>12.4</v>
      </c>
      <c r="M85" s="46">
        <f t="shared" si="7"/>
        <v>152</v>
      </c>
      <c r="N85" s="58"/>
      <c r="O85" s="58"/>
      <c r="P85" s="58"/>
      <c r="Q85" s="13"/>
    </row>
    <row r="86" hidden="1" customHeight="1" outlineLevel="1" spans="1:17">
      <c r="A86" s="40">
        <v>45918</v>
      </c>
      <c r="B86" s="40">
        <v>45927</v>
      </c>
      <c r="C86" s="58"/>
      <c r="D86" s="14">
        <v>7.5</v>
      </c>
      <c r="E86" s="14">
        <v>0</v>
      </c>
      <c r="F86" s="46">
        <v>2</v>
      </c>
      <c r="H86" s="60">
        <f t="shared" si="4"/>
        <v>7.58695652173913</v>
      </c>
      <c r="I86" s="47">
        <v>23</v>
      </c>
      <c r="J86" s="14">
        <v>20</v>
      </c>
      <c r="K86" s="48">
        <f t="shared" si="5"/>
        <v>0.620652173913044</v>
      </c>
      <c r="L86" s="61">
        <f t="shared" si="6"/>
        <v>12.4130434782609</v>
      </c>
      <c r="M86" s="46">
        <f t="shared" si="7"/>
        <v>174.5</v>
      </c>
      <c r="N86" s="58"/>
      <c r="O86" s="58"/>
      <c r="P86" s="58"/>
      <c r="Q86" s="13"/>
    </row>
    <row r="87" hidden="1" customHeight="1" outlineLevel="1" spans="1:17">
      <c r="A87" s="40">
        <v>45929</v>
      </c>
      <c r="B87" s="40">
        <v>45938</v>
      </c>
      <c r="C87" s="58"/>
      <c r="D87" s="14">
        <v>7.5</v>
      </c>
      <c r="E87" s="14">
        <v>0</v>
      </c>
      <c r="F87" s="46">
        <v>2</v>
      </c>
      <c r="H87" s="60">
        <f t="shared" si="4"/>
        <v>7.65384615384615</v>
      </c>
      <c r="I87" s="47">
        <v>13</v>
      </c>
      <c r="J87" s="14">
        <v>20</v>
      </c>
      <c r="K87" s="48">
        <f t="shared" si="5"/>
        <v>0.617307692307692</v>
      </c>
      <c r="L87" s="61">
        <f t="shared" si="6"/>
        <v>12.3461538461538</v>
      </c>
      <c r="M87" s="46">
        <f t="shared" si="7"/>
        <v>99.5</v>
      </c>
      <c r="N87" s="58"/>
      <c r="O87" s="58"/>
      <c r="P87" s="58"/>
      <c r="Q87" s="13"/>
    </row>
    <row r="88" hidden="1" customHeight="1" outlineLevel="1" spans="1:17">
      <c r="A88" s="40">
        <v>45945</v>
      </c>
      <c r="B88" s="40">
        <v>45949</v>
      </c>
      <c r="C88" s="58"/>
      <c r="D88" s="14">
        <v>7.5</v>
      </c>
      <c r="E88" s="14">
        <v>0</v>
      </c>
      <c r="F88" s="46">
        <v>2</v>
      </c>
      <c r="H88" s="60">
        <f t="shared" si="4"/>
        <v>7.6</v>
      </c>
      <c r="I88" s="47">
        <v>20</v>
      </c>
      <c r="J88" s="14">
        <v>20</v>
      </c>
      <c r="K88" s="48">
        <f t="shared" si="5"/>
        <v>0.62</v>
      </c>
      <c r="L88" s="61">
        <f t="shared" si="6"/>
        <v>12.4</v>
      </c>
      <c r="M88" s="46">
        <f t="shared" si="7"/>
        <v>152</v>
      </c>
      <c r="N88" s="58"/>
      <c r="O88" s="58"/>
      <c r="P88" s="58"/>
      <c r="Q88" s="13"/>
    </row>
    <row r="89" hidden="1" customHeight="1" outlineLevel="1" spans="1:17">
      <c r="A89" s="40">
        <v>45950</v>
      </c>
      <c r="B89" s="40">
        <v>45954</v>
      </c>
      <c r="C89" s="57"/>
      <c r="D89" s="14">
        <v>7.5</v>
      </c>
      <c r="E89" s="14">
        <v>0</v>
      </c>
      <c r="F89" s="46">
        <v>3</v>
      </c>
      <c r="H89" s="60">
        <f t="shared" si="4"/>
        <v>7.6304347826087</v>
      </c>
      <c r="I89" s="47">
        <v>23</v>
      </c>
      <c r="J89" s="14">
        <v>20</v>
      </c>
      <c r="K89" s="48">
        <f t="shared" si="5"/>
        <v>0.618478260869565</v>
      </c>
      <c r="L89" s="61">
        <f t="shared" si="6"/>
        <v>12.3695652173913</v>
      </c>
      <c r="M89" s="46">
        <f t="shared" si="7"/>
        <v>175.5</v>
      </c>
      <c r="N89" s="57"/>
      <c r="O89" s="32"/>
      <c r="P89" s="58"/>
      <c r="Q89" s="13"/>
    </row>
    <row r="90" hidden="1" customHeight="1" outlineLevel="1" spans="1:17">
      <c r="A90" s="40">
        <v>45950</v>
      </c>
      <c r="B90" s="40">
        <v>45956</v>
      </c>
      <c r="C90" s="57"/>
      <c r="D90" s="14">
        <v>7.5</v>
      </c>
      <c r="E90" s="14">
        <v>0</v>
      </c>
      <c r="F90" s="46">
        <v>2</v>
      </c>
      <c r="H90" s="60">
        <f t="shared" si="4"/>
        <v>7.72222222222222</v>
      </c>
      <c r="I90" s="47">
        <v>9</v>
      </c>
      <c r="J90" s="14">
        <v>20</v>
      </c>
      <c r="K90" s="48">
        <f t="shared" si="5"/>
        <v>0.613888888888889</v>
      </c>
      <c r="L90" s="61">
        <f t="shared" si="6"/>
        <v>12.2777777777778</v>
      </c>
      <c r="M90" s="46">
        <f t="shared" si="7"/>
        <v>69.5</v>
      </c>
      <c r="N90" s="57"/>
      <c r="O90" s="32"/>
      <c r="P90" s="58"/>
      <c r="Q90" s="13"/>
    </row>
    <row r="91" hidden="1" customHeight="1" outlineLevel="1" spans="1:17">
      <c r="A91" s="40">
        <v>45957</v>
      </c>
      <c r="B91" s="40">
        <v>45960</v>
      </c>
      <c r="C91" s="57"/>
      <c r="D91" s="14">
        <v>7.5</v>
      </c>
      <c r="E91" s="14">
        <v>0</v>
      </c>
      <c r="F91" s="46">
        <v>3</v>
      </c>
      <c r="H91" s="60">
        <f t="shared" si="4"/>
        <v>7.6304347826087</v>
      </c>
      <c r="I91" s="47">
        <v>23</v>
      </c>
      <c r="J91" s="14">
        <v>20</v>
      </c>
      <c r="K91" s="48">
        <f t="shared" si="5"/>
        <v>0.618478260869565</v>
      </c>
      <c r="L91" s="61">
        <f t="shared" si="6"/>
        <v>12.3695652173913</v>
      </c>
      <c r="M91" s="46">
        <f t="shared" si="7"/>
        <v>175.5</v>
      </c>
      <c r="N91" s="57"/>
      <c r="O91" s="32"/>
      <c r="P91" s="58"/>
      <c r="Q91" s="13"/>
    </row>
    <row r="92" hidden="1" customHeight="1" outlineLevel="1" spans="1:17">
      <c r="A92" s="40">
        <v>45963</v>
      </c>
      <c r="B92" s="40">
        <v>45941</v>
      </c>
      <c r="C92" s="57"/>
      <c r="D92" s="14">
        <v>7.5</v>
      </c>
      <c r="E92" s="14">
        <v>0</v>
      </c>
      <c r="F92" s="46">
        <v>2</v>
      </c>
      <c r="H92" s="60">
        <f t="shared" si="4"/>
        <v>7.7</v>
      </c>
      <c r="I92" s="47">
        <v>10</v>
      </c>
      <c r="J92" s="14">
        <v>20</v>
      </c>
      <c r="K92" s="48">
        <f t="shared" si="5"/>
        <v>0.615</v>
      </c>
      <c r="L92" s="61">
        <f t="shared" si="6"/>
        <v>12.3</v>
      </c>
      <c r="M92" s="46">
        <f t="shared" si="7"/>
        <v>77</v>
      </c>
      <c r="N92" s="57"/>
      <c r="O92" s="32"/>
      <c r="P92" s="58"/>
      <c r="Q92" s="13"/>
    </row>
    <row r="93" hidden="1" customHeight="1" outlineLevel="1" spans="1:17">
      <c r="A93" s="40">
        <v>45971</v>
      </c>
      <c r="B93" s="40">
        <v>45986</v>
      </c>
      <c r="C93" s="57"/>
      <c r="D93" s="14">
        <v>7.5</v>
      </c>
      <c r="E93" s="14">
        <v>0</v>
      </c>
      <c r="F93" s="46">
        <v>3</v>
      </c>
      <c r="H93" s="60">
        <f t="shared" si="4"/>
        <v>7.7</v>
      </c>
      <c r="I93" s="47">
        <v>15</v>
      </c>
      <c r="J93" s="14">
        <v>20</v>
      </c>
      <c r="K93" s="48">
        <f t="shared" si="5"/>
        <v>0.615</v>
      </c>
      <c r="L93" s="61">
        <f t="shared" si="6"/>
        <v>12.3</v>
      </c>
      <c r="M93" s="46">
        <f t="shared" si="7"/>
        <v>115.5</v>
      </c>
      <c r="N93" s="57"/>
      <c r="O93" s="32"/>
      <c r="P93" s="58"/>
      <c r="Q93" s="13"/>
    </row>
    <row r="94" hidden="1" customHeight="1" outlineLevel="1" spans="1:17">
      <c r="A94" s="40">
        <v>45986</v>
      </c>
      <c r="B94" s="40">
        <v>45989</v>
      </c>
      <c r="C94" s="57"/>
      <c r="D94" s="14">
        <v>7.5</v>
      </c>
      <c r="E94" s="14">
        <v>0</v>
      </c>
      <c r="F94" s="46">
        <v>3</v>
      </c>
      <c r="H94" s="60">
        <f t="shared" si="4"/>
        <v>7.65</v>
      </c>
      <c r="I94" s="47">
        <v>20</v>
      </c>
      <c r="J94" s="14">
        <v>20</v>
      </c>
      <c r="K94" s="48">
        <f t="shared" si="5"/>
        <v>0.6175</v>
      </c>
      <c r="L94" s="61">
        <f t="shared" si="6"/>
        <v>12.35</v>
      </c>
      <c r="M94" s="46">
        <f t="shared" si="7"/>
        <v>153</v>
      </c>
      <c r="N94" s="57"/>
      <c r="O94" s="32"/>
      <c r="P94" s="58"/>
      <c r="Q94" s="13"/>
    </row>
    <row r="95" hidden="1" customHeight="1" outlineLevel="1" spans="1:17">
      <c r="A95" s="40">
        <v>45994</v>
      </c>
      <c r="B95" s="40">
        <v>46002</v>
      </c>
      <c r="C95" s="57"/>
      <c r="D95" s="14">
        <v>7.5</v>
      </c>
      <c r="E95" s="14">
        <v>0</v>
      </c>
      <c r="F95" s="46">
        <v>3</v>
      </c>
      <c r="H95" s="60">
        <f t="shared" si="4"/>
        <v>7.7</v>
      </c>
      <c r="I95" s="47">
        <v>15</v>
      </c>
      <c r="J95" s="14">
        <v>20</v>
      </c>
      <c r="K95" s="48">
        <f t="shared" si="5"/>
        <v>0.615</v>
      </c>
      <c r="L95" s="61">
        <f t="shared" si="6"/>
        <v>12.3</v>
      </c>
      <c r="M95" s="46">
        <f t="shared" si="7"/>
        <v>115.5</v>
      </c>
      <c r="N95" s="57"/>
      <c r="O95" s="32"/>
      <c r="P95" s="58"/>
      <c r="Q95" s="13"/>
    </row>
    <row r="96" hidden="1" customHeight="1" outlineLevel="1" spans="1:17">
      <c r="A96" s="40">
        <v>46009</v>
      </c>
      <c r="B96" s="40">
        <v>46015</v>
      </c>
      <c r="C96" s="57"/>
      <c r="D96" s="14">
        <v>7.5</v>
      </c>
      <c r="E96" s="14">
        <v>0</v>
      </c>
      <c r="F96" s="46">
        <v>3</v>
      </c>
      <c r="H96" s="60">
        <f t="shared" si="4"/>
        <v>7.7</v>
      </c>
      <c r="I96" s="47">
        <v>15</v>
      </c>
      <c r="J96" s="14">
        <v>20</v>
      </c>
      <c r="K96" s="48">
        <f t="shared" si="5"/>
        <v>0.615</v>
      </c>
      <c r="L96" s="61">
        <f t="shared" si="6"/>
        <v>12.3</v>
      </c>
      <c r="M96" s="46">
        <f t="shared" si="7"/>
        <v>115.5</v>
      </c>
      <c r="N96" s="57"/>
      <c r="O96" s="32"/>
      <c r="P96" s="58"/>
      <c r="Q96" s="13"/>
    </row>
    <row r="97" hidden="1" customHeight="1" outlineLevel="1" spans="1:17">
      <c r="A97" s="40">
        <v>46018</v>
      </c>
      <c r="B97" s="40">
        <v>46021</v>
      </c>
      <c r="C97" s="57"/>
      <c r="D97" s="14">
        <v>7.5</v>
      </c>
      <c r="E97" s="14">
        <v>0</v>
      </c>
      <c r="F97" s="46">
        <v>3</v>
      </c>
      <c r="H97" s="60">
        <f t="shared" si="4"/>
        <v>7.65</v>
      </c>
      <c r="I97" s="47">
        <v>20</v>
      </c>
      <c r="J97" s="14">
        <v>20</v>
      </c>
      <c r="K97" s="48">
        <f t="shared" si="5"/>
        <v>0.6175</v>
      </c>
      <c r="L97" s="61">
        <f t="shared" si="6"/>
        <v>12.35</v>
      </c>
      <c r="M97" s="46">
        <f t="shared" si="7"/>
        <v>153</v>
      </c>
      <c r="N97" s="57"/>
      <c r="O97" s="32"/>
      <c r="P97" s="58"/>
      <c r="Q97" s="13"/>
    </row>
    <row r="98" hidden="1" customHeight="1" outlineLevel="1" spans="1:17">
      <c r="A98" s="40">
        <v>46018</v>
      </c>
      <c r="B98" s="40">
        <v>46023</v>
      </c>
      <c r="C98" s="57"/>
      <c r="D98" s="14">
        <v>7.5</v>
      </c>
      <c r="E98" s="14">
        <v>0</v>
      </c>
      <c r="F98" s="46">
        <v>2</v>
      </c>
      <c r="H98" s="60">
        <f t="shared" si="4"/>
        <v>7.7</v>
      </c>
      <c r="I98" s="47">
        <v>10</v>
      </c>
      <c r="J98" s="14">
        <v>20</v>
      </c>
      <c r="K98" s="48">
        <f t="shared" si="5"/>
        <v>0.615</v>
      </c>
      <c r="L98" s="61">
        <f t="shared" si="6"/>
        <v>12.3</v>
      </c>
      <c r="M98" s="46">
        <f t="shared" si="7"/>
        <v>77</v>
      </c>
      <c r="N98" s="57"/>
      <c r="O98" s="32"/>
      <c r="P98" s="58"/>
      <c r="Q98" s="13" t="s">
        <v>22</v>
      </c>
    </row>
    <row r="99" hidden="1" customHeight="1" outlineLevel="1" spans="1:17">
      <c r="A99" s="40">
        <v>46023</v>
      </c>
      <c r="B99" s="40">
        <v>46026</v>
      </c>
      <c r="C99" s="57"/>
      <c r="D99" s="14">
        <v>7.5</v>
      </c>
      <c r="E99" s="14">
        <v>0</v>
      </c>
      <c r="F99" s="46">
        <v>3</v>
      </c>
      <c r="H99" s="60">
        <f t="shared" si="4"/>
        <v>7.63636363636364</v>
      </c>
      <c r="I99" s="47">
        <v>22</v>
      </c>
      <c r="J99" s="14">
        <v>20</v>
      </c>
      <c r="K99" s="48">
        <f t="shared" si="5"/>
        <v>0.618181818181818</v>
      </c>
      <c r="L99" s="61">
        <f t="shared" si="6"/>
        <v>12.3636363636364</v>
      </c>
      <c r="M99" s="46">
        <f t="shared" si="7"/>
        <v>168</v>
      </c>
      <c r="N99" s="57"/>
      <c r="O99" s="32"/>
      <c r="P99" s="58"/>
      <c r="Q99" s="13"/>
    </row>
    <row r="100" hidden="1" customHeight="1" outlineLevel="1" spans="1:17">
      <c r="A100" s="40">
        <v>46027</v>
      </c>
      <c r="B100" s="40">
        <v>46030</v>
      </c>
      <c r="C100" s="57"/>
      <c r="D100" s="14">
        <v>7.5</v>
      </c>
      <c r="E100" s="14">
        <v>0</v>
      </c>
      <c r="F100" s="46">
        <v>3</v>
      </c>
      <c r="H100" s="60">
        <f t="shared" si="4"/>
        <v>7.6304347826087</v>
      </c>
      <c r="I100" s="47">
        <v>23</v>
      </c>
      <c r="J100" s="14">
        <v>20</v>
      </c>
      <c r="K100" s="48">
        <f t="shared" si="5"/>
        <v>0.618478260869565</v>
      </c>
      <c r="L100" s="61">
        <f t="shared" si="6"/>
        <v>12.3695652173913</v>
      </c>
      <c r="M100" s="46">
        <f t="shared" si="7"/>
        <v>175.5</v>
      </c>
      <c r="N100" s="57"/>
      <c r="O100" s="32"/>
      <c r="P100" s="58"/>
      <c r="Q100" s="13"/>
    </row>
    <row r="101" hidden="1" customHeight="1" outlineLevel="1" spans="1:17">
      <c r="A101" s="40">
        <v>46030</v>
      </c>
      <c r="B101" s="40">
        <v>46033</v>
      </c>
      <c r="C101" s="57"/>
      <c r="D101" s="14">
        <v>7.5</v>
      </c>
      <c r="E101" s="14">
        <v>0</v>
      </c>
      <c r="F101" s="46">
        <v>3</v>
      </c>
      <c r="H101" s="60">
        <f t="shared" si="4"/>
        <v>7.58333333333333</v>
      </c>
      <c r="I101" s="47">
        <v>36</v>
      </c>
      <c r="J101" s="14">
        <v>20</v>
      </c>
      <c r="K101" s="48">
        <f t="shared" si="5"/>
        <v>0.620833333333333</v>
      </c>
      <c r="L101" s="61">
        <f t="shared" si="6"/>
        <v>12.4166666666667</v>
      </c>
      <c r="M101" s="46">
        <f t="shared" si="7"/>
        <v>273</v>
      </c>
      <c r="N101" s="57"/>
      <c r="O101" s="32"/>
      <c r="P101" s="58"/>
      <c r="Q101" s="13"/>
    </row>
    <row r="102" hidden="1" customHeight="1" outlineLevel="1" spans="1:17">
      <c r="A102" s="40">
        <v>46035</v>
      </c>
      <c r="B102" s="40">
        <v>46039</v>
      </c>
      <c r="C102" s="57"/>
      <c r="D102" s="14">
        <v>7.5</v>
      </c>
      <c r="E102" s="14">
        <v>0</v>
      </c>
      <c r="F102" s="46">
        <v>3</v>
      </c>
      <c r="H102" s="60">
        <f t="shared" si="4"/>
        <v>7.64285714285714</v>
      </c>
      <c r="I102" s="47">
        <v>21</v>
      </c>
      <c r="J102" s="14">
        <v>20</v>
      </c>
      <c r="K102" s="48">
        <f t="shared" si="5"/>
        <v>0.617857142857143</v>
      </c>
      <c r="L102" s="61">
        <f t="shared" si="6"/>
        <v>12.3571428571429</v>
      </c>
      <c r="M102" s="46">
        <f t="shared" si="7"/>
        <v>160.5</v>
      </c>
      <c r="N102" s="57"/>
      <c r="O102" s="32"/>
      <c r="P102" s="58"/>
      <c r="Q102" s="13"/>
    </row>
    <row r="103" hidden="1" customHeight="1" outlineLevel="1" spans="1:17">
      <c r="A103" s="40">
        <v>46039</v>
      </c>
      <c r="B103" s="40">
        <v>46043</v>
      </c>
      <c r="C103" s="57"/>
      <c r="D103" s="14">
        <v>7.5</v>
      </c>
      <c r="E103" s="14">
        <v>0</v>
      </c>
      <c r="F103" s="46">
        <v>2</v>
      </c>
      <c r="H103" s="60">
        <f t="shared" si="4"/>
        <v>7.6</v>
      </c>
      <c r="I103" s="47">
        <v>20</v>
      </c>
      <c r="J103" s="14">
        <v>20</v>
      </c>
      <c r="K103" s="48">
        <f t="shared" si="5"/>
        <v>0.62</v>
      </c>
      <c r="L103" s="61">
        <f t="shared" si="6"/>
        <v>12.4</v>
      </c>
      <c r="M103" s="46">
        <f t="shared" si="7"/>
        <v>152</v>
      </c>
      <c r="N103" s="57"/>
      <c r="O103" s="32"/>
      <c r="P103" s="58"/>
      <c r="Q103" s="13"/>
    </row>
    <row r="104" hidden="1" customHeight="1" outlineLevel="1" spans="1:17">
      <c r="A104" s="40">
        <v>46046</v>
      </c>
      <c r="B104" s="40">
        <v>46051</v>
      </c>
      <c r="C104" s="57"/>
      <c r="D104" s="14">
        <v>7.5</v>
      </c>
      <c r="E104" s="14">
        <v>0</v>
      </c>
      <c r="F104" s="46">
        <v>3</v>
      </c>
      <c r="H104" s="60">
        <f t="shared" si="4"/>
        <v>7.65</v>
      </c>
      <c r="I104" s="47">
        <v>20</v>
      </c>
      <c r="J104" s="14">
        <v>20</v>
      </c>
      <c r="K104" s="48">
        <f t="shared" si="5"/>
        <v>0.6175</v>
      </c>
      <c r="L104" s="61">
        <f t="shared" si="6"/>
        <v>12.35</v>
      </c>
      <c r="M104" s="46">
        <f t="shared" si="7"/>
        <v>153</v>
      </c>
      <c r="N104" s="57"/>
      <c r="O104" s="32"/>
      <c r="P104" s="58"/>
      <c r="Q104" s="13"/>
    </row>
    <row r="105" hidden="1" customHeight="1" outlineLevel="1" spans="1:17">
      <c r="A105" s="40">
        <v>46052</v>
      </c>
      <c r="B105" s="40">
        <v>46056</v>
      </c>
      <c r="C105" s="57"/>
      <c r="D105" s="14">
        <v>7.5</v>
      </c>
      <c r="E105" s="14">
        <v>0</v>
      </c>
      <c r="F105" s="46">
        <v>2</v>
      </c>
      <c r="H105" s="60">
        <f t="shared" si="4"/>
        <v>7.7</v>
      </c>
      <c r="I105" s="47">
        <v>10</v>
      </c>
      <c r="J105" s="14">
        <v>20</v>
      </c>
      <c r="K105" s="48">
        <f t="shared" si="5"/>
        <v>0.615</v>
      </c>
      <c r="L105" s="61">
        <f t="shared" si="6"/>
        <v>12.3</v>
      </c>
      <c r="M105" s="46">
        <f t="shared" si="7"/>
        <v>77</v>
      </c>
      <c r="N105" s="57"/>
      <c r="O105" s="32"/>
      <c r="P105" s="58"/>
      <c r="Q105" s="13"/>
    </row>
    <row r="106" hidden="1" customHeight="1" outlineLevel="1" spans="1:17">
      <c r="A106" s="40">
        <v>46055</v>
      </c>
      <c r="B106" s="40">
        <v>46060</v>
      </c>
      <c r="C106" s="57"/>
      <c r="D106" s="14">
        <v>7.5</v>
      </c>
      <c r="E106" s="14">
        <v>0</v>
      </c>
      <c r="F106" s="46">
        <v>5</v>
      </c>
      <c r="H106" s="60">
        <f t="shared" si="4"/>
        <v>7.60416666666667</v>
      </c>
      <c r="I106" s="47">
        <v>48</v>
      </c>
      <c r="J106" s="14">
        <v>20</v>
      </c>
      <c r="K106" s="48">
        <f t="shared" si="5"/>
        <v>0.619791666666667</v>
      </c>
      <c r="L106" s="61">
        <f t="shared" si="6"/>
        <v>12.3958333333333</v>
      </c>
      <c r="M106" s="46">
        <f t="shared" si="7"/>
        <v>365</v>
      </c>
      <c r="N106" s="57"/>
      <c r="O106" s="32"/>
      <c r="P106" s="58"/>
      <c r="Q106" s="13"/>
    </row>
    <row r="107" hidden="1" customHeight="1" outlineLevel="1" spans="1:17">
      <c r="A107" s="40">
        <v>46061</v>
      </c>
      <c r="B107" s="40">
        <v>46087</v>
      </c>
      <c r="C107" s="57"/>
      <c r="D107" s="14">
        <v>7.5</v>
      </c>
      <c r="E107" s="14">
        <v>0</v>
      </c>
      <c r="F107" s="46">
        <v>2</v>
      </c>
      <c r="H107" s="60">
        <f t="shared" si="4"/>
        <v>7.59523809523809</v>
      </c>
      <c r="I107" s="47">
        <v>21</v>
      </c>
      <c r="J107" s="14">
        <v>20</v>
      </c>
      <c r="K107" s="48">
        <f t="shared" si="5"/>
        <v>0.620238095238095</v>
      </c>
      <c r="L107" s="61">
        <f t="shared" si="6"/>
        <v>12.4047619047619</v>
      </c>
      <c r="M107" s="46">
        <f t="shared" si="7"/>
        <v>159.5</v>
      </c>
      <c r="N107" s="57"/>
      <c r="O107" s="32"/>
      <c r="P107" s="58"/>
      <c r="Q107" s="13"/>
    </row>
    <row r="108" hidden="1" customHeight="1" outlineLevel="1" spans="1:17">
      <c r="A108" s="40">
        <v>46061</v>
      </c>
      <c r="B108" s="40">
        <v>46109</v>
      </c>
      <c r="C108" s="57"/>
      <c r="D108" s="14">
        <v>7.5</v>
      </c>
      <c r="E108" s="14">
        <v>0</v>
      </c>
      <c r="F108" s="46">
        <v>2</v>
      </c>
      <c r="H108" s="60">
        <f t="shared" si="4"/>
        <v>7.83333333333333</v>
      </c>
      <c r="I108" s="47">
        <v>6</v>
      </c>
      <c r="J108" s="14">
        <v>20</v>
      </c>
      <c r="K108" s="48">
        <f t="shared" si="5"/>
        <v>0.608333333333333</v>
      </c>
      <c r="L108" s="61">
        <f t="shared" si="6"/>
        <v>12.1666666666667</v>
      </c>
      <c r="M108" s="46">
        <f t="shared" si="7"/>
        <v>47</v>
      </c>
      <c r="N108" s="57"/>
      <c r="O108" s="32"/>
      <c r="P108" s="58"/>
      <c r="Q108" s="13"/>
    </row>
    <row r="109" hidden="1" customHeight="1" outlineLevel="1" spans="1:17">
      <c r="A109" s="40">
        <v>46108</v>
      </c>
      <c r="B109" s="40">
        <v>46112</v>
      </c>
      <c r="C109" s="57"/>
      <c r="D109" s="14">
        <v>7.5</v>
      </c>
      <c r="E109" s="14">
        <v>0</v>
      </c>
      <c r="F109" s="46">
        <v>3</v>
      </c>
      <c r="H109" s="60">
        <f t="shared" si="4"/>
        <v>7.61538461538461</v>
      </c>
      <c r="I109" s="47">
        <v>26</v>
      </c>
      <c r="J109" s="14">
        <v>20</v>
      </c>
      <c r="K109" s="48">
        <f t="shared" si="5"/>
        <v>0.619230769230769</v>
      </c>
      <c r="L109" s="61">
        <f t="shared" si="6"/>
        <v>12.3846153846154</v>
      </c>
      <c r="M109" s="46">
        <f t="shared" si="7"/>
        <v>198</v>
      </c>
      <c r="N109" s="57"/>
      <c r="O109" s="32"/>
      <c r="P109" s="58"/>
      <c r="Q109" s="13"/>
    </row>
    <row r="110" hidden="1" customHeight="1" outlineLevel="1" spans="1:17">
      <c r="A110" s="40">
        <v>46113</v>
      </c>
      <c r="B110" s="40">
        <v>46129</v>
      </c>
      <c r="C110" s="57"/>
      <c r="D110" s="14">
        <v>7.5</v>
      </c>
      <c r="E110" s="14">
        <v>0</v>
      </c>
      <c r="F110" s="46">
        <v>2</v>
      </c>
      <c r="H110" s="60">
        <f t="shared" si="4"/>
        <v>7.61764705882353</v>
      </c>
      <c r="I110" s="47">
        <v>17</v>
      </c>
      <c r="J110" s="14">
        <v>20</v>
      </c>
      <c r="K110" s="48">
        <f t="shared" si="5"/>
        <v>0.619117647058824</v>
      </c>
      <c r="L110" s="61">
        <f t="shared" si="6"/>
        <v>12.3823529411765</v>
      </c>
      <c r="M110" s="46">
        <f t="shared" si="7"/>
        <v>129.5</v>
      </c>
      <c r="N110" s="57"/>
      <c r="O110" s="32"/>
      <c r="P110" s="58"/>
      <c r="Q110" s="13"/>
    </row>
    <row r="111" hidden="1" customHeight="1" outlineLevel="1" spans="1:17">
      <c r="A111" s="24">
        <v>46122</v>
      </c>
      <c r="B111" s="24">
        <v>46131</v>
      </c>
      <c r="D111" s="14">
        <v>7.5</v>
      </c>
      <c r="E111" s="14">
        <v>0</v>
      </c>
      <c r="F111" s="46">
        <v>2</v>
      </c>
      <c r="H111" s="60">
        <f t="shared" si="4"/>
        <v>7.625</v>
      </c>
      <c r="I111" s="47">
        <v>16</v>
      </c>
      <c r="J111" s="14">
        <v>20</v>
      </c>
      <c r="K111" s="48">
        <f t="shared" si="5"/>
        <v>0.61875</v>
      </c>
      <c r="L111" s="61">
        <f t="shared" si="6"/>
        <v>12.375</v>
      </c>
      <c r="M111" s="46">
        <f t="shared" si="7"/>
        <v>122</v>
      </c>
      <c r="N111" s="57"/>
      <c r="O111" s="32"/>
      <c r="P111" s="58"/>
      <c r="Q111" s="13"/>
    </row>
    <row r="112" hidden="1" customHeight="1" outlineLevel="1" spans="1:17">
      <c r="A112" s="64" t="s">
        <v>23</v>
      </c>
      <c r="B112" s="24">
        <v>46136</v>
      </c>
      <c r="D112" s="14">
        <v>7.5</v>
      </c>
      <c r="E112" s="14">
        <v>0</v>
      </c>
      <c r="F112" s="46">
        <v>2</v>
      </c>
      <c r="H112" s="60">
        <f t="shared" si="4"/>
        <v>7.75</v>
      </c>
      <c r="I112" s="47">
        <v>8</v>
      </c>
      <c r="J112" s="14">
        <v>20</v>
      </c>
      <c r="K112" s="48">
        <f t="shared" si="5"/>
        <v>0.6125</v>
      </c>
      <c r="L112" s="61">
        <f t="shared" si="6"/>
        <v>12.25</v>
      </c>
      <c r="M112" s="46">
        <f t="shared" si="7"/>
        <v>62</v>
      </c>
      <c r="N112" s="57"/>
      <c r="O112" s="32"/>
      <c r="P112" s="58"/>
      <c r="Q112" s="13"/>
    </row>
    <row r="113" hidden="1" customHeight="1" outlineLevel="1" spans="1:17">
      <c r="A113" s="24">
        <v>46135</v>
      </c>
      <c r="B113" s="24">
        <v>46138</v>
      </c>
      <c r="D113" s="14">
        <v>7.5</v>
      </c>
      <c r="E113" s="14">
        <v>0</v>
      </c>
      <c r="F113" s="46">
        <v>2</v>
      </c>
      <c r="H113" s="60">
        <f t="shared" si="4"/>
        <v>7.64285714285714</v>
      </c>
      <c r="I113" s="47">
        <v>14</v>
      </c>
      <c r="J113" s="14">
        <v>20</v>
      </c>
      <c r="K113" s="48">
        <f t="shared" si="5"/>
        <v>0.617857142857143</v>
      </c>
      <c r="L113" s="61">
        <f t="shared" si="6"/>
        <v>12.3571428571429</v>
      </c>
      <c r="M113" s="46">
        <f t="shared" si="7"/>
        <v>107</v>
      </c>
      <c r="N113" s="57"/>
      <c r="O113" s="32"/>
      <c r="P113" s="58"/>
      <c r="Q113" s="13"/>
    </row>
    <row r="114" hidden="1" customHeight="1" outlineLevel="1" spans="1:17">
      <c r="A114" s="24">
        <v>46162</v>
      </c>
      <c r="B114" s="24">
        <v>46173</v>
      </c>
      <c r="D114" s="14">
        <v>7.5</v>
      </c>
      <c r="E114" s="14">
        <v>0</v>
      </c>
      <c r="F114" s="46">
        <v>4</v>
      </c>
      <c r="H114" s="60">
        <f t="shared" si="4"/>
        <v>7.7</v>
      </c>
      <c r="I114" s="47">
        <v>20</v>
      </c>
      <c r="J114" s="14">
        <v>20</v>
      </c>
      <c r="K114" s="48">
        <f t="shared" si="5"/>
        <v>0.615</v>
      </c>
      <c r="L114" s="61">
        <f t="shared" si="6"/>
        <v>12.3</v>
      </c>
      <c r="M114" s="46">
        <f t="shared" si="7"/>
        <v>154</v>
      </c>
      <c r="N114" s="57"/>
      <c r="O114" s="32"/>
      <c r="P114" s="58"/>
      <c r="Q114" s="13"/>
    </row>
    <row r="115" hidden="1" customHeight="1" outlineLevel="1" spans="1:17">
      <c r="A115" s="24">
        <v>46162</v>
      </c>
      <c r="B115" s="24">
        <v>46176</v>
      </c>
      <c r="D115" s="14">
        <v>7.5</v>
      </c>
      <c r="E115" s="14">
        <v>0</v>
      </c>
      <c r="F115" s="46">
        <v>3</v>
      </c>
      <c r="H115" s="60">
        <f t="shared" si="4"/>
        <v>7.77272727272727</v>
      </c>
      <c r="I115" s="47">
        <v>11</v>
      </c>
      <c r="J115" s="14">
        <v>20</v>
      </c>
      <c r="K115" s="48">
        <f t="shared" si="5"/>
        <v>0.611363636363636</v>
      </c>
      <c r="L115" s="61">
        <f t="shared" si="6"/>
        <v>12.2272727272727</v>
      </c>
      <c r="M115" s="46">
        <f t="shared" si="7"/>
        <v>85.5</v>
      </c>
      <c r="N115" s="57"/>
      <c r="O115" s="32"/>
      <c r="P115" s="58"/>
      <c r="Q115" s="13"/>
    </row>
    <row r="116" hidden="1" customHeight="1" outlineLevel="1" spans="1:17">
      <c r="A116" s="24">
        <v>46202</v>
      </c>
      <c r="B116" s="24">
        <v>46210</v>
      </c>
      <c r="C116" s="57"/>
      <c r="D116" s="14">
        <v>7.5</v>
      </c>
      <c r="E116" s="14">
        <v>0</v>
      </c>
      <c r="F116" s="46">
        <v>3</v>
      </c>
      <c r="H116" s="60">
        <f t="shared" si="4"/>
        <v>7.7</v>
      </c>
      <c r="I116" s="47">
        <v>15</v>
      </c>
      <c r="J116" s="14">
        <v>20</v>
      </c>
      <c r="K116" s="48">
        <f t="shared" si="5"/>
        <v>0.615</v>
      </c>
      <c r="L116" s="61">
        <f t="shared" si="6"/>
        <v>12.3</v>
      </c>
      <c r="M116" s="46">
        <f t="shared" si="7"/>
        <v>115.5</v>
      </c>
      <c r="N116" s="57"/>
      <c r="O116" s="32"/>
      <c r="P116" s="58"/>
      <c r="Q116" s="13"/>
    </row>
    <row r="117" hidden="1" customHeight="1" outlineLevel="1" spans="1:17">
      <c r="A117" s="24">
        <v>46218</v>
      </c>
      <c r="B117" s="24">
        <v>46218</v>
      </c>
      <c r="C117" s="57"/>
      <c r="D117" s="14">
        <v>7.5</v>
      </c>
      <c r="E117" s="14">
        <v>0</v>
      </c>
      <c r="F117" s="46">
        <v>2</v>
      </c>
      <c r="H117" s="60">
        <f t="shared" si="4"/>
        <v>8.16666666666667</v>
      </c>
      <c r="I117" s="47">
        <v>3</v>
      </c>
      <c r="J117" s="14">
        <v>20</v>
      </c>
      <c r="K117" s="48">
        <f t="shared" si="5"/>
        <v>0.591666666666667</v>
      </c>
      <c r="L117" s="61">
        <f t="shared" si="6"/>
        <v>11.8333333333333</v>
      </c>
      <c r="M117" s="46">
        <f t="shared" si="7"/>
        <v>24.5</v>
      </c>
      <c r="N117" s="57"/>
      <c r="O117" s="32"/>
      <c r="P117" s="58"/>
      <c r="Q117" s="13"/>
    </row>
    <row r="118" hidden="1" customHeight="1" outlineLevel="1" spans="1:17">
      <c r="A118" s="24">
        <v>46218</v>
      </c>
      <c r="B118" s="24">
        <v>46221</v>
      </c>
      <c r="C118" s="57"/>
      <c r="D118" s="14">
        <v>7.5</v>
      </c>
      <c r="E118" s="14">
        <v>0</v>
      </c>
      <c r="F118" s="46">
        <v>4</v>
      </c>
      <c r="H118" s="60">
        <f t="shared" si="4"/>
        <v>7.66666666666667</v>
      </c>
      <c r="I118" s="47">
        <v>24</v>
      </c>
      <c r="J118" s="14">
        <v>20</v>
      </c>
      <c r="K118" s="48">
        <f t="shared" si="5"/>
        <v>0.616666666666667</v>
      </c>
      <c r="L118" s="61">
        <f t="shared" si="6"/>
        <v>12.3333333333333</v>
      </c>
      <c r="M118" s="46">
        <f t="shared" si="7"/>
        <v>184</v>
      </c>
      <c r="N118" s="57"/>
      <c r="O118" s="32"/>
      <c r="P118" s="58"/>
      <c r="Q118" s="13"/>
    </row>
    <row r="119" hidden="1" customHeight="1" outlineLevel="1" spans="1:17">
      <c r="A119" s="24">
        <v>46230</v>
      </c>
      <c r="B119" s="24">
        <v>46232</v>
      </c>
      <c r="C119" s="57"/>
      <c r="D119" s="14">
        <v>7.5</v>
      </c>
      <c r="E119" s="14">
        <v>0</v>
      </c>
      <c r="F119" s="46">
        <v>3</v>
      </c>
      <c r="H119" s="60">
        <f t="shared" si="4"/>
        <v>7.61538461538461</v>
      </c>
      <c r="I119" s="47">
        <v>26</v>
      </c>
      <c r="J119" s="14">
        <v>20</v>
      </c>
      <c r="K119" s="48">
        <f t="shared" si="5"/>
        <v>0.619230769230769</v>
      </c>
      <c r="L119" s="61">
        <f t="shared" si="6"/>
        <v>12.3846153846154</v>
      </c>
      <c r="M119" s="46">
        <f t="shared" si="7"/>
        <v>198</v>
      </c>
      <c r="N119" s="57"/>
      <c r="O119" s="32"/>
      <c r="P119" s="58"/>
      <c r="Q119" s="13"/>
    </row>
    <row r="120" hidden="1" customHeight="1" outlineLevel="1" spans="1:17">
      <c r="A120" s="24">
        <v>46234</v>
      </c>
      <c r="B120" s="24">
        <v>46238</v>
      </c>
      <c r="C120" s="57"/>
      <c r="D120" s="14">
        <v>7.5</v>
      </c>
      <c r="E120" s="14">
        <v>0</v>
      </c>
      <c r="F120" s="46">
        <v>2</v>
      </c>
      <c r="H120" s="60">
        <f t="shared" si="4"/>
        <v>7.6</v>
      </c>
      <c r="I120" s="47">
        <v>20</v>
      </c>
      <c r="J120" s="14">
        <v>20</v>
      </c>
      <c r="K120" s="48">
        <f t="shared" si="5"/>
        <v>0.62</v>
      </c>
      <c r="L120" s="61">
        <f t="shared" si="6"/>
        <v>12.4</v>
      </c>
      <c r="M120" s="46">
        <f t="shared" si="7"/>
        <v>152</v>
      </c>
      <c r="N120" s="57"/>
      <c r="O120" s="32"/>
      <c r="P120" s="58"/>
      <c r="Q120" s="13"/>
    </row>
    <row r="121" hidden="1" customHeight="1" outlineLevel="1" spans="1:17">
      <c r="A121" s="24">
        <v>46239</v>
      </c>
      <c r="B121" s="24">
        <v>46250</v>
      </c>
      <c r="C121" s="57"/>
      <c r="D121" s="14">
        <v>7.5</v>
      </c>
      <c r="E121" s="14">
        <v>0</v>
      </c>
      <c r="F121" s="46">
        <v>2</v>
      </c>
      <c r="H121" s="60">
        <f t="shared" si="4"/>
        <v>7.63333333333333</v>
      </c>
      <c r="I121" s="47">
        <v>15</v>
      </c>
      <c r="J121" s="14">
        <v>20</v>
      </c>
      <c r="K121" s="48">
        <f t="shared" si="5"/>
        <v>0.618333333333333</v>
      </c>
      <c r="L121" s="61">
        <f t="shared" si="6"/>
        <v>12.3666666666667</v>
      </c>
      <c r="M121" s="46">
        <f t="shared" si="7"/>
        <v>114.5</v>
      </c>
      <c r="N121" s="57"/>
      <c r="O121" s="32"/>
      <c r="P121" s="58"/>
      <c r="Q121" s="13"/>
    </row>
    <row r="122" hidden="1" customHeight="1" outlineLevel="1" spans="1:17">
      <c r="A122" s="24">
        <v>46250</v>
      </c>
      <c r="B122" s="24">
        <v>46253</v>
      </c>
      <c r="C122" s="57"/>
      <c r="D122" s="14">
        <v>7.5</v>
      </c>
      <c r="E122" s="14">
        <v>0</v>
      </c>
      <c r="F122" s="46">
        <v>3</v>
      </c>
      <c r="H122" s="60">
        <f t="shared" si="4"/>
        <v>7.6</v>
      </c>
      <c r="I122" s="47">
        <v>30</v>
      </c>
      <c r="J122" s="14">
        <v>20</v>
      </c>
      <c r="K122" s="48">
        <f t="shared" si="5"/>
        <v>0.62</v>
      </c>
      <c r="L122" s="61">
        <f t="shared" si="6"/>
        <v>12.4</v>
      </c>
      <c r="M122" s="46">
        <f t="shared" si="7"/>
        <v>228</v>
      </c>
      <c r="N122" s="57"/>
      <c r="O122" s="32"/>
      <c r="P122" s="58"/>
      <c r="Q122" s="13"/>
    </row>
    <row r="123" hidden="1" customHeight="1" outlineLevel="1" spans="1:17">
      <c r="A123" s="24">
        <v>46253</v>
      </c>
      <c r="B123" s="40">
        <v>46256</v>
      </c>
      <c r="C123" s="57"/>
      <c r="D123" s="14">
        <v>7.5</v>
      </c>
      <c r="E123" s="14">
        <v>0</v>
      </c>
      <c r="F123" s="46">
        <v>3</v>
      </c>
      <c r="H123" s="60">
        <f t="shared" si="4"/>
        <v>7.65</v>
      </c>
      <c r="I123" s="47">
        <v>20</v>
      </c>
      <c r="J123" s="14">
        <v>20</v>
      </c>
      <c r="K123" s="48">
        <f t="shared" si="5"/>
        <v>0.6175</v>
      </c>
      <c r="L123" s="61">
        <f t="shared" si="6"/>
        <v>12.35</v>
      </c>
      <c r="M123" s="46">
        <f t="shared" si="7"/>
        <v>153</v>
      </c>
      <c r="N123" s="57"/>
      <c r="O123" s="32"/>
      <c r="P123" s="58"/>
      <c r="Q123" s="13"/>
    </row>
    <row r="124" hidden="1" customHeight="1" outlineLevel="1" spans="1:17">
      <c r="A124" s="24">
        <v>46267</v>
      </c>
      <c r="B124" s="40">
        <v>46270</v>
      </c>
      <c r="C124" s="57"/>
      <c r="D124" s="14">
        <v>7.5</v>
      </c>
      <c r="E124" s="14">
        <v>0</v>
      </c>
      <c r="F124" s="46">
        <v>2</v>
      </c>
      <c r="H124" s="60">
        <f t="shared" si="4"/>
        <v>7.56666666666667</v>
      </c>
      <c r="I124" s="47">
        <v>30</v>
      </c>
      <c r="J124" s="14">
        <v>20</v>
      </c>
      <c r="K124" s="48">
        <f t="shared" si="5"/>
        <v>0.621666666666667</v>
      </c>
      <c r="L124" s="61">
        <f t="shared" si="6"/>
        <v>12.4333333333333</v>
      </c>
      <c r="M124" s="46">
        <f t="shared" si="7"/>
        <v>227</v>
      </c>
      <c r="N124" s="57"/>
      <c r="O124" s="32"/>
      <c r="P124" s="58"/>
      <c r="Q124" s="13"/>
    </row>
    <row r="125" hidden="1" customHeight="1" outlineLevel="1" spans="1:17">
      <c r="A125" s="24">
        <v>46273</v>
      </c>
      <c r="B125" s="40">
        <v>46278</v>
      </c>
      <c r="C125" s="57"/>
      <c r="D125" s="14">
        <v>7.5</v>
      </c>
      <c r="E125" s="14">
        <v>0</v>
      </c>
      <c r="F125" s="46">
        <v>2</v>
      </c>
      <c r="H125" s="60">
        <f t="shared" si="4"/>
        <v>7.7</v>
      </c>
      <c r="I125" s="47">
        <v>10</v>
      </c>
      <c r="J125" s="14">
        <v>20</v>
      </c>
      <c r="K125" s="48">
        <f t="shared" si="5"/>
        <v>0.615</v>
      </c>
      <c r="L125" s="61">
        <f t="shared" si="6"/>
        <v>12.3</v>
      </c>
      <c r="M125" s="46">
        <f t="shared" si="7"/>
        <v>77</v>
      </c>
      <c r="N125" s="57"/>
      <c r="O125" s="32"/>
      <c r="P125" s="58"/>
      <c r="Q125" s="13"/>
    </row>
    <row r="126" hidden="1" customHeight="1" outlineLevel="1" spans="1:17">
      <c r="A126" s="24">
        <v>46279</v>
      </c>
      <c r="B126" s="40">
        <v>46282</v>
      </c>
      <c r="C126" s="57"/>
      <c r="D126" s="14">
        <v>7.5</v>
      </c>
      <c r="E126" s="14">
        <v>0</v>
      </c>
      <c r="F126" s="46">
        <v>2</v>
      </c>
      <c r="H126" s="60">
        <f t="shared" si="4"/>
        <v>7.6</v>
      </c>
      <c r="I126" s="47">
        <v>20</v>
      </c>
      <c r="J126" s="14">
        <v>20</v>
      </c>
      <c r="K126" s="48">
        <f t="shared" si="5"/>
        <v>0.62</v>
      </c>
      <c r="L126" s="61">
        <f t="shared" si="6"/>
        <v>12.4</v>
      </c>
      <c r="M126" s="46">
        <f t="shared" si="7"/>
        <v>152</v>
      </c>
      <c r="N126" s="57"/>
      <c r="O126" s="32"/>
      <c r="P126" s="58"/>
      <c r="Q126" s="13"/>
    </row>
    <row r="127" customHeight="1" spans="1:17">
      <c r="A127" s="24">
        <v>46284</v>
      </c>
      <c r="B127" s="40">
        <v>46291</v>
      </c>
      <c r="C127" s="57"/>
      <c r="D127" s="14">
        <v>7.5</v>
      </c>
      <c r="E127" s="14">
        <v>0</v>
      </c>
      <c r="F127" s="46">
        <v>2</v>
      </c>
      <c r="H127" s="60">
        <f t="shared" si="4"/>
        <v>7.58</v>
      </c>
      <c r="I127" s="47">
        <v>25</v>
      </c>
      <c r="J127" s="14">
        <v>20</v>
      </c>
      <c r="K127" s="48">
        <f t="shared" si="5"/>
        <v>0.621</v>
      </c>
      <c r="L127" s="61">
        <f t="shared" si="6"/>
        <v>12.42</v>
      </c>
      <c r="M127" s="46">
        <f t="shared" si="7"/>
        <v>189.5</v>
      </c>
      <c r="N127" s="57"/>
      <c r="O127" s="32"/>
      <c r="P127" s="58"/>
      <c r="Q127" s="13"/>
    </row>
    <row r="128" customHeight="1" spans="1:17">
      <c r="A128" s="24">
        <v>46293</v>
      </c>
      <c r="B128" s="40">
        <v>46298</v>
      </c>
      <c r="C128" s="57"/>
      <c r="D128" s="14">
        <v>7.5</v>
      </c>
      <c r="E128" s="14">
        <v>0</v>
      </c>
      <c r="F128" s="46">
        <v>2</v>
      </c>
      <c r="H128" s="60">
        <f t="shared" si="4"/>
        <v>7.58</v>
      </c>
      <c r="I128" s="47">
        <v>25</v>
      </c>
      <c r="J128" s="14">
        <v>20</v>
      </c>
      <c r="K128" s="48">
        <f t="shared" si="5"/>
        <v>0.621</v>
      </c>
      <c r="L128" s="61">
        <f t="shared" si="6"/>
        <v>12.42</v>
      </c>
      <c r="M128" s="46">
        <f t="shared" si="7"/>
        <v>189.5</v>
      </c>
      <c r="N128" s="57"/>
      <c r="O128" s="32"/>
      <c r="P128" s="58"/>
      <c r="Q128" s="13"/>
    </row>
    <row r="129" customHeight="1" spans="1:17">
      <c r="A129" s="40">
        <v>46297</v>
      </c>
      <c r="B129" s="40">
        <v>46301</v>
      </c>
      <c r="C129" s="57"/>
      <c r="D129" s="14">
        <v>7.5</v>
      </c>
      <c r="E129" s="14">
        <v>0</v>
      </c>
      <c r="F129" s="46">
        <v>2</v>
      </c>
      <c r="H129" s="60">
        <f t="shared" si="4"/>
        <v>7.6</v>
      </c>
      <c r="I129" s="47">
        <v>20</v>
      </c>
      <c r="J129" s="14">
        <v>20</v>
      </c>
      <c r="K129" s="48">
        <f t="shared" si="5"/>
        <v>0.62</v>
      </c>
      <c r="L129" s="61">
        <f t="shared" si="6"/>
        <v>12.4</v>
      </c>
      <c r="M129" s="46">
        <f t="shared" si="7"/>
        <v>152</v>
      </c>
      <c r="N129" s="57"/>
      <c r="O129" s="32"/>
      <c r="P129" s="58"/>
      <c r="Q129" s="13"/>
    </row>
    <row r="130" customHeight="1" spans="1:17">
      <c r="A130" s="40">
        <v>46303</v>
      </c>
      <c r="B130" s="40">
        <v>46305</v>
      </c>
      <c r="C130" s="57"/>
      <c r="D130" s="14">
        <v>7.5</v>
      </c>
      <c r="E130" s="14">
        <v>0</v>
      </c>
      <c r="F130" s="46">
        <v>2</v>
      </c>
      <c r="H130" s="60">
        <f t="shared" si="4"/>
        <v>7.58</v>
      </c>
      <c r="I130" s="47">
        <v>25</v>
      </c>
      <c r="J130" s="14">
        <v>20</v>
      </c>
      <c r="K130" s="48">
        <f t="shared" si="5"/>
        <v>0.621</v>
      </c>
      <c r="L130" s="61">
        <f t="shared" si="6"/>
        <v>12.42</v>
      </c>
      <c r="M130" s="46">
        <f t="shared" si="7"/>
        <v>189.5</v>
      </c>
      <c r="N130" s="57"/>
      <c r="O130" s="32"/>
      <c r="P130" s="58"/>
      <c r="Q130" s="13"/>
    </row>
    <row r="131" customHeight="1" spans="1:17">
      <c r="A131" s="40">
        <v>46313</v>
      </c>
      <c r="B131" s="40"/>
      <c r="C131" s="57"/>
      <c r="D131" s="14">
        <v>7.5</v>
      </c>
      <c r="E131" s="14">
        <v>0</v>
      </c>
      <c r="F131" s="46">
        <v>2</v>
      </c>
      <c r="H131" s="60">
        <f t="shared" ref="H131:H170" si="8">D131+(E131/I131)+(F131/I131)</f>
        <v>7.58</v>
      </c>
      <c r="I131" s="47">
        <v>25</v>
      </c>
      <c r="J131" s="14">
        <v>20</v>
      </c>
      <c r="K131" s="48">
        <f t="shared" ref="K131:K170" si="9">(J131-H131)/J131</f>
        <v>0.621</v>
      </c>
      <c r="L131" s="61">
        <f t="shared" ref="L131:L170" si="10">J131-H131</f>
        <v>12.42</v>
      </c>
      <c r="M131" s="46">
        <f t="shared" ref="M131:M197" si="11">D131*I131+E131+F131</f>
        <v>189.5</v>
      </c>
      <c r="N131" s="57"/>
      <c r="O131" s="32"/>
      <c r="P131" s="58"/>
      <c r="Q131" s="13"/>
    </row>
    <row r="132" customHeight="1" spans="1:17">
      <c r="B132" s="40"/>
      <c r="C132" s="57"/>
      <c r="H132" s="60"/>
      <c r="L132" s="61"/>
      <c r="N132" s="57"/>
      <c r="O132" s="32"/>
      <c r="P132" s="58"/>
      <c r="Q132" s="13"/>
    </row>
    <row r="133" customHeight="1" spans="1:17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32"/>
      <c r="P133" s="58"/>
      <c r="Q133" s="13"/>
    </row>
    <row r="134" customHeight="1" collapsed="1" spans="1:17">
      <c r="A134" s="57" t="s">
        <v>24</v>
      </c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32" t="str">
        <f>_xlfn.DISPIMG("ID_F472E8E4483746EEAB05049ADDC71A37",1)</f>
        <v>=DISPIMG("ID_F472E8E4483746EEAB05049ADDC71A37",1)</v>
      </c>
      <c r="P134" s="58"/>
      <c r="Q134" s="13" t="s">
        <v>25</v>
      </c>
    </row>
    <row r="135" hidden="1" customHeight="1" outlineLevel="1" spans="1:17">
      <c r="A135" s="24">
        <v>45811</v>
      </c>
      <c r="B135" s="24">
        <v>45815</v>
      </c>
      <c r="D135" s="14">
        <v>7.5</v>
      </c>
      <c r="E135" s="14">
        <v>0</v>
      </c>
      <c r="F135" s="46">
        <v>3.5</v>
      </c>
      <c r="H135" s="60">
        <f t="shared" si="8"/>
        <v>8.08333333333333</v>
      </c>
      <c r="I135" s="47">
        <v>6</v>
      </c>
      <c r="J135" s="14">
        <v>22.77</v>
      </c>
      <c r="K135" s="48">
        <f t="shared" si="9"/>
        <v>0.645000731957254</v>
      </c>
      <c r="L135" s="61">
        <f t="shared" si="10"/>
        <v>14.6866666666667</v>
      </c>
      <c r="M135" s="46">
        <f t="shared" si="11"/>
        <v>48.5</v>
      </c>
      <c r="N135" s="15"/>
      <c r="O135" s="15"/>
      <c r="P135" s="15"/>
    </row>
    <row r="136" hidden="1" customHeight="1" outlineLevel="1" spans="1:17">
      <c r="A136" s="24">
        <v>45821</v>
      </c>
      <c r="B136" s="24">
        <v>45826</v>
      </c>
      <c r="D136" s="14">
        <v>7.5</v>
      </c>
      <c r="E136" s="14">
        <v>0</v>
      </c>
      <c r="F136" s="46">
        <v>2</v>
      </c>
      <c r="H136" s="60">
        <f t="shared" si="8"/>
        <v>7.9</v>
      </c>
      <c r="I136" s="47">
        <v>5</v>
      </c>
      <c r="J136" s="14">
        <v>22.77</v>
      </c>
      <c r="K136" s="48">
        <f t="shared" si="9"/>
        <v>0.653052261747914</v>
      </c>
      <c r="L136" s="61">
        <f t="shared" si="10"/>
        <v>14.87</v>
      </c>
      <c r="M136" s="46">
        <f t="shared" si="11"/>
        <v>39.5</v>
      </c>
      <c r="N136" s="15"/>
      <c r="O136" s="15"/>
      <c r="P136" s="15"/>
    </row>
    <row r="137" hidden="1" customHeight="1" outlineLevel="1" spans="1:17">
      <c r="A137" s="24">
        <v>45821</v>
      </c>
      <c r="B137" s="24">
        <v>45828</v>
      </c>
      <c r="D137" s="14">
        <v>7.5</v>
      </c>
      <c r="E137" s="14">
        <v>0</v>
      </c>
      <c r="F137" s="46">
        <v>2</v>
      </c>
      <c r="H137" s="60">
        <f t="shared" si="8"/>
        <v>7.7</v>
      </c>
      <c r="I137" s="47">
        <v>10</v>
      </c>
      <c r="J137" s="14">
        <v>22.77</v>
      </c>
      <c r="K137" s="48">
        <f t="shared" si="9"/>
        <v>0.661835748792271</v>
      </c>
      <c r="L137" s="61">
        <f t="shared" si="10"/>
        <v>15.07</v>
      </c>
      <c r="M137" s="46">
        <f t="shared" si="11"/>
        <v>77</v>
      </c>
      <c r="N137" s="15"/>
      <c r="O137" s="15"/>
      <c r="P137" s="15"/>
    </row>
    <row r="138" hidden="1" customHeight="1" outlineLevel="1" spans="1:17">
      <c r="A138" s="24">
        <v>45825</v>
      </c>
      <c r="B138" s="24">
        <v>45835</v>
      </c>
      <c r="D138" s="14">
        <v>7.5</v>
      </c>
      <c r="E138" s="14">
        <v>0</v>
      </c>
      <c r="F138" s="46">
        <v>2</v>
      </c>
      <c r="H138" s="60">
        <f t="shared" si="8"/>
        <v>7.7</v>
      </c>
      <c r="I138" s="47">
        <v>10</v>
      </c>
      <c r="J138" s="14">
        <v>22.77</v>
      </c>
      <c r="K138" s="48">
        <f t="shared" si="9"/>
        <v>0.661835748792271</v>
      </c>
      <c r="L138" s="61">
        <f t="shared" si="10"/>
        <v>15.07</v>
      </c>
      <c r="M138" s="46">
        <f t="shared" si="11"/>
        <v>77</v>
      </c>
      <c r="N138" s="15"/>
      <c r="O138" s="15"/>
      <c r="P138" s="15"/>
    </row>
    <row r="139" hidden="1" customHeight="1" outlineLevel="1" spans="1:17">
      <c r="A139" s="24">
        <v>45825</v>
      </c>
      <c r="B139" s="24">
        <v>45838</v>
      </c>
      <c r="D139" s="14">
        <v>7.5</v>
      </c>
      <c r="E139" s="14">
        <v>0</v>
      </c>
      <c r="F139" s="46">
        <v>3</v>
      </c>
      <c r="H139" s="60">
        <f t="shared" si="8"/>
        <v>7.65</v>
      </c>
      <c r="I139" s="47">
        <v>20</v>
      </c>
      <c r="J139" s="14">
        <v>22.77</v>
      </c>
      <c r="K139" s="48">
        <f t="shared" si="9"/>
        <v>0.66403162055336</v>
      </c>
      <c r="L139" s="61">
        <f t="shared" si="10"/>
        <v>15.12</v>
      </c>
      <c r="M139" s="46">
        <f t="shared" si="11"/>
        <v>153</v>
      </c>
      <c r="N139" s="15"/>
      <c r="O139" s="15"/>
      <c r="P139" s="15"/>
    </row>
    <row r="140" hidden="1" customHeight="1" outlineLevel="1" spans="1:17">
      <c r="A140" s="24">
        <v>45835</v>
      </c>
      <c r="B140" s="24">
        <v>45839</v>
      </c>
      <c r="D140" s="14">
        <v>7.5</v>
      </c>
      <c r="E140" s="14">
        <v>0</v>
      </c>
      <c r="F140" s="46">
        <v>2</v>
      </c>
      <c r="H140" s="60">
        <f t="shared" si="8"/>
        <v>7.65384615384615</v>
      </c>
      <c r="I140" s="47">
        <v>13</v>
      </c>
      <c r="J140" s="14">
        <v>22.77</v>
      </c>
      <c r="K140" s="48">
        <f t="shared" si="9"/>
        <v>0.663862707340968</v>
      </c>
      <c r="L140" s="61">
        <f t="shared" si="10"/>
        <v>15.1161538461538</v>
      </c>
      <c r="M140" s="46">
        <f t="shared" si="11"/>
        <v>99.5</v>
      </c>
      <c r="N140" s="15"/>
      <c r="O140" s="15"/>
      <c r="P140" s="15"/>
    </row>
    <row r="141" hidden="1" customHeight="1" outlineLevel="1" spans="1:17">
      <c r="A141" s="24">
        <v>45835</v>
      </c>
      <c r="B141" s="24">
        <v>45849</v>
      </c>
      <c r="D141" s="14">
        <v>7.5</v>
      </c>
      <c r="E141" s="14">
        <v>0</v>
      </c>
      <c r="F141" s="46">
        <v>2</v>
      </c>
      <c r="H141" s="60">
        <f t="shared" si="8"/>
        <v>7.83333333333333</v>
      </c>
      <c r="I141" s="47">
        <v>6</v>
      </c>
      <c r="J141" s="14">
        <v>22.77</v>
      </c>
      <c r="K141" s="48">
        <f t="shared" si="9"/>
        <v>0.655980090762699</v>
      </c>
      <c r="L141" s="61">
        <f t="shared" si="10"/>
        <v>14.9366666666667</v>
      </c>
      <c r="M141" s="46">
        <f t="shared" si="11"/>
        <v>47</v>
      </c>
      <c r="N141" s="15"/>
      <c r="O141" s="15"/>
      <c r="P141" s="15"/>
    </row>
    <row r="142" hidden="1" customHeight="1" outlineLevel="1" spans="1:17">
      <c r="A142" s="40">
        <v>45847</v>
      </c>
      <c r="B142" s="24">
        <v>45850</v>
      </c>
      <c r="D142" s="14">
        <v>7.5</v>
      </c>
      <c r="E142" s="14">
        <v>0</v>
      </c>
      <c r="F142" s="46">
        <v>3</v>
      </c>
      <c r="H142" s="60">
        <f t="shared" si="8"/>
        <v>7.8</v>
      </c>
      <c r="I142" s="47">
        <v>10</v>
      </c>
      <c r="J142" s="14">
        <v>22.77</v>
      </c>
      <c r="K142" s="48">
        <f t="shared" si="9"/>
        <v>0.657444005270092</v>
      </c>
      <c r="L142" s="61">
        <f t="shared" si="10"/>
        <v>14.97</v>
      </c>
      <c r="M142" s="46">
        <f t="shared" si="11"/>
        <v>78</v>
      </c>
      <c r="N142" s="15"/>
      <c r="O142" s="15"/>
      <c r="P142" s="15"/>
    </row>
    <row r="143" hidden="1" customHeight="1" outlineLevel="1" spans="1:17">
      <c r="A143" s="40">
        <v>45851</v>
      </c>
      <c r="B143" s="24">
        <v>45855</v>
      </c>
      <c r="D143" s="14">
        <v>7.5</v>
      </c>
      <c r="E143" s="14">
        <v>0</v>
      </c>
      <c r="F143" s="46">
        <v>6</v>
      </c>
      <c r="H143" s="60">
        <f t="shared" si="8"/>
        <v>7.78571428571429</v>
      </c>
      <c r="I143" s="47">
        <v>21</v>
      </c>
      <c r="J143" s="14">
        <v>22.77</v>
      </c>
      <c r="K143" s="48">
        <f t="shared" si="9"/>
        <v>0.658071397201832</v>
      </c>
      <c r="L143" s="61">
        <f t="shared" si="10"/>
        <v>14.9842857142857</v>
      </c>
      <c r="M143" s="46">
        <f t="shared" si="11"/>
        <v>163.5</v>
      </c>
      <c r="N143" s="15"/>
      <c r="O143" s="15"/>
      <c r="P143" s="15"/>
    </row>
    <row r="144" hidden="1" customHeight="1" outlineLevel="1" spans="1:17">
      <c r="A144" s="40">
        <v>45851</v>
      </c>
      <c r="B144" s="24">
        <v>45857</v>
      </c>
      <c r="D144" s="14">
        <v>7.5</v>
      </c>
      <c r="E144" s="14">
        <v>0</v>
      </c>
      <c r="F144" s="46">
        <v>2</v>
      </c>
      <c r="H144" s="60">
        <f t="shared" si="8"/>
        <v>7.7</v>
      </c>
      <c r="I144" s="47">
        <v>10</v>
      </c>
      <c r="J144" s="14">
        <v>22.77</v>
      </c>
      <c r="K144" s="48">
        <f t="shared" si="9"/>
        <v>0.661835748792271</v>
      </c>
      <c r="L144" s="61">
        <f t="shared" si="10"/>
        <v>15.07</v>
      </c>
      <c r="M144" s="46">
        <f t="shared" si="11"/>
        <v>77</v>
      </c>
      <c r="N144" s="15"/>
      <c r="O144" s="15"/>
      <c r="P144" s="15"/>
    </row>
    <row r="145" hidden="1" customHeight="1" outlineLevel="1" spans="1:16">
      <c r="A145" s="40">
        <v>45858</v>
      </c>
      <c r="B145" s="24">
        <v>45863</v>
      </c>
      <c r="D145" s="14">
        <v>7.5</v>
      </c>
      <c r="E145" s="14">
        <v>0</v>
      </c>
      <c r="F145" s="46">
        <v>3</v>
      </c>
      <c r="H145" s="60">
        <f t="shared" si="8"/>
        <v>7.7</v>
      </c>
      <c r="I145" s="47">
        <v>15</v>
      </c>
      <c r="J145" s="14">
        <v>22.77</v>
      </c>
      <c r="K145" s="48">
        <f t="shared" si="9"/>
        <v>0.661835748792271</v>
      </c>
      <c r="L145" s="61">
        <f t="shared" si="10"/>
        <v>15.07</v>
      </c>
      <c r="M145" s="46">
        <f t="shared" si="11"/>
        <v>115.5</v>
      </c>
      <c r="N145" s="15"/>
      <c r="O145" s="15"/>
      <c r="P145" s="15"/>
    </row>
    <row r="146" hidden="1" customHeight="1" outlineLevel="1" spans="1:16">
      <c r="A146" s="24">
        <v>45862</v>
      </c>
      <c r="B146" s="24">
        <v>45868</v>
      </c>
      <c r="C146" s="58"/>
      <c r="D146" s="14">
        <v>7.5</v>
      </c>
      <c r="E146" s="14">
        <v>0</v>
      </c>
      <c r="F146" s="46">
        <v>3</v>
      </c>
      <c r="H146" s="60">
        <f t="shared" si="8"/>
        <v>7.7</v>
      </c>
      <c r="I146" s="47">
        <v>15</v>
      </c>
      <c r="J146" s="14">
        <v>22.77</v>
      </c>
      <c r="K146" s="48">
        <f t="shared" si="9"/>
        <v>0.661835748792271</v>
      </c>
      <c r="L146" s="61">
        <f t="shared" si="10"/>
        <v>15.07</v>
      </c>
      <c r="M146" s="46">
        <f t="shared" si="11"/>
        <v>115.5</v>
      </c>
      <c r="N146" s="58"/>
      <c r="O146" s="58"/>
      <c r="P146" s="58"/>
    </row>
    <row r="147" hidden="1" customHeight="1" outlineLevel="1" spans="1:16">
      <c r="A147" s="24">
        <v>45867</v>
      </c>
      <c r="B147" s="24">
        <v>45872</v>
      </c>
      <c r="C147" s="58"/>
      <c r="D147" s="14">
        <v>7.5</v>
      </c>
      <c r="E147" s="14">
        <v>0</v>
      </c>
      <c r="F147" s="46">
        <v>3</v>
      </c>
      <c r="H147" s="60">
        <f t="shared" si="8"/>
        <v>7.7</v>
      </c>
      <c r="I147" s="47">
        <v>15</v>
      </c>
      <c r="J147" s="14">
        <v>22.77</v>
      </c>
      <c r="K147" s="48">
        <f t="shared" si="9"/>
        <v>0.661835748792271</v>
      </c>
      <c r="L147" s="61">
        <f t="shared" si="10"/>
        <v>15.07</v>
      </c>
      <c r="M147" s="46">
        <f t="shared" si="11"/>
        <v>115.5</v>
      </c>
      <c r="N147" s="58"/>
      <c r="O147" s="58"/>
      <c r="P147" s="58"/>
    </row>
    <row r="148" hidden="1" customHeight="1" outlineLevel="1" spans="1:16">
      <c r="A148" s="24">
        <v>45872</v>
      </c>
      <c r="B148" s="24">
        <v>45876</v>
      </c>
      <c r="C148" s="58"/>
      <c r="D148" s="14">
        <v>7.5</v>
      </c>
      <c r="E148" s="14">
        <v>0</v>
      </c>
      <c r="F148" s="46">
        <v>3</v>
      </c>
      <c r="H148" s="60">
        <f t="shared" si="8"/>
        <v>7.6875</v>
      </c>
      <c r="I148" s="47">
        <v>16</v>
      </c>
      <c r="J148" s="14">
        <v>22.77</v>
      </c>
      <c r="K148" s="48">
        <f t="shared" si="9"/>
        <v>0.662384716732543</v>
      </c>
      <c r="L148" s="61">
        <f t="shared" si="10"/>
        <v>15.0825</v>
      </c>
      <c r="M148" s="46">
        <f t="shared" si="11"/>
        <v>123</v>
      </c>
      <c r="N148" s="58"/>
      <c r="O148" s="58"/>
      <c r="P148" s="58"/>
    </row>
    <row r="149" hidden="1" customHeight="1" outlineLevel="1" spans="1:16">
      <c r="A149" s="40">
        <v>45876</v>
      </c>
      <c r="B149" s="37">
        <v>45879</v>
      </c>
      <c r="C149" s="58"/>
      <c r="D149" s="14">
        <v>7.5</v>
      </c>
      <c r="E149" s="14">
        <v>0</v>
      </c>
      <c r="F149" s="46">
        <v>3</v>
      </c>
      <c r="H149" s="60">
        <f t="shared" si="8"/>
        <v>7.6304347826087</v>
      </c>
      <c r="I149" s="47">
        <v>23</v>
      </c>
      <c r="J149" s="14">
        <v>22.77</v>
      </c>
      <c r="K149" s="48">
        <f t="shared" si="9"/>
        <v>0.664890874720742</v>
      </c>
      <c r="L149" s="61">
        <f t="shared" si="10"/>
        <v>15.1395652173913</v>
      </c>
      <c r="M149" s="46">
        <f t="shared" si="11"/>
        <v>175.5</v>
      </c>
      <c r="N149" s="58"/>
      <c r="O149" s="58"/>
      <c r="P149" s="58"/>
    </row>
    <row r="150" hidden="1" customHeight="1" outlineLevel="1" spans="1:16">
      <c r="A150" s="40">
        <v>45888</v>
      </c>
      <c r="B150" s="40">
        <v>45894</v>
      </c>
      <c r="C150" s="58"/>
      <c r="D150" s="14">
        <v>7.5</v>
      </c>
      <c r="E150" s="14">
        <v>5</v>
      </c>
      <c r="F150" s="46">
        <v>3</v>
      </c>
      <c r="H150" s="60">
        <f t="shared" si="8"/>
        <v>7.9</v>
      </c>
      <c r="I150" s="47">
        <v>20</v>
      </c>
      <c r="J150" s="14">
        <v>22.77</v>
      </c>
      <c r="K150" s="48">
        <f t="shared" si="9"/>
        <v>0.653052261747914</v>
      </c>
      <c r="L150" s="61">
        <f t="shared" si="10"/>
        <v>14.87</v>
      </c>
      <c r="M150" s="46">
        <f t="shared" si="11"/>
        <v>158</v>
      </c>
      <c r="N150" s="58"/>
      <c r="O150" s="58"/>
      <c r="P150" s="58"/>
    </row>
    <row r="151" hidden="1" customHeight="1" outlineLevel="1" spans="1:16">
      <c r="A151" s="40">
        <v>45898</v>
      </c>
      <c r="B151" s="40">
        <v>45903</v>
      </c>
      <c r="C151" s="58"/>
      <c r="D151" s="14">
        <v>7.5</v>
      </c>
      <c r="E151" s="14">
        <v>1</v>
      </c>
      <c r="F151" s="46">
        <v>2</v>
      </c>
      <c r="H151" s="60">
        <f t="shared" si="8"/>
        <v>7.83333333333333</v>
      </c>
      <c r="I151" s="47">
        <v>9</v>
      </c>
      <c r="J151" s="14">
        <v>22.77</v>
      </c>
      <c r="K151" s="48">
        <f t="shared" si="9"/>
        <v>0.655980090762699</v>
      </c>
      <c r="L151" s="61">
        <f t="shared" si="10"/>
        <v>14.9366666666667</v>
      </c>
      <c r="M151" s="46">
        <f t="shared" si="11"/>
        <v>70.5</v>
      </c>
      <c r="N151" s="58"/>
      <c r="O151" s="58"/>
      <c r="P151" s="58"/>
    </row>
    <row r="152" hidden="1" customHeight="1" outlineLevel="1" spans="1:16">
      <c r="A152" s="40">
        <v>45904</v>
      </c>
      <c r="B152" s="40">
        <v>45911</v>
      </c>
      <c r="C152" s="58"/>
      <c r="D152" s="14">
        <v>7.5</v>
      </c>
      <c r="E152" s="14">
        <v>1</v>
      </c>
      <c r="F152" s="46">
        <v>2</v>
      </c>
      <c r="H152" s="60">
        <f t="shared" si="8"/>
        <v>7.8</v>
      </c>
      <c r="I152" s="47">
        <v>10</v>
      </c>
      <c r="J152" s="14">
        <v>22.77</v>
      </c>
      <c r="K152" s="48">
        <f t="shared" si="9"/>
        <v>0.657444005270092</v>
      </c>
      <c r="L152" s="61">
        <f t="shared" si="10"/>
        <v>14.97</v>
      </c>
      <c r="M152" s="46">
        <f t="shared" si="11"/>
        <v>78</v>
      </c>
      <c r="N152" s="58"/>
      <c r="O152" s="58"/>
      <c r="P152" s="58"/>
    </row>
    <row r="153" hidden="1" customHeight="1" outlineLevel="1" spans="1:16">
      <c r="A153" s="40">
        <v>45910</v>
      </c>
      <c r="B153" s="40">
        <v>45918</v>
      </c>
      <c r="C153" s="58"/>
      <c r="D153" s="14">
        <v>7.5</v>
      </c>
      <c r="E153" s="14">
        <v>0</v>
      </c>
      <c r="F153" s="46">
        <v>2</v>
      </c>
      <c r="H153" s="60">
        <f t="shared" si="8"/>
        <v>7.7</v>
      </c>
      <c r="I153" s="47">
        <v>10</v>
      </c>
      <c r="J153" s="14">
        <v>22.77</v>
      </c>
      <c r="K153" s="48">
        <f t="shared" si="9"/>
        <v>0.661835748792271</v>
      </c>
      <c r="L153" s="61">
        <f t="shared" si="10"/>
        <v>15.07</v>
      </c>
      <c r="M153" s="46">
        <f t="shared" si="11"/>
        <v>77</v>
      </c>
      <c r="N153" s="58"/>
      <c r="O153" s="58"/>
      <c r="P153" s="58"/>
    </row>
    <row r="154" hidden="1" customHeight="1" outlineLevel="1" spans="1:16">
      <c r="A154" s="40">
        <v>45918</v>
      </c>
      <c r="B154" s="40">
        <v>45921</v>
      </c>
      <c r="C154" s="58"/>
      <c r="D154" s="14">
        <v>7.5</v>
      </c>
      <c r="E154" s="14">
        <v>0</v>
      </c>
      <c r="F154" s="46">
        <v>2</v>
      </c>
      <c r="H154" s="60">
        <f t="shared" si="8"/>
        <v>7.6</v>
      </c>
      <c r="I154" s="47">
        <v>20</v>
      </c>
      <c r="J154" s="14">
        <v>22.77</v>
      </c>
      <c r="K154" s="48">
        <f t="shared" si="9"/>
        <v>0.666227492314449</v>
      </c>
      <c r="L154" s="61">
        <f t="shared" si="10"/>
        <v>15.17</v>
      </c>
      <c r="M154" s="46">
        <f t="shared" si="11"/>
        <v>152</v>
      </c>
      <c r="N154" s="58"/>
      <c r="O154" s="58"/>
      <c r="P154" s="58"/>
    </row>
    <row r="155" hidden="1" customHeight="1" outlineLevel="1" spans="1:16">
      <c r="A155" s="40">
        <v>45923</v>
      </c>
      <c r="B155" s="40">
        <v>45929</v>
      </c>
      <c r="C155" s="57"/>
      <c r="D155" s="14">
        <v>7.5</v>
      </c>
      <c r="E155" s="14">
        <v>0</v>
      </c>
      <c r="F155" s="46">
        <v>2</v>
      </c>
      <c r="H155" s="60">
        <f t="shared" si="8"/>
        <v>7.63333333333333</v>
      </c>
      <c r="I155" s="47">
        <v>15</v>
      </c>
      <c r="J155" s="14">
        <v>22.77</v>
      </c>
      <c r="K155" s="48">
        <f t="shared" si="9"/>
        <v>0.664763577807056</v>
      </c>
      <c r="L155" s="61">
        <f t="shared" si="10"/>
        <v>15.1366666666667</v>
      </c>
      <c r="M155" s="46">
        <f t="shared" si="11"/>
        <v>114.5</v>
      </c>
      <c r="N155" s="57"/>
      <c r="O155" s="57"/>
      <c r="P155" s="58"/>
    </row>
    <row r="156" hidden="1" customHeight="1" outlineLevel="1" spans="1:16">
      <c r="A156" s="40">
        <v>45929</v>
      </c>
      <c r="B156" s="40">
        <v>45939</v>
      </c>
      <c r="C156" s="57"/>
      <c r="D156" s="14">
        <v>7.5</v>
      </c>
      <c r="E156" s="14">
        <v>0</v>
      </c>
      <c r="F156" s="46">
        <v>2</v>
      </c>
      <c r="H156" s="60">
        <f t="shared" si="8"/>
        <v>7.9</v>
      </c>
      <c r="I156" s="47">
        <v>5</v>
      </c>
      <c r="J156" s="14">
        <v>22.77</v>
      </c>
      <c r="K156" s="48">
        <f t="shared" si="9"/>
        <v>0.653052261747914</v>
      </c>
      <c r="L156" s="61">
        <f t="shared" si="10"/>
        <v>14.87</v>
      </c>
      <c r="M156" s="46">
        <f t="shared" si="11"/>
        <v>39.5</v>
      </c>
      <c r="N156" s="57"/>
      <c r="O156" s="57"/>
      <c r="P156" s="58"/>
    </row>
    <row r="157" hidden="1" customHeight="1" outlineLevel="1" spans="1:16">
      <c r="A157" s="40">
        <v>45940</v>
      </c>
      <c r="B157" s="40">
        <v>45943</v>
      </c>
      <c r="C157" s="57"/>
      <c r="D157" s="14">
        <v>7.5</v>
      </c>
      <c r="E157" s="14">
        <v>0</v>
      </c>
      <c r="F157" s="46">
        <v>3</v>
      </c>
      <c r="H157" s="60">
        <f t="shared" si="8"/>
        <v>7.7</v>
      </c>
      <c r="I157" s="47">
        <v>15</v>
      </c>
      <c r="J157" s="14">
        <v>22.77</v>
      </c>
      <c r="K157" s="48">
        <f t="shared" si="9"/>
        <v>0.661835748792271</v>
      </c>
      <c r="L157" s="61">
        <f t="shared" si="10"/>
        <v>15.07</v>
      </c>
      <c r="M157" s="46">
        <f t="shared" si="11"/>
        <v>115.5</v>
      </c>
      <c r="N157" s="57"/>
      <c r="O157" s="57"/>
      <c r="P157" s="58"/>
    </row>
    <row r="158" hidden="1" customHeight="1" outlineLevel="1" spans="1:16">
      <c r="A158" s="40">
        <v>45940</v>
      </c>
      <c r="B158" s="40">
        <v>45945</v>
      </c>
      <c r="C158" s="57"/>
      <c r="D158" s="14">
        <v>7.5</v>
      </c>
      <c r="E158" s="14">
        <v>0</v>
      </c>
      <c r="F158" s="46">
        <v>3</v>
      </c>
      <c r="H158" s="60">
        <f t="shared" si="8"/>
        <v>7.7</v>
      </c>
      <c r="I158" s="47">
        <v>15</v>
      </c>
      <c r="J158" s="14">
        <v>22.77</v>
      </c>
      <c r="K158" s="48">
        <f t="shared" si="9"/>
        <v>0.661835748792271</v>
      </c>
      <c r="L158" s="61">
        <f t="shared" si="10"/>
        <v>15.07</v>
      </c>
      <c r="M158" s="46">
        <f t="shared" si="11"/>
        <v>115.5</v>
      </c>
      <c r="N158" s="57"/>
      <c r="O158" s="57"/>
      <c r="P158" s="58"/>
    </row>
    <row r="159" hidden="1" customHeight="1" outlineLevel="1" spans="1:16">
      <c r="A159" s="40">
        <v>45945</v>
      </c>
      <c r="B159" s="40">
        <v>45948</v>
      </c>
      <c r="C159" s="57"/>
      <c r="D159" s="14">
        <v>7.5</v>
      </c>
      <c r="E159" s="14">
        <v>0</v>
      </c>
      <c r="F159" s="46">
        <v>2</v>
      </c>
      <c r="H159" s="60">
        <f t="shared" si="8"/>
        <v>7.63333333333333</v>
      </c>
      <c r="I159" s="47">
        <v>15</v>
      </c>
      <c r="J159" s="14">
        <v>22.77</v>
      </c>
      <c r="K159" s="48">
        <f t="shared" si="9"/>
        <v>0.664763577807056</v>
      </c>
      <c r="L159" s="61">
        <f t="shared" si="10"/>
        <v>15.1366666666667</v>
      </c>
      <c r="M159" s="46">
        <f t="shared" si="11"/>
        <v>114.5</v>
      </c>
      <c r="N159" s="57"/>
      <c r="O159" s="57"/>
      <c r="P159" s="58"/>
    </row>
    <row r="160" hidden="1" customHeight="1" outlineLevel="1" spans="1:16">
      <c r="A160" s="40">
        <v>45950</v>
      </c>
      <c r="B160" s="40">
        <v>45954</v>
      </c>
      <c r="C160" s="57"/>
      <c r="D160" s="14">
        <v>7.5</v>
      </c>
      <c r="E160" s="14">
        <v>0</v>
      </c>
      <c r="F160" s="46">
        <v>2</v>
      </c>
      <c r="H160" s="60">
        <f t="shared" si="8"/>
        <v>7.6</v>
      </c>
      <c r="I160" s="47">
        <v>20</v>
      </c>
      <c r="J160" s="14">
        <v>22.77</v>
      </c>
      <c r="K160" s="48">
        <f t="shared" si="9"/>
        <v>0.666227492314449</v>
      </c>
      <c r="L160" s="61">
        <f t="shared" si="10"/>
        <v>15.17</v>
      </c>
      <c r="M160" s="46">
        <f t="shared" si="11"/>
        <v>152</v>
      </c>
      <c r="N160" s="57"/>
      <c r="O160" s="57"/>
      <c r="P160" s="58"/>
    </row>
    <row r="161" hidden="1" customHeight="1" outlineLevel="1" spans="1:16">
      <c r="A161" s="40">
        <v>45950</v>
      </c>
      <c r="B161" s="40">
        <v>45956</v>
      </c>
      <c r="C161" s="57"/>
      <c r="D161" s="14">
        <v>7.5</v>
      </c>
      <c r="E161" s="14">
        <v>0</v>
      </c>
      <c r="F161" s="46">
        <v>2</v>
      </c>
      <c r="H161" s="60">
        <f t="shared" si="8"/>
        <v>7.75</v>
      </c>
      <c r="I161" s="47">
        <v>8</v>
      </c>
      <c r="J161" s="14">
        <v>22.77</v>
      </c>
      <c r="K161" s="48">
        <f t="shared" si="9"/>
        <v>0.659639877031181</v>
      </c>
      <c r="L161" s="61">
        <f t="shared" si="10"/>
        <v>15.02</v>
      </c>
      <c r="M161" s="46">
        <f t="shared" si="11"/>
        <v>62</v>
      </c>
      <c r="N161" s="57"/>
      <c r="O161" s="57"/>
      <c r="P161" s="58"/>
    </row>
    <row r="162" hidden="1" customHeight="1" outlineLevel="1" spans="1:16">
      <c r="A162" s="40">
        <v>45957</v>
      </c>
      <c r="B162" s="40">
        <v>45960</v>
      </c>
      <c r="C162" s="57"/>
      <c r="D162" s="14">
        <v>7.5</v>
      </c>
      <c r="E162" s="14">
        <v>0</v>
      </c>
      <c r="F162" s="46">
        <v>3</v>
      </c>
      <c r="H162" s="60">
        <f t="shared" si="8"/>
        <v>7.6304347826087</v>
      </c>
      <c r="I162" s="47">
        <v>23</v>
      </c>
      <c r="J162" s="14">
        <v>22.77</v>
      </c>
      <c r="K162" s="48">
        <f t="shared" si="9"/>
        <v>0.664890874720742</v>
      </c>
      <c r="L162" s="61">
        <f t="shared" si="10"/>
        <v>15.1395652173913</v>
      </c>
      <c r="M162" s="46">
        <f t="shared" si="11"/>
        <v>175.5</v>
      </c>
      <c r="N162" s="57"/>
      <c r="O162" s="57"/>
      <c r="P162" s="58"/>
    </row>
    <row r="163" hidden="1" customHeight="1" outlineLevel="1" spans="1:16">
      <c r="A163" s="40">
        <v>45957</v>
      </c>
      <c r="B163" s="40">
        <v>45960</v>
      </c>
      <c r="C163" s="57"/>
      <c r="D163" s="14">
        <v>7.5</v>
      </c>
      <c r="E163" s="14">
        <v>0</v>
      </c>
      <c r="F163" s="46">
        <v>3</v>
      </c>
      <c r="H163" s="60">
        <f t="shared" si="8"/>
        <v>7.71428571428571</v>
      </c>
      <c r="I163" s="47">
        <v>14</v>
      </c>
      <c r="J163" s="14">
        <v>22.77</v>
      </c>
      <c r="K163" s="48">
        <f t="shared" si="9"/>
        <v>0.661208356860531</v>
      </c>
      <c r="L163" s="61">
        <f t="shared" si="10"/>
        <v>15.0557142857143</v>
      </c>
      <c r="M163" s="46">
        <f t="shared" si="11"/>
        <v>108</v>
      </c>
      <c r="N163" s="57"/>
      <c r="O163" s="57"/>
      <c r="P163" s="58"/>
    </row>
    <row r="164" hidden="1" customHeight="1" outlineLevel="1" spans="1:16">
      <c r="A164" s="40">
        <v>45963</v>
      </c>
      <c r="B164" s="40">
        <v>45966</v>
      </c>
      <c r="C164" s="57"/>
      <c r="D164" s="14">
        <v>7.5</v>
      </c>
      <c r="E164" s="14">
        <v>0</v>
      </c>
      <c r="F164" s="46">
        <v>3</v>
      </c>
      <c r="H164" s="60">
        <f t="shared" si="8"/>
        <v>7.65</v>
      </c>
      <c r="I164" s="47">
        <v>20</v>
      </c>
      <c r="J164" s="14">
        <v>22.77</v>
      </c>
      <c r="K164" s="48">
        <f t="shared" si="9"/>
        <v>0.66403162055336</v>
      </c>
      <c r="L164" s="61">
        <f t="shared" si="10"/>
        <v>15.12</v>
      </c>
      <c r="M164" s="46">
        <f t="shared" si="11"/>
        <v>153</v>
      </c>
      <c r="N164" s="57"/>
      <c r="O164" s="57"/>
      <c r="P164" s="58"/>
    </row>
    <row r="165" hidden="1" customHeight="1" outlineLevel="1" spans="1:16">
      <c r="A165" s="40">
        <v>45963</v>
      </c>
      <c r="B165" s="40">
        <v>45970</v>
      </c>
      <c r="C165" s="57"/>
      <c r="D165" s="14">
        <v>7.5</v>
      </c>
      <c r="E165" s="14">
        <v>0</v>
      </c>
      <c r="F165" s="46">
        <v>3</v>
      </c>
      <c r="H165" s="60">
        <f t="shared" si="8"/>
        <v>7.65</v>
      </c>
      <c r="I165" s="47">
        <v>20</v>
      </c>
      <c r="J165" s="14">
        <v>22.77</v>
      </c>
      <c r="K165" s="48">
        <f t="shared" si="9"/>
        <v>0.66403162055336</v>
      </c>
      <c r="L165" s="61">
        <f t="shared" si="10"/>
        <v>15.12</v>
      </c>
      <c r="M165" s="46">
        <f t="shared" si="11"/>
        <v>153</v>
      </c>
      <c r="N165" s="57"/>
      <c r="O165" s="57"/>
      <c r="P165" s="58"/>
    </row>
    <row r="166" hidden="1" customHeight="1" outlineLevel="1" spans="1:16">
      <c r="A166" s="40">
        <v>45963</v>
      </c>
      <c r="B166" s="40">
        <v>45941</v>
      </c>
      <c r="C166" s="57"/>
      <c r="D166" s="14">
        <v>7.5</v>
      </c>
      <c r="E166" s="14">
        <v>0</v>
      </c>
      <c r="F166" s="46">
        <v>2</v>
      </c>
      <c r="H166" s="60">
        <f t="shared" si="8"/>
        <v>7.7</v>
      </c>
      <c r="I166" s="47">
        <v>10</v>
      </c>
      <c r="J166" s="14">
        <v>22.77</v>
      </c>
      <c r="K166" s="48">
        <f t="shared" si="9"/>
        <v>0.661835748792271</v>
      </c>
      <c r="L166" s="61">
        <f t="shared" si="10"/>
        <v>15.07</v>
      </c>
      <c r="M166" s="46">
        <f t="shared" si="11"/>
        <v>77</v>
      </c>
      <c r="N166" s="57"/>
      <c r="O166" s="57"/>
      <c r="P166" s="58"/>
    </row>
    <row r="167" hidden="1" customHeight="1" outlineLevel="1" spans="1:16">
      <c r="A167" s="40">
        <v>45971</v>
      </c>
      <c r="B167" s="40">
        <v>45974</v>
      </c>
      <c r="C167" s="57"/>
      <c r="D167" s="14">
        <v>7.5</v>
      </c>
      <c r="E167" s="14">
        <v>0</v>
      </c>
      <c r="F167" s="46">
        <v>4</v>
      </c>
      <c r="H167" s="60">
        <f t="shared" si="8"/>
        <v>7.58888888888889</v>
      </c>
      <c r="I167" s="47">
        <v>45</v>
      </c>
      <c r="J167" s="14">
        <v>22.77</v>
      </c>
      <c r="K167" s="48">
        <f t="shared" si="9"/>
        <v>0.666715463816913</v>
      </c>
      <c r="L167" s="61">
        <f t="shared" si="10"/>
        <v>15.1811111111111</v>
      </c>
      <c r="M167" s="46">
        <f t="shared" si="11"/>
        <v>341.5</v>
      </c>
      <c r="N167" s="57"/>
      <c r="O167" s="57"/>
      <c r="P167" s="58"/>
    </row>
    <row r="168" hidden="1" customHeight="1" outlineLevel="1" spans="1:16">
      <c r="A168" s="40">
        <v>45971</v>
      </c>
      <c r="B168" s="40">
        <v>45986</v>
      </c>
      <c r="C168" s="57"/>
      <c r="D168" s="14">
        <v>7.5</v>
      </c>
      <c r="E168" s="14">
        <v>0</v>
      </c>
      <c r="F168" s="46">
        <v>3</v>
      </c>
      <c r="H168" s="60">
        <f t="shared" si="8"/>
        <v>7.7</v>
      </c>
      <c r="I168" s="47">
        <v>15</v>
      </c>
      <c r="J168" s="14">
        <v>22.77</v>
      </c>
      <c r="K168" s="48">
        <f t="shared" si="9"/>
        <v>0.661835748792271</v>
      </c>
      <c r="L168" s="61">
        <f t="shared" si="10"/>
        <v>15.07</v>
      </c>
      <c r="M168" s="46">
        <f t="shared" si="11"/>
        <v>115.5</v>
      </c>
      <c r="N168" s="57"/>
      <c r="O168" s="57"/>
      <c r="P168" s="58"/>
    </row>
    <row r="169" hidden="1" customHeight="1" outlineLevel="1" spans="1:16">
      <c r="A169" s="40">
        <v>45986</v>
      </c>
      <c r="B169" s="40">
        <v>45991</v>
      </c>
      <c r="C169" s="57"/>
      <c r="D169" s="14">
        <v>7.5</v>
      </c>
      <c r="E169" s="14">
        <v>0</v>
      </c>
      <c r="F169" s="46">
        <v>3</v>
      </c>
      <c r="H169" s="60">
        <f t="shared" si="8"/>
        <v>7.65</v>
      </c>
      <c r="I169" s="47">
        <v>20</v>
      </c>
      <c r="J169" s="14">
        <v>22.77</v>
      </c>
      <c r="K169" s="48">
        <f t="shared" si="9"/>
        <v>0.66403162055336</v>
      </c>
      <c r="L169" s="61">
        <f t="shared" si="10"/>
        <v>15.12</v>
      </c>
      <c r="M169" s="46">
        <f t="shared" si="11"/>
        <v>153</v>
      </c>
      <c r="N169" s="57"/>
      <c r="O169" s="57"/>
      <c r="P169" s="58"/>
    </row>
    <row r="170" hidden="1" customHeight="1" outlineLevel="1" spans="1:16">
      <c r="A170" s="40">
        <v>45994</v>
      </c>
      <c r="B170" s="40">
        <v>46004</v>
      </c>
      <c r="C170" s="57"/>
      <c r="D170" s="14">
        <v>7.5</v>
      </c>
      <c r="E170" s="14">
        <v>0</v>
      </c>
      <c r="F170" s="46">
        <v>3</v>
      </c>
      <c r="H170" s="60">
        <f t="shared" si="8"/>
        <v>7.62</v>
      </c>
      <c r="I170" s="47">
        <v>25</v>
      </c>
      <c r="J170" s="14">
        <v>22.77</v>
      </c>
      <c r="K170" s="48">
        <f t="shared" si="9"/>
        <v>0.665349143610013</v>
      </c>
      <c r="L170" s="61">
        <f t="shared" si="10"/>
        <v>15.15</v>
      </c>
      <c r="M170" s="46">
        <f t="shared" si="11"/>
        <v>190.5</v>
      </c>
      <c r="N170" s="57"/>
      <c r="O170" s="57"/>
      <c r="P170" s="58"/>
    </row>
    <row r="171" hidden="1" customHeight="1" outlineLevel="1" spans="1:16">
      <c r="A171" s="40">
        <v>46009</v>
      </c>
      <c r="B171" s="40">
        <v>46018</v>
      </c>
      <c r="C171" s="57"/>
      <c r="D171" s="14">
        <v>7.5</v>
      </c>
      <c r="E171" s="14">
        <v>0</v>
      </c>
      <c r="F171" s="46">
        <v>3</v>
      </c>
      <c r="H171" s="60">
        <v>7.62</v>
      </c>
      <c r="I171" s="47">
        <v>20</v>
      </c>
      <c r="J171" s="14">
        <v>22.77</v>
      </c>
      <c r="K171" s="48">
        <v>0.619</v>
      </c>
      <c r="L171" s="61">
        <v>12.38</v>
      </c>
      <c r="M171" s="46">
        <f t="shared" si="11"/>
        <v>153</v>
      </c>
      <c r="N171" s="57"/>
      <c r="O171" s="57"/>
      <c r="P171" s="58"/>
    </row>
    <row r="172" hidden="1" customHeight="1" outlineLevel="1" spans="1:16">
      <c r="A172" s="40">
        <v>46023</v>
      </c>
      <c r="B172" s="40">
        <v>46025</v>
      </c>
      <c r="C172" s="57"/>
      <c r="D172" s="14">
        <v>7.5</v>
      </c>
      <c r="E172" s="14">
        <v>0</v>
      </c>
      <c r="F172" s="46">
        <v>3</v>
      </c>
      <c r="H172" s="60">
        <v>7.62</v>
      </c>
      <c r="I172" s="47">
        <v>18</v>
      </c>
      <c r="J172" s="14">
        <v>22.77</v>
      </c>
      <c r="K172" s="48">
        <v>0.619</v>
      </c>
      <c r="L172" s="61">
        <v>12.38</v>
      </c>
      <c r="M172" s="46">
        <f t="shared" si="11"/>
        <v>138</v>
      </c>
      <c r="N172" s="57"/>
      <c r="O172" s="57"/>
      <c r="P172" s="58"/>
    </row>
    <row r="173" hidden="1" customHeight="1" outlineLevel="1" spans="1:16">
      <c r="A173" s="40">
        <v>46027</v>
      </c>
      <c r="B173" s="40">
        <v>46030</v>
      </c>
      <c r="C173" s="57"/>
      <c r="D173" s="14">
        <v>7.5</v>
      </c>
      <c r="E173" s="14">
        <v>0</v>
      </c>
      <c r="F173" s="46">
        <v>3</v>
      </c>
      <c r="H173" s="60">
        <v>7.62</v>
      </c>
      <c r="I173" s="47">
        <v>17</v>
      </c>
      <c r="J173" s="14">
        <v>22.77</v>
      </c>
      <c r="K173" s="48">
        <v>0.619</v>
      </c>
      <c r="L173" s="61">
        <v>12.38</v>
      </c>
      <c r="M173" s="46">
        <f t="shared" si="11"/>
        <v>130.5</v>
      </c>
      <c r="N173" s="57"/>
      <c r="O173" s="57"/>
      <c r="P173" s="58"/>
    </row>
    <row r="174" hidden="1" customHeight="1" outlineLevel="1" spans="1:16">
      <c r="A174" s="40">
        <v>46030</v>
      </c>
      <c r="B174" s="40">
        <v>46034</v>
      </c>
      <c r="C174" s="57"/>
      <c r="D174" s="14">
        <v>7.5</v>
      </c>
      <c r="E174" s="14">
        <v>0</v>
      </c>
      <c r="F174" s="46">
        <v>2</v>
      </c>
      <c r="H174" s="60">
        <v>7.62</v>
      </c>
      <c r="I174" s="47">
        <v>5</v>
      </c>
      <c r="J174" s="14">
        <v>22.77</v>
      </c>
      <c r="K174" s="48">
        <v>0.619</v>
      </c>
      <c r="L174" s="61">
        <v>12.38</v>
      </c>
      <c r="M174" s="46">
        <f t="shared" si="11"/>
        <v>39.5</v>
      </c>
      <c r="N174" s="57"/>
      <c r="O174" s="57"/>
      <c r="P174" s="58"/>
    </row>
    <row r="175" hidden="1" customHeight="1" outlineLevel="1" spans="1:16">
      <c r="A175" s="40">
        <v>46035</v>
      </c>
      <c r="B175" s="40">
        <v>46039</v>
      </c>
      <c r="C175" s="57"/>
      <c r="D175" s="14">
        <v>7.5</v>
      </c>
      <c r="E175" s="14">
        <v>0</v>
      </c>
      <c r="F175" s="46">
        <v>3</v>
      </c>
      <c r="H175" s="60">
        <v>7.62</v>
      </c>
      <c r="I175" s="47">
        <v>19</v>
      </c>
      <c r="J175" s="14">
        <v>22.77</v>
      </c>
      <c r="K175" s="48">
        <v>0.619</v>
      </c>
      <c r="L175" s="61">
        <v>12.38</v>
      </c>
      <c r="M175" s="46">
        <f t="shared" si="11"/>
        <v>145.5</v>
      </c>
      <c r="N175" s="57"/>
      <c r="O175" s="57"/>
      <c r="P175" s="58"/>
    </row>
    <row r="176" hidden="1" customHeight="1" outlineLevel="1" spans="1:16">
      <c r="A176" s="40">
        <v>46039</v>
      </c>
      <c r="B176" s="40">
        <v>46046</v>
      </c>
      <c r="C176" s="57"/>
      <c r="D176" s="14">
        <v>7.5</v>
      </c>
      <c r="E176" s="14">
        <v>0</v>
      </c>
      <c r="F176" s="46">
        <v>3</v>
      </c>
      <c r="H176" s="60">
        <v>7.62</v>
      </c>
      <c r="I176" s="47">
        <v>16</v>
      </c>
      <c r="J176" s="14">
        <v>22.77</v>
      </c>
      <c r="K176" s="48">
        <v>0.619</v>
      </c>
      <c r="L176" s="61">
        <v>12.38</v>
      </c>
      <c r="M176" s="46">
        <f t="shared" si="11"/>
        <v>123</v>
      </c>
      <c r="N176" s="57"/>
      <c r="O176" s="57"/>
      <c r="P176" s="58"/>
    </row>
    <row r="177" hidden="1" customHeight="1" outlineLevel="1" spans="1:16">
      <c r="A177" s="40">
        <v>46046</v>
      </c>
      <c r="B177" s="40">
        <v>46050</v>
      </c>
      <c r="C177" s="57"/>
      <c r="D177" s="14">
        <v>7.5</v>
      </c>
      <c r="E177" s="14">
        <v>0</v>
      </c>
      <c r="F177" s="46">
        <v>3</v>
      </c>
      <c r="H177" s="60">
        <v>7.62</v>
      </c>
      <c r="I177" s="47">
        <v>24</v>
      </c>
      <c r="J177" s="14">
        <v>22.77</v>
      </c>
      <c r="K177" s="48">
        <v>0.619</v>
      </c>
      <c r="L177" s="61">
        <v>12.38</v>
      </c>
      <c r="M177" s="46">
        <f t="shared" si="11"/>
        <v>183</v>
      </c>
      <c r="N177" s="57"/>
      <c r="O177" s="57"/>
      <c r="P177" s="58"/>
    </row>
    <row r="178" hidden="1" customHeight="1" outlineLevel="1" spans="1:16">
      <c r="A178" s="40">
        <v>46052</v>
      </c>
      <c r="B178" s="40">
        <v>46055</v>
      </c>
      <c r="C178" s="57"/>
      <c r="D178" s="14">
        <v>7.5</v>
      </c>
      <c r="E178" s="14">
        <v>0</v>
      </c>
      <c r="F178" s="46">
        <v>4</v>
      </c>
      <c r="H178" s="60">
        <v>7.62</v>
      </c>
      <c r="I178" s="47">
        <v>40</v>
      </c>
      <c r="J178" s="14">
        <v>22.77</v>
      </c>
      <c r="K178" s="48">
        <v>0.619</v>
      </c>
      <c r="L178" s="61">
        <v>12.38</v>
      </c>
      <c r="M178" s="46">
        <f t="shared" si="11"/>
        <v>304</v>
      </c>
      <c r="N178" s="57"/>
      <c r="O178" s="57"/>
      <c r="P178" s="58"/>
    </row>
    <row r="179" hidden="1" customHeight="1" outlineLevel="1" spans="1:16">
      <c r="A179" s="40">
        <v>46058</v>
      </c>
      <c r="B179" s="40">
        <v>46060</v>
      </c>
      <c r="C179" s="57"/>
      <c r="D179" s="14">
        <v>7.5</v>
      </c>
      <c r="E179" s="14">
        <v>0</v>
      </c>
      <c r="F179" s="46">
        <v>3</v>
      </c>
      <c r="H179" s="60">
        <v>7.62</v>
      </c>
      <c r="I179" s="47">
        <v>33</v>
      </c>
      <c r="J179" s="14">
        <v>22.77</v>
      </c>
      <c r="K179" s="48">
        <v>0.619</v>
      </c>
      <c r="L179" s="61">
        <v>12.38</v>
      </c>
      <c r="M179" s="46">
        <f t="shared" si="11"/>
        <v>250.5</v>
      </c>
      <c r="N179" s="57"/>
      <c r="O179" s="57"/>
      <c r="P179" s="58"/>
    </row>
    <row r="180" hidden="1" customHeight="1" outlineLevel="1" spans="1:16">
      <c r="A180" s="40">
        <v>46061</v>
      </c>
      <c r="B180" s="40">
        <v>46101</v>
      </c>
      <c r="C180" s="57"/>
      <c r="D180" s="14">
        <v>7.5</v>
      </c>
      <c r="E180" s="14">
        <v>0</v>
      </c>
      <c r="F180" s="46">
        <v>3</v>
      </c>
      <c r="H180" s="60">
        <v>7.62</v>
      </c>
      <c r="I180" s="47">
        <v>27</v>
      </c>
      <c r="J180" s="14">
        <v>22.77</v>
      </c>
      <c r="K180" s="48">
        <v>0.619</v>
      </c>
      <c r="L180" s="61">
        <v>12.38</v>
      </c>
      <c r="M180" s="46">
        <f t="shared" si="11"/>
        <v>205.5</v>
      </c>
      <c r="N180" s="57"/>
      <c r="O180" s="57"/>
      <c r="P180" s="58"/>
    </row>
    <row r="181" hidden="1" customHeight="1" outlineLevel="1" spans="1:16">
      <c r="A181" s="40">
        <v>46113</v>
      </c>
      <c r="B181" s="40">
        <v>46116</v>
      </c>
      <c r="C181" s="57"/>
      <c r="D181" s="14">
        <v>7.5</v>
      </c>
      <c r="E181" s="14">
        <v>0</v>
      </c>
      <c r="F181" s="46">
        <v>3</v>
      </c>
      <c r="H181" s="60">
        <v>7.62</v>
      </c>
      <c r="I181" s="47">
        <v>17</v>
      </c>
      <c r="J181" s="14">
        <v>22.77</v>
      </c>
      <c r="K181" s="48">
        <v>0.619</v>
      </c>
      <c r="L181" s="61">
        <v>12.38</v>
      </c>
      <c r="M181" s="46">
        <f t="shared" si="11"/>
        <v>130.5</v>
      </c>
      <c r="N181" s="57"/>
      <c r="O181" s="57"/>
      <c r="P181" s="58"/>
    </row>
    <row r="182" hidden="1" customHeight="1" outlineLevel="1" spans="1:16">
      <c r="A182" s="24">
        <v>46135</v>
      </c>
      <c r="B182" s="24">
        <v>46138</v>
      </c>
      <c r="C182" s="57"/>
      <c r="D182" s="14">
        <v>7.5</v>
      </c>
      <c r="E182" s="14">
        <v>0</v>
      </c>
      <c r="F182" s="46">
        <v>2</v>
      </c>
      <c r="H182" s="60">
        <v>7.62</v>
      </c>
      <c r="I182" s="47">
        <v>14</v>
      </c>
      <c r="J182" s="14">
        <v>22.77</v>
      </c>
      <c r="K182" s="48">
        <v>0.619</v>
      </c>
      <c r="L182" s="61">
        <v>12.38</v>
      </c>
      <c r="M182" s="46">
        <f t="shared" si="11"/>
        <v>107</v>
      </c>
      <c r="N182" s="57"/>
      <c r="O182" s="57"/>
      <c r="P182" s="58"/>
    </row>
    <row r="183" hidden="1" customHeight="1" outlineLevel="1" spans="1:16">
      <c r="A183" s="24">
        <v>46149</v>
      </c>
      <c r="B183" s="24">
        <v>46152</v>
      </c>
      <c r="C183" s="57"/>
      <c r="D183" s="14">
        <v>7.5</v>
      </c>
      <c r="E183" s="14">
        <v>0</v>
      </c>
      <c r="F183" s="46">
        <v>2</v>
      </c>
      <c r="H183" s="60">
        <v>7.62</v>
      </c>
      <c r="I183" s="47">
        <v>20</v>
      </c>
      <c r="J183" s="14">
        <v>22.77</v>
      </c>
      <c r="K183" s="48">
        <v>0.619</v>
      </c>
      <c r="L183" s="61">
        <v>12.38</v>
      </c>
      <c r="M183" s="46">
        <f t="shared" si="11"/>
        <v>152</v>
      </c>
      <c r="N183" s="57"/>
      <c r="O183" s="57"/>
      <c r="P183" s="58"/>
    </row>
    <row r="184" hidden="1" customHeight="1" outlineLevel="1" spans="1:16">
      <c r="A184" s="24">
        <v>46178</v>
      </c>
      <c r="B184" s="24">
        <v>46182</v>
      </c>
      <c r="C184" s="57"/>
      <c r="D184" s="14">
        <v>7.5</v>
      </c>
      <c r="E184" s="14">
        <v>0</v>
      </c>
      <c r="F184" s="46">
        <v>3</v>
      </c>
      <c r="G184" s="46">
        <v>3</v>
      </c>
      <c r="H184" s="60">
        <v>7.62</v>
      </c>
      <c r="I184" s="47">
        <v>30</v>
      </c>
      <c r="J184" s="14">
        <v>22.77</v>
      </c>
      <c r="K184" s="48">
        <v>0.619</v>
      </c>
      <c r="L184" s="61">
        <v>12.38</v>
      </c>
      <c r="M184" s="46">
        <f t="shared" si="11"/>
        <v>228</v>
      </c>
      <c r="N184" s="57"/>
      <c r="O184" s="57"/>
      <c r="P184" s="58"/>
    </row>
    <row r="185" hidden="1" customHeight="1" outlineLevel="1" spans="1:16">
      <c r="A185" s="24">
        <v>46188</v>
      </c>
      <c r="B185" s="24">
        <v>46190</v>
      </c>
      <c r="C185" s="57"/>
      <c r="D185" s="14">
        <v>7.5</v>
      </c>
      <c r="E185" s="14">
        <v>0</v>
      </c>
      <c r="F185" s="46">
        <v>3</v>
      </c>
      <c r="H185" s="60">
        <v>7.62</v>
      </c>
      <c r="I185" s="47">
        <v>30</v>
      </c>
      <c r="J185" s="14">
        <v>22.77</v>
      </c>
      <c r="K185" s="48">
        <v>0.619</v>
      </c>
      <c r="L185" s="61">
        <v>12.38</v>
      </c>
      <c r="M185" s="46">
        <f t="shared" si="11"/>
        <v>228</v>
      </c>
      <c r="N185" s="57"/>
      <c r="O185" s="57"/>
      <c r="P185" s="58"/>
    </row>
    <row r="186" hidden="1" customHeight="1" outlineLevel="1" spans="1:16">
      <c r="A186" s="24">
        <v>46202</v>
      </c>
      <c r="B186" s="24">
        <v>46210</v>
      </c>
      <c r="C186" s="57"/>
      <c r="D186" s="14">
        <v>7.5</v>
      </c>
      <c r="E186" s="14">
        <v>0</v>
      </c>
      <c r="F186" s="46">
        <v>3</v>
      </c>
      <c r="H186" s="60">
        <v>7.62</v>
      </c>
      <c r="I186" s="47">
        <v>15</v>
      </c>
      <c r="J186" s="14">
        <v>22.77</v>
      </c>
      <c r="K186" s="48">
        <v>0.619</v>
      </c>
      <c r="L186" s="61">
        <v>12.38</v>
      </c>
      <c r="M186" s="46">
        <f t="shared" si="11"/>
        <v>115.5</v>
      </c>
      <c r="N186" s="57"/>
      <c r="O186" s="57"/>
      <c r="P186" s="58"/>
    </row>
    <row r="187" hidden="1" customHeight="1" outlineLevel="1" spans="1:16">
      <c r="A187" s="24">
        <v>46214</v>
      </c>
      <c r="B187" s="24">
        <v>46217</v>
      </c>
      <c r="C187" s="57"/>
      <c r="D187" s="14">
        <v>7.5</v>
      </c>
      <c r="E187" s="14">
        <v>0</v>
      </c>
      <c r="F187" s="46">
        <v>4</v>
      </c>
      <c r="H187" s="60">
        <v>7.62</v>
      </c>
      <c r="I187" s="47">
        <v>30</v>
      </c>
      <c r="J187" s="14">
        <v>22.77</v>
      </c>
      <c r="K187" s="48">
        <v>0.619</v>
      </c>
      <c r="L187" s="61">
        <v>12.38</v>
      </c>
      <c r="M187" s="46">
        <f t="shared" si="11"/>
        <v>229</v>
      </c>
      <c r="N187" s="57"/>
      <c r="O187" s="57"/>
      <c r="P187" s="58"/>
    </row>
    <row r="188" hidden="1" customHeight="1" outlineLevel="1" spans="1:16">
      <c r="A188" s="24">
        <v>46218</v>
      </c>
      <c r="B188" s="24">
        <v>46231</v>
      </c>
      <c r="C188" s="57"/>
      <c r="D188" s="14">
        <v>7.5</v>
      </c>
      <c r="E188" s="14">
        <v>0</v>
      </c>
      <c r="F188" s="46">
        <v>3</v>
      </c>
      <c r="H188" s="60">
        <v>7.62</v>
      </c>
      <c r="I188" s="47">
        <v>14</v>
      </c>
      <c r="J188" s="14">
        <v>22.77</v>
      </c>
      <c r="K188" s="48">
        <v>0.619</v>
      </c>
      <c r="L188" s="61">
        <v>12.38</v>
      </c>
      <c r="M188" s="46">
        <f t="shared" si="11"/>
        <v>108</v>
      </c>
      <c r="N188" s="57"/>
      <c r="O188" s="57"/>
      <c r="P188" s="58"/>
    </row>
    <row r="189" hidden="1" customHeight="1" outlineLevel="1" spans="1:16">
      <c r="A189" s="24">
        <v>46218</v>
      </c>
      <c r="B189" s="24">
        <v>46238</v>
      </c>
      <c r="C189" s="57"/>
      <c r="D189" s="14">
        <v>7.5</v>
      </c>
      <c r="E189" s="14">
        <v>0</v>
      </c>
      <c r="F189" s="46">
        <v>1</v>
      </c>
      <c r="H189" s="60">
        <v>7.62</v>
      </c>
      <c r="I189" s="47">
        <v>6</v>
      </c>
      <c r="J189" s="14">
        <v>22.77</v>
      </c>
      <c r="K189" s="48">
        <v>0.619</v>
      </c>
      <c r="L189" s="61">
        <v>12.38</v>
      </c>
      <c r="M189" s="46">
        <f t="shared" si="11"/>
        <v>46</v>
      </c>
      <c r="N189" s="57"/>
      <c r="O189" s="57"/>
      <c r="P189" s="58"/>
    </row>
    <row r="190" hidden="1" customHeight="1" outlineLevel="1" spans="1:16">
      <c r="A190" s="24">
        <v>46239</v>
      </c>
      <c r="B190" s="24">
        <v>46249</v>
      </c>
      <c r="C190" s="57"/>
      <c r="D190" s="14">
        <v>7.5</v>
      </c>
      <c r="E190" s="14">
        <v>0</v>
      </c>
      <c r="F190" s="46">
        <v>2</v>
      </c>
      <c r="H190" s="60">
        <v>7.62</v>
      </c>
      <c r="I190" s="47">
        <v>15</v>
      </c>
      <c r="J190" s="14">
        <v>22.77</v>
      </c>
      <c r="K190" s="48">
        <v>0.619</v>
      </c>
      <c r="L190" s="61">
        <v>12.38</v>
      </c>
      <c r="M190" s="46">
        <f t="shared" si="11"/>
        <v>114.5</v>
      </c>
      <c r="N190" s="57"/>
      <c r="O190" s="57"/>
      <c r="P190" s="58"/>
    </row>
    <row r="191" hidden="1" customHeight="1" outlineLevel="1" spans="1:16">
      <c r="A191" s="24">
        <v>46253</v>
      </c>
      <c r="B191" s="40">
        <v>46256</v>
      </c>
      <c r="C191" s="57"/>
      <c r="D191" s="14">
        <v>7.5</v>
      </c>
      <c r="E191" s="14">
        <v>0</v>
      </c>
      <c r="F191" s="46">
        <v>2</v>
      </c>
      <c r="H191" s="60">
        <v>7.62</v>
      </c>
      <c r="I191" s="47">
        <v>12</v>
      </c>
      <c r="J191" s="14">
        <v>22.77</v>
      </c>
      <c r="K191" s="48">
        <v>0.619</v>
      </c>
      <c r="L191" s="61">
        <v>12.38</v>
      </c>
      <c r="M191" s="46">
        <f t="shared" si="11"/>
        <v>92</v>
      </c>
      <c r="N191" s="57"/>
      <c r="O191" s="57"/>
      <c r="P191" s="58"/>
    </row>
    <row r="192" hidden="1" customHeight="1" outlineLevel="1" spans="1:16">
      <c r="A192" s="24">
        <v>46260</v>
      </c>
      <c r="B192" s="24">
        <v>46262</v>
      </c>
      <c r="C192" s="57"/>
      <c r="D192" s="14">
        <v>7.5</v>
      </c>
      <c r="E192" s="14">
        <v>0</v>
      </c>
      <c r="F192" s="46">
        <v>2</v>
      </c>
      <c r="H192" s="60">
        <v>7.62</v>
      </c>
      <c r="I192" s="47">
        <v>20</v>
      </c>
      <c r="J192" s="14">
        <v>22.77</v>
      </c>
      <c r="K192" s="48">
        <v>0.619</v>
      </c>
      <c r="L192" s="61">
        <v>12.38</v>
      </c>
      <c r="M192" s="46">
        <f t="shared" si="11"/>
        <v>152</v>
      </c>
      <c r="N192" s="57"/>
      <c r="O192" s="57"/>
      <c r="P192" s="58"/>
    </row>
    <row r="193" hidden="1" customHeight="1" outlineLevel="1" spans="1:17">
      <c r="A193" s="24">
        <v>46273</v>
      </c>
      <c r="B193" s="24">
        <v>46276</v>
      </c>
      <c r="C193" s="57"/>
      <c r="D193" s="14">
        <v>7.5</v>
      </c>
      <c r="E193" s="14">
        <v>0</v>
      </c>
      <c r="F193" s="46">
        <v>2</v>
      </c>
      <c r="H193" s="60">
        <v>7.62</v>
      </c>
      <c r="I193" s="47">
        <v>10</v>
      </c>
      <c r="J193" s="14">
        <v>22.77</v>
      </c>
      <c r="K193" s="48">
        <v>0.619</v>
      </c>
      <c r="L193" s="61">
        <v>12.38</v>
      </c>
      <c r="M193" s="46">
        <f t="shared" si="11"/>
        <v>77</v>
      </c>
      <c r="N193" s="57"/>
      <c r="O193" s="57"/>
      <c r="P193" s="58"/>
    </row>
    <row r="194" hidden="1" customHeight="1" outlineLevel="1" spans="1:17">
      <c r="A194" s="24">
        <v>46264</v>
      </c>
      <c r="B194" s="40">
        <v>46268</v>
      </c>
      <c r="C194" s="57"/>
      <c r="D194" s="14">
        <v>7.5</v>
      </c>
      <c r="E194" s="14">
        <v>0</v>
      </c>
      <c r="F194" s="46">
        <v>2</v>
      </c>
      <c r="H194" s="60">
        <v>7.62</v>
      </c>
      <c r="I194" s="47">
        <v>20</v>
      </c>
      <c r="J194" s="14">
        <v>22.77</v>
      </c>
      <c r="K194" s="48">
        <v>0.619</v>
      </c>
      <c r="L194" s="61">
        <v>12.38</v>
      </c>
      <c r="M194" s="46">
        <f t="shared" si="11"/>
        <v>152</v>
      </c>
      <c r="N194" s="57"/>
      <c r="O194" s="57"/>
      <c r="P194" s="58"/>
      <c r="Q194" s="13"/>
    </row>
    <row r="195" hidden="1" customHeight="1" outlineLevel="1" spans="1:17">
      <c r="A195" s="24">
        <v>46276</v>
      </c>
      <c r="B195" s="40">
        <v>46278</v>
      </c>
      <c r="C195" s="57"/>
      <c r="D195" s="14">
        <v>7.5</v>
      </c>
      <c r="E195" s="14">
        <v>0</v>
      </c>
      <c r="F195" s="46">
        <v>2</v>
      </c>
      <c r="H195" s="60">
        <v>7.62</v>
      </c>
      <c r="I195" s="47">
        <v>20</v>
      </c>
      <c r="J195" s="14">
        <v>22.77</v>
      </c>
      <c r="K195" s="48">
        <v>0.619</v>
      </c>
      <c r="L195" s="61">
        <v>12.38</v>
      </c>
      <c r="M195" s="46">
        <f t="shared" si="11"/>
        <v>152</v>
      </c>
      <c r="N195" s="57"/>
      <c r="O195" s="57"/>
      <c r="P195" s="58"/>
      <c r="Q195" s="13"/>
    </row>
    <row r="196" customHeight="1" spans="1:17">
      <c r="A196" s="24">
        <v>46279</v>
      </c>
      <c r="B196" s="40">
        <v>46284</v>
      </c>
      <c r="C196" s="57"/>
      <c r="D196" s="14">
        <v>7.5</v>
      </c>
      <c r="E196" s="14">
        <v>0</v>
      </c>
      <c r="F196" s="46">
        <v>2</v>
      </c>
      <c r="H196" s="60">
        <v>7.62</v>
      </c>
      <c r="I196" s="47">
        <v>20</v>
      </c>
      <c r="J196" s="14">
        <v>22.77</v>
      </c>
      <c r="K196" s="48">
        <v>0.619</v>
      </c>
      <c r="L196" s="61">
        <v>12.38</v>
      </c>
      <c r="M196" s="46">
        <f t="shared" si="11"/>
        <v>152</v>
      </c>
      <c r="N196" s="57"/>
      <c r="O196" s="57"/>
      <c r="P196" s="58"/>
      <c r="Q196" s="13"/>
    </row>
    <row r="197" customHeight="1" spans="1:17">
      <c r="A197" s="40">
        <v>46291</v>
      </c>
      <c r="B197" s="40">
        <v>46294</v>
      </c>
      <c r="C197" s="57"/>
      <c r="D197" s="14">
        <v>7.5</v>
      </c>
      <c r="E197" s="14">
        <v>0</v>
      </c>
      <c r="F197" s="46">
        <v>2</v>
      </c>
      <c r="H197" s="60">
        <v>7.62</v>
      </c>
      <c r="I197" s="47">
        <v>20</v>
      </c>
      <c r="J197" s="14">
        <v>22.77</v>
      </c>
      <c r="K197" s="48">
        <v>0.619</v>
      </c>
      <c r="L197" s="61">
        <v>12.38</v>
      </c>
      <c r="M197" s="46">
        <f t="shared" si="11"/>
        <v>152</v>
      </c>
      <c r="N197" s="57"/>
      <c r="O197" s="57"/>
      <c r="P197" s="58"/>
      <c r="Q197" s="13" t="s">
        <v>26</v>
      </c>
    </row>
    <row r="198" customHeight="1" spans="1:17">
      <c r="A198" s="40">
        <v>46301</v>
      </c>
      <c r="B198" s="40">
        <v>46303</v>
      </c>
      <c r="C198" s="57"/>
      <c r="D198" s="14">
        <v>7.5</v>
      </c>
      <c r="E198" s="14">
        <v>0</v>
      </c>
      <c r="F198" s="46">
        <v>2</v>
      </c>
      <c r="H198" s="60">
        <v>7.62</v>
      </c>
      <c r="I198" s="47">
        <v>25</v>
      </c>
      <c r="J198" s="14">
        <v>22.77</v>
      </c>
      <c r="K198" s="48">
        <v>0.619</v>
      </c>
      <c r="L198" s="61">
        <v>12.38</v>
      </c>
      <c r="M198" s="46">
        <f t="shared" ref="M198:M200" si="12">D198*I198+E198+F198</f>
        <v>189.5</v>
      </c>
      <c r="N198" s="57"/>
      <c r="O198" s="57"/>
      <c r="P198" s="58"/>
      <c r="Q198" s="13"/>
    </row>
    <row r="199" customHeight="1" spans="1:17">
      <c r="A199" s="40">
        <v>46305</v>
      </c>
      <c r="B199" s="40">
        <v>46312</v>
      </c>
      <c r="C199" s="57"/>
      <c r="D199" s="14">
        <v>7.5</v>
      </c>
      <c r="E199" s="14">
        <v>0</v>
      </c>
      <c r="F199" s="46">
        <v>2</v>
      </c>
      <c r="H199" s="60">
        <v>7.62</v>
      </c>
      <c r="I199" s="47">
        <v>25</v>
      </c>
      <c r="J199" s="14">
        <v>22.77</v>
      </c>
      <c r="K199" s="48">
        <v>0.619</v>
      </c>
      <c r="L199" s="61">
        <v>12.38</v>
      </c>
      <c r="M199" s="46">
        <f t="shared" si="12"/>
        <v>189.5</v>
      </c>
      <c r="N199" s="57"/>
      <c r="O199" s="57"/>
      <c r="P199" s="58"/>
    </row>
    <row r="200" customHeight="1" spans="1:17">
      <c r="A200" s="40">
        <v>46311</v>
      </c>
      <c r="B200" s="40">
        <v>46314</v>
      </c>
      <c r="C200" s="57"/>
      <c r="D200" s="14">
        <v>7.5</v>
      </c>
      <c r="E200" s="14">
        <v>0</v>
      </c>
      <c r="F200" s="46">
        <v>2</v>
      </c>
      <c r="H200" s="60">
        <v>7.62</v>
      </c>
      <c r="I200" s="47">
        <v>25</v>
      </c>
      <c r="J200" s="14">
        <v>22.77</v>
      </c>
      <c r="K200" s="48">
        <v>0.619</v>
      </c>
      <c r="L200" s="61">
        <v>12.38</v>
      </c>
      <c r="M200" s="46">
        <f t="shared" si="12"/>
        <v>189.5</v>
      </c>
      <c r="N200" s="57"/>
      <c r="O200" s="57"/>
      <c r="P200" s="58"/>
    </row>
    <row r="201" customHeight="1" spans="1:17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8"/>
    </row>
    <row r="202" customHeight="1" collapsed="1" spans="1:17">
      <c r="A202" s="57" t="s">
        <v>27</v>
      </c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8"/>
    </row>
    <row r="203" hidden="1" customHeight="1" outlineLevel="1" spans="1:17">
      <c r="A203" s="24">
        <v>45821</v>
      </c>
      <c r="B203" s="24">
        <v>45825</v>
      </c>
      <c r="D203" s="14">
        <v>7.5</v>
      </c>
      <c r="E203" s="14">
        <v>0</v>
      </c>
      <c r="F203" s="46">
        <v>2</v>
      </c>
      <c r="H203" s="60">
        <f t="shared" ref="H203:H227" si="13">D203+(E203/I203)+(F203/I203)</f>
        <v>7.9</v>
      </c>
      <c r="I203" s="47">
        <v>5</v>
      </c>
      <c r="J203" s="14">
        <v>34.38</v>
      </c>
      <c r="K203" s="48">
        <f t="shared" ref="K203:K227" si="14">(J203-H203)/J203</f>
        <v>0.77021524141943</v>
      </c>
      <c r="L203" s="61">
        <f t="shared" ref="L203:L227" si="15">J203-H203</f>
        <v>26.48</v>
      </c>
      <c r="M203" s="46">
        <f t="shared" ref="M203:M227" si="16">D203*I203+E203+F203</f>
        <v>39.5</v>
      </c>
      <c r="N203" s="18"/>
      <c r="O203" s="18"/>
      <c r="P203" s="18"/>
    </row>
    <row r="204" hidden="1" customHeight="1" outlineLevel="1" spans="1:17">
      <c r="A204" s="40">
        <v>45847</v>
      </c>
      <c r="B204" s="40">
        <v>45850</v>
      </c>
      <c r="C204" s="18"/>
      <c r="D204" s="14">
        <v>7.5</v>
      </c>
      <c r="E204" s="14">
        <v>0</v>
      </c>
      <c r="F204" s="46">
        <v>3</v>
      </c>
      <c r="H204" s="60">
        <f t="shared" si="13"/>
        <v>7.8</v>
      </c>
      <c r="I204" s="47">
        <v>10</v>
      </c>
      <c r="J204" s="14">
        <v>34.38</v>
      </c>
      <c r="K204" s="48">
        <f t="shared" si="14"/>
        <v>0.773123909249564</v>
      </c>
      <c r="L204" s="61">
        <f t="shared" si="15"/>
        <v>26.58</v>
      </c>
      <c r="M204" s="46">
        <f t="shared" si="16"/>
        <v>78</v>
      </c>
      <c r="N204" s="18"/>
      <c r="O204" s="18"/>
      <c r="P204" s="18"/>
    </row>
    <row r="205" hidden="1" customHeight="1" outlineLevel="1" spans="1:17">
      <c r="A205" s="40">
        <v>45847</v>
      </c>
      <c r="B205" s="40">
        <v>45851</v>
      </c>
      <c r="C205" s="18"/>
      <c r="D205" s="14">
        <v>7.5</v>
      </c>
      <c r="E205" s="14">
        <v>0</v>
      </c>
      <c r="F205" s="46">
        <v>3</v>
      </c>
      <c r="H205" s="60">
        <f t="shared" si="13"/>
        <v>8.1</v>
      </c>
      <c r="I205" s="47">
        <v>5</v>
      </c>
      <c r="J205" s="14">
        <v>34.38</v>
      </c>
      <c r="K205" s="48">
        <f t="shared" si="14"/>
        <v>0.764397905759162</v>
      </c>
      <c r="L205" s="61">
        <f t="shared" si="15"/>
        <v>26.28</v>
      </c>
      <c r="M205" s="46">
        <f t="shared" si="16"/>
        <v>40.5</v>
      </c>
      <c r="N205" s="18"/>
      <c r="O205" s="18"/>
      <c r="P205" s="18"/>
    </row>
    <row r="206" hidden="1" customHeight="1" outlineLevel="1" spans="1:17">
      <c r="A206" s="40">
        <v>45858</v>
      </c>
      <c r="B206" s="40">
        <v>45862</v>
      </c>
      <c r="C206" s="18"/>
      <c r="D206" s="14">
        <v>7.5</v>
      </c>
      <c r="E206" s="14">
        <v>0</v>
      </c>
      <c r="F206" s="46">
        <v>3</v>
      </c>
      <c r="H206" s="60">
        <f t="shared" si="13"/>
        <v>7.8</v>
      </c>
      <c r="I206" s="47">
        <v>10</v>
      </c>
      <c r="J206" s="14">
        <v>34.38</v>
      </c>
      <c r="K206" s="48">
        <f t="shared" si="14"/>
        <v>0.773123909249564</v>
      </c>
      <c r="L206" s="61">
        <f t="shared" si="15"/>
        <v>26.58</v>
      </c>
      <c r="M206" s="46">
        <f t="shared" si="16"/>
        <v>78</v>
      </c>
      <c r="N206" s="18"/>
      <c r="O206" s="18"/>
      <c r="P206" s="18"/>
    </row>
    <row r="207" hidden="1" customHeight="1" outlineLevel="1" spans="1:17">
      <c r="A207" s="24">
        <v>45862</v>
      </c>
      <c r="B207" s="40">
        <v>45864</v>
      </c>
      <c r="C207" s="18"/>
      <c r="D207" s="14">
        <v>7.5</v>
      </c>
      <c r="E207" s="14">
        <v>0</v>
      </c>
      <c r="F207" s="46">
        <v>3</v>
      </c>
      <c r="H207" s="60">
        <f t="shared" si="13"/>
        <v>7.8</v>
      </c>
      <c r="I207" s="47">
        <v>10</v>
      </c>
      <c r="J207" s="14">
        <v>34.38</v>
      </c>
      <c r="K207" s="48">
        <f t="shared" si="14"/>
        <v>0.773123909249564</v>
      </c>
      <c r="L207" s="61">
        <f t="shared" si="15"/>
        <v>26.58</v>
      </c>
      <c r="M207" s="46">
        <f t="shared" si="16"/>
        <v>78</v>
      </c>
      <c r="N207" s="18"/>
      <c r="O207" s="18"/>
      <c r="P207" s="18"/>
    </row>
    <row r="208" hidden="1" customHeight="1" outlineLevel="1" spans="1:17">
      <c r="A208" s="24">
        <v>45867</v>
      </c>
      <c r="B208" s="24">
        <v>45870</v>
      </c>
      <c r="C208" s="18"/>
      <c r="D208" s="14">
        <v>7.5</v>
      </c>
      <c r="E208" s="14">
        <v>0</v>
      </c>
      <c r="F208" s="46">
        <v>3</v>
      </c>
      <c r="H208" s="60">
        <f t="shared" si="13"/>
        <v>7.65</v>
      </c>
      <c r="I208" s="47">
        <v>20</v>
      </c>
      <c r="J208" s="14">
        <v>34.38</v>
      </c>
      <c r="K208" s="48">
        <f t="shared" si="14"/>
        <v>0.777486910994764</v>
      </c>
      <c r="L208" s="61">
        <f t="shared" si="15"/>
        <v>26.73</v>
      </c>
      <c r="M208" s="46">
        <f t="shared" si="16"/>
        <v>153</v>
      </c>
      <c r="N208" s="18"/>
      <c r="O208" s="18"/>
      <c r="P208" s="18"/>
    </row>
    <row r="209" hidden="1" customHeight="1" outlineLevel="1" spans="1:16">
      <c r="A209" s="24">
        <v>45872</v>
      </c>
      <c r="B209" s="24">
        <v>45876</v>
      </c>
      <c r="C209" s="18"/>
      <c r="D209" s="14">
        <v>7.5</v>
      </c>
      <c r="E209" s="14">
        <v>0</v>
      </c>
      <c r="F209" s="46">
        <v>3</v>
      </c>
      <c r="H209" s="60">
        <f t="shared" si="13"/>
        <v>7.62</v>
      </c>
      <c r="I209" s="47">
        <v>25</v>
      </c>
      <c r="J209" s="14">
        <v>34.38</v>
      </c>
      <c r="K209" s="48">
        <f t="shared" si="14"/>
        <v>0.778359511343805</v>
      </c>
      <c r="L209" s="61">
        <f t="shared" si="15"/>
        <v>26.76</v>
      </c>
      <c r="M209" s="46">
        <f t="shared" si="16"/>
        <v>190.5</v>
      </c>
      <c r="N209" s="18"/>
      <c r="O209" s="18"/>
      <c r="P209" s="18"/>
    </row>
    <row r="210" hidden="1" customHeight="1" outlineLevel="1" spans="1:16">
      <c r="A210" s="40">
        <v>45876</v>
      </c>
      <c r="B210" s="40">
        <v>45886</v>
      </c>
      <c r="C210" s="18"/>
      <c r="D210" s="14">
        <v>7.5</v>
      </c>
      <c r="E210" s="14">
        <v>0</v>
      </c>
      <c r="F210" s="46">
        <v>2</v>
      </c>
      <c r="H210" s="60">
        <f t="shared" si="13"/>
        <v>7.63333333333333</v>
      </c>
      <c r="I210" s="47">
        <v>15</v>
      </c>
      <c r="J210" s="14">
        <v>34.38</v>
      </c>
      <c r="K210" s="48">
        <f t="shared" si="14"/>
        <v>0.777971688966453</v>
      </c>
      <c r="L210" s="61">
        <f t="shared" si="15"/>
        <v>26.7466666666667</v>
      </c>
      <c r="M210" s="46">
        <f t="shared" si="16"/>
        <v>114.5</v>
      </c>
      <c r="N210" s="18"/>
      <c r="O210" s="18"/>
      <c r="P210" s="18"/>
    </row>
    <row r="211" hidden="1" customHeight="1" outlineLevel="1" spans="1:16">
      <c r="A211" s="40">
        <v>45898</v>
      </c>
      <c r="B211" s="40">
        <v>45902</v>
      </c>
      <c r="C211" s="18"/>
      <c r="D211" s="14">
        <v>7.5</v>
      </c>
      <c r="E211" s="14">
        <v>1</v>
      </c>
      <c r="F211" s="46">
        <v>2</v>
      </c>
      <c r="H211" s="60">
        <f t="shared" si="13"/>
        <v>7.66666666666667</v>
      </c>
      <c r="I211" s="47">
        <v>18</v>
      </c>
      <c r="J211" s="14">
        <v>34.38</v>
      </c>
      <c r="K211" s="48">
        <f t="shared" si="14"/>
        <v>0.777002133023076</v>
      </c>
      <c r="L211" s="61">
        <f t="shared" si="15"/>
        <v>26.7133333333333</v>
      </c>
      <c r="M211" s="46">
        <f t="shared" si="16"/>
        <v>138</v>
      </c>
      <c r="N211" s="18"/>
      <c r="O211" s="18"/>
      <c r="P211" s="18"/>
    </row>
    <row r="212" hidden="1" customHeight="1" outlineLevel="1" spans="1:16">
      <c r="A212" s="40">
        <v>45904</v>
      </c>
      <c r="B212" s="40">
        <v>45906</v>
      </c>
      <c r="C212" s="18"/>
      <c r="D212" s="14">
        <v>7.5</v>
      </c>
      <c r="E212" s="14">
        <v>1</v>
      </c>
      <c r="F212" s="46">
        <v>3</v>
      </c>
      <c r="H212" s="60">
        <f t="shared" si="13"/>
        <v>7.7</v>
      </c>
      <c r="I212" s="47">
        <v>20</v>
      </c>
      <c r="J212" s="14">
        <v>34.38</v>
      </c>
      <c r="K212" s="48">
        <f t="shared" si="14"/>
        <v>0.776032577079698</v>
      </c>
      <c r="L212" s="61">
        <f t="shared" si="15"/>
        <v>26.68</v>
      </c>
      <c r="M212" s="46">
        <f t="shared" si="16"/>
        <v>154</v>
      </c>
      <c r="N212" s="18"/>
      <c r="O212" s="18"/>
      <c r="P212" s="18"/>
    </row>
    <row r="213" hidden="1" customHeight="1" outlineLevel="1" spans="1:16">
      <c r="A213" s="40">
        <v>45904</v>
      </c>
      <c r="B213" s="40">
        <v>45910</v>
      </c>
      <c r="C213" s="18"/>
      <c r="D213" s="14">
        <v>7.5</v>
      </c>
      <c r="E213" s="14">
        <v>1</v>
      </c>
      <c r="F213" s="46">
        <v>3</v>
      </c>
      <c r="H213" s="60">
        <f t="shared" si="13"/>
        <v>7.7</v>
      </c>
      <c r="I213" s="47">
        <v>20</v>
      </c>
      <c r="J213" s="14">
        <v>34.38</v>
      </c>
      <c r="K213" s="48">
        <f t="shared" si="14"/>
        <v>0.776032577079698</v>
      </c>
      <c r="L213" s="61">
        <f t="shared" si="15"/>
        <v>26.68</v>
      </c>
      <c r="M213" s="46">
        <f t="shared" si="16"/>
        <v>154</v>
      </c>
      <c r="N213" s="18"/>
      <c r="O213" s="18"/>
      <c r="P213" s="18"/>
    </row>
    <row r="214" hidden="1" customHeight="1" outlineLevel="1" spans="1:16">
      <c r="A214" s="40">
        <v>45910</v>
      </c>
      <c r="B214" s="40">
        <v>45918</v>
      </c>
      <c r="C214" s="18"/>
      <c r="D214" s="14">
        <v>7.5</v>
      </c>
      <c r="E214" s="14">
        <v>0</v>
      </c>
      <c r="F214" s="46">
        <v>3</v>
      </c>
      <c r="H214" s="60">
        <f t="shared" si="13"/>
        <v>7.8</v>
      </c>
      <c r="I214" s="47">
        <v>10</v>
      </c>
      <c r="J214" s="14">
        <v>34.38</v>
      </c>
      <c r="K214" s="48">
        <f t="shared" si="14"/>
        <v>0.773123909249564</v>
      </c>
      <c r="L214" s="61">
        <f t="shared" si="15"/>
        <v>26.58</v>
      </c>
      <c r="M214" s="46">
        <f t="shared" si="16"/>
        <v>78</v>
      </c>
      <c r="N214" s="18"/>
      <c r="O214" s="18"/>
      <c r="P214" s="18"/>
    </row>
    <row r="215" hidden="1" customHeight="1" outlineLevel="1" spans="1:16">
      <c r="A215" s="40">
        <v>45923</v>
      </c>
      <c r="B215" s="40">
        <v>45929</v>
      </c>
      <c r="C215" s="18"/>
      <c r="D215" s="14">
        <v>7.5</v>
      </c>
      <c r="E215" s="14">
        <v>0</v>
      </c>
      <c r="F215" s="46">
        <v>2</v>
      </c>
      <c r="H215" s="60">
        <f t="shared" si="13"/>
        <v>7.59090909090909</v>
      </c>
      <c r="I215" s="47">
        <v>22</v>
      </c>
      <c r="J215" s="14">
        <v>34.38</v>
      </c>
      <c r="K215" s="48">
        <f t="shared" si="14"/>
        <v>0.779205669258025</v>
      </c>
      <c r="L215" s="61">
        <f t="shared" si="15"/>
        <v>26.7890909090909</v>
      </c>
      <c r="M215" s="46">
        <f t="shared" si="16"/>
        <v>167</v>
      </c>
      <c r="N215" s="18"/>
      <c r="O215" s="18"/>
      <c r="P215" s="18"/>
    </row>
    <row r="216" hidden="1" customHeight="1" outlineLevel="1" spans="1:16">
      <c r="A216" s="40">
        <v>45929</v>
      </c>
      <c r="B216" s="40">
        <v>45933</v>
      </c>
      <c r="C216" s="18"/>
      <c r="D216" s="14">
        <v>7.5</v>
      </c>
      <c r="E216" s="14">
        <v>0</v>
      </c>
      <c r="F216" s="46">
        <v>2</v>
      </c>
      <c r="H216" s="60">
        <f t="shared" si="13"/>
        <v>7.58695652173913</v>
      </c>
      <c r="I216" s="47">
        <v>23</v>
      </c>
      <c r="J216" s="14">
        <v>34.38</v>
      </c>
      <c r="K216" s="48">
        <f t="shared" si="14"/>
        <v>0.779320636365936</v>
      </c>
      <c r="L216" s="61">
        <f t="shared" si="15"/>
        <v>26.7930434782609</v>
      </c>
      <c r="M216" s="46">
        <f t="shared" si="16"/>
        <v>174.5</v>
      </c>
      <c r="N216" s="18"/>
      <c r="O216" s="18"/>
      <c r="P216" s="18"/>
    </row>
    <row r="217" hidden="1" customHeight="1" outlineLevel="1" spans="1:16">
      <c r="A217" s="40">
        <v>45929</v>
      </c>
      <c r="B217" s="40">
        <v>45939</v>
      </c>
      <c r="C217" s="18"/>
      <c r="D217" s="14">
        <v>7.5</v>
      </c>
      <c r="E217" s="14">
        <v>0</v>
      </c>
      <c r="F217" s="46">
        <v>2</v>
      </c>
      <c r="H217" s="60">
        <f t="shared" si="13"/>
        <v>7.7</v>
      </c>
      <c r="I217" s="47">
        <v>10</v>
      </c>
      <c r="J217" s="14">
        <v>34.38</v>
      </c>
      <c r="K217" s="48">
        <f t="shared" si="14"/>
        <v>0.776032577079698</v>
      </c>
      <c r="L217" s="61">
        <f t="shared" si="15"/>
        <v>26.68</v>
      </c>
      <c r="M217" s="46">
        <f t="shared" si="16"/>
        <v>77</v>
      </c>
      <c r="N217" s="18"/>
      <c r="O217" s="18"/>
      <c r="P217" s="18"/>
    </row>
    <row r="218" hidden="1" customHeight="1" outlineLevel="1" spans="1:16">
      <c r="A218" s="40">
        <v>45940</v>
      </c>
      <c r="B218" s="40">
        <v>45943</v>
      </c>
      <c r="C218" s="18"/>
      <c r="D218" s="14">
        <v>7.5</v>
      </c>
      <c r="E218" s="14">
        <v>0</v>
      </c>
      <c r="F218" s="46">
        <v>3</v>
      </c>
      <c r="H218" s="60">
        <f t="shared" si="13"/>
        <v>7.65</v>
      </c>
      <c r="I218" s="47">
        <v>20</v>
      </c>
      <c r="J218" s="14">
        <v>34.38</v>
      </c>
      <c r="K218" s="48">
        <f t="shared" si="14"/>
        <v>0.777486910994764</v>
      </c>
      <c r="L218" s="61">
        <f t="shared" si="15"/>
        <v>26.73</v>
      </c>
      <c r="M218" s="46">
        <f t="shared" si="16"/>
        <v>153</v>
      </c>
      <c r="N218" s="18"/>
      <c r="O218" s="18"/>
      <c r="P218" s="18"/>
    </row>
    <row r="219" hidden="1" customHeight="1" outlineLevel="1" spans="1:16">
      <c r="A219" s="40">
        <v>45945</v>
      </c>
      <c r="B219" s="40">
        <v>45949</v>
      </c>
      <c r="C219" s="18"/>
      <c r="D219" s="14">
        <v>7.5</v>
      </c>
      <c r="E219" s="14">
        <v>0</v>
      </c>
      <c r="F219" s="46">
        <v>3</v>
      </c>
      <c r="H219" s="60">
        <f t="shared" si="13"/>
        <v>7.7</v>
      </c>
      <c r="I219" s="47">
        <v>15</v>
      </c>
      <c r="J219" s="14">
        <v>34.38</v>
      </c>
      <c r="K219" s="48">
        <f t="shared" si="14"/>
        <v>0.776032577079698</v>
      </c>
      <c r="L219" s="61">
        <f t="shared" si="15"/>
        <v>26.68</v>
      </c>
      <c r="M219" s="46">
        <f t="shared" si="16"/>
        <v>115.5</v>
      </c>
      <c r="N219" s="18"/>
      <c r="O219" s="18"/>
      <c r="P219" s="18"/>
    </row>
    <row r="220" hidden="1" customHeight="1" outlineLevel="1" spans="1:16">
      <c r="A220" s="40">
        <v>45971</v>
      </c>
      <c r="B220" s="40">
        <v>45980</v>
      </c>
      <c r="C220" s="18"/>
      <c r="D220" s="14">
        <v>7.5</v>
      </c>
      <c r="E220" s="14">
        <v>0</v>
      </c>
      <c r="F220" s="46">
        <v>2</v>
      </c>
      <c r="H220" s="60">
        <f t="shared" si="13"/>
        <v>7.83333333333333</v>
      </c>
      <c r="I220" s="47">
        <v>6</v>
      </c>
      <c r="J220" s="14">
        <v>34.38</v>
      </c>
      <c r="K220" s="48">
        <f t="shared" si="14"/>
        <v>0.772154353306186</v>
      </c>
      <c r="L220" s="61">
        <f t="shared" si="15"/>
        <v>26.5466666666667</v>
      </c>
      <c r="M220" s="46">
        <f t="shared" si="16"/>
        <v>47</v>
      </c>
      <c r="N220" s="18"/>
      <c r="O220" s="18"/>
      <c r="P220" s="18"/>
    </row>
    <row r="221" hidden="1" customHeight="1" outlineLevel="1" spans="1:16">
      <c r="A221" s="40">
        <v>45971</v>
      </c>
      <c r="B221" s="40">
        <v>45986</v>
      </c>
      <c r="C221" s="18"/>
      <c r="D221" s="14">
        <v>7.5</v>
      </c>
      <c r="E221" s="14">
        <v>0</v>
      </c>
      <c r="F221" s="46">
        <v>2</v>
      </c>
      <c r="H221" s="60">
        <f t="shared" si="13"/>
        <v>7.7</v>
      </c>
      <c r="I221" s="47">
        <v>10</v>
      </c>
      <c r="J221" s="14">
        <v>34.38</v>
      </c>
      <c r="K221" s="48">
        <f t="shared" si="14"/>
        <v>0.776032577079698</v>
      </c>
      <c r="L221" s="61">
        <f t="shared" si="15"/>
        <v>26.68</v>
      </c>
      <c r="M221" s="46">
        <f t="shared" si="16"/>
        <v>77</v>
      </c>
      <c r="N221" s="18"/>
      <c r="O221" s="18"/>
      <c r="P221" s="18"/>
    </row>
    <row r="222" hidden="1" customHeight="1" outlineLevel="1" spans="1:16">
      <c r="A222" s="40">
        <v>45986</v>
      </c>
      <c r="B222" s="40">
        <v>45989</v>
      </c>
      <c r="C222" s="18"/>
      <c r="D222" s="14">
        <v>7.5</v>
      </c>
      <c r="E222" s="14">
        <v>0</v>
      </c>
      <c r="F222" s="46">
        <v>2</v>
      </c>
      <c r="H222" s="60">
        <f t="shared" si="13"/>
        <v>7.7</v>
      </c>
      <c r="I222" s="47">
        <v>10</v>
      </c>
      <c r="J222" s="14">
        <v>34.38</v>
      </c>
      <c r="K222" s="48">
        <f t="shared" si="14"/>
        <v>0.776032577079698</v>
      </c>
      <c r="L222" s="61">
        <f t="shared" si="15"/>
        <v>26.68</v>
      </c>
      <c r="M222" s="46">
        <f t="shared" si="16"/>
        <v>77</v>
      </c>
      <c r="N222" s="18"/>
      <c r="O222" s="18"/>
      <c r="P222" s="18"/>
    </row>
    <row r="223" hidden="1" customHeight="1" outlineLevel="1" spans="1:16">
      <c r="A223" s="40">
        <v>46039</v>
      </c>
      <c r="B223" s="40">
        <v>46044</v>
      </c>
      <c r="C223" s="18"/>
      <c r="D223" s="14">
        <v>7.5</v>
      </c>
      <c r="E223" s="14">
        <v>0</v>
      </c>
      <c r="F223" s="46">
        <v>2</v>
      </c>
      <c r="H223" s="60">
        <f t="shared" si="13"/>
        <v>7.7</v>
      </c>
      <c r="I223" s="47">
        <v>10</v>
      </c>
      <c r="J223" s="14">
        <v>34.38</v>
      </c>
      <c r="K223" s="48">
        <f t="shared" si="14"/>
        <v>0.776032577079698</v>
      </c>
      <c r="L223" s="61">
        <f t="shared" si="15"/>
        <v>26.68</v>
      </c>
      <c r="M223" s="46">
        <f t="shared" si="16"/>
        <v>77</v>
      </c>
      <c r="N223" s="18"/>
      <c r="O223" s="18"/>
      <c r="P223" s="18"/>
    </row>
    <row r="224" hidden="1" customHeight="1" outlineLevel="1" spans="1:16">
      <c r="A224" s="40">
        <v>46058</v>
      </c>
      <c r="B224" s="40">
        <v>46060</v>
      </c>
      <c r="C224" s="18"/>
      <c r="D224" s="14">
        <v>7.5</v>
      </c>
      <c r="E224" s="14">
        <v>0</v>
      </c>
      <c r="F224" s="46">
        <v>2</v>
      </c>
      <c r="H224" s="60">
        <f t="shared" si="13"/>
        <v>7.61764705882353</v>
      </c>
      <c r="I224" s="47">
        <v>17</v>
      </c>
      <c r="J224" s="14">
        <v>34.38</v>
      </c>
      <c r="K224" s="48">
        <f t="shared" si="14"/>
        <v>0.778427950586867</v>
      </c>
      <c r="L224" s="61">
        <f t="shared" si="15"/>
        <v>26.7623529411765</v>
      </c>
      <c r="M224" s="46">
        <f t="shared" si="16"/>
        <v>129.5</v>
      </c>
      <c r="N224" s="18"/>
      <c r="O224" s="18"/>
      <c r="P224" s="18"/>
    </row>
    <row r="225" hidden="1" customHeight="1" outlineLevel="1" spans="1:17">
      <c r="A225" s="40">
        <v>46108</v>
      </c>
      <c r="B225" s="40">
        <v>46116</v>
      </c>
      <c r="C225" s="18"/>
      <c r="D225" s="14">
        <v>7.5</v>
      </c>
      <c r="E225" s="14">
        <v>0</v>
      </c>
      <c r="F225" s="46">
        <v>2</v>
      </c>
      <c r="H225" s="60">
        <f t="shared" si="13"/>
        <v>7.75</v>
      </c>
      <c r="I225" s="47">
        <v>8</v>
      </c>
      <c r="J225" s="14">
        <v>34.38</v>
      </c>
      <c r="K225" s="48">
        <f t="shared" si="14"/>
        <v>0.774578243164631</v>
      </c>
      <c r="L225" s="61">
        <f t="shared" si="15"/>
        <v>26.63</v>
      </c>
      <c r="M225" s="46">
        <f t="shared" si="16"/>
        <v>62</v>
      </c>
      <c r="N225" s="18"/>
      <c r="O225" s="18"/>
      <c r="P225" s="18"/>
    </row>
    <row r="226" customHeight="1" spans="1:17">
      <c r="A226" s="40">
        <v>46113</v>
      </c>
      <c r="B226" s="40">
        <v>46118</v>
      </c>
      <c r="C226" s="18"/>
      <c r="D226" s="14">
        <v>7.5</v>
      </c>
      <c r="E226" s="14">
        <v>0</v>
      </c>
      <c r="F226" s="46">
        <v>2</v>
      </c>
      <c r="H226" s="60">
        <f t="shared" si="13"/>
        <v>7.83333333333333</v>
      </c>
      <c r="I226" s="47">
        <v>6</v>
      </c>
      <c r="J226" s="14">
        <v>34.38</v>
      </c>
      <c r="K226" s="48">
        <f t="shared" si="14"/>
        <v>0.772154353306186</v>
      </c>
      <c r="L226" s="61">
        <f t="shared" si="15"/>
        <v>26.5466666666667</v>
      </c>
      <c r="M226" s="46">
        <f t="shared" si="16"/>
        <v>47</v>
      </c>
      <c r="N226" s="18"/>
      <c r="O226" s="18"/>
      <c r="P226" s="18"/>
    </row>
    <row r="227" customHeight="1" spans="1:17">
      <c r="A227" s="24">
        <v>46149</v>
      </c>
      <c r="B227" s="24">
        <v>46157</v>
      </c>
      <c r="C227" s="18"/>
      <c r="D227" s="14">
        <v>7.5</v>
      </c>
      <c r="E227" s="14">
        <v>0</v>
      </c>
      <c r="F227" s="46">
        <v>2</v>
      </c>
      <c r="H227" s="60">
        <f t="shared" si="13"/>
        <v>7.66666666666667</v>
      </c>
      <c r="I227" s="47">
        <v>12</v>
      </c>
      <c r="J227" s="14">
        <v>34.38</v>
      </c>
      <c r="K227" s="48">
        <f t="shared" si="14"/>
        <v>0.777002133023075</v>
      </c>
      <c r="L227" s="61">
        <f t="shared" si="15"/>
        <v>26.7133333333333</v>
      </c>
      <c r="M227" s="46">
        <f t="shared" si="16"/>
        <v>92</v>
      </c>
      <c r="N227" s="18"/>
      <c r="O227" s="18"/>
      <c r="P227" s="18"/>
    </row>
    <row r="228" customHeight="1" spans="1:17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customHeight="1" collapsed="1" spans="1:17">
      <c r="A229" s="18" t="s">
        <v>28</v>
      </c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 t="str">
        <f>_xlfn.DISPIMG("ID_21917ECC33AF4B9CB37ACA5BF09C165F",1)</f>
        <v>=DISPIMG("ID_21917ECC33AF4B9CB37ACA5BF09C165F",1)</v>
      </c>
      <c r="P229" s="18"/>
    </row>
    <row r="230" hidden="1" customHeight="1" outlineLevel="1" collapsed="1" spans="1:17">
      <c r="A230" s="26" t="s">
        <v>29</v>
      </c>
      <c r="B230" s="14"/>
      <c r="C230" s="14"/>
      <c r="D230" s="26"/>
      <c r="E230" s="26"/>
      <c r="F230" s="14"/>
      <c r="G230" s="14"/>
      <c r="H230" s="14"/>
      <c r="I230" s="14"/>
      <c r="J230" s="26"/>
      <c r="K230" s="14"/>
      <c r="L230" s="26"/>
      <c r="M230" s="14"/>
      <c r="N230" s="14"/>
      <c r="O230" s="14"/>
      <c r="P230" s="14"/>
    </row>
    <row r="231" hidden="1" customHeight="1" outlineLevel="2" spans="1:17">
      <c r="A231" s="24">
        <v>45555</v>
      </c>
      <c r="B231" s="24">
        <v>45562</v>
      </c>
      <c r="C231" s="16"/>
      <c r="D231" s="14">
        <v>5.5</v>
      </c>
      <c r="E231" s="14">
        <v>7</v>
      </c>
      <c r="F231" s="46">
        <v>3</v>
      </c>
      <c r="H231" s="60">
        <f t="shared" ref="H231:H294" si="17">D231+(E231/I231)+(F231/I231)</f>
        <v>6.5</v>
      </c>
      <c r="I231" s="47">
        <v>10</v>
      </c>
      <c r="J231" s="62">
        <v>12</v>
      </c>
      <c r="K231" s="48">
        <f t="shared" ref="K231:K294" si="18">(J231-H231)/J231</f>
        <v>0.458333333333333</v>
      </c>
      <c r="L231" s="61">
        <f t="shared" ref="L231:L294" si="19">J231-H231</f>
        <v>5.5</v>
      </c>
      <c r="M231" s="46">
        <f t="shared" ref="M231:M294" si="20">D231*I231+E231+F231</f>
        <v>65</v>
      </c>
    </row>
    <row r="232" hidden="1" customHeight="1" outlineLevel="2" spans="1:17">
      <c r="A232" s="24">
        <v>45572</v>
      </c>
      <c r="B232" s="24">
        <v>45575</v>
      </c>
      <c r="C232" s="16"/>
      <c r="D232" s="14">
        <v>5.5</v>
      </c>
      <c r="E232" s="14">
        <v>7</v>
      </c>
      <c r="F232" s="46">
        <v>3</v>
      </c>
      <c r="H232" s="60">
        <f t="shared" si="17"/>
        <v>6.75</v>
      </c>
      <c r="I232" s="47">
        <v>8</v>
      </c>
      <c r="J232" s="62">
        <v>11.4</v>
      </c>
      <c r="K232" s="48">
        <f t="shared" si="18"/>
        <v>0.407894736842105</v>
      </c>
      <c r="L232" s="61">
        <f t="shared" si="19"/>
        <v>4.65</v>
      </c>
      <c r="M232" s="46">
        <f t="shared" si="20"/>
        <v>54</v>
      </c>
      <c r="Q232" s="13" t="s">
        <v>30</v>
      </c>
    </row>
    <row r="233" hidden="1" customHeight="1" outlineLevel="2" spans="1:17">
      <c r="A233" s="24">
        <v>45579</v>
      </c>
      <c r="B233" s="24">
        <v>45583</v>
      </c>
      <c r="C233" s="16"/>
      <c r="D233" s="14">
        <v>5.5</v>
      </c>
      <c r="E233" s="14">
        <v>7</v>
      </c>
      <c r="F233" s="46">
        <v>4</v>
      </c>
      <c r="H233" s="60">
        <f t="shared" si="17"/>
        <v>6.05</v>
      </c>
      <c r="I233" s="47">
        <v>20</v>
      </c>
      <c r="J233" s="62">
        <v>11.4</v>
      </c>
      <c r="K233" s="48">
        <f t="shared" si="18"/>
        <v>0.469298245614035</v>
      </c>
      <c r="L233" s="61">
        <f t="shared" si="19"/>
        <v>5.35</v>
      </c>
      <c r="M233" s="46">
        <f t="shared" si="20"/>
        <v>121</v>
      </c>
      <c r="Q233" s="13"/>
    </row>
    <row r="234" hidden="1" customHeight="1" outlineLevel="2" spans="1:17">
      <c r="A234" s="24">
        <v>45588</v>
      </c>
      <c r="B234" s="24">
        <v>45591</v>
      </c>
      <c r="C234" s="16"/>
      <c r="D234" s="14">
        <v>5.5</v>
      </c>
      <c r="E234" s="14">
        <v>7</v>
      </c>
      <c r="F234" s="46">
        <v>3</v>
      </c>
      <c r="H234" s="60">
        <f t="shared" si="17"/>
        <v>6</v>
      </c>
      <c r="I234" s="47">
        <v>20</v>
      </c>
      <c r="J234" s="62">
        <v>10.26</v>
      </c>
      <c r="K234" s="48">
        <f t="shared" si="18"/>
        <v>0.415204678362573</v>
      </c>
      <c r="L234" s="61">
        <f t="shared" si="19"/>
        <v>4.26</v>
      </c>
      <c r="M234" s="46">
        <f t="shared" si="20"/>
        <v>120</v>
      </c>
      <c r="Q234" s="13"/>
    </row>
    <row r="235" hidden="1" customHeight="1" outlineLevel="2" spans="1:17">
      <c r="A235" s="24">
        <v>45600</v>
      </c>
      <c r="B235" s="24">
        <v>45603</v>
      </c>
      <c r="C235" s="16"/>
      <c r="D235" s="14">
        <v>5.5</v>
      </c>
      <c r="E235" s="14">
        <v>5</v>
      </c>
      <c r="F235" s="46">
        <v>3</v>
      </c>
      <c r="H235" s="60">
        <f t="shared" si="17"/>
        <v>6</v>
      </c>
      <c r="I235" s="47">
        <v>16</v>
      </c>
      <c r="J235" s="62">
        <v>11.4</v>
      </c>
      <c r="K235" s="48">
        <f t="shared" si="18"/>
        <v>0.473684210526316</v>
      </c>
      <c r="L235" s="61">
        <f t="shared" si="19"/>
        <v>5.4</v>
      </c>
      <c r="M235" s="46">
        <f t="shared" si="20"/>
        <v>96</v>
      </c>
      <c r="Q235" s="13"/>
    </row>
    <row r="236" hidden="1" customHeight="1" outlineLevel="2" spans="1:17">
      <c r="A236" s="24">
        <v>45600</v>
      </c>
      <c r="B236" s="24">
        <v>45609</v>
      </c>
      <c r="C236" s="16"/>
      <c r="D236" s="14">
        <v>5.5</v>
      </c>
      <c r="E236" s="14">
        <v>2</v>
      </c>
      <c r="F236" s="46">
        <v>2</v>
      </c>
      <c r="H236" s="60">
        <f t="shared" si="17"/>
        <v>6.5</v>
      </c>
      <c r="I236" s="47">
        <v>4</v>
      </c>
      <c r="J236" s="62">
        <v>11.4</v>
      </c>
      <c r="K236" s="48">
        <f t="shared" si="18"/>
        <v>0.429824561403509</v>
      </c>
      <c r="L236" s="61">
        <f t="shared" si="19"/>
        <v>4.9</v>
      </c>
      <c r="M236" s="46">
        <f t="shared" si="20"/>
        <v>26</v>
      </c>
      <c r="Q236" s="13"/>
    </row>
    <row r="237" hidden="1" customHeight="1" outlineLevel="2" spans="1:17">
      <c r="A237" s="24">
        <v>45615</v>
      </c>
      <c r="B237" s="24">
        <v>45618</v>
      </c>
      <c r="C237" s="16"/>
      <c r="D237" s="14">
        <v>5.5</v>
      </c>
      <c r="E237" s="14">
        <v>7</v>
      </c>
      <c r="F237" s="46">
        <v>3</v>
      </c>
      <c r="H237" s="60">
        <f t="shared" si="17"/>
        <v>6.61111111111111</v>
      </c>
      <c r="I237" s="47">
        <v>9</v>
      </c>
      <c r="J237" s="62">
        <v>11.4</v>
      </c>
      <c r="K237" s="48">
        <f t="shared" si="18"/>
        <v>0.420077972709552</v>
      </c>
      <c r="L237" s="61">
        <f t="shared" si="19"/>
        <v>4.78888888888889</v>
      </c>
      <c r="M237" s="46">
        <f t="shared" si="20"/>
        <v>59.5</v>
      </c>
      <c r="Q237" s="13"/>
    </row>
    <row r="238" hidden="1" customHeight="1" outlineLevel="2" spans="1:17">
      <c r="A238" s="24">
        <v>45615</v>
      </c>
      <c r="B238" s="37">
        <v>45622</v>
      </c>
      <c r="C238" s="16"/>
      <c r="D238" s="14">
        <v>5.5</v>
      </c>
      <c r="E238" s="14">
        <v>0</v>
      </c>
      <c r="F238" s="46">
        <v>2</v>
      </c>
      <c r="H238" s="60">
        <f t="shared" si="17"/>
        <v>7.5</v>
      </c>
      <c r="I238" s="47">
        <v>1</v>
      </c>
      <c r="J238" s="62">
        <v>11.4</v>
      </c>
      <c r="K238" s="48">
        <f t="shared" si="18"/>
        <v>0.342105263157895</v>
      </c>
      <c r="L238" s="61">
        <f t="shared" si="19"/>
        <v>3.9</v>
      </c>
      <c r="M238" s="46">
        <f t="shared" si="20"/>
        <v>7.5</v>
      </c>
      <c r="Q238" s="13"/>
    </row>
    <row r="239" hidden="1" customHeight="1" outlineLevel="2" spans="1:17">
      <c r="A239" s="24">
        <v>45619</v>
      </c>
      <c r="B239" s="37"/>
      <c r="C239" s="16"/>
      <c r="D239" s="14">
        <v>5.5</v>
      </c>
      <c r="E239" s="14">
        <v>3</v>
      </c>
      <c r="H239" s="60">
        <f t="shared" si="17"/>
        <v>6.25</v>
      </c>
      <c r="I239" s="47">
        <v>4</v>
      </c>
      <c r="J239" s="62">
        <v>11.4</v>
      </c>
      <c r="K239" s="48">
        <f t="shared" si="18"/>
        <v>0.451754385964912</v>
      </c>
      <c r="L239" s="61">
        <f t="shared" si="19"/>
        <v>5.15</v>
      </c>
      <c r="M239" s="46">
        <f t="shared" si="20"/>
        <v>25</v>
      </c>
      <c r="Q239" s="13"/>
    </row>
    <row r="240" hidden="1" customHeight="1" outlineLevel="2" spans="1:17">
      <c r="A240" s="24">
        <v>45619</v>
      </c>
      <c r="B240" s="24">
        <v>26</v>
      </c>
      <c r="C240" s="16"/>
      <c r="D240" s="14">
        <v>5.5</v>
      </c>
      <c r="E240" s="14">
        <v>3</v>
      </c>
      <c r="F240" s="46">
        <v>2</v>
      </c>
      <c r="H240" s="60">
        <f t="shared" si="17"/>
        <v>6.05555555555556</v>
      </c>
      <c r="I240" s="47">
        <v>9</v>
      </c>
      <c r="J240" s="62">
        <v>11.4</v>
      </c>
      <c r="K240" s="48">
        <f t="shared" si="18"/>
        <v>0.468810916179337</v>
      </c>
      <c r="L240" s="61">
        <f t="shared" si="19"/>
        <v>5.34444444444444</v>
      </c>
      <c r="M240" s="46">
        <f t="shared" si="20"/>
        <v>54.5</v>
      </c>
      <c r="Q240" s="13"/>
    </row>
    <row r="241" hidden="1" customHeight="1" outlineLevel="2" spans="1:23">
      <c r="A241" s="24">
        <v>45631</v>
      </c>
      <c r="B241" s="24">
        <v>45634</v>
      </c>
      <c r="C241" s="16"/>
      <c r="D241" s="14">
        <v>5.5</v>
      </c>
      <c r="E241" s="14">
        <v>0</v>
      </c>
      <c r="F241" s="46">
        <v>3</v>
      </c>
      <c r="H241" s="60">
        <f t="shared" si="17"/>
        <v>5.65</v>
      </c>
      <c r="I241" s="47">
        <v>20</v>
      </c>
      <c r="J241" s="62">
        <v>11.4</v>
      </c>
      <c r="K241" s="48">
        <f t="shared" si="18"/>
        <v>0.504385964912281</v>
      </c>
      <c r="L241" s="61">
        <f t="shared" si="19"/>
        <v>5.75</v>
      </c>
      <c r="M241" s="46">
        <f t="shared" si="20"/>
        <v>113</v>
      </c>
      <c r="Q241" s="13"/>
    </row>
    <row r="242" hidden="1" customHeight="1" outlineLevel="2" spans="1:23">
      <c r="A242" s="24">
        <v>45644</v>
      </c>
      <c r="B242" s="24">
        <v>45649</v>
      </c>
      <c r="C242" s="16"/>
      <c r="D242" s="14">
        <v>5.5</v>
      </c>
      <c r="E242" s="14">
        <v>0</v>
      </c>
      <c r="F242" s="46">
        <v>2</v>
      </c>
      <c r="H242" s="60">
        <f t="shared" si="17"/>
        <v>5.6</v>
      </c>
      <c r="I242" s="47">
        <v>20</v>
      </c>
      <c r="J242" s="62">
        <v>11.4</v>
      </c>
      <c r="K242" s="48">
        <f t="shared" si="18"/>
        <v>0.508771929824561</v>
      </c>
      <c r="L242" s="61">
        <f t="shared" si="19"/>
        <v>5.8</v>
      </c>
      <c r="M242" s="46">
        <f t="shared" si="20"/>
        <v>112</v>
      </c>
      <c r="Q242" s="13"/>
    </row>
    <row r="243" s="28" customFormat="1" hidden="1" customHeight="1" outlineLevel="2" spans="1:23">
      <c r="A243" s="24">
        <v>45650</v>
      </c>
      <c r="B243" s="24">
        <v>45656</v>
      </c>
      <c r="C243" s="16"/>
      <c r="D243" s="14">
        <v>5.5</v>
      </c>
      <c r="E243" s="14">
        <v>0</v>
      </c>
      <c r="F243" s="46">
        <v>4</v>
      </c>
      <c r="G243" s="46"/>
      <c r="H243" s="60">
        <f t="shared" si="17"/>
        <v>5.7</v>
      </c>
      <c r="I243" s="47">
        <v>20</v>
      </c>
      <c r="J243" s="62">
        <v>11.4</v>
      </c>
      <c r="K243" s="48">
        <f t="shared" si="18"/>
        <v>0.5</v>
      </c>
      <c r="L243" s="61">
        <f t="shared" si="19"/>
        <v>5.7</v>
      </c>
      <c r="M243" s="46">
        <f t="shared" si="20"/>
        <v>114</v>
      </c>
      <c r="O243" s="33"/>
      <c r="P243" s="33"/>
      <c r="Q243" s="13"/>
      <c r="R243" s="16"/>
      <c r="U243" s="33"/>
      <c r="V243" s="14"/>
    </row>
    <row r="244" s="28" customFormat="1" hidden="1" customHeight="1" outlineLevel="2" spans="1:23">
      <c r="A244" s="24">
        <v>45658</v>
      </c>
      <c r="B244" s="24">
        <v>45662</v>
      </c>
      <c r="C244" s="16"/>
      <c r="D244" s="14">
        <v>5.5</v>
      </c>
      <c r="E244" s="14">
        <v>0</v>
      </c>
      <c r="F244" s="46">
        <v>5</v>
      </c>
      <c r="G244" s="46"/>
      <c r="H244" s="60">
        <f t="shared" si="17"/>
        <v>5.625</v>
      </c>
      <c r="I244" s="47">
        <v>40</v>
      </c>
      <c r="J244" s="62">
        <v>11.4</v>
      </c>
      <c r="K244" s="48">
        <f t="shared" si="18"/>
        <v>0.506578947368421</v>
      </c>
      <c r="L244" s="61">
        <f t="shared" si="19"/>
        <v>5.775</v>
      </c>
      <c r="M244" s="46">
        <f t="shared" si="20"/>
        <v>225</v>
      </c>
      <c r="O244" s="33"/>
      <c r="P244" s="33"/>
      <c r="Q244" s="13" t="s">
        <v>31</v>
      </c>
      <c r="R244" s="16"/>
      <c r="U244" s="33"/>
      <c r="V244" s="14"/>
    </row>
    <row r="245" s="28" customFormat="1" hidden="1" customHeight="1" outlineLevel="2" spans="1:23">
      <c r="A245" s="24">
        <v>45668</v>
      </c>
      <c r="B245" s="24">
        <v>45672</v>
      </c>
      <c r="C245" s="16"/>
      <c r="D245" s="14">
        <v>5.5</v>
      </c>
      <c r="E245" s="14">
        <v>0</v>
      </c>
      <c r="F245" s="46">
        <v>6</v>
      </c>
      <c r="G245" s="46"/>
      <c r="H245" s="60">
        <f t="shared" si="17"/>
        <v>5.74</v>
      </c>
      <c r="I245" s="47">
        <v>25</v>
      </c>
      <c r="J245" s="62">
        <v>11.4</v>
      </c>
      <c r="K245" s="48">
        <f t="shared" si="18"/>
        <v>0.496491228070175</v>
      </c>
      <c r="L245" s="61">
        <f t="shared" si="19"/>
        <v>5.66</v>
      </c>
      <c r="M245" s="46">
        <f t="shared" si="20"/>
        <v>143.5</v>
      </c>
      <c r="O245" s="33"/>
      <c r="P245" s="33"/>
      <c r="Q245" s="13"/>
      <c r="R245" s="16"/>
      <c r="U245" s="33"/>
      <c r="V245" s="14"/>
    </row>
    <row r="246" s="28" customFormat="1" hidden="1" customHeight="1" outlineLevel="2" spans="1:23">
      <c r="A246" s="24">
        <v>45668</v>
      </c>
      <c r="B246" s="24">
        <v>45673</v>
      </c>
      <c r="C246" s="16"/>
      <c r="D246" s="14">
        <v>5.5</v>
      </c>
      <c r="E246" s="14">
        <v>0</v>
      </c>
      <c r="F246" s="46">
        <v>4</v>
      </c>
      <c r="G246" s="46"/>
      <c r="H246" s="60">
        <f t="shared" si="17"/>
        <v>5.64814814814815</v>
      </c>
      <c r="I246" s="47">
        <v>27</v>
      </c>
      <c r="J246" s="62">
        <v>11.4</v>
      </c>
      <c r="K246" s="48">
        <f t="shared" si="18"/>
        <v>0.50454840805718</v>
      </c>
      <c r="L246" s="61">
        <f t="shared" si="19"/>
        <v>5.75185185185185</v>
      </c>
      <c r="M246" s="46">
        <f t="shared" si="20"/>
        <v>152.5</v>
      </c>
      <c r="O246" s="33"/>
      <c r="P246" s="33"/>
      <c r="Q246" s="13" t="s">
        <v>32</v>
      </c>
      <c r="R246" s="16"/>
      <c r="U246" s="33"/>
      <c r="V246" s="14"/>
    </row>
    <row r="247" s="28" customFormat="1" hidden="1" customHeight="1" outlineLevel="2" spans="1:23">
      <c r="A247" s="24">
        <v>45673</v>
      </c>
      <c r="B247" s="24">
        <v>45682</v>
      </c>
      <c r="C247" s="16"/>
      <c r="D247" s="14">
        <v>5.5</v>
      </c>
      <c r="E247" s="14">
        <v>0</v>
      </c>
      <c r="F247" s="46">
        <v>5</v>
      </c>
      <c r="G247" s="46"/>
      <c r="H247" s="60">
        <f t="shared" si="17"/>
        <v>5.61111111111111</v>
      </c>
      <c r="I247" s="47">
        <v>45</v>
      </c>
      <c r="J247" s="62">
        <v>11.4</v>
      </c>
      <c r="K247" s="48">
        <f t="shared" si="18"/>
        <v>0.507797270955166</v>
      </c>
      <c r="L247" s="61">
        <f t="shared" si="19"/>
        <v>5.78888888888889</v>
      </c>
      <c r="M247" s="46">
        <f t="shared" si="20"/>
        <v>252.5</v>
      </c>
      <c r="O247" s="33"/>
      <c r="P247" s="33"/>
      <c r="Q247" s="13"/>
      <c r="R247" s="16"/>
      <c r="U247" s="33"/>
      <c r="V247" s="14"/>
    </row>
    <row r="248" s="28" customFormat="1" hidden="1" customHeight="1" outlineLevel="2" spans="1:23">
      <c r="A248" s="24">
        <v>45673</v>
      </c>
      <c r="B248" s="24">
        <v>45683</v>
      </c>
      <c r="C248" s="16"/>
      <c r="D248" s="14">
        <v>5.5</v>
      </c>
      <c r="E248" s="14">
        <v>0</v>
      </c>
      <c r="F248" s="46">
        <v>9</v>
      </c>
      <c r="G248" s="46"/>
      <c r="H248" s="60">
        <f t="shared" si="17"/>
        <v>6.1</v>
      </c>
      <c r="I248" s="47">
        <v>15</v>
      </c>
      <c r="J248" s="62">
        <v>11.4</v>
      </c>
      <c r="K248" s="48">
        <f t="shared" si="18"/>
        <v>0.464912280701754</v>
      </c>
      <c r="L248" s="61">
        <f t="shared" si="19"/>
        <v>5.3</v>
      </c>
      <c r="M248" s="46">
        <f t="shared" si="20"/>
        <v>91.5</v>
      </c>
      <c r="O248" s="33"/>
      <c r="P248" s="33"/>
      <c r="Q248" s="13"/>
      <c r="R248" s="16"/>
      <c r="U248" s="33"/>
      <c r="V248" s="14"/>
    </row>
    <row r="249" s="28" customFormat="1" hidden="1" customHeight="1" outlineLevel="2" spans="1:23">
      <c r="A249" s="24">
        <v>45691</v>
      </c>
      <c r="B249" s="24">
        <v>45696</v>
      </c>
      <c r="C249" s="16"/>
      <c r="D249" s="14">
        <v>5.5</v>
      </c>
      <c r="E249" s="14">
        <v>0</v>
      </c>
      <c r="F249" s="46">
        <v>4</v>
      </c>
      <c r="G249" s="46"/>
      <c r="H249" s="60">
        <f t="shared" si="17"/>
        <v>5.58</v>
      </c>
      <c r="I249" s="47">
        <v>50</v>
      </c>
      <c r="J249" s="62">
        <v>11.4</v>
      </c>
      <c r="K249" s="48">
        <f t="shared" si="18"/>
        <v>0.510526315789474</v>
      </c>
      <c r="L249" s="61">
        <f t="shared" si="19"/>
        <v>5.82</v>
      </c>
      <c r="M249" s="46">
        <f t="shared" si="20"/>
        <v>279</v>
      </c>
      <c r="R249" s="16"/>
      <c r="U249" s="33"/>
      <c r="V249" s="14"/>
    </row>
    <row r="250" s="28" customFormat="1" hidden="1" customHeight="1" outlineLevel="2" spans="1:23">
      <c r="A250" s="24">
        <v>45691</v>
      </c>
      <c r="B250" s="24">
        <v>45696</v>
      </c>
      <c r="C250" s="16"/>
      <c r="D250" s="14">
        <v>5.5</v>
      </c>
      <c r="E250" s="14">
        <v>0</v>
      </c>
      <c r="F250" s="46">
        <v>7.3</v>
      </c>
      <c r="G250" s="46"/>
      <c r="H250" s="60">
        <f t="shared" si="17"/>
        <v>5.70277777777778</v>
      </c>
      <c r="I250" s="47">
        <v>36</v>
      </c>
      <c r="J250" s="62">
        <v>11.4</v>
      </c>
      <c r="K250" s="48">
        <f t="shared" si="18"/>
        <v>0.499756335282651</v>
      </c>
      <c r="L250" s="61">
        <f t="shared" si="19"/>
        <v>5.69722222222222</v>
      </c>
      <c r="M250" s="46">
        <f t="shared" si="20"/>
        <v>205.3</v>
      </c>
      <c r="O250" s="33"/>
      <c r="P250" s="33"/>
      <c r="Q250" s="13"/>
      <c r="R250" s="16"/>
      <c r="U250" s="33"/>
      <c r="V250" s="14"/>
    </row>
    <row r="251" s="28" customFormat="1" hidden="1" customHeight="1" outlineLevel="2" spans="1:23">
      <c r="A251" s="24">
        <v>45691</v>
      </c>
      <c r="B251" s="24">
        <v>45706</v>
      </c>
      <c r="C251" s="16"/>
      <c r="D251" s="14">
        <v>5.5</v>
      </c>
      <c r="E251" s="14">
        <v>0</v>
      </c>
      <c r="F251" s="46">
        <v>1</v>
      </c>
      <c r="G251" s="46"/>
      <c r="H251" s="60">
        <f t="shared" si="17"/>
        <v>5.75</v>
      </c>
      <c r="I251" s="47">
        <v>4</v>
      </c>
      <c r="J251" s="62">
        <v>11.4</v>
      </c>
      <c r="K251" s="48">
        <f t="shared" si="18"/>
        <v>0.495614035087719</v>
      </c>
      <c r="L251" s="61">
        <f t="shared" si="19"/>
        <v>5.65</v>
      </c>
      <c r="M251" s="46">
        <f t="shared" si="20"/>
        <v>23</v>
      </c>
      <c r="O251" s="33"/>
      <c r="P251" s="33"/>
      <c r="Q251" s="13"/>
      <c r="R251" s="16"/>
      <c r="U251" s="33"/>
      <c r="V251" s="14"/>
    </row>
    <row r="252" s="28" customFormat="1" hidden="1" customHeight="1" outlineLevel="2" spans="1:23">
      <c r="A252" s="24">
        <v>45700</v>
      </c>
      <c r="B252" s="24">
        <v>45706</v>
      </c>
      <c r="C252" s="16"/>
      <c r="D252" s="14">
        <v>5.5</v>
      </c>
      <c r="E252" s="14">
        <v>0</v>
      </c>
      <c r="F252" s="46">
        <v>3</v>
      </c>
      <c r="G252" s="46"/>
      <c r="H252" s="60">
        <f t="shared" si="17"/>
        <v>5.6</v>
      </c>
      <c r="I252" s="47">
        <v>30</v>
      </c>
      <c r="J252" s="62">
        <v>11.4</v>
      </c>
      <c r="K252" s="48">
        <f t="shared" si="18"/>
        <v>0.508771929824561</v>
      </c>
      <c r="L252" s="61">
        <f t="shared" si="19"/>
        <v>5.8</v>
      </c>
      <c r="M252" s="46">
        <f t="shared" si="20"/>
        <v>168</v>
      </c>
      <c r="O252" s="33"/>
      <c r="P252" s="33"/>
      <c r="Q252" s="13"/>
      <c r="R252" s="16"/>
      <c r="U252" s="33"/>
      <c r="V252" s="14"/>
      <c r="W252" s="1"/>
    </row>
    <row r="253" s="28" customFormat="1" hidden="1" customHeight="1" outlineLevel="2" spans="1:23">
      <c r="A253" s="24">
        <v>45706</v>
      </c>
      <c r="B253" s="24">
        <v>45713</v>
      </c>
      <c r="C253" s="16"/>
      <c r="D253" s="14">
        <v>5.5</v>
      </c>
      <c r="E253" s="14">
        <v>0</v>
      </c>
      <c r="F253" s="46">
        <v>4</v>
      </c>
      <c r="G253" s="46"/>
      <c r="H253" s="60">
        <f t="shared" si="17"/>
        <v>5.64285714285714</v>
      </c>
      <c r="I253" s="47">
        <v>28</v>
      </c>
      <c r="J253" s="62">
        <v>11.4</v>
      </c>
      <c r="K253" s="48">
        <f t="shared" si="18"/>
        <v>0.505012531328321</v>
      </c>
      <c r="L253" s="61">
        <f t="shared" si="19"/>
        <v>5.75714285714286</v>
      </c>
      <c r="M253" s="46">
        <f t="shared" si="20"/>
        <v>158</v>
      </c>
      <c r="O253" s="33"/>
      <c r="P253" s="33"/>
      <c r="Q253" s="13"/>
      <c r="R253" s="16"/>
      <c r="U253" s="33"/>
      <c r="V253" s="14"/>
      <c r="W253" s="1"/>
    </row>
    <row r="254" s="28" customFormat="1" hidden="1" customHeight="1" outlineLevel="2" spans="1:23">
      <c r="A254" s="24">
        <v>45712</v>
      </c>
      <c r="B254" s="24">
        <v>45716</v>
      </c>
      <c r="C254" s="16"/>
      <c r="D254" s="14">
        <v>5.5</v>
      </c>
      <c r="E254" s="14">
        <v>0</v>
      </c>
      <c r="F254" s="46">
        <v>7.5</v>
      </c>
      <c r="G254" s="46"/>
      <c r="H254" s="60">
        <f t="shared" si="17"/>
        <v>5.62931034482759</v>
      </c>
      <c r="I254" s="47">
        <v>58</v>
      </c>
      <c r="J254" s="62">
        <v>11.4</v>
      </c>
      <c r="K254" s="48">
        <f t="shared" si="18"/>
        <v>0.506200846944949</v>
      </c>
      <c r="L254" s="61">
        <f t="shared" si="19"/>
        <v>5.77068965517241</v>
      </c>
      <c r="M254" s="46">
        <f t="shared" si="20"/>
        <v>326.5</v>
      </c>
      <c r="O254" s="33"/>
      <c r="P254" s="33"/>
      <c r="Q254" s="13"/>
      <c r="R254" s="16"/>
      <c r="U254" s="33"/>
      <c r="V254" s="14"/>
      <c r="W254" s="1"/>
    </row>
    <row r="255" s="28" customFormat="1" hidden="1" customHeight="1" outlineLevel="2" spans="1:23">
      <c r="A255" s="24">
        <v>45716</v>
      </c>
      <c r="B255" s="24">
        <v>45729</v>
      </c>
      <c r="C255" s="16"/>
      <c r="D255" s="14">
        <v>5.5</v>
      </c>
      <c r="E255" s="14">
        <v>0</v>
      </c>
      <c r="F255" s="46">
        <v>5</v>
      </c>
      <c r="G255" s="46"/>
      <c r="H255" s="60">
        <f t="shared" si="17"/>
        <v>5.64285714285714</v>
      </c>
      <c r="I255" s="47">
        <v>35</v>
      </c>
      <c r="J255" s="62">
        <v>11.4</v>
      </c>
      <c r="K255" s="48">
        <f t="shared" si="18"/>
        <v>0.505012531328321</v>
      </c>
      <c r="L255" s="61">
        <f t="shared" si="19"/>
        <v>5.75714285714286</v>
      </c>
      <c r="M255" s="46">
        <f t="shared" si="20"/>
        <v>197.5</v>
      </c>
      <c r="O255" s="33"/>
      <c r="P255" s="33"/>
      <c r="Q255" s="13"/>
      <c r="R255" s="16"/>
      <c r="U255" s="33"/>
      <c r="V255" s="14"/>
      <c r="W255" s="1"/>
    </row>
    <row r="256" s="28" customFormat="1" hidden="1" customHeight="1" outlineLevel="2" spans="1:23">
      <c r="A256" s="24">
        <v>45728</v>
      </c>
      <c r="B256" s="24">
        <v>45742</v>
      </c>
      <c r="C256" s="16"/>
      <c r="D256" s="14">
        <v>5.5</v>
      </c>
      <c r="E256" s="14">
        <v>0</v>
      </c>
      <c r="F256" s="46">
        <v>2</v>
      </c>
      <c r="G256" s="46"/>
      <c r="H256" s="60">
        <f t="shared" si="17"/>
        <v>5.6</v>
      </c>
      <c r="I256" s="47">
        <v>20</v>
      </c>
      <c r="J256" s="62">
        <v>11.4</v>
      </c>
      <c r="K256" s="48">
        <f t="shared" si="18"/>
        <v>0.508771929824561</v>
      </c>
      <c r="L256" s="61">
        <f t="shared" si="19"/>
        <v>5.8</v>
      </c>
      <c r="M256" s="46">
        <f t="shared" si="20"/>
        <v>112</v>
      </c>
      <c r="O256" s="33"/>
      <c r="P256" s="33"/>
      <c r="Q256" s="13"/>
      <c r="R256" s="16"/>
      <c r="U256" s="33"/>
      <c r="V256" s="14"/>
      <c r="W256" s="1"/>
    </row>
    <row r="257" s="28" customFormat="1" hidden="1" customHeight="1" outlineLevel="2" spans="1:22">
      <c r="A257" s="24">
        <v>45742</v>
      </c>
      <c r="B257" s="24">
        <v>45746</v>
      </c>
      <c r="C257" s="16"/>
      <c r="D257" s="14">
        <v>5.5</v>
      </c>
      <c r="E257" s="14">
        <v>0</v>
      </c>
      <c r="F257" s="46">
        <v>2</v>
      </c>
      <c r="G257" s="46"/>
      <c r="H257" s="60">
        <f t="shared" si="17"/>
        <v>5.57692307692308</v>
      </c>
      <c r="I257" s="47">
        <v>26</v>
      </c>
      <c r="J257" s="62">
        <v>11.4</v>
      </c>
      <c r="K257" s="48">
        <f t="shared" si="18"/>
        <v>0.510796221322537</v>
      </c>
      <c r="L257" s="61">
        <f t="shared" si="19"/>
        <v>5.82307692307692</v>
      </c>
      <c r="M257" s="46">
        <f t="shared" si="20"/>
        <v>145</v>
      </c>
      <c r="O257" s="33"/>
      <c r="P257" s="33"/>
      <c r="Q257" s="13"/>
      <c r="R257" s="16"/>
      <c r="U257" s="33"/>
      <c r="V257" s="14"/>
    </row>
    <row r="258" s="28" customFormat="1" hidden="1" customHeight="1" outlineLevel="2" spans="1:22">
      <c r="A258" s="24">
        <v>45746</v>
      </c>
      <c r="B258" s="24">
        <v>45769</v>
      </c>
      <c r="C258" s="16"/>
      <c r="D258" s="14">
        <v>5.5</v>
      </c>
      <c r="E258" s="14">
        <v>0</v>
      </c>
      <c r="F258" s="46">
        <v>0</v>
      </c>
      <c r="G258" s="46"/>
      <c r="H258" s="60">
        <f t="shared" si="17"/>
        <v>5.5</v>
      </c>
      <c r="I258" s="47">
        <v>4</v>
      </c>
      <c r="J258" s="62">
        <v>11.4</v>
      </c>
      <c r="K258" s="48">
        <f t="shared" si="18"/>
        <v>0.517543859649123</v>
      </c>
      <c r="L258" s="61">
        <f t="shared" si="19"/>
        <v>5.9</v>
      </c>
      <c r="M258" s="46">
        <f t="shared" si="20"/>
        <v>22</v>
      </c>
      <c r="O258" s="33"/>
      <c r="P258" s="33"/>
      <c r="Q258" s="13"/>
      <c r="R258" s="16"/>
      <c r="U258" s="33"/>
      <c r="V258" s="14"/>
    </row>
    <row r="259" s="28" customFormat="1" hidden="1" customHeight="1" outlineLevel="2" spans="1:22">
      <c r="A259" s="24">
        <v>45763</v>
      </c>
      <c r="B259" s="24">
        <v>45769</v>
      </c>
      <c r="C259" s="16"/>
      <c r="D259" s="14">
        <v>5.5</v>
      </c>
      <c r="E259" s="14">
        <v>0</v>
      </c>
      <c r="F259" s="46">
        <v>3</v>
      </c>
      <c r="G259" s="46"/>
      <c r="H259" s="60">
        <f t="shared" si="17"/>
        <v>5.6</v>
      </c>
      <c r="I259" s="47">
        <v>30</v>
      </c>
      <c r="J259" s="62">
        <v>11.4</v>
      </c>
      <c r="K259" s="48">
        <f t="shared" si="18"/>
        <v>0.508771929824561</v>
      </c>
      <c r="L259" s="61">
        <f t="shared" si="19"/>
        <v>5.8</v>
      </c>
      <c r="M259" s="46">
        <f t="shared" si="20"/>
        <v>168</v>
      </c>
      <c r="O259" s="33"/>
      <c r="P259" s="33"/>
      <c r="Q259" s="13"/>
      <c r="R259" s="16"/>
      <c r="U259" s="33"/>
      <c r="V259" s="14"/>
    </row>
    <row r="260" s="28" customFormat="1" hidden="1" customHeight="1" outlineLevel="2" spans="1:22">
      <c r="A260" s="24">
        <v>45778</v>
      </c>
      <c r="B260" s="24">
        <v>45781</v>
      </c>
      <c r="C260" s="16"/>
      <c r="D260" s="14">
        <v>5.5</v>
      </c>
      <c r="E260" s="14">
        <v>0</v>
      </c>
      <c r="F260" s="46">
        <v>2</v>
      </c>
      <c r="G260" s="46"/>
      <c r="H260" s="60">
        <f t="shared" si="17"/>
        <v>5.6</v>
      </c>
      <c r="I260" s="47">
        <v>20</v>
      </c>
      <c r="J260" s="62">
        <v>11.4</v>
      </c>
      <c r="K260" s="48">
        <f t="shared" si="18"/>
        <v>0.508771929824561</v>
      </c>
      <c r="L260" s="61">
        <f t="shared" si="19"/>
        <v>5.8</v>
      </c>
      <c r="M260" s="46">
        <f t="shared" si="20"/>
        <v>112</v>
      </c>
      <c r="O260" s="33"/>
      <c r="P260" s="33"/>
      <c r="Q260" s="13"/>
      <c r="R260" s="16"/>
      <c r="U260" s="33"/>
      <c r="V260" s="14"/>
    </row>
    <row r="261" s="28" customFormat="1" hidden="1" customHeight="1" outlineLevel="2" spans="1:22">
      <c r="A261" s="24">
        <v>45778</v>
      </c>
      <c r="B261" s="24">
        <v>45783</v>
      </c>
      <c r="C261" s="16"/>
      <c r="D261" s="14">
        <v>5.5</v>
      </c>
      <c r="E261" s="14">
        <v>0</v>
      </c>
      <c r="F261" s="46">
        <v>2</v>
      </c>
      <c r="G261" s="46"/>
      <c r="H261" s="60">
        <f t="shared" si="17"/>
        <v>5.75</v>
      </c>
      <c r="I261" s="47">
        <v>8</v>
      </c>
      <c r="J261" s="62">
        <v>11.4</v>
      </c>
      <c r="K261" s="48">
        <f t="shared" si="18"/>
        <v>0.495614035087719</v>
      </c>
      <c r="L261" s="61">
        <f t="shared" si="19"/>
        <v>5.65</v>
      </c>
      <c r="M261" s="46">
        <f t="shared" si="20"/>
        <v>46</v>
      </c>
      <c r="O261" s="33"/>
      <c r="P261" s="33"/>
      <c r="Q261" s="13"/>
      <c r="R261" s="16"/>
      <c r="U261" s="33"/>
      <c r="V261" s="14"/>
    </row>
    <row r="262" s="28" customFormat="1" hidden="1" customHeight="1" outlineLevel="2" spans="1:22">
      <c r="A262" s="40">
        <v>45788</v>
      </c>
      <c r="B262" s="37">
        <v>45791</v>
      </c>
      <c r="C262" s="37"/>
      <c r="D262" s="14">
        <v>5.5</v>
      </c>
      <c r="E262" s="14">
        <v>0</v>
      </c>
      <c r="F262" s="46">
        <v>2</v>
      </c>
      <c r="G262" s="46"/>
      <c r="H262" s="60">
        <f t="shared" si="17"/>
        <v>5.57142857142857</v>
      </c>
      <c r="I262" s="47">
        <v>28</v>
      </c>
      <c r="J262" s="62">
        <v>11.4</v>
      </c>
      <c r="K262" s="48">
        <f t="shared" si="18"/>
        <v>0.511278195488722</v>
      </c>
      <c r="L262" s="61">
        <f t="shared" si="19"/>
        <v>5.82857142857143</v>
      </c>
      <c r="M262" s="46">
        <f t="shared" si="20"/>
        <v>156</v>
      </c>
      <c r="N262" s="58"/>
      <c r="O262" s="58"/>
      <c r="P262" s="58"/>
      <c r="Q262" s="13"/>
      <c r="R262" s="16"/>
      <c r="U262" s="33"/>
      <c r="V262" s="14"/>
    </row>
    <row r="263" s="28" customFormat="1" hidden="1" customHeight="1" outlineLevel="2" spans="1:22">
      <c r="A263" s="40">
        <v>45788</v>
      </c>
      <c r="B263" s="37">
        <v>45798</v>
      </c>
      <c r="C263" s="37"/>
      <c r="D263" s="14">
        <v>5.5</v>
      </c>
      <c r="E263" s="14">
        <v>0</v>
      </c>
      <c r="F263" s="46">
        <v>1</v>
      </c>
      <c r="G263" s="46"/>
      <c r="H263" s="60">
        <f t="shared" si="17"/>
        <v>6</v>
      </c>
      <c r="I263" s="47">
        <v>2</v>
      </c>
      <c r="J263" s="62">
        <v>11.4</v>
      </c>
      <c r="K263" s="48">
        <f t="shared" si="18"/>
        <v>0.473684210526316</v>
      </c>
      <c r="L263" s="61">
        <f t="shared" si="19"/>
        <v>5.4</v>
      </c>
      <c r="M263" s="46">
        <f t="shared" si="20"/>
        <v>12</v>
      </c>
      <c r="N263" s="58"/>
      <c r="O263" s="58"/>
      <c r="P263" s="58"/>
      <c r="Q263" s="13"/>
      <c r="R263" s="16"/>
      <c r="U263" s="33"/>
      <c r="V263" s="14"/>
    </row>
    <row r="264" s="28" customFormat="1" hidden="1" customHeight="1" outlineLevel="2" spans="1:22">
      <c r="A264" s="40">
        <v>45800</v>
      </c>
      <c r="B264" s="37">
        <v>45803</v>
      </c>
      <c r="C264" s="37"/>
      <c r="D264" s="14">
        <v>5.5</v>
      </c>
      <c r="E264" s="14">
        <v>0</v>
      </c>
      <c r="F264" s="46">
        <v>3</v>
      </c>
      <c r="G264" s="46"/>
      <c r="H264" s="60">
        <f t="shared" si="17"/>
        <v>5.61111111111111</v>
      </c>
      <c r="I264" s="47">
        <v>27</v>
      </c>
      <c r="J264" s="62">
        <v>11.4</v>
      </c>
      <c r="K264" s="48">
        <f t="shared" si="18"/>
        <v>0.507797270955166</v>
      </c>
      <c r="L264" s="61">
        <f t="shared" si="19"/>
        <v>5.78888888888889</v>
      </c>
      <c r="M264" s="46">
        <f t="shared" si="20"/>
        <v>151.5</v>
      </c>
      <c r="N264" s="58"/>
      <c r="O264" s="58"/>
      <c r="P264" s="58"/>
      <c r="Q264" s="13"/>
      <c r="R264" s="16"/>
      <c r="U264" s="33"/>
      <c r="V264" s="14"/>
    </row>
    <row r="265" s="28" customFormat="1" hidden="1" customHeight="1" outlineLevel="2" spans="1:22">
      <c r="A265" s="40">
        <v>45810</v>
      </c>
      <c r="B265" s="37">
        <v>45813</v>
      </c>
      <c r="C265" s="37"/>
      <c r="D265" s="14">
        <v>5.5</v>
      </c>
      <c r="E265" s="14">
        <v>0</v>
      </c>
      <c r="F265" s="46">
        <v>3</v>
      </c>
      <c r="G265" s="46"/>
      <c r="H265" s="60">
        <f t="shared" si="17"/>
        <v>5.59677419354839</v>
      </c>
      <c r="I265" s="47">
        <v>31</v>
      </c>
      <c r="J265" s="62">
        <v>11.4</v>
      </c>
      <c r="K265" s="48">
        <f t="shared" si="18"/>
        <v>0.509054895302773</v>
      </c>
      <c r="L265" s="61">
        <f t="shared" si="19"/>
        <v>5.80322580645161</v>
      </c>
      <c r="M265" s="46">
        <f t="shared" si="20"/>
        <v>173.5</v>
      </c>
      <c r="N265" s="58"/>
      <c r="O265" s="58"/>
      <c r="P265" s="58"/>
      <c r="Q265" s="13"/>
      <c r="R265" s="16"/>
      <c r="U265" s="33"/>
      <c r="V265" s="14"/>
    </row>
    <row r="266" s="28" customFormat="1" hidden="1" customHeight="1" outlineLevel="2" spans="1:22">
      <c r="A266" s="40">
        <v>45817</v>
      </c>
      <c r="B266" s="40">
        <v>45819</v>
      </c>
      <c r="C266" s="58"/>
      <c r="D266" s="14">
        <v>5.5</v>
      </c>
      <c r="E266" s="14">
        <v>0</v>
      </c>
      <c r="F266" s="46">
        <v>4</v>
      </c>
      <c r="G266" s="46"/>
      <c r="H266" s="60">
        <f t="shared" si="17"/>
        <v>5.64814814814815</v>
      </c>
      <c r="I266" s="47">
        <v>27</v>
      </c>
      <c r="J266" s="62">
        <v>11.4</v>
      </c>
      <c r="K266" s="48">
        <f t="shared" si="18"/>
        <v>0.50454840805718</v>
      </c>
      <c r="L266" s="61">
        <f t="shared" si="19"/>
        <v>5.75185185185185</v>
      </c>
      <c r="M266" s="46">
        <f t="shared" si="20"/>
        <v>152.5</v>
      </c>
      <c r="N266" s="58"/>
      <c r="O266" s="58"/>
      <c r="P266" s="58"/>
      <c r="Q266" s="13"/>
      <c r="R266" s="16"/>
      <c r="U266" s="33"/>
      <c r="V266" s="14"/>
    </row>
    <row r="267" s="28" customFormat="1" hidden="1" customHeight="1" outlineLevel="2" spans="1:22">
      <c r="A267" s="40">
        <v>45824</v>
      </c>
      <c r="B267" s="24">
        <v>45828</v>
      </c>
      <c r="C267" s="58"/>
      <c r="D267" s="14">
        <v>5.5</v>
      </c>
      <c r="E267" s="14">
        <v>0</v>
      </c>
      <c r="F267" s="46">
        <v>2</v>
      </c>
      <c r="G267" s="46"/>
      <c r="H267" s="60">
        <f t="shared" si="17"/>
        <v>5.58695652173913</v>
      </c>
      <c r="I267" s="47">
        <v>23</v>
      </c>
      <c r="J267" s="62">
        <v>11.4</v>
      </c>
      <c r="K267" s="48">
        <f t="shared" si="18"/>
        <v>0.509916094584287</v>
      </c>
      <c r="L267" s="61">
        <f t="shared" si="19"/>
        <v>5.81304347826087</v>
      </c>
      <c r="M267" s="46">
        <f t="shared" si="20"/>
        <v>128.5</v>
      </c>
      <c r="N267" s="58"/>
      <c r="O267" s="58"/>
      <c r="P267" s="58"/>
      <c r="Q267" s="13"/>
      <c r="R267" s="16"/>
      <c r="U267" s="33"/>
      <c r="V267" s="14"/>
    </row>
    <row r="268" s="28" customFormat="1" hidden="1" customHeight="1" outlineLevel="2" spans="1:22">
      <c r="A268" s="40">
        <v>45824</v>
      </c>
      <c r="B268" s="40">
        <v>45829</v>
      </c>
      <c r="C268" s="58"/>
      <c r="D268" s="14">
        <v>5.5</v>
      </c>
      <c r="E268" s="14">
        <v>0</v>
      </c>
      <c r="F268" s="46">
        <v>2</v>
      </c>
      <c r="G268" s="46"/>
      <c r="H268" s="60">
        <f t="shared" si="17"/>
        <v>5.78571428571429</v>
      </c>
      <c r="I268" s="47">
        <v>7</v>
      </c>
      <c r="J268" s="62">
        <v>11.4</v>
      </c>
      <c r="K268" s="48">
        <f t="shared" si="18"/>
        <v>0.492481203007519</v>
      </c>
      <c r="L268" s="61">
        <f t="shared" si="19"/>
        <v>5.61428571428571</v>
      </c>
      <c r="M268" s="46">
        <f t="shared" si="20"/>
        <v>40.5</v>
      </c>
      <c r="N268" s="58"/>
      <c r="O268" s="58"/>
      <c r="P268" s="58"/>
      <c r="Q268" s="13"/>
      <c r="R268" s="16"/>
      <c r="U268" s="33"/>
      <c r="V268" s="14"/>
    </row>
    <row r="269" s="28" customFormat="1" hidden="1" customHeight="1" outlineLevel="2" spans="1:22">
      <c r="A269" s="40">
        <v>45828</v>
      </c>
      <c r="B269" s="40">
        <v>45832</v>
      </c>
      <c r="C269" s="58"/>
      <c r="D269" s="14">
        <v>5.5</v>
      </c>
      <c r="E269" s="14">
        <v>0</v>
      </c>
      <c r="F269" s="46">
        <v>2</v>
      </c>
      <c r="G269" s="46"/>
      <c r="H269" s="60">
        <f t="shared" si="17"/>
        <v>5.58333333333333</v>
      </c>
      <c r="I269" s="47">
        <v>24</v>
      </c>
      <c r="J269" s="62">
        <v>11.4</v>
      </c>
      <c r="K269" s="48">
        <f t="shared" si="18"/>
        <v>0.510233918128655</v>
      </c>
      <c r="L269" s="61">
        <f t="shared" si="19"/>
        <v>5.81666666666667</v>
      </c>
      <c r="M269" s="46">
        <f t="shared" si="20"/>
        <v>134</v>
      </c>
      <c r="N269" s="58"/>
      <c r="O269" s="58"/>
      <c r="P269" s="58"/>
      <c r="Q269" s="13"/>
      <c r="R269" s="16"/>
      <c r="U269" s="33"/>
      <c r="V269" s="14"/>
    </row>
    <row r="270" s="28" customFormat="1" hidden="1" customHeight="1" outlineLevel="2" spans="1:22">
      <c r="A270" s="40">
        <v>45828</v>
      </c>
      <c r="B270" s="40">
        <v>45838</v>
      </c>
      <c r="C270" s="58"/>
      <c r="D270" s="14">
        <v>5.5</v>
      </c>
      <c r="E270" s="14">
        <v>0</v>
      </c>
      <c r="F270" s="46">
        <v>2</v>
      </c>
      <c r="G270" s="46"/>
      <c r="H270" s="60">
        <f t="shared" si="17"/>
        <v>5.83333333333333</v>
      </c>
      <c r="I270" s="47">
        <v>6</v>
      </c>
      <c r="J270" s="62">
        <v>11.4</v>
      </c>
      <c r="K270" s="48">
        <f t="shared" si="18"/>
        <v>0.488304093567252</v>
      </c>
      <c r="L270" s="61">
        <f t="shared" si="19"/>
        <v>5.56666666666667</v>
      </c>
      <c r="M270" s="46">
        <f t="shared" si="20"/>
        <v>35</v>
      </c>
      <c r="N270" s="58"/>
      <c r="O270" s="58"/>
      <c r="P270" s="58"/>
      <c r="Q270" s="13"/>
      <c r="R270" s="16"/>
      <c r="U270" s="33"/>
      <c r="V270" s="14"/>
    </row>
    <row r="271" s="28" customFormat="1" hidden="1" customHeight="1" outlineLevel="2" spans="1:22">
      <c r="A271" s="40">
        <v>45837</v>
      </c>
      <c r="B271" s="40">
        <v>45842</v>
      </c>
      <c r="C271" s="58"/>
      <c r="D271" s="14">
        <v>5.5</v>
      </c>
      <c r="E271" s="14">
        <v>0</v>
      </c>
      <c r="F271" s="46">
        <v>2</v>
      </c>
      <c r="G271" s="46"/>
      <c r="H271" s="60">
        <f t="shared" si="17"/>
        <v>5.6</v>
      </c>
      <c r="I271" s="47">
        <v>20</v>
      </c>
      <c r="J271" s="62">
        <v>11.4</v>
      </c>
      <c r="K271" s="48">
        <f t="shared" si="18"/>
        <v>0.508771929824561</v>
      </c>
      <c r="L271" s="61">
        <f t="shared" si="19"/>
        <v>5.8</v>
      </c>
      <c r="M271" s="46">
        <f t="shared" si="20"/>
        <v>112</v>
      </c>
      <c r="N271" s="58"/>
      <c r="O271" s="58"/>
      <c r="P271" s="58"/>
      <c r="Q271" s="13"/>
      <c r="R271" s="16"/>
      <c r="U271" s="33"/>
      <c r="V271" s="14"/>
    </row>
    <row r="272" s="28" customFormat="1" hidden="1" customHeight="1" outlineLevel="2" spans="1:22">
      <c r="A272" s="40">
        <v>45840</v>
      </c>
      <c r="B272" s="40">
        <v>45847</v>
      </c>
      <c r="C272" s="58"/>
      <c r="D272" s="14">
        <v>5.5</v>
      </c>
      <c r="E272" s="14">
        <v>0</v>
      </c>
      <c r="F272" s="46">
        <v>6</v>
      </c>
      <c r="G272" s="46"/>
      <c r="H272" s="60">
        <f t="shared" si="17"/>
        <v>5.67142857142857</v>
      </c>
      <c r="I272" s="47">
        <v>35</v>
      </c>
      <c r="J272" s="62">
        <v>11.4</v>
      </c>
      <c r="K272" s="48">
        <f t="shared" si="18"/>
        <v>0.50250626566416</v>
      </c>
      <c r="L272" s="61">
        <f t="shared" si="19"/>
        <v>5.72857142857143</v>
      </c>
      <c r="M272" s="46">
        <f t="shared" si="20"/>
        <v>198.5</v>
      </c>
      <c r="N272" s="58"/>
      <c r="O272" s="58"/>
      <c r="P272" s="58"/>
      <c r="Q272" s="13"/>
      <c r="R272" s="16"/>
      <c r="U272" s="33"/>
      <c r="V272" s="14"/>
    </row>
    <row r="273" s="28" customFormat="1" hidden="1" customHeight="1" outlineLevel="2" spans="1:22">
      <c r="A273" s="40">
        <v>45842</v>
      </c>
      <c r="B273" s="40">
        <v>45846</v>
      </c>
      <c r="C273" s="58"/>
      <c r="D273" s="14">
        <v>5.5</v>
      </c>
      <c r="E273" s="14">
        <v>0</v>
      </c>
      <c r="F273" s="46">
        <v>4</v>
      </c>
      <c r="G273" s="46"/>
      <c r="H273" s="60">
        <f t="shared" si="17"/>
        <v>5.66</v>
      </c>
      <c r="I273" s="47">
        <v>25</v>
      </c>
      <c r="J273" s="62">
        <v>11.4</v>
      </c>
      <c r="K273" s="48">
        <f t="shared" si="18"/>
        <v>0.503508771929825</v>
      </c>
      <c r="L273" s="61">
        <f t="shared" si="19"/>
        <v>5.74</v>
      </c>
      <c r="M273" s="46">
        <f t="shared" si="20"/>
        <v>141.5</v>
      </c>
      <c r="N273" s="58"/>
      <c r="O273" s="58"/>
      <c r="P273" s="58"/>
      <c r="Q273" s="13"/>
      <c r="R273" s="16"/>
      <c r="U273" s="33"/>
      <c r="V273" s="14"/>
    </row>
    <row r="274" s="28" customFormat="1" hidden="1" customHeight="1" outlineLevel="2" spans="1:22">
      <c r="A274" s="40">
        <v>45860</v>
      </c>
      <c r="B274" s="40">
        <v>45865</v>
      </c>
      <c r="C274" s="58"/>
      <c r="D274" s="14">
        <v>5.5</v>
      </c>
      <c r="E274" s="14">
        <v>0</v>
      </c>
      <c r="F274" s="46">
        <v>2</v>
      </c>
      <c r="G274" s="46"/>
      <c r="H274" s="60">
        <f t="shared" si="17"/>
        <v>5.60526315789474</v>
      </c>
      <c r="I274" s="47">
        <v>19</v>
      </c>
      <c r="J274" s="62">
        <v>11.4</v>
      </c>
      <c r="K274" s="48">
        <f t="shared" si="18"/>
        <v>0.508310249307479</v>
      </c>
      <c r="L274" s="61">
        <f t="shared" si="19"/>
        <v>5.79473684210526</v>
      </c>
      <c r="M274" s="46">
        <f t="shared" si="20"/>
        <v>106.5</v>
      </c>
      <c r="N274" s="58"/>
      <c r="O274" s="58"/>
      <c r="P274" s="58"/>
      <c r="Q274" s="13"/>
      <c r="R274" s="16"/>
      <c r="U274" s="33"/>
      <c r="V274" s="14"/>
    </row>
    <row r="275" s="28" customFormat="1" hidden="1" customHeight="1" outlineLevel="2" spans="1:22">
      <c r="A275" s="40">
        <v>45869</v>
      </c>
      <c r="B275" s="40">
        <v>45876</v>
      </c>
      <c r="C275" s="58"/>
      <c r="D275" s="14">
        <v>5.5</v>
      </c>
      <c r="E275" s="14">
        <v>0</v>
      </c>
      <c r="F275" s="46">
        <v>1</v>
      </c>
      <c r="G275" s="46"/>
      <c r="H275" s="60">
        <f t="shared" si="17"/>
        <v>5.58333333333333</v>
      </c>
      <c r="I275" s="47">
        <v>12</v>
      </c>
      <c r="J275" s="62">
        <v>11.4</v>
      </c>
      <c r="K275" s="48">
        <f t="shared" si="18"/>
        <v>0.510233918128655</v>
      </c>
      <c r="L275" s="61">
        <f t="shared" si="19"/>
        <v>5.81666666666667</v>
      </c>
      <c r="M275" s="46">
        <f t="shared" si="20"/>
        <v>67</v>
      </c>
      <c r="N275" s="58"/>
      <c r="O275" s="58"/>
      <c r="P275" s="58"/>
      <c r="Q275" s="13"/>
      <c r="R275" s="16"/>
      <c r="U275" s="33"/>
      <c r="V275" s="14"/>
    </row>
    <row r="276" s="28" customFormat="1" hidden="1" customHeight="1" outlineLevel="2" spans="1:22">
      <c r="A276" s="40">
        <v>45869</v>
      </c>
      <c r="B276" s="40">
        <v>45878</v>
      </c>
      <c r="C276" s="58"/>
      <c r="D276" s="14">
        <v>5.5</v>
      </c>
      <c r="E276" s="14">
        <v>0</v>
      </c>
      <c r="F276" s="46">
        <v>1</v>
      </c>
      <c r="G276" s="46"/>
      <c r="H276" s="60">
        <f t="shared" si="17"/>
        <v>5.7</v>
      </c>
      <c r="I276" s="47">
        <v>5</v>
      </c>
      <c r="J276" s="62">
        <v>11.4</v>
      </c>
      <c r="K276" s="48">
        <f t="shared" si="18"/>
        <v>0.5</v>
      </c>
      <c r="L276" s="61">
        <f t="shared" si="19"/>
        <v>5.7</v>
      </c>
      <c r="M276" s="46">
        <f t="shared" si="20"/>
        <v>28.5</v>
      </c>
      <c r="N276" s="58"/>
      <c r="O276" s="58"/>
      <c r="P276" s="58"/>
      <c r="Q276" s="13"/>
      <c r="R276" s="16"/>
      <c r="U276" s="33"/>
      <c r="V276" s="14"/>
    </row>
    <row r="277" s="28" customFormat="1" hidden="1" customHeight="1" outlineLevel="2" spans="1:22">
      <c r="A277" s="40">
        <v>45877</v>
      </c>
      <c r="B277" s="40">
        <v>45885</v>
      </c>
      <c r="C277" s="58"/>
      <c r="D277" s="14">
        <v>5.5</v>
      </c>
      <c r="E277" s="14">
        <v>0</v>
      </c>
      <c r="F277" s="46">
        <v>1</v>
      </c>
      <c r="G277" s="46"/>
      <c r="H277" s="60">
        <f t="shared" si="17"/>
        <v>5.6</v>
      </c>
      <c r="I277" s="47">
        <v>10</v>
      </c>
      <c r="J277" s="62">
        <v>11.4</v>
      </c>
      <c r="K277" s="48">
        <f t="shared" si="18"/>
        <v>0.508771929824561</v>
      </c>
      <c r="L277" s="61">
        <f t="shared" si="19"/>
        <v>5.8</v>
      </c>
      <c r="M277" s="46">
        <f t="shared" si="20"/>
        <v>56</v>
      </c>
      <c r="N277" s="58"/>
      <c r="O277" s="58"/>
      <c r="P277" s="58"/>
      <c r="Q277" s="13"/>
      <c r="R277" s="16"/>
      <c r="U277" s="33"/>
      <c r="V277" s="14"/>
    </row>
    <row r="278" s="28" customFormat="1" hidden="1" customHeight="1" outlineLevel="2" spans="1:22">
      <c r="A278" s="40">
        <v>45877</v>
      </c>
      <c r="B278" s="40">
        <v>45896</v>
      </c>
      <c r="C278" s="58"/>
      <c r="D278" s="14">
        <v>5.5</v>
      </c>
      <c r="E278" s="14">
        <v>0</v>
      </c>
      <c r="F278" s="46">
        <v>2</v>
      </c>
      <c r="G278" s="46"/>
      <c r="H278" s="60">
        <f t="shared" si="17"/>
        <v>5.75</v>
      </c>
      <c r="I278" s="47">
        <v>8</v>
      </c>
      <c r="J278" s="62">
        <v>11.4</v>
      </c>
      <c r="K278" s="48">
        <f t="shared" si="18"/>
        <v>0.495614035087719</v>
      </c>
      <c r="L278" s="61">
        <f t="shared" si="19"/>
        <v>5.65</v>
      </c>
      <c r="M278" s="46">
        <f t="shared" si="20"/>
        <v>46</v>
      </c>
      <c r="N278" s="58"/>
      <c r="O278" s="58"/>
      <c r="P278" s="58"/>
      <c r="Q278" s="13"/>
      <c r="R278" s="16"/>
      <c r="U278" s="33"/>
      <c r="V278" s="14"/>
    </row>
    <row r="279" s="28" customFormat="1" hidden="1" customHeight="1" outlineLevel="2" spans="1:22">
      <c r="A279" s="40">
        <v>45908</v>
      </c>
      <c r="B279" s="37">
        <v>45912</v>
      </c>
      <c r="C279" s="37"/>
      <c r="D279" s="14">
        <v>5.5</v>
      </c>
      <c r="E279" s="14">
        <v>0</v>
      </c>
      <c r="F279" s="46">
        <v>2</v>
      </c>
      <c r="G279" s="46"/>
      <c r="H279" s="60">
        <f t="shared" si="17"/>
        <v>5.7</v>
      </c>
      <c r="I279" s="47">
        <v>10</v>
      </c>
      <c r="J279" s="62">
        <v>11.4</v>
      </c>
      <c r="K279" s="48">
        <f t="shared" si="18"/>
        <v>0.5</v>
      </c>
      <c r="L279" s="61">
        <f t="shared" si="19"/>
        <v>5.7</v>
      </c>
      <c r="M279" s="46">
        <f t="shared" si="20"/>
        <v>57</v>
      </c>
      <c r="N279" s="37"/>
      <c r="O279" s="37"/>
      <c r="P279" s="37"/>
      <c r="Q279" s="13"/>
      <c r="R279" s="16"/>
      <c r="U279" s="33"/>
      <c r="V279" s="14"/>
    </row>
    <row r="280" s="28" customFormat="1" hidden="1" customHeight="1" outlineLevel="2" spans="1:22">
      <c r="A280" s="40">
        <v>45908</v>
      </c>
      <c r="B280" s="40">
        <v>45929</v>
      </c>
      <c r="C280" s="37"/>
      <c r="D280" s="14">
        <v>5.5</v>
      </c>
      <c r="E280" s="14">
        <v>0</v>
      </c>
      <c r="F280" s="46">
        <v>1</v>
      </c>
      <c r="G280" s="46"/>
      <c r="H280" s="60">
        <f t="shared" si="17"/>
        <v>5.66666666666667</v>
      </c>
      <c r="I280" s="47">
        <v>6</v>
      </c>
      <c r="J280" s="62">
        <v>11.4</v>
      </c>
      <c r="K280" s="48">
        <f t="shared" si="18"/>
        <v>0.502923976608187</v>
      </c>
      <c r="L280" s="61">
        <f t="shared" si="19"/>
        <v>5.73333333333333</v>
      </c>
      <c r="M280" s="46">
        <f t="shared" si="20"/>
        <v>34</v>
      </c>
      <c r="N280" s="37"/>
      <c r="O280" s="37"/>
      <c r="P280" s="37"/>
      <c r="Q280" s="13"/>
      <c r="R280" s="16"/>
      <c r="U280" s="33"/>
      <c r="V280" s="14"/>
    </row>
    <row r="281" s="28" customFormat="1" hidden="1" customHeight="1" outlineLevel="2" spans="1:22">
      <c r="A281" s="40">
        <v>45929</v>
      </c>
      <c r="B281" s="37">
        <v>45941</v>
      </c>
      <c r="C281" s="37"/>
      <c r="D281" s="14">
        <v>5.5</v>
      </c>
      <c r="E281" s="14">
        <v>0</v>
      </c>
      <c r="F281" s="46">
        <v>2</v>
      </c>
      <c r="G281" s="46"/>
      <c r="H281" s="60">
        <f t="shared" si="17"/>
        <v>5.6</v>
      </c>
      <c r="I281" s="47">
        <v>20</v>
      </c>
      <c r="J281" s="62">
        <v>11.4</v>
      </c>
      <c r="K281" s="48">
        <f t="shared" si="18"/>
        <v>0.508771929824561</v>
      </c>
      <c r="L281" s="61">
        <f t="shared" si="19"/>
        <v>5.8</v>
      </c>
      <c r="M281" s="46">
        <f t="shared" si="20"/>
        <v>112</v>
      </c>
      <c r="N281" s="37"/>
      <c r="O281" s="37"/>
      <c r="P281" s="37"/>
      <c r="Q281" s="13"/>
      <c r="R281" s="16"/>
      <c r="U281" s="33"/>
      <c r="V281" s="14"/>
    </row>
    <row r="282" s="28" customFormat="1" hidden="1" customHeight="1" outlineLevel="2" spans="1:22">
      <c r="A282" s="40">
        <v>45945</v>
      </c>
      <c r="B282" s="37">
        <v>45950</v>
      </c>
      <c r="C282" s="37"/>
      <c r="D282" s="14">
        <v>5.5</v>
      </c>
      <c r="E282" s="14">
        <v>0</v>
      </c>
      <c r="F282" s="46">
        <v>3</v>
      </c>
      <c r="G282" s="46"/>
      <c r="H282" s="60">
        <f t="shared" si="17"/>
        <v>5.65789473684211</v>
      </c>
      <c r="I282" s="47">
        <v>19</v>
      </c>
      <c r="J282" s="62">
        <v>11.4</v>
      </c>
      <c r="K282" s="48">
        <f t="shared" si="18"/>
        <v>0.503693444136657</v>
      </c>
      <c r="L282" s="61">
        <f t="shared" si="19"/>
        <v>5.7421052631579</v>
      </c>
      <c r="M282" s="46">
        <f t="shared" si="20"/>
        <v>107.5</v>
      </c>
      <c r="N282" s="37"/>
      <c r="O282" s="37"/>
      <c r="P282" s="37"/>
      <c r="Q282" s="13"/>
      <c r="R282" s="16"/>
      <c r="U282" s="33"/>
      <c r="V282" s="14"/>
    </row>
    <row r="283" s="28" customFormat="1" hidden="1" customHeight="1" outlineLevel="2" spans="1:22">
      <c r="A283" s="40">
        <v>45952</v>
      </c>
      <c r="B283" s="37">
        <v>45957</v>
      </c>
      <c r="C283" s="37"/>
      <c r="D283" s="14">
        <v>5.5</v>
      </c>
      <c r="E283" s="14">
        <v>0</v>
      </c>
      <c r="F283" s="46">
        <v>1</v>
      </c>
      <c r="G283" s="46"/>
      <c r="H283" s="60">
        <f t="shared" si="17"/>
        <v>5.54347826086957</v>
      </c>
      <c r="I283" s="47">
        <v>23</v>
      </c>
      <c r="J283" s="62">
        <v>11.4</v>
      </c>
      <c r="K283" s="48">
        <f t="shared" si="18"/>
        <v>0.513729977116705</v>
      </c>
      <c r="L283" s="61">
        <f t="shared" si="19"/>
        <v>5.85652173913043</v>
      </c>
      <c r="M283" s="46">
        <f t="shared" si="20"/>
        <v>127.5</v>
      </c>
      <c r="N283" s="37"/>
      <c r="O283" s="37"/>
      <c r="P283" s="37"/>
      <c r="Q283" s="13"/>
      <c r="R283" s="16"/>
      <c r="U283" s="33"/>
      <c r="V283" s="14"/>
    </row>
    <row r="284" s="28" customFormat="1" hidden="1" customHeight="1" outlineLevel="2" spans="1:22">
      <c r="A284" s="40">
        <v>45964</v>
      </c>
      <c r="B284" s="37">
        <v>45971</v>
      </c>
      <c r="C284" s="37"/>
      <c r="D284" s="14">
        <v>5.5</v>
      </c>
      <c r="E284" s="14">
        <v>0</v>
      </c>
      <c r="F284" s="46">
        <v>1</v>
      </c>
      <c r="G284" s="46"/>
      <c r="H284" s="60">
        <f t="shared" si="17"/>
        <v>5.55</v>
      </c>
      <c r="I284" s="47">
        <v>20</v>
      </c>
      <c r="J284" s="62">
        <v>11.4</v>
      </c>
      <c r="K284" s="48">
        <f t="shared" si="18"/>
        <v>0.513157894736842</v>
      </c>
      <c r="L284" s="61">
        <f t="shared" si="19"/>
        <v>5.85</v>
      </c>
      <c r="M284" s="46">
        <f t="shared" si="20"/>
        <v>111</v>
      </c>
      <c r="N284" s="37"/>
      <c r="O284" s="37"/>
      <c r="P284" s="37"/>
      <c r="Q284" s="13"/>
      <c r="R284" s="16"/>
      <c r="U284" s="33"/>
      <c r="V284" s="14"/>
    </row>
    <row r="285" s="28" customFormat="1" hidden="1" customHeight="1" outlineLevel="2" spans="1:22">
      <c r="A285" s="40">
        <v>45971</v>
      </c>
      <c r="B285" s="37">
        <v>45975</v>
      </c>
      <c r="C285" s="37"/>
      <c r="D285" s="14">
        <v>5.5</v>
      </c>
      <c r="E285" s="14">
        <v>0</v>
      </c>
      <c r="F285" s="46">
        <v>1</v>
      </c>
      <c r="G285" s="46"/>
      <c r="H285" s="60">
        <f t="shared" si="17"/>
        <v>5.55</v>
      </c>
      <c r="I285" s="47">
        <v>20</v>
      </c>
      <c r="J285" s="62">
        <v>11.4</v>
      </c>
      <c r="K285" s="48">
        <f t="shared" si="18"/>
        <v>0.513157894736842</v>
      </c>
      <c r="L285" s="61">
        <f t="shared" si="19"/>
        <v>5.85</v>
      </c>
      <c r="M285" s="46">
        <f t="shared" si="20"/>
        <v>111</v>
      </c>
      <c r="N285" s="37"/>
      <c r="O285" s="37"/>
      <c r="P285" s="37"/>
      <c r="Q285" s="13"/>
      <c r="R285" s="16"/>
      <c r="U285" s="33"/>
      <c r="V285" s="14"/>
    </row>
    <row r="286" s="28" customFormat="1" hidden="1" customHeight="1" outlineLevel="2" spans="1:22">
      <c r="A286" s="40">
        <v>45978</v>
      </c>
      <c r="B286" s="37">
        <v>45985</v>
      </c>
      <c r="C286" s="37"/>
      <c r="D286" s="14">
        <v>5.5</v>
      </c>
      <c r="E286" s="14">
        <v>0</v>
      </c>
      <c r="F286" s="46">
        <v>3</v>
      </c>
      <c r="G286" s="46"/>
      <c r="H286" s="60">
        <f t="shared" si="17"/>
        <v>5.65</v>
      </c>
      <c r="I286" s="47">
        <v>20</v>
      </c>
      <c r="J286" s="62">
        <v>11.4</v>
      </c>
      <c r="K286" s="48">
        <f t="shared" si="18"/>
        <v>0.504385964912281</v>
      </c>
      <c r="L286" s="61">
        <f t="shared" si="19"/>
        <v>5.75</v>
      </c>
      <c r="M286" s="46">
        <f t="shared" si="20"/>
        <v>113</v>
      </c>
      <c r="N286" s="37"/>
      <c r="O286" s="37"/>
      <c r="P286" s="37"/>
      <c r="Q286" s="13"/>
      <c r="R286" s="16"/>
      <c r="U286" s="33"/>
      <c r="V286" s="14"/>
    </row>
    <row r="287" s="28" customFormat="1" hidden="1" customHeight="1" outlineLevel="2" spans="1:22">
      <c r="A287" s="40">
        <v>45978</v>
      </c>
      <c r="B287" s="24">
        <v>45987</v>
      </c>
      <c r="C287" s="37"/>
      <c r="D287" s="14">
        <v>5.5</v>
      </c>
      <c r="E287" s="14">
        <v>0</v>
      </c>
      <c r="F287" s="46">
        <v>3</v>
      </c>
      <c r="G287" s="46"/>
      <c r="H287" s="60">
        <f t="shared" si="17"/>
        <v>5.8</v>
      </c>
      <c r="I287" s="47">
        <v>10</v>
      </c>
      <c r="J287" s="62">
        <v>11.4</v>
      </c>
      <c r="K287" s="48">
        <f t="shared" si="18"/>
        <v>0.491228070175439</v>
      </c>
      <c r="L287" s="61">
        <f t="shared" si="19"/>
        <v>5.6</v>
      </c>
      <c r="M287" s="46">
        <f t="shared" si="20"/>
        <v>58</v>
      </c>
      <c r="N287" s="37"/>
      <c r="O287" s="37"/>
      <c r="P287" s="37"/>
      <c r="Q287" s="13"/>
      <c r="R287" s="16"/>
      <c r="U287" s="33"/>
      <c r="V287" s="14"/>
    </row>
    <row r="288" s="28" customFormat="1" hidden="1" customHeight="1" outlineLevel="2" spans="1:22">
      <c r="A288" s="40">
        <v>45987</v>
      </c>
      <c r="B288" s="24">
        <v>46001</v>
      </c>
      <c r="C288" s="37"/>
      <c r="D288" s="14">
        <v>5.5</v>
      </c>
      <c r="E288" s="14">
        <v>0</v>
      </c>
      <c r="F288" s="46">
        <v>3</v>
      </c>
      <c r="G288" s="46"/>
      <c r="H288" s="60">
        <f t="shared" si="17"/>
        <v>5.61538461538461</v>
      </c>
      <c r="I288" s="47">
        <v>26</v>
      </c>
      <c r="J288" s="62">
        <v>11.4</v>
      </c>
      <c r="K288" s="48">
        <f t="shared" si="18"/>
        <v>0.507422402159244</v>
      </c>
      <c r="L288" s="61">
        <f t="shared" si="19"/>
        <v>5.78461538461539</v>
      </c>
      <c r="M288" s="46">
        <f t="shared" si="20"/>
        <v>146</v>
      </c>
      <c r="N288" s="37"/>
      <c r="O288" s="37"/>
      <c r="P288" s="37"/>
      <c r="Q288" s="13"/>
      <c r="R288" s="16"/>
      <c r="U288" s="33"/>
      <c r="V288" s="14"/>
    </row>
    <row r="289" s="28" customFormat="1" hidden="1" customHeight="1" outlineLevel="2" spans="1:22">
      <c r="A289" s="40">
        <v>46020</v>
      </c>
      <c r="B289" s="37">
        <v>46026</v>
      </c>
      <c r="C289" s="37"/>
      <c r="D289" s="14">
        <v>5.5</v>
      </c>
      <c r="E289" s="14">
        <v>0</v>
      </c>
      <c r="F289" s="46">
        <v>2</v>
      </c>
      <c r="G289" s="46"/>
      <c r="H289" s="60">
        <f t="shared" si="17"/>
        <v>5.9</v>
      </c>
      <c r="I289" s="47">
        <v>5</v>
      </c>
      <c r="J289" s="62">
        <v>11.4</v>
      </c>
      <c r="K289" s="48">
        <f t="shared" si="18"/>
        <v>0.482456140350877</v>
      </c>
      <c r="L289" s="61">
        <f t="shared" si="19"/>
        <v>5.5</v>
      </c>
      <c r="M289" s="46">
        <f t="shared" si="20"/>
        <v>29.5</v>
      </c>
      <c r="N289" s="37"/>
      <c r="O289" s="37"/>
      <c r="P289" s="37"/>
      <c r="Q289" s="13" t="s">
        <v>22</v>
      </c>
      <c r="R289" s="16"/>
      <c r="U289" s="33"/>
      <c r="V289" s="14"/>
    </row>
    <row r="290" s="28" customFormat="1" hidden="1" customHeight="1" outlineLevel="2" spans="1:22">
      <c r="A290" s="40">
        <v>46020</v>
      </c>
      <c r="B290" s="37">
        <v>46030</v>
      </c>
      <c r="C290" s="37"/>
      <c r="D290" s="14">
        <v>5.5</v>
      </c>
      <c r="E290" s="14">
        <v>0</v>
      </c>
      <c r="F290" s="46">
        <v>2</v>
      </c>
      <c r="G290" s="46"/>
      <c r="H290" s="60">
        <f t="shared" si="17"/>
        <v>5.63333333333333</v>
      </c>
      <c r="I290" s="47">
        <v>15</v>
      </c>
      <c r="J290" s="62">
        <v>11.4</v>
      </c>
      <c r="K290" s="48">
        <f t="shared" si="18"/>
        <v>0.505847953216374</v>
      </c>
      <c r="L290" s="61">
        <f t="shared" si="19"/>
        <v>5.76666666666667</v>
      </c>
      <c r="M290" s="46">
        <f t="shared" si="20"/>
        <v>84.5</v>
      </c>
      <c r="N290" s="37"/>
      <c r="O290" s="37"/>
      <c r="P290" s="37"/>
      <c r="Q290" s="13"/>
      <c r="R290" s="16"/>
      <c r="U290" s="33"/>
      <c r="V290" s="14"/>
    </row>
    <row r="291" s="28" customFormat="1" hidden="1" customHeight="1" outlineLevel="2" spans="1:22">
      <c r="A291" s="40">
        <v>46050</v>
      </c>
      <c r="B291" s="40">
        <v>46055</v>
      </c>
      <c r="C291" s="37"/>
      <c r="D291" s="14">
        <v>5.5</v>
      </c>
      <c r="E291" s="14">
        <v>0</v>
      </c>
      <c r="F291" s="46">
        <v>1</v>
      </c>
      <c r="G291" s="46"/>
      <c r="H291" s="60">
        <f t="shared" si="17"/>
        <v>5.54545454545455</v>
      </c>
      <c r="I291" s="47">
        <v>22</v>
      </c>
      <c r="J291" s="62">
        <v>11.4</v>
      </c>
      <c r="K291" s="48">
        <f t="shared" si="18"/>
        <v>0.513556618819777</v>
      </c>
      <c r="L291" s="61">
        <f t="shared" si="19"/>
        <v>5.85454545454545</v>
      </c>
      <c r="M291" s="46">
        <f t="shared" si="20"/>
        <v>122</v>
      </c>
      <c r="N291" s="37"/>
      <c r="O291" s="37"/>
      <c r="P291" s="37"/>
      <c r="Q291" s="13"/>
      <c r="R291" s="16"/>
      <c r="U291" s="33"/>
      <c r="V291" s="14"/>
    </row>
    <row r="292" s="28" customFormat="1" hidden="1" customHeight="1" outlineLevel="2" spans="1:22">
      <c r="A292" s="40">
        <v>46061</v>
      </c>
      <c r="B292" s="40">
        <v>46075</v>
      </c>
      <c r="C292" s="37"/>
      <c r="D292" s="14">
        <v>5.5</v>
      </c>
      <c r="E292" s="14">
        <v>0</v>
      </c>
      <c r="F292" s="46">
        <v>2</v>
      </c>
      <c r="G292" s="46"/>
      <c r="H292" s="60">
        <f t="shared" si="17"/>
        <v>5.57692307692308</v>
      </c>
      <c r="I292" s="47">
        <v>26</v>
      </c>
      <c r="J292" s="62">
        <v>11.4</v>
      </c>
      <c r="K292" s="48">
        <f t="shared" si="18"/>
        <v>0.510796221322537</v>
      </c>
      <c r="L292" s="61">
        <f t="shared" si="19"/>
        <v>5.82307692307692</v>
      </c>
      <c r="M292" s="46">
        <f t="shared" si="20"/>
        <v>145</v>
      </c>
      <c r="N292" s="37"/>
      <c r="O292" s="37"/>
      <c r="P292" s="37"/>
      <c r="Q292" s="13"/>
      <c r="R292" s="16"/>
      <c r="U292" s="33"/>
      <c r="V292" s="14"/>
    </row>
    <row r="293" s="28" customFormat="1" hidden="1" customHeight="1" outlineLevel="2" spans="1:22">
      <c r="A293" s="40">
        <v>46079</v>
      </c>
      <c r="B293" s="40">
        <v>46092</v>
      </c>
      <c r="C293" s="37"/>
      <c r="D293" s="14">
        <v>5.5</v>
      </c>
      <c r="E293" s="14">
        <v>0</v>
      </c>
      <c r="F293" s="46">
        <v>2</v>
      </c>
      <c r="G293" s="46"/>
      <c r="H293" s="60">
        <f t="shared" si="17"/>
        <v>5.59090909090909</v>
      </c>
      <c r="I293" s="47">
        <v>22</v>
      </c>
      <c r="J293" s="62">
        <v>11.4</v>
      </c>
      <c r="K293" s="48">
        <f t="shared" si="18"/>
        <v>0.509569377990431</v>
      </c>
      <c r="L293" s="61">
        <f t="shared" si="19"/>
        <v>5.80909090909091</v>
      </c>
      <c r="M293" s="46">
        <f t="shared" si="20"/>
        <v>123</v>
      </c>
      <c r="N293" s="37"/>
      <c r="O293" s="37"/>
      <c r="P293" s="37"/>
      <c r="Q293" s="13"/>
      <c r="R293" s="16"/>
      <c r="U293" s="33"/>
      <c r="V293" s="14"/>
    </row>
    <row r="294" s="28" customFormat="1" hidden="1" customHeight="1" outlineLevel="2" spans="1:22">
      <c r="A294" s="40">
        <v>46091</v>
      </c>
      <c r="B294" s="37">
        <v>46094</v>
      </c>
      <c r="C294" s="37"/>
      <c r="D294" s="14">
        <v>5.5</v>
      </c>
      <c r="E294" s="14">
        <v>0</v>
      </c>
      <c r="F294" s="46">
        <v>2</v>
      </c>
      <c r="G294" s="46"/>
      <c r="H294" s="60">
        <f t="shared" si="17"/>
        <v>5.58333333333333</v>
      </c>
      <c r="I294" s="47">
        <v>24</v>
      </c>
      <c r="J294" s="62">
        <v>11.4</v>
      </c>
      <c r="K294" s="48">
        <f t="shared" si="18"/>
        <v>0.510233918128655</v>
      </c>
      <c r="L294" s="61">
        <f t="shared" si="19"/>
        <v>5.81666666666667</v>
      </c>
      <c r="M294" s="46">
        <f t="shared" si="20"/>
        <v>134</v>
      </c>
      <c r="N294" s="37"/>
      <c r="O294" s="37"/>
      <c r="P294" s="37"/>
      <c r="Q294" s="13"/>
      <c r="R294" s="16"/>
      <c r="U294" s="33"/>
      <c r="V294" s="14"/>
    </row>
    <row r="295" s="28" customFormat="1" hidden="1" customHeight="1" outlineLevel="2" spans="1:22">
      <c r="A295" s="40">
        <v>46097</v>
      </c>
      <c r="B295" s="37">
        <v>46109</v>
      </c>
      <c r="C295" s="37"/>
      <c r="D295" s="14">
        <v>5.5</v>
      </c>
      <c r="E295" s="14">
        <v>0</v>
      </c>
      <c r="F295" s="46">
        <v>2</v>
      </c>
      <c r="G295" s="46"/>
      <c r="H295" s="60">
        <f t="shared" ref="H295:H310" si="21">D295+(E295/I295)+(F295/I295)</f>
        <v>5.6</v>
      </c>
      <c r="I295" s="47">
        <v>20</v>
      </c>
      <c r="J295" s="62">
        <v>11.4</v>
      </c>
      <c r="K295" s="48">
        <f t="shared" ref="K295:K310" si="22">(J295-H295)/J295</f>
        <v>0.508771929824561</v>
      </c>
      <c r="L295" s="61">
        <f t="shared" ref="L295:L310" si="23">J295-H295</f>
        <v>5.8</v>
      </c>
      <c r="M295" s="46">
        <f t="shared" ref="M295:M310" si="24">D295*I295+E295+F295</f>
        <v>112</v>
      </c>
      <c r="N295" s="37"/>
      <c r="O295" s="37"/>
      <c r="P295" s="37"/>
      <c r="Q295" s="13"/>
      <c r="R295" s="16"/>
      <c r="U295" s="33"/>
      <c r="V295" s="14"/>
    </row>
    <row r="296" s="28" customFormat="1" hidden="1" customHeight="1" outlineLevel="2" spans="1:22">
      <c r="A296" s="40">
        <v>46097</v>
      </c>
      <c r="B296" s="40">
        <v>46129</v>
      </c>
      <c r="C296" s="37"/>
      <c r="D296" s="14">
        <v>5.5</v>
      </c>
      <c r="E296" s="14">
        <v>0</v>
      </c>
      <c r="F296" s="46">
        <v>1</v>
      </c>
      <c r="G296" s="46"/>
      <c r="H296" s="60">
        <f t="shared" si="21"/>
        <v>5.64285714285714</v>
      </c>
      <c r="I296" s="47">
        <v>7</v>
      </c>
      <c r="J296" s="62">
        <v>11.4</v>
      </c>
      <c r="K296" s="48">
        <f t="shared" si="22"/>
        <v>0.505012531328321</v>
      </c>
      <c r="L296" s="61">
        <f t="shared" si="23"/>
        <v>5.75714285714286</v>
      </c>
      <c r="M296" s="46">
        <f t="shared" si="24"/>
        <v>39.5</v>
      </c>
      <c r="N296" s="37"/>
      <c r="O296" s="37"/>
      <c r="P296" s="37"/>
      <c r="Q296" s="13" t="s">
        <v>33</v>
      </c>
      <c r="R296" s="16"/>
      <c r="U296" s="33"/>
      <c r="V296" s="14"/>
    </row>
    <row r="297" s="28" customFormat="1" hidden="1" customHeight="1" outlineLevel="2" spans="1:22">
      <c r="A297" s="40">
        <v>46109</v>
      </c>
      <c r="B297" s="37">
        <v>46129</v>
      </c>
      <c r="C297" s="37"/>
      <c r="D297" s="14">
        <v>5.5</v>
      </c>
      <c r="E297" s="14">
        <v>0</v>
      </c>
      <c r="F297" s="46">
        <v>1</v>
      </c>
      <c r="G297" s="46"/>
      <c r="H297" s="60">
        <f t="shared" si="21"/>
        <v>5.64285714285714</v>
      </c>
      <c r="I297" s="47">
        <v>7</v>
      </c>
      <c r="J297" s="62">
        <v>11.4</v>
      </c>
      <c r="K297" s="48">
        <f t="shared" si="22"/>
        <v>0.505012531328321</v>
      </c>
      <c r="L297" s="61">
        <f t="shared" si="23"/>
        <v>5.75714285714286</v>
      </c>
      <c r="M297" s="46">
        <f t="shared" si="24"/>
        <v>39.5</v>
      </c>
      <c r="N297" s="37"/>
      <c r="O297" s="37"/>
      <c r="P297" s="37"/>
      <c r="Q297" s="13"/>
      <c r="R297" s="16"/>
      <c r="U297" s="33"/>
      <c r="V297" s="14"/>
    </row>
    <row r="298" s="28" customFormat="1" hidden="1" customHeight="1" outlineLevel="2" spans="1:22">
      <c r="A298" s="40">
        <v>46113</v>
      </c>
      <c r="B298" s="37">
        <v>46130</v>
      </c>
      <c r="C298" s="37"/>
      <c r="D298" s="14">
        <v>5.5</v>
      </c>
      <c r="E298" s="14">
        <v>0</v>
      </c>
      <c r="F298" s="46">
        <v>2</v>
      </c>
      <c r="G298" s="46"/>
      <c r="H298" s="60">
        <f t="shared" si="21"/>
        <v>5.61764705882353</v>
      </c>
      <c r="I298" s="47">
        <v>17</v>
      </c>
      <c r="J298" s="62">
        <v>11.4</v>
      </c>
      <c r="K298" s="48">
        <f t="shared" si="22"/>
        <v>0.507223942208462</v>
      </c>
      <c r="L298" s="61">
        <f t="shared" si="23"/>
        <v>5.78235294117647</v>
      </c>
      <c r="M298" s="46">
        <f t="shared" si="24"/>
        <v>95.5</v>
      </c>
      <c r="N298" s="37"/>
      <c r="O298" s="37"/>
      <c r="P298" s="37"/>
      <c r="Q298" s="13"/>
      <c r="R298" s="16"/>
      <c r="U298" s="33"/>
      <c r="V298" s="14"/>
    </row>
    <row r="299" s="28" customFormat="1" hidden="1" customHeight="1" outlineLevel="2" spans="1:22">
      <c r="A299" s="40">
        <v>46113</v>
      </c>
      <c r="B299" s="37">
        <v>46166</v>
      </c>
      <c r="C299" s="37"/>
      <c r="D299" s="14">
        <v>5.5</v>
      </c>
      <c r="E299" s="14">
        <v>0</v>
      </c>
      <c r="F299" s="46">
        <v>0</v>
      </c>
      <c r="G299" s="46"/>
      <c r="H299" s="60">
        <f t="shared" si="21"/>
        <v>5.5</v>
      </c>
      <c r="I299" s="47">
        <v>1</v>
      </c>
      <c r="J299" s="62">
        <v>11.4</v>
      </c>
      <c r="K299" s="48">
        <f t="shared" si="22"/>
        <v>0.517543859649123</v>
      </c>
      <c r="L299" s="61">
        <f t="shared" si="23"/>
        <v>5.9</v>
      </c>
      <c r="M299" s="46">
        <f t="shared" si="24"/>
        <v>5.5</v>
      </c>
      <c r="N299" s="37"/>
      <c r="O299" s="37"/>
      <c r="P299" s="37"/>
      <c r="Q299" s="13"/>
      <c r="R299" s="16"/>
      <c r="U299" s="33"/>
      <c r="V299" s="14"/>
    </row>
    <row r="300" s="28" customFormat="1" hidden="1" customHeight="1" outlineLevel="2" spans="1:22">
      <c r="A300" s="40">
        <v>46158</v>
      </c>
      <c r="B300" s="37">
        <v>46160</v>
      </c>
      <c r="C300" s="37"/>
      <c r="D300" s="14">
        <v>5.5</v>
      </c>
      <c r="E300" s="14">
        <v>0</v>
      </c>
      <c r="F300" s="46">
        <v>2</v>
      </c>
      <c r="G300" s="46"/>
      <c r="H300" s="60">
        <f t="shared" si="21"/>
        <v>5.61111111111111</v>
      </c>
      <c r="I300" s="47">
        <v>18</v>
      </c>
      <c r="J300" s="62">
        <v>11.4</v>
      </c>
      <c r="K300" s="48">
        <f t="shared" si="22"/>
        <v>0.507797270955166</v>
      </c>
      <c r="L300" s="61">
        <f t="shared" si="23"/>
        <v>5.78888888888889</v>
      </c>
      <c r="M300" s="46">
        <f t="shared" si="24"/>
        <v>101</v>
      </c>
      <c r="N300" s="37"/>
      <c r="O300" s="37"/>
      <c r="P300" s="37"/>
      <c r="Q300" s="13"/>
      <c r="R300" s="16"/>
      <c r="U300" s="33"/>
      <c r="V300" s="14"/>
    </row>
    <row r="301" s="28" customFormat="1" hidden="1" customHeight="1" outlineLevel="2" spans="1:22">
      <c r="A301" s="40">
        <v>46164</v>
      </c>
      <c r="B301" s="40">
        <v>46170</v>
      </c>
      <c r="C301" s="37"/>
      <c r="D301" s="14">
        <v>5.5</v>
      </c>
      <c r="E301" s="14">
        <v>0</v>
      </c>
      <c r="F301" s="46">
        <v>2</v>
      </c>
      <c r="G301" s="46"/>
      <c r="H301" s="60">
        <f t="shared" si="21"/>
        <v>5.61111111111111</v>
      </c>
      <c r="I301" s="47">
        <v>18</v>
      </c>
      <c r="J301" s="62">
        <v>11.4</v>
      </c>
      <c r="K301" s="48">
        <f t="shared" si="22"/>
        <v>0.507797270955166</v>
      </c>
      <c r="L301" s="61">
        <f t="shared" si="23"/>
        <v>5.78888888888889</v>
      </c>
      <c r="M301" s="46">
        <f t="shared" si="24"/>
        <v>101</v>
      </c>
      <c r="N301" s="37"/>
      <c r="O301" s="37"/>
      <c r="P301" s="37"/>
      <c r="Q301" s="13"/>
      <c r="R301" s="16"/>
      <c r="U301" s="33"/>
      <c r="V301" s="14"/>
    </row>
    <row r="302" s="28" customFormat="1" hidden="1" customHeight="1" outlineLevel="2" spans="1:22">
      <c r="A302" s="40">
        <v>46207</v>
      </c>
      <c r="B302" s="37">
        <v>46211</v>
      </c>
      <c r="C302" s="37"/>
      <c r="D302" s="14">
        <v>5.5</v>
      </c>
      <c r="E302" s="14">
        <v>0</v>
      </c>
      <c r="F302" s="46">
        <v>2</v>
      </c>
      <c r="G302" s="46"/>
      <c r="H302" s="60">
        <f t="shared" si="21"/>
        <v>5.61111111111111</v>
      </c>
      <c r="I302" s="47">
        <v>18</v>
      </c>
      <c r="J302" s="62">
        <v>11.4</v>
      </c>
      <c r="K302" s="48">
        <f t="shared" si="22"/>
        <v>0.507797270955166</v>
      </c>
      <c r="L302" s="61">
        <f t="shared" si="23"/>
        <v>5.78888888888889</v>
      </c>
      <c r="M302" s="46">
        <f t="shared" si="24"/>
        <v>101</v>
      </c>
      <c r="N302" s="37"/>
      <c r="O302" s="37"/>
      <c r="P302" s="37"/>
      <c r="Q302" s="13"/>
      <c r="R302" s="16"/>
      <c r="U302" s="33"/>
      <c r="V302" s="14"/>
    </row>
    <row r="303" s="28" customFormat="1" hidden="1" customHeight="1" outlineLevel="2" spans="1:22">
      <c r="A303" s="40">
        <v>46214</v>
      </c>
      <c r="B303" s="37">
        <v>46218</v>
      </c>
      <c r="C303" s="37"/>
      <c r="D303" s="14">
        <v>5.5</v>
      </c>
      <c r="E303" s="14">
        <v>0</v>
      </c>
      <c r="F303" s="46">
        <v>3</v>
      </c>
      <c r="G303" s="46"/>
      <c r="H303" s="60">
        <f t="shared" si="21"/>
        <v>5.59677419354839</v>
      </c>
      <c r="I303" s="47">
        <v>31</v>
      </c>
      <c r="J303" s="62">
        <v>11.4</v>
      </c>
      <c r="K303" s="48">
        <f t="shared" si="22"/>
        <v>0.509054895302773</v>
      </c>
      <c r="L303" s="61">
        <f t="shared" si="23"/>
        <v>5.80322580645161</v>
      </c>
      <c r="M303" s="46">
        <f t="shared" si="24"/>
        <v>173.5</v>
      </c>
      <c r="N303" s="37"/>
      <c r="O303" s="37"/>
      <c r="P303" s="37"/>
      <c r="Q303" s="13"/>
      <c r="R303" s="16"/>
      <c r="U303" s="33"/>
      <c r="V303" s="14"/>
    </row>
    <row r="304" s="28" customFormat="1" hidden="1" customHeight="1" outlineLevel="2" spans="1:22">
      <c r="A304" s="40">
        <v>46224</v>
      </c>
      <c r="B304" s="40">
        <v>46227</v>
      </c>
      <c r="C304" s="37"/>
      <c r="D304" s="14">
        <v>5.5</v>
      </c>
      <c r="E304" s="14">
        <v>0</v>
      </c>
      <c r="F304" s="46">
        <v>2</v>
      </c>
      <c r="G304" s="46"/>
      <c r="H304" s="60">
        <f t="shared" si="21"/>
        <v>5.60526315789474</v>
      </c>
      <c r="I304" s="47">
        <v>19</v>
      </c>
      <c r="J304" s="62">
        <v>11.4</v>
      </c>
      <c r="K304" s="48">
        <f t="shared" si="22"/>
        <v>0.508310249307479</v>
      </c>
      <c r="L304" s="61">
        <f t="shared" si="23"/>
        <v>5.79473684210526</v>
      </c>
      <c r="M304" s="46">
        <f t="shared" si="24"/>
        <v>106.5</v>
      </c>
      <c r="N304" s="37"/>
      <c r="O304" s="37"/>
      <c r="P304" s="37"/>
      <c r="Q304" s="13"/>
      <c r="R304" s="16"/>
      <c r="U304" s="33"/>
      <c r="V304" s="14"/>
    </row>
    <row r="305" s="28" customFormat="1" hidden="1" customHeight="1" outlineLevel="1" spans="1:22">
      <c r="A305" s="40">
        <v>46231</v>
      </c>
      <c r="B305" s="40">
        <v>46235</v>
      </c>
      <c r="C305" s="37"/>
      <c r="D305" s="14">
        <v>5.5</v>
      </c>
      <c r="E305" s="14">
        <v>0</v>
      </c>
      <c r="F305" s="46">
        <v>2</v>
      </c>
      <c r="G305" s="46"/>
      <c r="H305" s="60">
        <f t="shared" si="21"/>
        <v>5.6</v>
      </c>
      <c r="I305" s="47">
        <v>20</v>
      </c>
      <c r="J305" s="62">
        <v>11.4</v>
      </c>
      <c r="K305" s="48">
        <f t="shared" si="22"/>
        <v>0.508771929824561</v>
      </c>
      <c r="L305" s="61">
        <f t="shared" si="23"/>
        <v>5.8</v>
      </c>
      <c r="M305" s="46">
        <f t="shared" si="24"/>
        <v>112</v>
      </c>
      <c r="N305" s="37"/>
      <c r="O305" s="37"/>
      <c r="P305" s="37"/>
      <c r="Q305" s="13"/>
      <c r="R305" s="16"/>
      <c r="U305" s="33"/>
      <c r="V305" s="14"/>
    </row>
    <row r="306" s="28" customFormat="1" hidden="1" customHeight="1" outlineLevel="1" spans="1:22">
      <c r="A306" s="40">
        <v>46237</v>
      </c>
      <c r="B306" s="40">
        <v>46242</v>
      </c>
      <c r="C306" s="37"/>
      <c r="D306" s="14">
        <v>5.5</v>
      </c>
      <c r="E306" s="14">
        <v>0</v>
      </c>
      <c r="F306" s="46">
        <v>2</v>
      </c>
      <c r="G306" s="46"/>
      <c r="H306" s="60">
        <f t="shared" si="21"/>
        <v>5.57692307692308</v>
      </c>
      <c r="I306" s="47">
        <v>26</v>
      </c>
      <c r="J306" s="62">
        <v>11.4</v>
      </c>
      <c r="K306" s="48">
        <f t="shared" si="22"/>
        <v>0.510796221322537</v>
      </c>
      <c r="L306" s="61">
        <f t="shared" si="23"/>
        <v>5.82307692307692</v>
      </c>
      <c r="M306" s="46">
        <f t="shared" si="24"/>
        <v>145</v>
      </c>
      <c r="N306" s="37"/>
      <c r="O306" s="37"/>
      <c r="P306" s="37"/>
      <c r="Q306" s="13"/>
      <c r="R306" s="16"/>
      <c r="U306" s="33"/>
      <c r="V306" s="14"/>
    </row>
    <row r="307" s="28" customFormat="1" hidden="1" customHeight="1" outlineLevel="1" spans="1:22">
      <c r="A307" s="40">
        <v>46253</v>
      </c>
      <c r="B307" s="40">
        <v>46256</v>
      </c>
      <c r="C307" s="37"/>
      <c r="D307" s="14">
        <v>5.5</v>
      </c>
      <c r="E307" s="14">
        <v>0</v>
      </c>
      <c r="F307" s="46">
        <v>2</v>
      </c>
      <c r="G307" s="46"/>
      <c r="H307" s="60">
        <f t="shared" si="21"/>
        <v>5.59523809523809</v>
      </c>
      <c r="I307" s="47">
        <v>21</v>
      </c>
      <c r="J307" s="62">
        <v>11.4</v>
      </c>
      <c r="K307" s="48">
        <f t="shared" si="22"/>
        <v>0.509189640768588</v>
      </c>
      <c r="L307" s="61">
        <f t="shared" si="23"/>
        <v>5.80476190476191</v>
      </c>
      <c r="M307" s="46">
        <f t="shared" si="24"/>
        <v>117.5</v>
      </c>
      <c r="N307" s="37"/>
      <c r="O307" s="37"/>
      <c r="P307" s="37"/>
      <c r="Q307" s="13"/>
      <c r="R307" s="16"/>
      <c r="U307" s="33"/>
      <c r="V307" s="14"/>
    </row>
    <row r="308" s="28" customFormat="1" hidden="1" customHeight="1" outlineLevel="1" spans="1:22">
      <c r="A308" s="40">
        <v>46260</v>
      </c>
      <c r="B308" s="40">
        <v>46268</v>
      </c>
      <c r="C308" s="37"/>
      <c r="D308" s="14">
        <v>5.5</v>
      </c>
      <c r="E308" s="14">
        <v>0</v>
      </c>
      <c r="F308" s="46">
        <v>2</v>
      </c>
      <c r="G308" s="46"/>
      <c r="H308" s="60">
        <f t="shared" si="21"/>
        <v>5.61111111111111</v>
      </c>
      <c r="I308" s="47">
        <v>18</v>
      </c>
      <c r="J308" s="62">
        <v>11.4</v>
      </c>
      <c r="K308" s="48">
        <f t="shared" si="22"/>
        <v>0.507797270955166</v>
      </c>
      <c r="L308" s="61">
        <f t="shared" si="23"/>
        <v>5.78888888888889</v>
      </c>
      <c r="M308" s="46">
        <f t="shared" si="24"/>
        <v>101</v>
      </c>
      <c r="N308" s="37"/>
      <c r="O308" s="37"/>
      <c r="P308" s="37"/>
      <c r="Q308" s="13"/>
      <c r="R308" s="16"/>
      <c r="U308" s="33"/>
      <c r="V308" s="14"/>
    </row>
    <row r="309" s="28" customFormat="1" hidden="1" customHeight="1" outlineLevel="1" spans="1:22">
      <c r="A309" s="40">
        <v>46260</v>
      </c>
      <c r="B309" s="40"/>
      <c r="C309" s="37"/>
      <c r="D309" s="14">
        <v>5.5</v>
      </c>
      <c r="E309" s="14">
        <v>0</v>
      </c>
      <c r="F309" s="46"/>
      <c r="G309" s="46"/>
      <c r="H309" s="60">
        <f t="shared" si="21"/>
        <v>5.5</v>
      </c>
      <c r="I309" s="47">
        <v>5</v>
      </c>
      <c r="J309" s="62">
        <v>11.4</v>
      </c>
      <c r="K309" s="48">
        <f t="shared" si="22"/>
        <v>0.517543859649123</v>
      </c>
      <c r="L309" s="61">
        <f t="shared" si="23"/>
        <v>5.9</v>
      </c>
      <c r="M309" s="46">
        <f t="shared" si="24"/>
        <v>27.5</v>
      </c>
      <c r="N309" s="37"/>
      <c r="O309" s="37"/>
      <c r="P309" s="37"/>
      <c r="Q309" s="13"/>
      <c r="R309" s="16"/>
      <c r="U309" s="33"/>
      <c r="V309" s="14"/>
    </row>
    <row r="310" s="28" customFormat="1" hidden="1" customHeight="1" outlineLevel="1" spans="1:22">
      <c r="A310" s="40">
        <v>46270</v>
      </c>
      <c r="B310" s="40"/>
      <c r="C310" s="37"/>
      <c r="D310" s="14">
        <v>5.5</v>
      </c>
      <c r="E310" s="14">
        <v>0</v>
      </c>
      <c r="F310" s="46"/>
      <c r="G310" s="46"/>
      <c r="H310" s="60">
        <f t="shared" si="21"/>
        <v>5.5</v>
      </c>
      <c r="I310" s="47">
        <v>9</v>
      </c>
      <c r="J310" s="62">
        <v>11.4</v>
      </c>
      <c r="K310" s="48">
        <f t="shared" si="22"/>
        <v>0.517543859649123</v>
      </c>
      <c r="L310" s="61">
        <f t="shared" si="23"/>
        <v>5.9</v>
      </c>
      <c r="M310" s="46">
        <f t="shared" si="24"/>
        <v>49.5</v>
      </c>
      <c r="N310" s="37"/>
      <c r="O310" s="37"/>
      <c r="P310" s="37"/>
      <c r="Q310" s="13"/>
      <c r="R310" s="16"/>
      <c r="U310" s="33"/>
      <c r="V310" s="14"/>
    </row>
    <row r="311" s="28" customFormat="1" hidden="1" customHeight="1" outlineLevel="1" spans="1:22">
      <c r="A311" s="40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13"/>
      <c r="R311" s="16"/>
      <c r="U311" s="33"/>
      <c r="V311" s="14"/>
    </row>
    <row r="312" s="28" customFormat="1" hidden="1" customHeight="1" outlineLevel="1" collapsed="1" spans="1:22">
      <c r="A312" s="40" t="s">
        <v>34</v>
      </c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13"/>
      <c r="R312" s="16"/>
      <c r="U312" s="33"/>
      <c r="V312" s="14"/>
    </row>
    <row r="313" s="28" customFormat="1" hidden="1" customHeight="1" outlineLevel="2" spans="1:22">
      <c r="A313" s="24">
        <v>45691</v>
      </c>
      <c r="B313" s="24">
        <v>45696</v>
      </c>
      <c r="C313" s="16"/>
      <c r="D313" s="14">
        <v>5.5</v>
      </c>
      <c r="E313" s="14">
        <v>0</v>
      </c>
      <c r="F313" s="46">
        <v>3</v>
      </c>
      <c r="G313" s="46"/>
      <c r="H313" s="60">
        <f t="shared" ref="H313:H362" si="25">D313+(E313/I313)+(F313/I313)</f>
        <v>5.8</v>
      </c>
      <c r="I313" s="47">
        <v>10</v>
      </c>
      <c r="J313" s="62">
        <v>12</v>
      </c>
      <c r="K313" s="48">
        <f t="shared" ref="K313:K362" si="26">(J313-H313)/J313</f>
        <v>0.516666666666667</v>
      </c>
      <c r="L313" s="61">
        <f t="shared" ref="L313:L362" si="27">J313-H313</f>
        <v>6.2</v>
      </c>
      <c r="M313" s="46">
        <f t="shared" ref="M313:M362" si="28">D313*I313+E313+F313</f>
        <v>58</v>
      </c>
      <c r="O313" s="33"/>
      <c r="P313" s="33"/>
      <c r="Q313" s="13"/>
      <c r="R313" s="16"/>
      <c r="U313" s="33"/>
      <c r="V313" s="14"/>
    </row>
    <row r="314" s="28" customFormat="1" hidden="1" customHeight="1" outlineLevel="2" spans="1:22">
      <c r="A314" s="24">
        <v>45706</v>
      </c>
      <c r="B314" s="24">
        <v>45713</v>
      </c>
      <c r="C314" s="16"/>
      <c r="D314" s="14">
        <v>5.5</v>
      </c>
      <c r="E314" s="14">
        <v>0</v>
      </c>
      <c r="F314" s="46">
        <v>3</v>
      </c>
      <c r="G314" s="46"/>
      <c r="H314" s="60">
        <f t="shared" si="25"/>
        <v>5.65</v>
      </c>
      <c r="I314" s="47">
        <v>20</v>
      </c>
      <c r="J314" s="62">
        <v>12</v>
      </c>
      <c r="K314" s="48">
        <f t="shared" si="26"/>
        <v>0.529166666666667</v>
      </c>
      <c r="L314" s="61">
        <f t="shared" si="27"/>
        <v>6.35</v>
      </c>
      <c r="M314" s="46">
        <f t="shared" si="28"/>
        <v>113</v>
      </c>
      <c r="O314" s="33"/>
      <c r="P314" s="33"/>
      <c r="Q314" s="13"/>
      <c r="R314" s="16"/>
      <c r="U314" s="33"/>
      <c r="V314" s="14"/>
    </row>
    <row r="315" s="28" customFormat="1" hidden="1" customHeight="1" outlineLevel="2" spans="1:22">
      <c r="A315" s="24">
        <v>45728</v>
      </c>
      <c r="B315" s="24">
        <v>45735</v>
      </c>
      <c r="C315" s="16"/>
      <c r="D315" s="14">
        <v>5.5</v>
      </c>
      <c r="E315" s="14">
        <v>0</v>
      </c>
      <c r="F315" s="46">
        <v>4</v>
      </c>
      <c r="G315" s="46"/>
      <c r="H315" s="60">
        <f t="shared" si="25"/>
        <v>5.73529411764706</v>
      </c>
      <c r="I315" s="47">
        <v>17</v>
      </c>
      <c r="J315" s="62">
        <v>12</v>
      </c>
      <c r="K315" s="48">
        <f t="shared" si="26"/>
        <v>0.522058823529412</v>
      </c>
      <c r="L315" s="61">
        <f t="shared" si="27"/>
        <v>6.26470588235294</v>
      </c>
      <c r="M315" s="46">
        <f t="shared" si="28"/>
        <v>97.5</v>
      </c>
      <c r="O315" s="33"/>
      <c r="P315" s="33"/>
      <c r="Q315" s="13"/>
      <c r="R315" s="16"/>
      <c r="U315" s="33"/>
      <c r="V315" s="14"/>
    </row>
    <row r="316" s="28" customFormat="1" hidden="1" customHeight="1" outlineLevel="2" spans="1:22">
      <c r="A316" s="24">
        <v>45728</v>
      </c>
      <c r="B316" s="24">
        <v>45742</v>
      </c>
      <c r="C316" s="16"/>
      <c r="D316" s="14">
        <v>5.5</v>
      </c>
      <c r="E316" s="14">
        <v>0</v>
      </c>
      <c r="F316" s="46">
        <v>1</v>
      </c>
      <c r="G316" s="46"/>
      <c r="H316" s="60">
        <f t="shared" si="25"/>
        <v>5.83333333333333</v>
      </c>
      <c r="I316" s="47">
        <v>3</v>
      </c>
      <c r="J316" s="62">
        <v>12</v>
      </c>
      <c r="K316" s="48">
        <f t="shared" si="26"/>
        <v>0.513888888888889</v>
      </c>
      <c r="L316" s="61">
        <f t="shared" si="27"/>
        <v>6.16666666666667</v>
      </c>
      <c r="M316" s="46">
        <f t="shared" si="28"/>
        <v>17.5</v>
      </c>
      <c r="O316" s="33"/>
      <c r="P316" s="33"/>
      <c r="Q316" s="13"/>
      <c r="R316" s="16"/>
      <c r="U316" s="33"/>
      <c r="V316" s="14"/>
    </row>
    <row r="317" s="28" customFormat="1" hidden="1" customHeight="1" outlineLevel="2" spans="1:22">
      <c r="A317" s="24">
        <v>45742</v>
      </c>
      <c r="B317" s="24">
        <v>45746</v>
      </c>
      <c r="C317" s="16"/>
      <c r="D317" s="14">
        <v>5.5</v>
      </c>
      <c r="E317" s="14">
        <v>0</v>
      </c>
      <c r="F317" s="46">
        <v>1</v>
      </c>
      <c r="G317" s="46"/>
      <c r="H317" s="60">
        <f t="shared" si="25"/>
        <v>5.6</v>
      </c>
      <c r="I317" s="47">
        <v>10</v>
      </c>
      <c r="J317" s="62">
        <v>12</v>
      </c>
      <c r="K317" s="48">
        <f t="shared" si="26"/>
        <v>0.533333333333333</v>
      </c>
      <c r="L317" s="61">
        <f t="shared" si="27"/>
        <v>6.4</v>
      </c>
      <c r="M317" s="46">
        <f t="shared" si="28"/>
        <v>56</v>
      </c>
      <c r="O317" s="33"/>
      <c r="P317" s="33"/>
      <c r="Q317" s="13"/>
      <c r="R317" s="16"/>
      <c r="U317" s="33"/>
      <c r="V317" s="14"/>
    </row>
    <row r="318" s="28" customFormat="1" hidden="1" customHeight="1" outlineLevel="2" spans="1:22">
      <c r="A318" s="24">
        <v>45763</v>
      </c>
      <c r="B318" s="24">
        <v>45769</v>
      </c>
      <c r="C318" s="16"/>
      <c r="D318" s="14">
        <v>5.5</v>
      </c>
      <c r="E318" s="14">
        <v>0</v>
      </c>
      <c r="F318" s="46">
        <v>1</v>
      </c>
      <c r="G318" s="46"/>
      <c r="H318" s="60">
        <f t="shared" si="25"/>
        <v>5.64285714285714</v>
      </c>
      <c r="I318" s="47">
        <v>7</v>
      </c>
      <c r="J318" s="62">
        <v>12</v>
      </c>
      <c r="K318" s="48">
        <f t="shared" si="26"/>
        <v>0.529761904761905</v>
      </c>
      <c r="L318" s="61">
        <f t="shared" si="27"/>
        <v>6.35714285714286</v>
      </c>
      <c r="M318" s="46">
        <f t="shared" si="28"/>
        <v>39.5</v>
      </c>
      <c r="O318" s="33"/>
      <c r="P318" s="33"/>
      <c r="Q318" s="13"/>
      <c r="R318" s="16"/>
      <c r="U318" s="33"/>
      <c r="V318" s="14"/>
    </row>
    <row r="319" s="28" customFormat="1" hidden="1" customHeight="1" outlineLevel="2" spans="1:22">
      <c r="A319" s="24">
        <v>45778</v>
      </c>
      <c r="B319" s="24">
        <v>45781</v>
      </c>
      <c r="C319" s="16"/>
      <c r="D319" s="14">
        <v>5.5</v>
      </c>
      <c r="E319" s="14">
        <v>0</v>
      </c>
      <c r="F319" s="46">
        <v>1</v>
      </c>
      <c r="G319" s="46"/>
      <c r="H319" s="60">
        <f t="shared" si="25"/>
        <v>5.7</v>
      </c>
      <c r="I319" s="47">
        <v>5</v>
      </c>
      <c r="J319" s="62">
        <v>12</v>
      </c>
      <c r="K319" s="48">
        <f t="shared" si="26"/>
        <v>0.525</v>
      </c>
      <c r="L319" s="61">
        <f t="shared" si="27"/>
        <v>6.3</v>
      </c>
      <c r="M319" s="46">
        <f t="shared" si="28"/>
        <v>28.5</v>
      </c>
      <c r="O319" s="33"/>
      <c r="P319" s="33"/>
      <c r="Q319" s="13"/>
      <c r="R319" s="16"/>
      <c r="U319" s="33"/>
      <c r="V319" s="14"/>
    </row>
    <row r="320" s="28" customFormat="1" hidden="1" customHeight="1" outlineLevel="2" spans="1:22">
      <c r="A320" s="24">
        <v>45778</v>
      </c>
      <c r="B320" s="24">
        <v>45791</v>
      </c>
      <c r="C320" s="16"/>
      <c r="D320" s="14">
        <v>5.5</v>
      </c>
      <c r="E320" s="14">
        <v>0</v>
      </c>
      <c r="F320" s="46">
        <v>1</v>
      </c>
      <c r="G320" s="46"/>
      <c r="H320" s="60">
        <f t="shared" si="25"/>
        <v>5.66666666666667</v>
      </c>
      <c r="I320" s="47">
        <v>6</v>
      </c>
      <c r="J320" s="62">
        <v>12</v>
      </c>
      <c r="K320" s="48">
        <f t="shared" si="26"/>
        <v>0.527777777777778</v>
      </c>
      <c r="L320" s="61">
        <f t="shared" si="27"/>
        <v>6.33333333333333</v>
      </c>
      <c r="M320" s="46">
        <f t="shared" si="28"/>
        <v>34</v>
      </c>
      <c r="O320" s="33"/>
      <c r="P320" s="33"/>
      <c r="Q320" s="13"/>
      <c r="R320" s="16"/>
      <c r="U320" s="33"/>
      <c r="V320" s="14"/>
    </row>
    <row r="321" s="28" customFormat="1" hidden="1" customHeight="1" outlineLevel="2" spans="1:22">
      <c r="A321" s="40">
        <v>45788</v>
      </c>
      <c r="B321" s="24">
        <v>45798</v>
      </c>
      <c r="C321" s="16"/>
      <c r="D321" s="14">
        <v>5.5</v>
      </c>
      <c r="E321" s="14">
        <v>0</v>
      </c>
      <c r="F321" s="46">
        <v>1</v>
      </c>
      <c r="G321" s="46"/>
      <c r="H321" s="60">
        <f t="shared" si="25"/>
        <v>5.83333333333333</v>
      </c>
      <c r="I321" s="47">
        <v>3</v>
      </c>
      <c r="J321" s="62">
        <v>12</v>
      </c>
      <c r="K321" s="48">
        <f t="shared" si="26"/>
        <v>0.513888888888889</v>
      </c>
      <c r="L321" s="61">
        <f t="shared" si="27"/>
        <v>6.16666666666667</v>
      </c>
      <c r="M321" s="46">
        <f t="shared" si="28"/>
        <v>17.5</v>
      </c>
      <c r="O321" s="33"/>
      <c r="P321" s="33"/>
      <c r="Q321" s="13"/>
      <c r="R321" s="16"/>
      <c r="U321" s="33"/>
      <c r="V321" s="14"/>
    </row>
    <row r="322" s="28" customFormat="1" hidden="1" customHeight="1" outlineLevel="2" spans="1:22">
      <c r="A322" s="40">
        <v>45788</v>
      </c>
      <c r="B322" s="24">
        <v>45803</v>
      </c>
      <c r="C322" s="16"/>
      <c r="D322" s="14">
        <v>5.5</v>
      </c>
      <c r="E322" s="14">
        <v>0</v>
      </c>
      <c r="F322" s="46">
        <v>0</v>
      </c>
      <c r="G322" s="46"/>
      <c r="H322" s="60">
        <f t="shared" si="25"/>
        <v>5.5</v>
      </c>
      <c r="I322" s="47">
        <v>2</v>
      </c>
      <c r="J322" s="62">
        <v>12</v>
      </c>
      <c r="K322" s="48">
        <f t="shared" si="26"/>
        <v>0.541666666666667</v>
      </c>
      <c r="L322" s="61">
        <f t="shared" si="27"/>
        <v>6.5</v>
      </c>
      <c r="M322" s="46">
        <f t="shared" si="28"/>
        <v>11</v>
      </c>
      <c r="O322" s="33"/>
      <c r="P322" s="33"/>
      <c r="Q322" s="13"/>
      <c r="R322" s="16"/>
      <c r="U322" s="33"/>
      <c r="V322" s="14"/>
    </row>
    <row r="323" s="28" customFormat="1" hidden="1" customHeight="1" outlineLevel="2" spans="1:22">
      <c r="A323" s="40">
        <v>45800</v>
      </c>
      <c r="B323" s="24">
        <v>45803</v>
      </c>
      <c r="C323" s="16"/>
      <c r="D323" s="14">
        <v>5.5</v>
      </c>
      <c r="E323" s="14">
        <v>0</v>
      </c>
      <c r="F323" s="46">
        <v>1</v>
      </c>
      <c r="G323" s="46"/>
      <c r="H323" s="60">
        <f t="shared" si="25"/>
        <v>5.6</v>
      </c>
      <c r="I323" s="47">
        <v>10</v>
      </c>
      <c r="J323" s="62">
        <v>12</v>
      </c>
      <c r="K323" s="48">
        <f t="shared" si="26"/>
        <v>0.533333333333333</v>
      </c>
      <c r="L323" s="61">
        <f t="shared" si="27"/>
        <v>6.4</v>
      </c>
      <c r="M323" s="46">
        <f t="shared" si="28"/>
        <v>56</v>
      </c>
      <c r="O323" s="33"/>
      <c r="P323" s="33"/>
      <c r="Q323" s="13"/>
      <c r="R323" s="16"/>
      <c r="U323" s="33"/>
      <c r="V323" s="14"/>
    </row>
    <row r="324" s="28" customFormat="1" hidden="1" customHeight="1" outlineLevel="2" spans="1:22">
      <c r="A324" s="40">
        <v>45810</v>
      </c>
      <c r="B324" s="24">
        <v>45815</v>
      </c>
      <c r="C324" s="16"/>
      <c r="D324" s="14">
        <v>5.5</v>
      </c>
      <c r="E324" s="14">
        <v>0</v>
      </c>
      <c r="F324" s="46">
        <v>3</v>
      </c>
      <c r="G324" s="46"/>
      <c r="H324" s="60">
        <f t="shared" si="25"/>
        <v>6.1</v>
      </c>
      <c r="I324" s="47">
        <v>5</v>
      </c>
      <c r="J324" s="62">
        <v>12</v>
      </c>
      <c r="K324" s="48">
        <f t="shared" si="26"/>
        <v>0.491666666666667</v>
      </c>
      <c r="L324" s="61">
        <f t="shared" si="27"/>
        <v>5.9</v>
      </c>
      <c r="M324" s="46">
        <f t="shared" si="28"/>
        <v>30.5</v>
      </c>
      <c r="O324" s="33"/>
      <c r="P324" s="33"/>
      <c r="Q324" s="13"/>
      <c r="R324" s="16"/>
      <c r="U324" s="33"/>
      <c r="V324" s="14"/>
    </row>
    <row r="325" s="28" customFormat="1" hidden="1" customHeight="1" outlineLevel="2" spans="1:22">
      <c r="A325" s="40">
        <v>45817</v>
      </c>
      <c r="B325" s="40">
        <v>45819</v>
      </c>
      <c r="C325" s="16"/>
      <c r="D325" s="14">
        <v>5.5</v>
      </c>
      <c r="E325" s="14">
        <v>0</v>
      </c>
      <c r="F325" s="46">
        <v>2</v>
      </c>
      <c r="G325" s="46"/>
      <c r="H325" s="60">
        <f t="shared" si="25"/>
        <v>5.7</v>
      </c>
      <c r="I325" s="47">
        <v>10</v>
      </c>
      <c r="J325" s="62">
        <v>12</v>
      </c>
      <c r="K325" s="48">
        <f t="shared" si="26"/>
        <v>0.525</v>
      </c>
      <c r="L325" s="61">
        <f t="shared" si="27"/>
        <v>6.3</v>
      </c>
      <c r="M325" s="46">
        <f t="shared" si="28"/>
        <v>57</v>
      </c>
      <c r="O325" s="33"/>
      <c r="P325" s="33"/>
      <c r="Q325" s="13"/>
      <c r="R325" s="16"/>
      <c r="U325" s="33"/>
      <c r="V325" s="14"/>
    </row>
    <row r="326" s="28" customFormat="1" hidden="1" customHeight="1" outlineLevel="2" spans="1:22">
      <c r="A326" s="40">
        <v>45824</v>
      </c>
      <c r="B326" s="24">
        <v>45828</v>
      </c>
      <c r="C326" s="16"/>
      <c r="D326" s="14">
        <v>5.5</v>
      </c>
      <c r="E326" s="14">
        <v>0</v>
      </c>
      <c r="F326" s="46">
        <v>1</v>
      </c>
      <c r="G326" s="46"/>
      <c r="H326" s="60">
        <f t="shared" si="25"/>
        <v>5.66666666666667</v>
      </c>
      <c r="I326" s="47">
        <v>6</v>
      </c>
      <c r="J326" s="62">
        <v>12</v>
      </c>
      <c r="K326" s="48">
        <f t="shared" si="26"/>
        <v>0.527777777777778</v>
      </c>
      <c r="L326" s="61">
        <f t="shared" si="27"/>
        <v>6.33333333333333</v>
      </c>
      <c r="M326" s="46">
        <f t="shared" si="28"/>
        <v>34</v>
      </c>
      <c r="O326" s="33"/>
      <c r="P326" s="33"/>
      <c r="Q326" s="13"/>
      <c r="R326" s="16"/>
      <c r="U326" s="33"/>
      <c r="V326" s="14"/>
    </row>
    <row r="327" s="28" customFormat="1" hidden="1" customHeight="1" outlineLevel="2" spans="1:22">
      <c r="A327" s="40">
        <v>45824</v>
      </c>
      <c r="B327" s="40">
        <v>45829</v>
      </c>
      <c r="C327" s="16"/>
      <c r="D327" s="14">
        <v>5.5</v>
      </c>
      <c r="E327" s="14">
        <v>0</v>
      </c>
      <c r="F327" s="46">
        <v>1</v>
      </c>
      <c r="G327" s="46"/>
      <c r="H327" s="60">
        <f t="shared" si="25"/>
        <v>6.5</v>
      </c>
      <c r="I327" s="47">
        <v>1</v>
      </c>
      <c r="J327" s="62">
        <v>12</v>
      </c>
      <c r="K327" s="48">
        <f t="shared" si="26"/>
        <v>0.458333333333333</v>
      </c>
      <c r="L327" s="61">
        <f t="shared" si="27"/>
        <v>5.5</v>
      </c>
      <c r="M327" s="46">
        <f t="shared" si="28"/>
        <v>6.5</v>
      </c>
      <c r="O327" s="33"/>
      <c r="P327" s="33"/>
      <c r="Q327" s="13"/>
      <c r="R327" s="16"/>
      <c r="U327" s="33"/>
      <c r="V327" s="14"/>
    </row>
    <row r="328" s="28" customFormat="1" hidden="1" customHeight="1" outlineLevel="2" spans="1:22">
      <c r="A328" s="40">
        <v>45828</v>
      </c>
      <c r="B328" s="40">
        <v>45832</v>
      </c>
      <c r="C328" s="16"/>
      <c r="D328" s="14">
        <v>5.5</v>
      </c>
      <c r="E328" s="14">
        <v>0</v>
      </c>
      <c r="F328" s="46">
        <v>2</v>
      </c>
      <c r="G328" s="46"/>
      <c r="H328" s="60">
        <f t="shared" si="25"/>
        <v>5.7</v>
      </c>
      <c r="I328" s="47">
        <v>10</v>
      </c>
      <c r="J328" s="62">
        <v>12</v>
      </c>
      <c r="K328" s="48">
        <f t="shared" si="26"/>
        <v>0.525</v>
      </c>
      <c r="L328" s="61">
        <f t="shared" si="27"/>
        <v>6.3</v>
      </c>
      <c r="M328" s="46">
        <f t="shared" si="28"/>
        <v>57</v>
      </c>
      <c r="O328" s="33"/>
      <c r="P328" s="33"/>
      <c r="Q328" s="13"/>
      <c r="R328" s="16"/>
      <c r="U328" s="33"/>
      <c r="V328" s="14"/>
    </row>
    <row r="329" s="28" customFormat="1" hidden="1" customHeight="1" outlineLevel="2" spans="1:22">
      <c r="A329" s="40">
        <v>45837</v>
      </c>
      <c r="B329" s="40">
        <v>45842</v>
      </c>
      <c r="C329" s="16"/>
      <c r="D329" s="14">
        <v>5.5</v>
      </c>
      <c r="E329" s="14">
        <v>0</v>
      </c>
      <c r="F329" s="46">
        <v>2</v>
      </c>
      <c r="G329" s="46"/>
      <c r="H329" s="60">
        <f t="shared" si="25"/>
        <v>5.72222222222222</v>
      </c>
      <c r="I329" s="47">
        <v>9</v>
      </c>
      <c r="J329" s="62">
        <v>12</v>
      </c>
      <c r="K329" s="48">
        <f t="shared" si="26"/>
        <v>0.523148148148148</v>
      </c>
      <c r="L329" s="61">
        <f t="shared" si="27"/>
        <v>6.27777777777778</v>
      </c>
      <c r="M329" s="46">
        <f t="shared" si="28"/>
        <v>51.5</v>
      </c>
      <c r="O329" s="33"/>
      <c r="P329" s="33"/>
      <c r="Q329" s="13"/>
      <c r="R329" s="16"/>
      <c r="U329" s="33"/>
      <c r="V329" s="14"/>
    </row>
    <row r="330" s="28" customFormat="1" hidden="1" customHeight="1" outlineLevel="2" spans="1:22">
      <c r="A330" s="40">
        <v>45837</v>
      </c>
      <c r="B330" s="40">
        <v>45847</v>
      </c>
      <c r="C330" s="16"/>
      <c r="D330" s="14">
        <v>5.5</v>
      </c>
      <c r="E330" s="14">
        <v>0</v>
      </c>
      <c r="F330" s="46">
        <v>1</v>
      </c>
      <c r="G330" s="46"/>
      <c r="H330" s="60">
        <f t="shared" si="25"/>
        <v>5.83333333333333</v>
      </c>
      <c r="I330" s="47">
        <v>3</v>
      </c>
      <c r="J330" s="62">
        <v>12</v>
      </c>
      <c r="K330" s="48">
        <f t="shared" si="26"/>
        <v>0.513888888888889</v>
      </c>
      <c r="L330" s="61">
        <f t="shared" si="27"/>
        <v>6.16666666666667</v>
      </c>
      <c r="M330" s="46">
        <f t="shared" si="28"/>
        <v>17.5</v>
      </c>
      <c r="O330" s="33"/>
      <c r="P330" s="33"/>
      <c r="Q330" s="13"/>
      <c r="R330" s="16"/>
      <c r="U330" s="33"/>
      <c r="V330" s="14"/>
    </row>
    <row r="331" s="28" customFormat="1" hidden="1" customHeight="1" outlineLevel="2" spans="1:22">
      <c r="A331" s="40">
        <v>45837</v>
      </c>
      <c r="B331" s="40">
        <v>45849</v>
      </c>
      <c r="C331" s="16"/>
      <c r="D331" s="14">
        <v>5.5</v>
      </c>
      <c r="E331" s="14">
        <v>0</v>
      </c>
      <c r="F331" s="46">
        <v>2</v>
      </c>
      <c r="G331" s="46"/>
      <c r="H331" s="60">
        <f t="shared" si="25"/>
        <v>5.9</v>
      </c>
      <c r="I331" s="47">
        <v>5</v>
      </c>
      <c r="J331" s="62">
        <v>12</v>
      </c>
      <c r="K331" s="48">
        <f t="shared" si="26"/>
        <v>0.508333333333333</v>
      </c>
      <c r="L331" s="61">
        <f t="shared" si="27"/>
        <v>6.1</v>
      </c>
      <c r="M331" s="46">
        <f t="shared" si="28"/>
        <v>29.5</v>
      </c>
      <c r="O331" s="33"/>
      <c r="P331" s="33"/>
      <c r="Q331" s="13"/>
      <c r="R331" s="16"/>
      <c r="U331" s="33"/>
      <c r="V331" s="14"/>
    </row>
    <row r="332" s="28" customFormat="1" hidden="1" customHeight="1" outlineLevel="2" spans="1:22">
      <c r="A332" s="40">
        <v>45860</v>
      </c>
      <c r="B332" s="40">
        <v>45865</v>
      </c>
      <c r="C332" s="16"/>
      <c r="D332" s="14">
        <v>5.5</v>
      </c>
      <c r="E332" s="14">
        <v>0</v>
      </c>
      <c r="F332" s="46">
        <v>1</v>
      </c>
      <c r="G332" s="46"/>
      <c r="H332" s="60">
        <f t="shared" si="25"/>
        <v>5.6</v>
      </c>
      <c r="I332" s="47">
        <v>10</v>
      </c>
      <c r="J332" s="62">
        <v>12</v>
      </c>
      <c r="K332" s="48">
        <f t="shared" si="26"/>
        <v>0.533333333333333</v>
      </c>
      <c r="L332" s="61">
        <f t="shared" si="27"/>
        <v>6.4</v>
      </c>
      <c r="M332" s="46">
        <f t="shared" si="28"/>
        <v>56</v>
      </c>
      <c r="O332" s="33"/>
      <c r="P332" s="33"/>
      <c r="Q332" s="13"/>
      <c r="R332" s="16"/>
      <c r="U332" s="33"/>
      <c r="V332" s="14"/>
    </row>
    <row r="333" s="28" customFormat="1" hidden="1" customHeight="1" outlineLevel="2" spans="1:22">
      <c r="A333" s="40">
        <v>45869</v>
      </c>
      <c r="B333" s="40">
        <v>45878</v>
      </c>
      <c r="C333" s="16"/>
      <c r="D333" s="14">
        <v>5.5</v>
      </c>
      <c r="E333" s="14">
        <v>0</v>
      </c>
      <c r="F333" s="46"/>
      <c r="G333" s="46"/>
      <c r="H333" s="60">
        <f t="shared" si="25"/>
        <v>5.5</v>
      </c>
      <c r="I333" s="47">
        <v>7</v>
      </c>
      <c r="J333" s="62">
        <v>12</v>
      </c>
      <c r="K333" s="48">
        <f t="shared" si="26"/>
        <v>0.541666666666667</v>
      </c>
      <c r="L333" s="61">
        <f t="shared" si="27"/>
        <v>6.5</v>
      </c>
      <c r="M333" s="46">
        <f t="shared" si="28"/>
        <v>38.5</v>
      </c>
      <c r="O333" s="33"/>
      <c r="P333" s="33"/>
      <c r="Q333" s="13"/>
      <c r="R333" s="16"/>
      <c r="U333" s="33"/>
      <c r="V333" s="14"/>
    </row>
    <row r="334" s="28" customFormat="1" hidden="1" customHeight="1" outlineLevel="2" spans="1:22">
      <c r="A334" s="40">
        <v>45877</v>
      </c>
      <c r="B334" s="40">
        <v>45893</v>
      </c>
      <c r="C334" s="16"/>
      <c r="D334" s="14">
        <v>5.5</v>
      </c>
      <c r="E334" s="14">
        <v>0</v>
      </c>
      <c r="F334" s="46">
        <v>1</v>
      </c>
      <c r="G334" s="46"/>
      <c r="H334" s="60">
        <f t="shared" si="25"/>
        <v>5.625</v>
      </c>
      <c r="I334" s="47">
        <v>8</v>
      </c>
      <c r="J334" s="62">
        <v>12</v>
      </c>
      <c r="K334" s="48">
        <f t="shared" si="26"/>
        <v>0.53125</v>
      </c>
      <c r="L334" s="61">
        <f t="shared" si="27"/>
        <v>6.375</v>
      </c>
      <c r="M334" s="46">
        <f t="shared" si="28"/>
        <v>45</v>
      </c>
      <c r="O334" s="33"/>
      <c r="P334" s="33"/>
      <c r="Q334" s="13"/>
      <c r="R334" s="16"/>
      <c r="U334" s="33"/>
      <c r="V334" s="14"/>
    </row>
    <row r="335" s="28" customFormat="1" hidden="1" customHeight="1" outlineLevel="2" spans="1:22">
      <c r="A335" s="40">
        <v>45908</v>
      </c>
      <c r="B335" s="37">
        <v>45912</v>
      </c>
      <c r="C335" s="37"/>
      <c r="D335" s="14">
        <v>5.5</v>
      </c>
      <c r="E335" s="14">
        <v>0</v>
      </c>
      <c r="F335" s="46">
        <v>2</v>
      </c>
      <c r="G335" s="46"/>
      <c r="H335" s="60">
        <f t="shared" si="25"/>
        <v>6</v>
      </c>
      <c r="I335" s="47">
        <v>4</v>
      </c>
      <c r="J335" s="62">
        <v>12</v>
      </c>
      <c r="K335" s="48">
        <f t="shared" si="26"/>
        <v>0.5</v>
      </c>
      <c r="L335" s="61">
        <f t="shared" si="27"/>
        <v>6</v>
      </c>
      <c r="M335" s="46">
        <f t="shared" si="28"/>
        <v>24</v>
      </c>
      <c r="N335" s="37"/>
      <c r="O335" s="37"/>
      <c r="P335" s="37"/>
      <c r="Q335" s="13"/>
      <c r="R335" s="16"/>
      <c r="U335" s="33"/>
      <c r="V335" s="14"/>
    </row>
    <row r="336" s="28" customFormat="1" hidden="1" customHeight="1" outlineLevel="2" spans="1:22">
      <c r="A336" s="40">
        <v>45908</v>
      </c>
      <c r="B336" s="40">
        <v>45929</v>
      </c>
      <c r="C336" s="37"/>
      <c r="D336" s="14">
        <v>5.5</v>
      </c>
      <c r="E336" s="14">
        <v>0</v>
      </c>
      <c r="F336" s="46">
        <v>1</v>
      </c>
      <c r="G336" s="46"/>
      <c r="H336" s="60">
        <f t="shared" si="25"/>
        <v>5.7</v>
      </c>
      <c r="I336" s="47">
        <v>5</v>
      </c>
      <c r="J336" s="62">
        <v>12</v>
      </c>
      <c r="K336" s="48">
        <f t="shared" si="26"/>
        <v>0.525</v>
      </c>
      <c r="L336" s="61">
        <f t="shared" si="27"/>
        <v>6.3</v>
      </c>
      <c r="M336" s="46">
        <f t="shared" si="28"/>
        <v>28.5</v>
      </c>
      <c r="N336" s="37"/>
      <c r="O336" s="37"/>
      <c r="P336" s="37"/>
      <c r="Q336" s="13"/>
      <c r="R336" s="16"/>
      <c r="U336" s="33"/>
      <c r="V336" s="14"/>
    </row>
    <row r="337" s="28" customFormat="1" hidden="1" customHeight="1" outlineLevel="2" spans="1:22">
      <c r="A337" s="40">
        <v>45929</v>
      </c>
      <c r="B337" s="37">
        <v>45941</v>
      </c>
      <c r="C337" s="37"/>
      <c r="D337" s="14">
        <v>5.5</v>
      </c>
      <c r="E337" s="14">
        <v>0</v>
      </c>
      <c r="F337" s="46">
        <v>2</v>
      </c>
      <c r="G337" s="46"/>
      <c r="H337" s="60">
        <f t="shared" si="25"/>
        <v>5.63333333333333</v>
      </c>
      <c r="I337" s="47">
        <v>15</v>
      </c>
      <c r="J337" s="62">
        <v>12</v>
      </c>
      <c r="K337" s="48">
        <f t="shared" si="26"/>
        <v>0.530555555555556</v>
      </c>
      <c r="L337" s="61">
        <f t="shared" si="27"/>
        <v>6.36666666666667</v>
      </c>
      <c r="M337" s="46">
        <f t="shared" si="28"/>
        <v>84.5</v>
      </c>
      <c r="N337" s="37"/>
      <c r="O337" s="37"/>
      <c r="P337" s="37"/>
      <c r="Q337" s="13"/>
      <c r="R337" s="16"/>
      <c r="U337" s="33"/>
      <c r="V337" s="14"/>
    </row>
    <row r="338" s="28" customFormat="1" hidden="1" customHeight="1" outlineLevel="2" spans="1:22">
      <c r="A338" s="40">
        <v>45945</v>
      </c>
      <c r="B338" s="37">
        <v>45957</v>
      </c>
      <c r="C338" s="37"/>
      <c r="D338" s="14">
        <v>5.5</v>
      </c>
      <c r="E338" s="14">
        <v>0</v>
      </c>
      <c r="F338" s="46">
        <v>1</v>
      </c>
      <c r="G338" s="46"/>
      <c r="H338" s="60">
        <f t="shared" si="25"/>
        <v>5.59090909090909</v>
      </c>
      <c r="I338" s="47">
        <v>11</v>
      </c>
      <c r="J338" s="62">
        <v>12</v>
      </c>
      <c r="K338" s="48">
        <f t="shared" si="26"/>
        <v>0.534090909090909</v>
      </c>
      <c r="L338" s="61">
        <f t="shared" si="27"/>
        <v>6.40909090909091</v>
      </c>
      <c r="M338" s="46">
        <f t="shared" si="28"/>
        <v>61.5</v>
      </c>
      <c r="N338" s="37"/>
      <c r="O338" s="37"/>
      <c r="P338" s="37"/>
      <c r="Q338" s="13"/>
      <c r="R338" s="16"/>
      <c r="U338" s="33"/>
      <c r="V338" s="14"/>
    </row>
    <row r="339" s="28" customFormat="1" hidden="1" customHeight="1" outlineLevel="2" spans="1:22">
      <c r="A339" s="40">
        <v>45964</v>
      </c>
      <c r="B339" s="37">
        <v>45971</v>
      </c>
      <c r="C339" s="37"/>
      <c r="D339" s="14">
        <v>5.5</v>
      </c>
      <c r="E339" s="14">
        <v>0</v>
      </c>
      <c r="F339" s="46">
        <v>1</v>
      </c>
      <c r="G339" s="46"/>
      <c r="H339" s="60">
        <f t="shared" si="25"/>
        <v>5.58333333333333</v>
      </c>
      <c r="I339" s="47">
        <v>12</v>
      </c>
      <c r="J339" s="62">
        <v>12</v>
      </c>
      <c r="K339" s="48">
        <f t="shared" si="26"/>
        <v>0.534722222222222</v>
      </c>
      <c r="L339" s="61">
        <f t="shared" si="27"/>
        <v>6.41666666666667</v>
      </c>
      <c r="M339" s="46">
        <f t="shared" si="28"/>
        <v>67</v>
      </c>
      <c r="N339" s="37"/>
      <c r="O339" s="37"/>
      <c r="P339" s="37"/>
      <c r="Q339" s="13"/>
      <c r="R339" s="16"/>
      <c r="U339" s="33"/>
      <c r="V339" s="14"/>
    </row>
    <row r="340" s="28" customFormat="1" hidden="1" customHeight="1" outlineLevel="2" spans="1:22">
      <c r="A340" s="40">
        <v>45971</v>
      </c>
      <c r="B340" s="37">
        <v>45977</v>
      </c>
      <c r="C340" s="37"/>
      <c r="D340" s="14">
        <v>5.5</v>
      </c>
      <c r="E340" s="14">
        <v>0</v>
      </c>
      <c r="F340" s="46">
        <v>2</v>
      </c>
      <c r="G340" s="46"/>
      <c r="H340" s="60">
        <f t="shared" si="25"/>
        <v>5.66666666666667</v>
      </c>
      <c r="I340" s="47">
        <v>12</v>
      </c>
      <c r="J340" s="62">
        <v>12</v>
      </c>
      <c r="K340" s="48">
        <f t="shared" si="26"/>
        <v>0.527777777777778</v>
      </c>
      <c r="L340" s="61">
        <f t="shared" si="27"/>
        <v>6.33333333333333</v>
      </c>
      <c r="M340" s="46">
        <f t="shared" si="28"/>
        <v>68</v>
      </c>
      <c r="N340" s="37"/>
      <c r="O340" s="37"/>
      <c r="P340" s="37"/>
      <c r="Q340" s="13"/>
      <c r="R340" s="16"/>
      <c r="U340" s="33"/>
      <c r="V340" s="14"/>
    </row>
    <row r="341" s="28" customFormat="1" hidden="1" customHeight="1" outlineLevel="2" spans="1:22">
      <c r="A341" s="40">
        <v>45987</v>
      </c>
      <c r="B341" s="37">
        <v>46021</v>
      </c>
      <c r="C341" s="37"/>
      <c r="D341" s="14">
        <v>5.5</v>
      </c>
      <c r="E341" s="14">
        <v>0</v>
      </c>
      <c r="F341" s="46">
        <v>1</v>
      </c>
      <c r="G341" s="46"/>
      <c r="H341" s="60">
        <f t="shared" si="25"/>
        <v>5.59090909090909</v>
      </c>
      <c r="I341" s="47">
        <v>11</v>
      </c>
      <c r="J341" s="62">
        <v>12</v>
      </c>
      <c r="K341" s="48">
        <f t="shared" si="26"/>
        <v>0.534090909090909</v>
      </c>
      <c r="L341" s="61">
        <f t="shared" si="27"/>
        <v>6.40909090909091</v>
      </c>
      <c r="M341" s="46">
        <f t="shared" si="28"/>
        <v>61.5</v>
      </c>
      <c r="N341" s="37"/>
      <c r="O341" s="37"/>
      <c r="P341" s="37"/>
      <c r="Q341" s="13"/>
      <c r="R341" s="16"/>
      <c r="U341" s="33"/>
      <c r="V341" s="14"/>
    </row>
    <row r="342" s="28" customFormat="1" hidden="1" customHeight="1" outlineLevel="2" spans="1:22">
      <c r="A342" s="40">
        <v>46020</v>
      </c>
      <c r="B342" s="37">
        <v>46026</v>
      </c>
      <c r="C342" s="37"/>
      <c r="D342" s="14">
        <v>5.5</v>
      </c>
      <c r="E342" s="14">
        <v>0</v>
      </c>
      <c r="F342" s="46">
        <v>1</v>
      </c>
      <c r="G342" s="46"/>
      <c r="H342" s="60">
        <f t="shared" si="25"/>
        <v>6</v>
      </c>
      <c r="I342" s="47">
        <v>2</v>
      </c>
      <c r="J342" s="62">
        <v>12</v>
      </c>
      <c r="K342" s="48">
        <f t="shared" si="26"/>
        <v>0.5</v>
      </c>
      <c r="L342" s="61">
        <f t="shared" si="27"/>
        <v>6</v>
      </c>
      <c r="M342" s="46">
        <f t="shared" si="28"/>
        <v>12</v>
      </c>
      <c r="N342" s="37"/>
      <c r="O342" s="37"/>
      <c r="P342" s="37"/>
      <c r="Q342" s="13"/>
      <c r="R342" s="16"/>
      <c r="U342" s="33"/>
      <c r="V342" s="14"/>
    </row>
    <row r="343" s="28" customFormat="1" hidden="1" customHeight="1" outlineLevel="2" spans="1:22">
      <c r="A343" s="40">
        <v>46020</v>
      </c>
      <c r="B343" s="37">
        <v>46026</v>
      </c>
      <c r="C343" s="37"/>
      <c r="D343" s="14">
        <v>5.5</v>
      </c>
      <c r="E343" s="14">
        <v>0</v>
      </c>
      <c r="F343" s="46">
        <v>1</v>
      </c>
      <c r="G343" s="46"/>
      <c r="H343" s="60">
        <f t="shared" si="25"/>
        <v>5.75</v>
      </c>
      <c r="I343" s="47">
        <v>4</v>
      </c>
      <c r="J343" s="62">
        <v>12</v>
      </c>
      <c r="K343" s="48">
        <f t="shared" si="26"/>
        <v>0.520833333333333</v>
      </c>
      <c r="L343" s="61">
        <f t="shared" si="27"/>
        <v>6.25</v>
      </c>
      <c r="M343" s="46">
        <f t="shared" si="28"/>
        <v>23</v>
      </c>
      <c r="N343" s="37"/>
      <c r="O343" s="37"/>
      <c r="P343" s="37"/>
      <c r="Q343" s="13" t="s">
        <v>22</v>
      </c>
      <c r="R343" s="16"/>
      <c r="U343" s="33"/>
      <c r="V343" s="14"/>
    </row>
    <row r="344" s="28" customFormat="1" hidden="1" customHeight="1" outlineLevel="2" spans="1:22">
      <c r="A344" s="40">
        <v>46050</v>
      </c>
      <c r="B344" s="40">
        <v>46055</v>
      </c>
      <c r="C344" s="37"/>
      <c r="D344" s="14">
        <v>5.5</v>
      </c>
      <c r="E344" s="14">
        <v>0</v>
      </c>
      <c r="F344" s="46">
        <v>1</v>
      </c>
      <c r="G344" s="46"/>
      <c r="H344" s="60">
        <f t="shared" si="25"/>
        <v>5.66666666666667</v>
      </c>
      <c r="I344" s="47">
        <v>6</v>
      </c>
      <c r="J344" s="62">
        <v>12</v>
      </c>
      <c r="K344" s="48">
        <f t="shared" si="26"/>
        <v>0.527777777777778</v>
      </c>
      <c r="L344" s="61">
        <f t="shared" si="27"/>
        <v>6.33333333333333</v>
      </c>
      <c r="M344" s="46">
        <f t="shared" si="28"/>
        <v>34</v>
      </c>
      <c r="N344" s="37"/>
      <c r="O344" s="37"/>
      <c r="P344" s="37"/>
      <c r="Q344" s="13"/>
      <c r="R344" s="16"/>
      <c r="U344" s="33"/>
      <c r="V344" s="14"/>
    </row>
    <row r="345" s="28" customFormat="1" hidden="1" customHeight="1" outlineLevel="2" spans="1:22">
      <c r="A345" s="40">
        <v>46061</v>
      </c>
      <c r="B345" s="40">
        <v>46075</v>
      </c>
      <c r="C345" s="37"/>
      <c r="D345" s="14">
        <v>5.5</v>
      </c>
      <c r="E345" s="14">
        <v>0</v>
      </c>
      <c r="F345" s="46">
        <v>1</v>
      </c>
      <c r="G345" s="46"/>
      <c r="H345" s="60">
        <f t="shared" si="25"/>
        <v>5.7</v>
      </c>
      <c r="I345" s="47">
        <v>5</v>
      </c>
      <c r="J345" s="62">
        <v>12</v>
      </c>
      <c r="K345" s="48">
        <f t="shared" si="26"/>
        <v>0.525</v>
      </c>
      <c r="L345" s="61">
        <f t="shared" si="27"/>
        <v>6.3</v>
      </c>
      <c r="M345" s="46">
        <f t="shared" si="28"/>
        <v>28.5</v>
      </c>
      <c r="N345" s="37"/>
      <c r="O345" s="37"/>
      <c r="P345" s="37"/>
      <c r="Q345" s="13"/>
      <c r="R345" s="16"/>
      <c r="U345" s="33"/>
      <c r="V345" s="14"/>
    </row>
    <row r="346" s="28" customFormat="1" hidden="1" customHeight="1" outlineLevel="2" spans="1:22">
      <c r="A346" s="40">
        <v>46079</v>
      </c>
      <c r="B346" s="40">
        <v>46092</v>
      </c>
      <c r="C346" s="37"/>
      <c r="D346" s="14">
        <v>5.5</v>
      </c>
      <c r="E346" s="14">
        <v>0</v>
      </c>
      <c r="F346" s="46">
        <v>1</v>
      </c>
      <c r="G346" s="46"/>
      <c r="H346" s="60">
        <f t="shared" si="25"/>
        <v>5.6</v>
      </c>
      <c r="I346" s="47">
        <v>10</v>
      </c>
      <c r="J346" s="62">
        <v>12</v>
      </c>
      <c r="K346" s="48">
        <f t="shared" si="26"/>
        <v>0.533333333333333</v>
      </c>
      <c r="L346" s="61">
        <f t="shared" si="27"/>
        <v>6.4</v>
      </c>
      <c r="M346" s="46">
        <f t="shared" si="28"/>
        <v>56</v>
      </c>
      <c r="N346" s="37"/>
      <c r="O346" s="37"/>
      <c r="P346" s="37"/>
      <c r="Q346" s="13"/>
      <c r="R346" s="16"/>
      <c r="U346" s="33"/>
      <c r="V346" s="14"/>
    </row>
    <row r="347" s="28" customFormat="1" hidden="1" customHeight="1" outlineLevel="2" spans="1:22">
      <c r="A347" s="40">
        <v>46091</v>
      </c>
      <c r="B347" s="37">
        <v>46094</v>
      </c>
      <c r="C347" s="37"/>
      <c r="D347" s="14">
        <v>5.5</v>
      </c>
      <c r="E347" s="14">
        <v>0</v>
      </c>
      <c r="F347" s="46">
        <v>1</v>
      </c>
      <c r="G347" s="46"/>
      <c r="H347" s="60">
        <f t="shared" si="25"/>
        <v>5.64285714285714</v>
      </c>
      <c r="I347" s="47">
        <v>7</v>
      </c>
      <c r="J347" s="62">
        <v>12</v>
      </c>
      <c r="K347" s="48">
        <f t="shared" si="26"/>
        <v>0.529761904761905</v>
      </c>
      <c r="L347" s="61">
        <f t="shared" si="27"/>
        <v>6.35714285714286</v>
      </c>
      <c r="M347" s="46">
        <f t="shared" si="28"/>
        <v>39.5</v>
      </c>
      <c r="N347" s="37"/>
      <c r="O347" s="37"/>
      <c r="P347" s="37"/>
      <c r="Q347" s="13"/>
      <c r="R347" s="16"/>
      <c r="U347" s="33"/>
      <c r="V347" s="14"/>
    </row>
    <row r="348" s="28" customFormat="1" hidden="1" customHeight="1" outlineLevel="2" spans="1:22">
      <c r="A348" s="40">
        <v>46097</v>
      </c>
      <c r="B348" s="37">
        <v>46104</v>
      </c>
      <c r="C348" s="37"/>
      <c r="D348" s="14">
        <v>5.5</v>
      </c>
      <c r="E348" s="14">
        <v>0</v>
      </c>
      <c r="F348" s="46">
        <v>2</v>
      </c>
      <c r="G348" s="46"/>
      <c r="H348" s="60">
        <f t="shared" si="25"/>
        <v>5.75</v>
      </c>
      <c r="I348" s="47">
        <v>8</v>
      </c>
      <c r="J348" s="62">
        <v>12</v>
      </c>
      <c r="K348" s="48">
        <f t="shared" si="26"/>
        <v>0.520833333333333</v>
      </c>
      <c r="L348" s="61">
        <f t="shared" si="27"/>
        <v>6.25</v>
      </c>
      <c r="M348" s="46">
        <f t="shared" si="28"/>
        <v>46</v>
      </c>
      <c r="N348" s="37"/>
      <c r="O348" s="37"/>
      <c r="P348" s="37"/>
      <c r="Q348" s="13"/>
      <c r="R348" s="16"/>
      <c r="U348" s="33"/>
      <c r="V348" s="14"/>
    </row>
    <row r="349" s="28" customFormat="1" hidden="1" customHeight="1" outlineLevel="2" spans="1:22">
      <c r="A349" s="40">
        <v>46109</v>
      </c>
      <c r="B349" s="40">
        <v>46129</v>
      </c>
      <c r="C349" s="37"/>
      <c r="D349" s="14">
        <v>5.5</v>
      </c>
      <c r="E349" s="14">
        <v>0</v>
      </c>
      <c r="F349" s="46">
        <v>1</v>
      </c>
      <c r="G349" s="46"/>
      <c r="H349" s="60">
        <f t="shared" si="25"/>
        <v>5.55882352941176</v>
      </c>
      <c r="I349" s="47">
        <v>17</v>
      </c>
      <c r="J349" s="62">
        <v>12</v>
      </c>
      <c r="K349" s="48">
        <f t="shared" si="26"/>
        <v>0.536764705882353</v>
      </c>
      <c r="L349" s="61">
        <f t="shared" si="27"/>
        <v>6.44117647058824</v>
      </c>
      <c r="M349" s="46">
        <f t="shared" si="28"/>
        <v>94.5</v>
      </c>
      <c r="N349" s="37"/>
      <c r="O349" s="37"/>
      <c r="P349" s="37"/>
      <c r="Q349" s="13" t="s">
        <v>33</v>
      </c>
      <c r="R349" s="16"/>
      <c r="U349" s="33"/>
      <c r="V349" s="14"/>
    </row>
    <row r="350" s="28" customFormat="1" hidden="1" customHeight="1" outlineLevel="2" spans="1:22">
      <c r="A350" s="40">
        <v>46113</v>
      </c>
      <c r="B350" s="37">
        <v>46118</v>
      </c>
      <c r="C350" s="37"/>
      <c r="D350" s="14">
        <v>5.5</v>
      </c>
      <c r="E350" s="14">
        <v>0</v>
      </c>
      <c r="F350" s="46">
        <v>2</v>
      </c>
      <c r="G350" s="46"/>
      <c r="H350" s="60">
        <f t="shared" si="25"/>
        <v>5.625</v>
      </c>
      <c r="I350" s="47">
        <v>16</v>
      </c>
      <c r="J350" s="62">
        <v>12</v>
      </c>
      <c r="K350" s="48">
        <f t="shared" si="26"/>
        <v>0.53125</v>
      </c>
      <c r="L350" s="61">
        <f t="shared" si="27"/>
        <v>6.375</v>
      </c>
      <c r="M350" s="46">
        <f t="shared" si="28"/>
        <v>90</v>
      </c>
      <c r="N350" s="37"/>
      <c r="O350" s="37"/>
      <c r="P350" s="37"/>
      <c r="Q350" s="13"/>
      <c r="R350" s="16"/>
      <c r="U350" s="33"/>
      <c r="V350" s="14"/>
    </row>
    <row r="351" s="28" customFormat="1" hidden="1" customHeight="1" outlineLevel="2" spans="1:22">
      <c r="A351" s="40">
        <v>46113</v>
      </c>
      <c r="B351" s="40">
        <v>46129</v>
      </c>
      <c r="C351" s="37"/>
      <c r="D351" s="14">
        <v>5.5</v>
      </c>
      <c r="E351" s="14">
        <v>0</v>
      </c>
      <c r="F351" s="46">
        <v>0</v>
      </c>
      <c r="G351" s="46"/>
      <c r="H351" s="60">
        <f t="shared" si="25"/>
        <v>5.5</v>
      </c>
      <c r="I351" s="47">
        <v>2</v>
      </c>
      <c r="J351" s="62">
        <v>12</v>
      </c>
      <c r="K351" s="48">
        <f t="shared" si="26"/>
        <v>0.541666666666667</v>
      </c>
      <c r="L351" s="61">
        <f t="shared" si="27"/>
        <v>6.5</v>
      </c>
      <c r="M351" s="46">
        <f t="shared" si="28"/>
        <v>11</v>
      </c>
      <c r="N351" s="37"/>
      <c r="O351" s="37"/>
      <c r="P351" s="37"/>
      <c r="Q351" s="13"/>
      <c r="R351" s="16"/>
      <c r="U351" s="33"/>
      <c r="V351" s="14"/>
    </row>
    <row r="352" s="28" customFormat="1" hidden="1" customHeight="1" outlineLevel="2" spans="1:22">
      <c r="A352" s="40">
        <v>46158</v>
      </c>
      <c r="B352" s="37">
        <v>46166</v>
      </c>
      <c r="C352" s="37"/>
      <c r="D352" s="14">
        <v>5.5</v>
      </c>
      <c r="E352" s="14">
        <v>0</v>
      </c>
      <c r="F352" s="46">
        <v>2</v>
      </c>
      <c r="G352" s="46"/>
      <c r="H352" s="60">
        <f t="shared" si="25"/>
        <v>5.75</v>
      </c>
      <c r="I352" s="47">
        <v>8</v>
      </c>
      <c r="J352" s="62">
        <v>12</v>
      </c>
      <c r="K352" s="48">
        <f t="shared" si="26"/>
        <v>0.520833333333333</v>
      </c>
      <c r="L352" s="61">
        <f t="shared" si="27"/>
        <v>6.25</v>
      </c>
      <c r="M352" s="46">
        <f t="shared" si="28"/>
        <v>46</v>
      </c>
      <c r="N352" s="37"/>
      <c r="O352" s="37"/>
      <c r="P352" s="37"/>
      <c r="Q352" s="13"/>
      <c r="R352" s="16"/>
      <c r="U352" s="33"/>
      <c r="V352" s="14"/>
    </row>
    <row r="353" s="28" customFormat="1" hidden="1" customHeight="1" outlineLevel="2" spans="1:22">
      <c r="A353" s="40">
        <v>46164</v>
      </c>
      <c r="B353" s="40">
        <v>46170</v>
      </c>
      <c r="C353" s="37"/>
      <c r="D353" s="14">
        <v>5.5</v>
      </c>
      <c r="E353" s="14">
        <v>0</v>
      </c>
      <c r="F353" s="46">
        <v>1</v>
      </c>
      <c r="G353" s="46"/>
      <c r="H353" s="60">
        <f t="shared" si="25"/>
        <v>5.64285714285714</v>
      </c>
      <c r="I353" s="47">
        <v>7</v>
      </c>
      <c r="J353" s="62">
        <v>12</v>
      </c>
      <c r="K353" s="48">
        <f t="shared" si="26"/>
        <v>0.529761904761905</v>
      </c>
      <c r="L353" s="61">
        <f t="shared" si="27"/>
        <v>6.35714285714286</v>
      </c>
      <c r="M353" s="46">
        <f t="shared" si="28"/>
        <v>39.5</v>
      </c>
      <c r="N353" s="37"/>
      <c r="O353" s="37"/>
      <c r="P353" s="37"/>
      <c r="Q353" s="13"/>
      <c r="R353" s="16"/>
      <c r="U353" s="33"/>
      <c r="V353" s="14"/>
    </row>
    <row r="354" s="28" customFormat="1" hidden="1" customHeight="1" outlineLevel="2" spans="1:22">
      <c r="A354" s="40">
        <v>46164</v>
      </c>
      <c r="B354" s="37">
        <v>46211</v>
      </c>
      <c r="C354" s="37"/>
      <c r="D354" s="14">
        <v>5.5</v>
      </c>
      <c r="E354" s="14">
        <v>0</v>
      </c>
      <c r="F354" s="46">
        <v>1</v>
      </c>
      <c r="G354" s="46"/>
      <c r="H354" s="60">
        <f t="shared" si="25"/>
        <v>5.83333333333333</v>
      </c>
      <c r="I354" s="47">
        <v>3</v>
      </c>
      <c r="J354" s="62">
        <v>12</v>
      </c>
      <c r="K354" s="48">
        <f t="shared" si="26"/>
        <v>0.513888888888889</v>
      </c>
      <c r="L354" s="61">
        <f t="shared" si="27"/>
        <v>6.16666666666667</v>
      </c>
      <c r="M354" s="46">
        <f t="shared" si="28"/>
        <v>17.5</v>
      </c>
      <c r="N354" s="37"/>
      <c r="O354" s="37"/>
      <c r="P354" s="37"/>
      <c r="Q354" s="13"/>
      <c r="R354" s="16"/>
      <c r="U354" s="33"/>
      <c r="V354" s="14"/>
    </row>
    <row r="355" s="28" customFormat="1" hidden="1" customHeight="1" outlineLevel="2" collapsed="1" spans="1:22">
      <c r="A355" s="40">
        <v>46207</v>
      </c>
      <c r="B355" s="37">
        <v>46211</v>
      </c>
      <c r="C355" s="37"/>
      <c r="D355" s="14">
        <v>5.5</v>
      </c>
      <c r="E355" s="14">
        <v>0</v>
      </c>
      <c r="F355" s="46">
        <v>1</v>
      </c>
      <c r="G355" s="46"/>
      <c r="H355" s="60">
        <f t="shared" si="25"/>
        <v>5.7</v>
      </c>
      <c r="I355" s="47">
        <v>5</v>
      </c>
      <c r="J355" s="62">
        <v>12</v>
      </c>
      <c r="K355" s="48">
        <f t="shared" si="26"/>
        <v>0.525</v>
      </c>
      <c r="L355" s="61">
        <f t="shared" si="27"/>
        <v>6.3</v>
      </c>
      <c r="M355" s="46">
        <f t="shared" si="28"/>
        <v>28.5</v>
      </c>
      <c r="N355" s="37"/>
      <c r="O355" s="37"/>
      <c r="P355" s="37"/>
      <c r="Q355" s="13"/>
      <c r="R355" s="16"/>
      <c r="U355" s="33"/>
      <c r="V355" s="14"/>
    </row>
    <row r="356" s="28" customFormat="1" hidden="1" customHeight="1" outlineLevel="2" collapsed="1" spans="1:22">
      <c r="A356" s="40">
        <v>46224</v>
      </c>
      <c r="B356" s="40">
        <v>46227</v>
      </c>
      <c r="C356" s="37"/>
      <c r="D356" s="14">
        <v>5.5</v>
      </c>
      <c r="E356" s="14">
        <v>0</v>
      </c>
      <c r="F356" s="46">
        <v>2</v>
      </c>
      <c r="G356" s="46"/>
      <c r="H356" s="60">
        <f t="shared" si="25"/>
        <v>5.66666666666667</v>
      </c>
      <c r="I356" s="47">
        <v>12</v>
      </c>
      <c r="J356" s="62">
        <v>12</v>
      </c>
      <c r="K356" s="48">
        <f t="shared" si="26"/>
        <v>0.527777777777778</v>
      </c>
      <c r="L356" s="61">
        <f t="shared" si="27"/>
        <v>6.33333333333333</v>
      </c>
      <c r="M356" s="46">
        <f t="shared" si="28"/>
        <v>68</v>
      </c>
      <c r="N356" s="37"/>
      <c r="O356" s="37"/>
      <c r="P356" s="37"/>
      <c r="Q356" s="13"/>
      <c r="R356" s="16"/>
      <c r="U356" s="33"/>
      <c r="V356" s="14"/>
    </row>
    <row r="357" s="28" customFormat="1" hidden="1" customHeight="1" outlineLevel="1" collapsed="1" spans="1:22">
      <c r="A357" s="40">
        <v>46231</v>
      </c>
      <c r="B357" s="40">
        <v>46235</v>
      </c>
      <c r="C357" s="37"/>
      <c r="D357" s="14">
        <v>5.5</v>
      </c>
      <c r="E357" s="14">
        <v>0</v>
      </c>
      <c r="F357" s="46">
        <v>1</v>
      </c>
      <c r="G357" s="46"/>
      <c r="H357" s="60">
        <f t="shared" si="25"/>
        <v>5.59090909090909</v>
      </c>
      <c r="I357" s="47">
        <v>11</v>
      </c>
      <c r="J357" s="62">
        <v>12</v>
      </c>
      <c r="K357" s="48">
        <f t="shared" si="26"/>
        <v>0.534090909090909</v>
      </c>
      <c r="L357" s="61">
        <f t="shared" si="27"/>
        <v>6.40909090909091</v>
      </c>
      <c r="M357" s="46">
        <f t="shared" si="28"/>
        <v>61.5</v>
      </c>
      <c r="N357" s="37"/>
      <c r="O357" s="37"/>
      <c r="P357" s="37"/>
      <c r="Q357" s="13"/>
      <c r="R357" s="16"/>
      <c r="U357" s="33"/>
      <c r="V357" s="14"/>
    </row>
    <row r="358" s="28" customFormat="1" hidden="1" customHeight="1" outlineLevel="1" spans="1:22">
      <c r="A358" s="40">
        <v>46237</v>
      </c>
      <c r="B358" s="40">
        <v>46242</v>
      </c>
      <c r="C358" s="37"/>
      <c r="D358" s="14">
        <v>5.5</v>
      </c>
      <c r="E358" s="14">
        <v>0</v>
      </c>
      <c r="F358" s="46">
        <v>1</v>
      </c>
      <c r="G358" s="46"/>
      <c r="H358" s="60">
        <f t="shared" si="25"/>
        <v>5.7</v>
      </c>
      <c r="I358" s="47">
        <v>5</v>
      </c>
      <c r="J358" s="62">
        <v>12</v>
      </c>
      <c r="K358" s="48">
        <f t="shared" si="26"/>
        <v>0.525</v>
      </c>
      <c r="L358" s="61">
        <f t="shared" si="27"/>
        <v>6.3</v>
      </c>
      <c r="M358" s="46">
        <f t="shared" si="28"/>
        <v>28.5</v>
      </c>
      <c r="N358" s="37"/>
      <c r="O358" s="37"/>
      <c r="P358" s="37"/>
      <c r="Q358" s="13"/>
      <c r="R358" s="16"/>
      <c r="U358" s="33"/>
      <c r="V358" s="14"/>
    </row>
    <row r="359" s="28" customFormat="1" hidden="1" customHeight="1" outlineLevel="1" spans="1:22">
      <c r="A359" s="40">
        <v>46253</v>
      </c>
      <c r="B359" s="40">
        <v>46256</v>
      </c>
      <c r="C359" s="37"/>
      <c r="D359" s="14">
        <v>5.5</v>
      </c>
      <c r="E359" s="14">
        <v>0</v>
      </c>
      <c r="F359" s="46">
        <v>1</v>
      </c>
      <c r="G359" s="46"/>
      <c r="H359" s="60">
        <f t="shared" si="25"/>
        <v>5.6</v>
      </c>
      <c r="I359" s="47">
        <v>10</v>
      </c>
      <c r="J359" s="62">
        <v>12</v>
      </c>
      <c r="K359" s="48">
        <f t="shared" si="26"/>
        <v>0.533333333333333</v>
      </c>
      <c r="L359" s="61">
        <f t="shared" si="27"/>
        <v>6.4</v>
      </c>
      <c r="M359" s="46">
        <f t="shared" si="28"/>
        <v>56</v>
      </c>
      <c r="N359" s="37"/>
      <c r="O359" s="37"/>
      <c r="P359" s="37"/>
      <c r="Q359" s="13"/>
      <c r="R359" s="16"/>
      <c r="U359" s="33"/>
      <c r="V359" s="14"/>
    </row>
    <row r="360" s="28" customFormat="1" hidden="1" customHeight="1" outlineLevel="1" spans="1:22">
      <c r="A360" s="40">
        <v>46260</v>
      </c>
      <c r="B360" s="40">
        <v>46263</v>
      </c>
      <c r="C360" s="37"/>
      <c r="D360" s="14">
        <v>5.5</v>
      </c>
      <c r="E360" s="14">
        <v>0</v>
      </c>
      <c r="F360" s="46">
        <v>2</v>
      </c>
      <c r="G360" s="46"/>
      <c r="H360" s="60">
        <f t="shared" si="25"/>
        <v>5.75</v>
      </c>
      <c r="I360" s="47">
        <v>8</v>
      </c>
      <c r="J360" s="62">
        <v>12</v>
      </c>
      <c r="K360" s="48">
        <f t="shared" si="26"/>
        <v>0.520833333333333</v>
      </c>
      <c r="L360" s="61">
        <f t="shared" si="27"/>
        <v>6.25</v>
      </c>
      <c r="M360" s="46">
        <f t="shared" si="28"/>
        <v>46</v>
      </c>
      <c r="N360" s="37"/>
      <c r="O360" s="37"/>
      <c r="P360" s="37"/>
      <c r="Q360" s="13"/>
      <c r="R360" s="16"/>
      <c r="U360" s="33"/>
      <c r="V360" s="14"/>
    </row>
    <row r="361" s="28" customFormat="1" hidden="1" customHeight="1" outlineLevel="1" spans="1:22">
      <c r="A361" s="40">
        <v>46270</v>
      </c>
      <c r="B361" s="40">
        <v>46272</v>
      </c>
      <c r="C361" s="37"/>
      <c r="D361" s="14">
        <v>5.5</v>
      </c>
      <c r="E361" s="14">
        <v>0</v>
      </c>
      <c r="F361" s="46">
        <v>2</v>
      </c>
      <c r="G361" s="46"/>
      <c r="H361" s="60">
        <f t="shared" si="25"/>
        <v>5.58695652173913</v>
      </c>
      <c r="I361" s="47">
        <v>23</v>
      </c>
      <c r="J361" s="62">
        <v>12</v>
      </c>
      <c r="K361" s="48">
        <f t="shared" si="26"/>
        <v>0.534420289855072</v>
      </c>
      <c r="L361" s="61">
        <f t="shared" si="27"/>
        <v>6.41304347826087</v>
      </c>
      <c r="M361" s="46">
        <f t="shared" si="28"/>
        <v>128.5</v>
      </c>
      <c r="N361" s="37"/>
      <c r="O361" s="37"/>
      <c r="P361" s="37"/>
      <c r="Q361" s="13"/>
      <c r="R361" s="16"/>
      <c r="U361" s="33"/>
      <c r="V361" s="14"/>
    </row>
    <row r="362" s="28" customFormat="1" hidden="1" customHeight="1" outlineLevel="1" spans="1:22">
      <c r="A362" s="40">
        <v>46306</v>
      </c>
      <c r="B362" s="40">
        <v>46309</v>
      </c>
      <c r="C362" s="37"/>
      <c r="D362" s="14">
        <v>5.5</v>
      </c>
      <c r="E362" s="14">
        <v>0</v>
      </c>
      <c r="F362" s="46">
        <v>2</v>
      </c>
      <c r="G362" s="46"/>
      <c r="H362" s="60">
        <f t="shared" si="25"/>
        <v>5.5625</v>
      </c>
      <c r="I362" s="47">
        <v>32</v>
      </c>
      <c r="J362" s="62">
        <v>12</v>
      </c>
      <c r="K362" s="48">
        <f t="shared" si="26"/>
        <v>0.536458333333333</v>
      </c>
      <c r="L362" s="61">
        <f t="shared" si="27"/>
        <v>6.4375</v>
      </c>
      <c r="M362" s="46">
        <f t="shared" si="28"/>
        <v>178</v>
      </c>
      <c r="N362" s="37"/>
      <c r="O362" s="37"/>
      <c r="P362" s="37"/>
      <c r="Q362" s="13"/>
      <c r="R362" s="16"/>
      <c r="U362" s="33"/>
      <c r="V362" s="14"/>
    </row>
    <row r="363" s="28" customFormat="1" hidden="1" customHeight="1" outlineLevel="1" spans="1:22">
      <c r="A363" s="40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13"/>
      <c r="R363" s="16"/>
      <c r="U363" s="33"/>
      <c r="V363" s="14"/>
    </row>
    <row r="364" s="28" customFormat="1" hidden="1" customHeight="1" outlineLevel="1" collapsed="1" spans="1:22">
      <c r="A364" s="40" t="s">
        <v>35</v>
      </c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13"/>
      <c r="R364" s="16"/>
      <c r="U364" s="33"/>
      <c r="V364" s="14"/>
    </row>
    <row r="365" s="28" customFormat="1" hidden="1" customHeight="1" outlineLevel="2" spans="1:22">
      <c r="A365" s="40">
        <v>45728</v>
      </c>
      <c r="B365" s="37">
        <v>45737</v>
      </c>
      <c r="C365" s="37"/>
      <c r="D365" s="14">
        <v>3.3</v>
      </c>
      <c r="E365" s="14">
        <v>0</v>
      </c>
      <c r="F365" s="46">
        <v>1</v>
      </c>
      <c r="G365" s="46"/>
      <c r="H365" s="60">
        <f t="shared" ref="H365:H387" si="29">D365+(E365/I365)+(F365/I365)</f>
        <v>3.5</v>
      </c>
      <c r="I365" s="47">
        <v>5</v>
      </c>
      <c r="J365" s="62">
        <v>6.9</v>
      </c>
      <c r="K365" s="48">
        <f t="shared" ref="K365:K387" si="30">(J365-H365)/J365</f>
        <v>0.492753623188406</v>
      </c>
      <c r="L365" s="61">
        <f t="shared" ref="L365:L387" si="31">J365-H365</f>
        <v>3.4</v>
      </c>
      <c r="M365" s="46">
        <f t="shared" ref="M365:M387" si="32">D365*I365+E365+F365</f>
        <v>17.5</v>
      </c>
      <c r="N365" s="37"/>
      <c r="O365" s="37"/>
      <c r="P365" s="37"/>
      <c r="Q365" s="13"/>
      <c r="R365" s="16"/>
      <c r="U365" s="33"/>
      <c r="V365" s="14"/>
    </row>
    <row r="366" s="28" customFormat="1" hidden="1" customHeight="1" outlineLevel="2" spans="1:22">
      <c r="A366" s="40">
        <v>45860</v>
      </c>
      <c r="B366" s="40">
        <v>45865</v>
      </c>
      <c r="D366" s="14">
        <v>3.3</v>
      </c>
      <c r="E366" s="14">
        <v>0</v>
      </c>
      <c r="F366" s="46">
        <v>1</v>
      </c>
      <c r="G366" s="46"/>
      <c r="H366" s="60">
        <f t="shared" si="29"/>
        <v>3.5</v>
      </c>
      <c r="I366" s="47">
        <v>5</v>
      </c>
      <c r="J366" s="62">
        <v>6.9</v>
      </c>
      <c r="K366" s="48">
        <f t="shared" si="30"/>
        <v>0.492753623188406</v>
      </c>
      <c r="L366" s="61">
        <f t="shared" si="31"/>
        <v>3.4</v>
      </c>
      <c r="M366" s="46">
        <f t="shared" si="32"/>
        <v>17.5</v>
      </c>
      <c r="N366" s="37"/>
      <c r="O366" s="37"/>
      <c r="P366" s="37"/>
      <c r="Q366" s="13"/>
      <c r="R366" s="16"/>
      <c r="U366" s="33"/>
      <c r="V366" s="14"/>
    </row>
    <row r="367" s="28" customFormat="1" hidden="1" customHeight="1" outlineLevel="2" spans="1:22">
      <c r="A367" s="40">
        <v>45869</v>
      </c>
      <c r="B367" s="40">
        <v>45876</v>
      </c>
      <c r="D367" s="14">
        <v>3.3</v>
      </c>
      <c r="E367" s="14">
        <v>0</v>
      </c>
      <c r="F367" s="46">
        <v>1</v>
      </c>
      <c r="G367" s="46"/>
      <c r="H367" s="60">
        <f t="shared" si="29"/>
        <v>3.46666666666667</v>
      </c>
      <c r="I367" s="47">
        <v>6</v>
      </c>
      <c r="J367" s="62">
        <v>6.9</v>
      </c>
      <c r="K367" s="48">
        <f t="shared" si="30"/>
        <v>0.497584541062802</v>
      </c>
      <c r="L367" s="61">
        <f t="shared" si="31"/>
        <v>3.43333333333333</v>
      </c>
      <c r="M367" s="46">
        <f t="shared" si="32"/>
        <v>20.8</v>
      </c>
      <c r="N367" s="37"/>
      <c r="O367" s="37"/>
      <c r="P367" s="37"/>
      <c r="Q367" s="13"/>
      <c r="R367" s="16"/>
      <c r="U367" s="33"/>
      <c r="V367" s="14"/>
    </row>
    <row r="368" s="28" customFormat="1" hidden="1" customHeight="1" outlineLevel="2" spans="1:22">
      <c r="A368" s="40">
        <v>45877</v>
      </c>
      <c r="B368" s="40">
        <v>45883</v>
      </c>
      <c r="D368" s="14">
        <v>3.3</v>
      </c>
      <c r="E368" s="14">
        <v>0</v>
      </c>
      <c r="F368" s="46">
        <v>1</v>
      </c>
      <c r="G368" s="46"/>
      <c r="H368" s="60">
        <f t="shared" si="29"/>
        <v>3.46666666666667</v>
      </c>
      <c r="I368" s="47">
        <v>6</v>
      </c>
      <c r="J368" s="62">
        <v>6.9</v>
      </c>
      <c r="K368" s="48">
        <f t="shared" si="30"/>
        <v>0.497584541062802</v>
      </c>
      <c r="L368" s="61">
        <f t="shared" si="31"/>
        <v>3.43333333333333</v>
      </c>
      <c r="M368" s="46">
        <f t="shared" si="32"/>
        <v>20.8</v>
      </c>
      <c r="N368" s="37"/>
      <c r="O368" s="37"/>
      <c r="P368" s="37"/>
      <c r="Q368" s="13"/>
      <c r="R368" s="16"/>
      <c r="U368" s="33"/>
      <c r="V368" s="14"/>
    </row>
    <row r="369" s="28" customFormat="1" hidden="1" customHeight="1" outlineLevel="2" spans="1:22">
      <c r="A369" s="40">
        <v>45877</v>
      </c>
      <c r="B369" s="40">
        <v>45885</v>
      </c>
      <c r="D369" s="14">
        <v>3.3</v>
      </c>
      <c r="E369" s="14">
        <v>0</v>
      </c>
      <c r="F369" s="46">
        <v>1</v>
      </c>
      <c r="G369" s="46"/>
      <c r="H369" s="60">
        <f t="shared" si="29"/>
        <v>3.44285714285714</v>
      </c>
      <c r="I369" s="47">
        <v>7</v>
      </c>
      <c r="J369" s="62">
        <v>6.9</v>
      </c>
      <c r="K369" s="48">
        <f t="shared" si="30"/>
        <v>0.501035196687371</v>
      </c>
      <c r="L369" s="61">
        <f t="shared" si="31"/>
        <v>3.45714285714286</v>
      </c>
      <c r="M369" s="46">
        <f t="shared" si="32"/>
        <v>24.1</v>
      </c>
      <c r="N369" s="37"/>
      <c r="O369" s="37"/>
      <c r="P369" s="37"/>
      <c r="Q369" s="13"/>
      <c r="R369" s="16"/>
      <c r="U369" s="33"/>
      <c r="V369" s="14"/>
    </row>
    <row r="370" s="28" customFormat="1" hidden="1" customHeight="1" outlineLevel="2" spans="1:22">
      <c r="A370" s="40">
        <v>45908</v>
      </c>
      <c r="B370" s="37">
        <v>45912</v>
      </c>
      <c r="D370" s="14">
        <v>3.3</v>
      </c>
      <c r="E370" s="14">
        <v>0</v>
      </c>
      <c r="F370" s="46">
        <v>2</v>
      </c>
      <c r="G370" s="46"/>
      <c r="H370" s="60">
        <f t="shared" si="29"/>
        <v>3.63333333333333</v>
      </c>
      <c r="I370" s="47">
        <v>6</v>
      </c>
      <c r="J370" s="62">
        <v>6.9</v>
      </c>
      <c r="K370" s="48">
        <f t="shared" si="30"/>
        <v>0.473429951690821</v>
      </c>
      <c r="L370" s="61">
        <f t="shared" si="31"/>
        <v>3.26666666666667</v>
      </c>
      <c r="M370" s="46">
        <f t="shared" si="32"/>
        <v>21.8</v>
      </c>
      <c r="N370" s="37"/>
      <c r="O370" s="37"/>
      <c r="P370" s="37"/>
      <c r="Q370" s="13"/>
      <c r="R370" s="16"/>
      <c r="U370" s="33"/>
      <c r="V370" s="14"/>
    </row>
    <row r="371" s="28" customFormat="1" hidden="1" customHeight="1" outlineLevel="2" spans="1:22">
      <c r="A371" s="40">
        <v>45908</v>
      </c>
      <c r="B371" s="40">
        <v>45934</v>
      </c>
      <c r="D371" s="14">
        <v>3.3</v>
      </c>
      <c r="E371" s="14">
        <v>0</v>
      </c>
      <c r="F371" s="46">
        <v>2</v>
      </c>
      <c r="G371" s="46"/>
      <c r="H371" s="60">
        <f t="shared" si="29"/>
        <v>3.63333333333333</v>
      </c>
      <c r="I371" s="47">
        <v>6</v>
      </c>
      <c r="J371" s="62">
        <v>6.9</v>
      </c>
      <c r="K371" s="48">
        <f t="shared" si="30"/>
        <v>0.473429951690821</v>
      </c>
      <c r="L371" s="61">
        <f t="shared" si="31"/>
        <v>3.26666666666667</v>
      </c>
      <c r="M371" s="46">
        <f t="shared" si="32"/>
        <v>21.8</v>
      </c>
      <c r="N371" s="37"/>
      <c r="O371" s="37"/>
      <c r="P371" s="37"/>
      <c r="Q371" s="13"/>
      <c r="R371" s="16"/>
      <c r="U371" s="33"/>
      <c r="V371" s="14"/>
    </row>
    <row r="372" s="28" customFormat="1" hidden="1" customHeight="1" outlineLevel="2" spans="1:22">
      <c r="A372" s="40">
        <v>45945</v>
      </c>
      <c r="B372" s="37">
        <v>45950</v>
      </c>
      <c r="D372" s="14">
        <v>3.3</v>
      </c>
      <c r="E372" s="14">
        <v>0</v>
      </c>
      <c r="F372" s="46">
        <v>1</v>
      </c>
      <c r="G372" s="46"/>
      <c r="H372" s="60">
        <f t="shared" si="29"/>
        <v>3.4</v>
      </c>
      <c r="I372" s="47">
        <v>10</v>
      </c>
      <c r="J372" s="62">
        <v>6.9</v>
      </c>
      <c r="K372" s="48">
        <f t="shared" si="30"/>
        <v>0.507246376811594</v>
      </c>
      <c r="L372" s="61">
        <f t="shared" si="31"/>
        <v>3.5</v>
      </c>
      <c r="M372" s="46">
        <f t="shared" si="32"/>
        <v>34</v>
      </c>
      <c r="N372" s="37"/>
      <c r="O372" s="37"/>
      <c r="P372" s="37"/>
      <c r="Q372" s="13"/>
      <c r="R372" s="16"/>
      <c r="U372" s="33"/>
      <c r="V372" s="14"/>
    </row>
    <row r="373" s="28" customFormat="1" hidden="1" customHeight="1" outlineLevel="2" spans="1:22">
      <c r="A373" s="40">
        <v>45952</v>
      </c>
      <c r="B373" s="37">
        <v>45957</v>
      </c>
      <c r="D373" s="14">
        <v>3.3</v>
      </c>
      <c r="E373" s="14">
        <v>0</v>
      </c>
      <c r="F373" s="46">
        <v>1</v>
      </c>
      <c r="G373" s="46"/>
      <c r="H373" s="60">
        <f t="shared" si="29"/>
        <v>3.35555555555555</v>
      </c>
      <c r="I373" s="47">
        <v>18</v>
      </c>
      <c r="J373" s="62">
        <v>6.9</v>
      </c>
      <c r="K373" s="48">
        <f t="shared" si="30"/>
        <v>0.513687600644122</v>
      </c>
      <c r="L373" s="61">
        <f t="shared" si="31"/>
        <v>3.54444444444444</v>
      </c>
      <c r="M373" s="46">
        <f t="shared" si="32"/>
        <v>60.4</v>
      </c>
      <c r="N373" s="37"/>
      <c r="O373" s="37"/>
      <c r="P373" s="37"/>
      <c r="Q373" s="13"/>
      <c r="R373" s="16"/>
      <c r="U373" s="33"/>
      <c r="V373" s="14"/>
    </row>
    <row r="374" s="28" customFormat="1" hidden="1" customHeight="1" outlineLevel="2" spans="1:22">
      <c r="A374" s="40">
        <v>45987</v>
      </c>
      <c r="B374" s="24">
        <v>46001</v>
      </c>
      <c r="D374" s="14">
        <v>3.3</v>
      </c>
      <c r="E374" s="14">
        <v>0</v>
      </c>
      <c r="F374" s="46">
        <v>0</v>
      </c>
      <c r="G374" s="46"/>
      <c r="H374" s="60">
        <f t="shared" si="29"/>
        <v>3.3</v>
      </c>
      <c r="I374" s="47">
        <v>3</v>
      </c>
      <c r="J374" s="62">
        <v>6.9</v>
      </c>
      <c r="K374" s="48">
        <f t="shared" si="30"/>
        <v>0.521739130434783</v>
      </c>
      <c r="L374" s="61">
        <f t="shared" si="31"/>
        <v>3.6</v>
      </c>
      <c r="M374" s="46">
        <f t="shared" si="32"/>
        <v>9.9</v>
      </c>
      <c r="N374" s="37"/>
      <c r="O374" s="37"/>
      <c r="P374" s="37"/>
      <c r="Q374" s="13"/>
      <c r="R374" s="16"/>
      <c r="U374" s="33"/>
      <c r="V374" s="14"/>
    </row>
    <row r="375" s="28" customFormat="1" hidden="1" customHeight="1" outlineLevel="2" spans="1:22">
      <c r="A375" s="40">
        <v>46020</v>
      </c>
      <c r="B375" s="40">
        <v>46026</v>
      </c>
      <c r="D375" s="14">
        <v>3.3</v>
      </c>
      <c r="E375" s="14">
        <v>0</v>
      </c>
      <c r="F375" s="46">
        <v>1</v>
      </c>
      <c r="G375" s="46"/>
      <c r="H375" s="60">
        <f t="shared" si="29"/>
        <v>3.63333333333333</v>
      </c>
      <c r="I375" s="47">
        <v>3</v>
      </c>
      <c r="J375" s="62">
        <v>6.9</v>
      </c>
      <c r="K375" s="48">
        <f t="shared" si="30"/>
        <v>0.473429951690821</v>
      </c>
      <c r="L375" s="61">
        <f t="shared" si="31"/>
        <v>3.26666666666667</v>
      </c>
      <c r="M375" s="46">
        <f t="shared" si="32"/>
        <v>10.9</v>
      </c>
      <c r="N375" s="37"/>
      <c r="O375" s="37"/>
      <c r="P375" s="37"/>
      <c r="Q375" s="13"/>
      <c r="R375" s="16"/>
      <c r="U375" s="33"/>
      <c r="V375" s="14"/>
    </row>
    <row r="376" s="28" customFormat="1" hidden="1" customHeight="1" outlineLevel="2" spans="1:22">
      <c r="A376" s="40">
        <v>46020</v>
      </c>
      <c r="B376" s="40">
        <v>46055</v>
      </c>
      <c r="D376" s="14">
        <v>3.3</v>
      </c>
      <c r="E376" s="14">
        <v>0</v>
      </c>
      <c r="F376" s="46">
        <v>2</v>
      </c>
      <c r="G376" s="46"/>
      <c r="H376" s="60">
        <f t="shared" si="29"/>
        <v>3.7</v>
      </c>
      <c r="I376" s="47">
        <v>5</v>
      </c>
      <c r="J376" s="62">
        <v>6.9</v>
      </c>
      <c r="K376" s="48">
        <f t="shared" si="30"/>
        <v>0.463768115942029</v>
      </c>
      <c r="L376" s="61">
        <f t="shared" si="31"/>
        <v>3.2</v>
      </c>
      <c r="M376" s="46">
        <f t="shared" si="32"/>
        <v>18.5</v>
      </c>
      <c r="N376" s="37"/>
      <c r="O376" s="37"/>
      <c r="P376" s="37"/>
      <c r="Q376" s="13"/>
      <c r="R376" s="16"/>
      <c r="U376" s="33"/>
      <c r="V376" s="14"/>
    </row>
    <row r="377" s="28" customFormat="1" hidden="1" customHeight="1" outlineLevel="2" spans="1:22">
      <c r="A377" s="40">
        <v>46050</v>
      </c>
      <c r="B377" s="40">
        <v>46055</v>
      </c>
      <c r="D377" s="14">
        <v>3.3</v>
      </c>
      <c r="E377" s="14">
        <v>0</v>
      </c>
      <c r="F377" s="46">
        <v>1</v>
      </c>
      <c r="G377" s="46"/>
      <c r="H377" s="60">
        <f t="shared" si="29"/>
        <v>3.4</v>
      </c>
      <c r="I377" s="47">
        <v>10</v>
      </c>
      <c r="J377" s="62">
        <v>6.9</v>
      </c>
      <c r="K377" s="48">
        <f t="shared" si="30"/>
        <v>0.507246376811594</v>
      </c>
      <c r="L377" s="61">
        <f t="shared" si="31"/>
        <v>3.5</v>
      </c>
      <c r="M377" s="46">
        <f t="shared" si="32"/>
        <v>34</v>
      </c>
      <c r="N377" s="37"/>
      <c r="O377" s="37"/>
      <c r="P377" s="37"/>
      <c r="Q377" s="13"/>
      <c r="R377" s="16"/>
      <c r="U377" s="33"/>
      <c r="V377" s="14"/>
    </row>
    <row r="378" s="28" customFormat="1" hidden="1" customHeight="1" outlineLevel="2" spans="1:22">
      <c r="A378" s="40">
        <v>46061</v>
      </c>
      <c r="B378" s="40">
        <v>46089</v>
      </c>
      <c r="D378" s="14">
        <v>3.3</v>
      </c>
      <c r="E378" s="14">
        <v>0</v>
      </c>
      <c r="F378" s="46">
        <v>0</v>
      </c>
      <c r="G378" s="46"/>
      <c r="H378" s="60">
        <f t="shared" si="29"/>
        <v>3.3</v>
      </c>
      <c r="I378" s="47">
        <v>5</v>
      </c>
      <c r="J378" s="62">
        <v>6.9</v>
      </c>
      <c r="K378" s="48">
        <f t="shared" si="30"/>
        <v>0.521739130434783</v>
      </c>
      <c r="L378" s="61">
        <f t="shared" si="31"/>
        <v>3.6</v>
      </c>
      <c r="M378" s="46">
        <f t="shared" si="32"/>
        <v>16.5</v>
      </c>
      <c r="N378" s="37"/>
      <c r="O378" s="37"/>
      <c r="P378" s="37"/>
      <c r="Q378" s="13"/>
      <c r="R378" s="16"/>
      <c r="U378" s="33"/>
      <c r="V378" s="14"/>
    </row>
    <row r="379" s="28" customFormat="1" hidden="1" customHeight="1" outlineLevel="2" spans="1:22">
      <c r="A379" s="40">
        <v>46079</v>
      </c>
      <c r="B379" s="40">
        <v>46089</v>
      </c>
      <c r="D379" s="14">
        <v>3.3</v>
      </c>
      <c r="E379" s="14">
        <v>0</v>
      </c>
      <c r="F379" s="46">
        <v>0</v>
      </c>
      <c r="G379" s="46"/>
      <c r="H379" s="60">
        <f t="shared" si="29"/>
        <v>3.3</v>
      </c>
      <c r="I379" s="47">
        <v>2</v>
      </c>
      <c r="J379" s="62">
        <v>6.9</v>
      </c>
      <c r="K379" s="48">
        <f t="shared" si="30"/>
        <v>0.521739130434783</v>
      </c>
      <c r="L379" s="61">
        <f t="shared" si="31"/>
        <v>3.6</v>
      </c>
      <c r="M379" s="46">
        <f t="shared" si="32"/>
        <v>6.6</v>
      </c>
      <c r="N379" s="37"/>
      <c r="O379" s="37"/>
      <c r="P379" s="37"/>
      <c r="Q379" s="13"/>
      <c r="R379" s="16"/>
      <c r="U379" s="33"/>
      <c r="V379" s="14"/>
    </row>
    <row r="380" s="28" customFormat="1" hidden="1" customHeight="1" outlineLevel="2" spans="1:22">
      <c r="A380" s="40">
        <v>46091</v>
      </c>
      <c r="B380" s="37">
        <v>46094</v>
      </c>
      <c r="D380" s="14">
        <v>3.3</v>
      </c>
      <c r="E380" s="14">
        <v>0</v>
      </c>
      <c r="F380" s="46">
        <v>0</v>
      </c>
      <c r="G380" s="46"/>
      <c r="H380" s="60">
        <f t="shared" si="29"/>
        <v>3.3</v>
      </c>
      <c r="I380" s="47">
        <v>2</v>
      </c>
      <c r="J380" s="62">
        <v>6.9</v>
      </c>
      <c r="K380" s="48">
        <f t="shared" si="30"/>
        <v>0.521739130434783</v>
      </c>
      <c r="L380" s="61">
        <f t="shared" si="31"/>
        <v>3.6</v>
      </c>
      <c r="M380" s="46">
        <f t="shared" si="32"/>
        <v>6.6</v>
      </c>
      <c r="N380" s="37"/>
      <c r="O380" s="37"/>
      <c r="P380" s="37"/>
      <c r="Q380" s="13"/>
      <c r="R380" s="16"/>
      <c r="U380" s="33"/>
      <c r="V380" s="14"/>
    </row>
    <row r="381" s="28" customFormat="1" hidden="1" customHeight="1" outlineLevel="2" spans="1:22">
      <c r="A381" s="40">
        <v>46097</v>
      </c>
      <c r="B381" s="37">
        <v>46109</v>
      </c>
      <c r="D381" s="14">
        <v>3.3</v>
      </c>
      <c r="E381" s="14">
        <v>0</v>
      </c>
      <c r="F381" s="46">
        <v>0</v>
      </c>
      <c r="G381" s="46"/>
      <c r="H381" s="60">
        <f t="shared" si="29"/>
        <v>3.3</v>
      </c>
      <c r="I381" s="47">
        <v>4</v>
      </c>
      <c r="J381" s="62">
        <v>6.9</v>
      </c>
      <c r="K381" s="48">
        <f t="shared" si="30"/>
        <v>0.521739130434783</v>
      </c>
      <c r="L381" s="61">
        <f t="shared" si="31"/>
        <v>3.6</v>
      </c>
      <c r="M381" s="46">
        <f t="shared" si="32"/>
        <v>13.2</v>
      </c>
      <c r="N381" s="37"/>
      <c r="O381" s="37"/>
      <c r="P381" s="37"/>
      <c r="Q381" s="13"/>
      <c r="R381" s="16"/>
      <c r="U381" s="33"/>
      <c r="V381" s="14"/>
    </row>
    <row r="382" s="28" customFormat="1" hidden="1" customHeight="1" outlineLevel="2" spans="1:22">
      <c r="A382" s="40">
        <v>46109</v>
      </c>
      <c r="B382" s="40">
        <v>46112</v>
      </c>
      <c r="D382" s="14">
        <v>3.3</v>
      </c>
      <c r="E382" s="14">
        <v>0</v>
      </c>
      <c r="F382" s="46">
        <v>1</v>
      </c>
      <c r="G382" s="46"/>
      <c r="H382" s="60">
        <f t="shared" si="29"/>
        <v>3.46666666666667</v>
      </c>
      <c r="I382" s="47">
        <v>6</v>
      </c>
      <c r="J382" s="62">
        <v>6.9</v>
      </c>
      <c r="K382" s="48">
        <f t="shared" si="30"/>
        <v>0.497584541062802</v>
      </c>
      <c r="L382" s="61">
        <f t="shared" si="31"/>
        <v>3.43333333333333</v>
      </c>
      <c r="M382" s="46">
        <f t="shared" si="32"/>
        <v>20.8</v>
      </c>
      <c r="N382" s="37"/>
      <c r="O382" s="37"/>
      <c r="P382" s="37"/>
      <c r="Q382" s="13"/>
      <c r="R382" s="16"/>
      <c r="U382" s="33"/>
      <c r="V382" s="14"/>
    </row>
    <row r="383" s="28" customFormat="1" hidden="1" customHeight="1" outlineLevel="2" spans="1:22">
      <c r="A383" s="40">
        <v>46113</v>
      </c>
      <c r="B383" s="40">
        <v>46118</v>
      </c>
      <c r="D383" s="14">
        <v>3.3</v>
      </c>
      <c r="E383" s="14">
        <v>0</v>
      </c>
      <c r="F383" s="46">
        <v>0</v>
      </c>
      <c r="G383" s="46"/>
      <c r="H383" s="60">
        <f t="shared" si="29"/>
        <v>3.3</v>
      </c>
      <c r="I383" s="47">
        <v>5</v>
      </c>
      <c r="J383" s="62">
        <v>6.9</v>
      </c>
      <c r="K383" s="48">
        <f t="shared" si="30"/>
        <v>0.521739130434783</v>
      </c>
      <c r="L383" s="61">
        <f t="shared" si="31"/>
        <v>3.6</v>
      </c>
      <c r="M383" s="46">
        <f t="shared" si="32"/>
        <v>16.5</v>
      </c>
      <c r="N383" s="37"/>
      <c r="O383" s="37"/>
      <c r="P383" s="37"/>
      <c r="Q383" s="13"/>
      <c r="R383" s="16"/>
      <c r="U383" s="33"/>
      <c r="V383" s="14"/>
    </row>
    <row r="384" s="28" customFormat="1" hidden="1" customHeight="1" outlineLevel="2" spans="1:22">
      <c r="A384" s="40">
        <v>46158</v>
      </c>
      <c r="B384" s="37">
        <v>46160</v>
      </c>
      <c r="D384" s="14">
        <v>3.3</v>
      </c>
      <c r="E384" s="14">
        <v>0</v>
      </c>
      <c r="F384" s="46">
        <v>1</v>
      </c>
      <c r="G384" s="46"/>
      <c r="H384" s="60">
        <f t="shared" si="29"/>
        <v>3.4</v>
      </c>
      <c r="I384" s="47">
        <v>10</v>
      </c>
      <c r="J384" s="62">
        <v>6.9</v>
      </c>
      <c r="K384" s="48">
        <f t="shared" si="30"/>
        <v>0.507246376811594</v>
      </c>
      <c r="L384" s="61">
        <f t="shared" si="31"/>
        <v>3.5</v>
      </c>
      <c r="M384" s="46">
        <f t="shared" si="32"/>
        <v>34</v>
      </c>
      <c r="N384" s="37"/>
      <c r="O384" s="37"/>
      <c r="P384" s="37"/>
      <c r="Q384" s="13"/>
      <c r="R384" s="16"/>
      <c r="U384" s="33"/>
      <c r="V384" s="14"/>
    </row>
    <row r="385" s="28" customFormat="1" hidden="1" customHeight="1" outlineLevel="2" spans="1:22">
      <c r="A385" s="40">
        <v>46164</v>
      </c>
      <c r="B385" s="40">
        <v>46170</v>
      </c>
      <c r="D385" s="14">
        <v>3.3</v>
      </c>
      <c r="E385" s="14">
        <v>0</v>
      </c>
      <c r="F385" s="46">
        <v>1</v>
      </c>
      <c r="G385" s="46"/>
      <c r="H385" s="60">
        <f t="shared" si="29"/>
        <v>3.44285714285714</v>
      </c>
      <c r="I385" s="47">
        <v>7</v>
      </c>
      <c r="J385" s="62">
        <v>6.9</v>
      </c>
      <c r="K385" s="48">
        <f t="shared" si="30"/>
        <v>0.501035196687371</v>
      </c>
      <c r="L385" s="61">
        <f t="shared" si="31"/>
        <v>3.45714285714286</v>
      </c>
      <c r="M385" s="46">
        <f t="shared" si="32"/>
        <v>24.1</v>
      </c>
      <c r="N385" s="37"/>
      <c r="O385" s="37"/>
      <c r="P385" s="37"/>
      <c r="Q385" s="13"/>
      <c r="R385" s="16"/>
      <c r="U385" s="33"/>
      <c r="V385" s="14"/>
    </row>
    <row r="386" s="28" customFormat="1" hidden="1" customHeight="1" outlineLevel="2" spans="1:22">
      <c r="A386" s="40">
        <v>46207</v>
      </c>
      <c r="B386" s="37">
        <v>46211</v>
      </c>
      <c r="D386" s="14">
        <v>3.3</v>
      </c>
      <c r="E386" s="14">
        <v>0</v>
      </c>
      <c r="F386" s="46">
        <v>1</v>
      </c>
      <c r="G386" s="46"/>
      <c r="H386" s="60">
        <f t="shared" si="29"/>
        <v>3.37142857142857</v>
      </c>
      <c r="I386" s="47">
        <v>14</v>
      </c>
      <c r="J386" s="62">
        <v>6.9</v>
      </c>
      <c r="K386" s="48">
        <f t="shared" si="30"/>
        <v>0.511387163561077</v>
      </c>
      <c r="L386" s="61">
        <f t="shared" si="31"/>
        <v>3.52857142857143</v>
      </c>
      <c r="M386" s="46">
        <f t="shared" si="32"/>
        <v>47.2</v>
      </c>
      <c r="N386" s="37"/>
      <c r="O386" s="37"/>
      <c r="P386" s="37"/>
      <c r="Q386" s="13"/>
      <c r="R386" s="16"/>
      <c r="U386" s="33"/>
      <c r="V386" s="14"/>
    </row>
    <row r="387" s="28" customFormat="1" hidden="1" customHeight="1" outlineLevel="1" spans="1:22">
      <c r="A387" s="40">
        <v>46214</v>
      </c>
      <c r="B387" s="40">
        <v>46218</v>
      </c>
      <c r="D387" s="14">
        <v>3.3</v>
      </c>
      <c r="E387" s="14">
        <v>0</v>
      </c>
      <c r="F387" s="46">
        <v>1</v>
      </c>
      <c r="G387" s="46"/>
      <c r="H387" s="60">
        <f t="shared" si="29"/>
        <v>3.36666666666667</v>
      </c>
      <c r="I387" s="47">
        <v>15</v>
      </c>
      <c r="J387" s="62">
        <v>6.9</v>
      </c>
      <c r="K387" s="48">
        <f t="shared" si="30"/>
        <v>0.51207729468599</v>
      </c>
      <c r="L387" s="61">
        <f t="shared" si="31"/>
        <v>3.53333333333333</v>
      </c>
      <c r="M387" s="46">
        <f t="shared" si="32"/>
        <v>50.5</v>
      </c>
      <c r="N387" s="37"/>
      <c r="O387" s="37"/>
      <c r="P387" s="37"/>
      <c r="Q387" s="13"/>
      <c r="R387" s="16"/>
      <c r="U387" s="33"/>
      <c r="V387" s="14"/>
    </row>
    <row r="388" s="28" customFormat="1" hidden="1" customHeight="1" outlineLevel="1" spans="1:22">
      <c r="A388" s="40"/>
      <c r="B388" s="40"/>
      <c r="D388" s="14"/>
      <c r="E388" s="14"/>
      <c r="F388" s="46"/>
      <c r="G388" s="46"/>
      <c r="H388" s="60"/>
      <c r="I388" s="47"/>
      <c r="J388" s="62"/>
      <c r="K388" s="48"/>
      <c r="L388" s="61"/>
      <c r="M388" s="46"/>
      <c r="N388" s="37"/>
      <c r="O388" s="37"/>
      <c r="P388" s="37"/>
      <c r="Q388" s="13"/>
      <c r="R388" s="16"/>
      <c r="U388" s="33"/>
      <c r="V388" s="14"/>
    </row>
    <row r="389" s="28" customFormat="1" customHeight="1" spans="1:22">
      <c r="A389" s="24"/>
      <c r="B389" s="24"/>
      <c r="D389" s="14"/>
      <c r="E389" s="14"/>
      <c r="F389" s="46"/>
      <c r="G389" s="46"/>
      <c r="H389" s="60"/>
      <c r="I389" s="47"/>
      <c r="J389" s="14"/>
      <c r="K389" s="15"/>
      <c r="L389" s="15"/>
      <c r="M389" s="15"/>
      <c r="N389" s="15"/>
      <c r="O389" s="15"/>
      <c r="P389" s="15"/>
      <c r="Q389" s="13"/>
      <c r="R389" s="16"/>
      <c r="U389" s="33"/>
      <c r="V389" s="14"/>
    </row>
    <row r="390" s="28" customFormat="1" customHeight="1" collapsed="1" spans="1:22">
      <c r="A390" s="18" t="s">
        <v>36</v>
      </c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 t="str">
        <f>_xlfn.DISPIMG("ID_BDE8539FBB144E81A5006000DD9762B3",1)</f>
        <v>=DISPIMG("ID_BDE8539FBB144E81A5006000DD9762B3",1)</v>
      </c>
      <c r="P390" s="65">
        <v>2681598504</v>
      </c>
      <c r="Q390" s="13" t="s">
        <v>37</v>
      </c>
      <c r="R390" s="16"/>
      <c r="U390" s="33"/>
      <c r="V390" s="14"/>
    </row>
    <row r="391" hidden="1" customHeight="1" outlineLevel="1" spans="1:22">
      <c r="A391" s="24">
        <v>45603</v>
      </c>
      <c r="B391" s="24">
        <v>45606</v>
      </c>
      <c r="D391" s="14">
        <f>0.8*3</f>
        <v>2.4</v>
      </c>
      <c r="E391" s="14">
        <v>5</v>
      </c>
      <c r="F391" s="46">
        <v>2</v>
      </c>
      <c r="H391" s="60">
        <f t="shared" ref="H391:H451" si="33">D391+(E391/I391)+(F391/I391)</f>
        <v>2.86666666666667</v>
      </c>
      <c r="I391" s="47">
        <v>15</v>
      </c>
      <c r="J391" s="14">
        <v>9</v>
      </c>
      <c r="K391" s="48">
        <f t="shared" ref="K391:K451" si="34">(J391-H391)/J391</f>
        <v>0.681481481481481</v>
      </c>
      <c r="L391" s="61">
        <f t="shared" ref="L391:L451" si="35">J391-H391</f>
        <v>6.13333333333333</v>
      </c>
      <c r="M391" s="46">
        <f t="shared" ref="M391:M451" si="36">D391*I391+E391+F391</f>
        <v>43</v>
      </c>
    </row>
    <row r="392" hidden="1" customHeight="1" outlineLevel="1" spans="1:22">
      <c r="A392" s="24">
        <v>45613</v>
      </c>
      <c r="B392" s="24">
        <v>45618</v>
      </c>
      <c r="D392" s="14">
        <f t="shared" ref="D392:D412" si="37">0.6*3</f>
        <v>1.8</v>
      </c>
      <c r="E392" s="14">
        <v>0</v>
      </c>
      <c r="F392" s="46">
        <v>2</v>
      </c>
      <c r="H392" s="60">
        <f t="shared" si="33"/>
        <v>2.08571428571429</v>
      </c>
      <c r="I392" s="47">
        <v>7</v>
      </c>
      <c r="J392" s="14">
        <v>9</v>
      </c>
      <c r="K392" s="48">
        <f t="shared" si="34"/>
        <v>0.768253968253968</v>
      </c>
      <c r="L392" s="61">
        <f t="shared" si="35"/>
        <v>6.91428571428571</v>
      </c>
      <c r="M392" s="46">
        <f t="shared" si="36"/>
        <v>14.6</v>
      </c>
    </row>
    <row r="393" hidden="1" customHeight="1" outlineLevel="1" spans="1:22">
      <c r="A393" s="24">
        <v>45613</v>
      </c>
      <c r="B393" s="24">
        <v>45621</v>
      </c>
      <c r="D393" s="14">
        <f t="shared" si="37"/>
        <v>1.8</v>
      </c>
      <c r="E393" s="14">
        <v>0</v>
      </c>
      <c r="F393" s="46">
        <v>2</v>
      </c>
      <c r="H393" s="60">
        <f t="shared" si="33"/>
        <v>2.08571428571429</v>
      </c>
      <c r="I393" s="47">
        <v>7</v>
      </c>
      <c r="J393" s="14">
        <v>9</v>
      </c>
      <c r="K393" s="48">
        <f t="shared" si="34"/>
        <v>0.768253968253968</v>
      </c>
      <c r="L393" s="61">
        <f t="shared" si="35"/>
        <v>6.91428571428571</v>
      </c>
      <c r="M393" s="46">
        <f t="shared" si="36"/>
        <v>14.6</v>
      </c>
    </row>
    <row r="394" hidden="1" customHeight="1" outlineLevel="1" spans="1:22">
      <c r="A394" s="24">
        <v>45613</v>
      </c>
      <c r="B394" s="24">
        <v>45625</v>
      </c>
      <c r="D394" s="14">
        <f t="shared" si="37"/>
        <v>1.8</v>
      </c>
      <c r="E394" s="14">
        <v>0</v>
      </c>
      <c r="F394" s="46">
        <v>2</v>
      </c>
      <c r="H394" s="60">
        <f t="shared" si="33"/>
        <v>2.2</v>
      </c>
      <c r="I394" s="47">
        <v>5</v>
      </c>
      <c r="J394" s="14">
        <v>9</v>
      </c>
      <c r="K394" s="48">
        <f t="shared" si="34"/>
        <v>0.755555555555556</v>
      </c>
      <c r="L394" s="61">
        <f t="shared" si="35"/>
        <v>6.8</v>
      </c>
      <c r="M394" s="46">
        <f t="shared" si="36"/>
        <v>11</v>
      </c>
    </row>
    <row r="395" hidden="1" customHeight="1" outlineLevel="1" spans="1:22">
      <c r="A395" s="24">
        <v>45613</v>
      </c>
      <c r="B395" s="24">
        <v>45631</v>
      </c>
      <c r="D395" s="14">
        <f t="shared" si="37"/>
        <v>1.8</v>
      </c>
      <c r="E395" s="14">
        <v>0</v>
      </c>
      <c r="F395" s="46">
        <v>2</v>
      </c>
      <c r="H395" s="60">
        <f t="shared" si="33"/>
        <v>2.2</v>
      </c>
      <c r="I395" s="47">
        <v>5</v>
      </c>
      <c r="J395" s="14">
        <v>9</v>
      </c>
      <c r="K395" s="48">
        <f t="shared" si="34"/>
        <v>0.755555555555556</v>
      </c>
      <c r="L395" s="61">
        <f t="shared" si="35"/>
        <v>6.8</v>
      </c>
      <c r="M395" s="46">
        <f t="shared" si="36"/>
        <v>11</v>
      </c>
    </row>
    <row r="396" hidden="1" customHeight="1" outlineLevel="1" spans="1:22">
      <c r="A396" s="24">
        <v>45613</v>
      </c>
      <c r="B396" s="24">
        <v>45632</v>
      </c>
      <c r="D396" s="14">
        <f t="shared" si="37"/>
        <v>1.8</v>
      </c>
      <c r="E396" s="14">
        <v>0</v>
      </c>
      <c r="F396" s="46">
        <v>2</v>
      </c>
      <c r="H396" s="60">
        <f t="shared" si="33"/>
        <v>2.46666666666667</v>
      </c>
      <c r="I396" s="47">
        <v>3</v>
      </c>
      <c r="J396" s="14">
        <v>9</v>
      </c>
      <c r="K396" s="48">
        <f t="shared" si="34"/>
        <v>0.725925925925926</v>
      </c>
      <c r="L396" s="61">
        <f t="shared" si="35"/>
        <v>6.53333333333333</v>
      </c>
      <c r="M396" s="46">
        <f t="shared" si="36"/>
        <v>7.4</v>
      </c>
    </row>
    <row r="397" hidden="1" customHeight="1" outlineLevel="1" spans="1:22">
      <c r="A397" s="24">
        <v>45613</v>
      </c>
      <c r="B397" s="24">
        <v>45635</v>
      </c>
      <c r="D397" s="14">
        <f t="shared" si="37"/>
        <v>1.8</v>
      </c>
      <c r="E397" s="14">
        <v>0</v>
      </c>
      <c r="F397" s="46">
        <v>2</v>
      </c>
      <c r="H397" s="60">
        <f t="shared" si="33"/>
        <v>2.2</v>
      </c>
      <c r="I397" s="47">
        <v>5</v>
      </c>
      <c r="J397" s="14">
        <v>9</v>
      </c>
      <c r="K397" s="48">
        <f t="shared" si="34"/>
        <v>0.755555555555556</v>
      </c>
      <c r="L397" s="61">
        <f t="shared" si="35"/>
        <v>6.8</v>
      </c>
      <c r="M397" s="46">
        <f t="shared" si="36"/>
        <v>11</v>
      </c>
    </row>
    <row r="398" hidden="1" customHeight="1" outlineLevel="1" spans="1:22">
      <c r="A398" s="24">
        <v>45613</v>
      </c>
      <c r="B398" s="37">
        <v>45643</v>
      </c>
      <c r="D398" s="14">
        <f t="shared" si="37"/>
        <v>1.8</v>
      </c>
      <c r="E398" s="14">
        <v>0</v>
      </c>
      <c r="F398" s="46">
        <v>2</v>
      </c>
      <c r="H398" s="60">
        <f t="shared" si="33"/>
        <v>2.8</v>
      </c>
      <c r="I398" s="47">
        <v>2</v>
      </c>
      <c r="J398" s="14">
        <v>9</v>
      </c>
      <c r="K398" s="48">
        <f t="shared" si="34"/>
        <v>0.688888888888889</v>
      </c>
      <c r="L398" s="61">
        <f t="shared" si="35"/>
        <v>6.2</v>
      </c>
      <c r="M398" s="46">
        <f t="shared" si="36"/>
        <v>5.6</v>
      </c>
    </row>
    <row r="399" hidden="1" customHeight="1" outlineLevel="1" spans="1:22">
      <c r="A399" s="24">
        <v>45636</v>
      </c>
      <c r="B399" s="14"/>
      <c r="D399" s="14">
        <f t="shared" si="37"/>
        <v>1.8</v>
      </c>
      <c r="E399" s="14">
        <v>0</v>
      </c>
      <c r="H399" s="60">
        <f t="shared" si="33"/>
        <v>1.8</v>
      </c>
      <c r="I399" s="47">
        <v>3</v>
      </c>
      <c r="J399" s="14">
        <v>9</v>
      </c>
      <c r="K399" s="48">
        <f t="shared" si="34"/>
        <v>0.8</v>
      </c>
      <c r="L399" s="61">
        <f t="shared" si="35"/>
        <v>7.2</v>
      </c>
      <c r="M399" s="46">
        <f t="shared" si="36"/>
        <v>5.4</v>
      </c>
    </row>
    <row r="400" hidden="1" customHeight="1" outlineLevel="1" spans="1:22">
      <c r="A400" s="24">
        <v>45636</v>
      </c>
      <c r="B400" s="24">
        <v>45654</v>
      </c>
      <c r="D400" s="14">
        <f t="shared" si="37"/>
        <v>1.8</v>
      </c>
      <c r="E400" s="14">
        <v>0</v>
      </c>
      <c r="F400" s="46">
        <v>9</v>
      </c>
      <c r="H400" s="60">
        <f t="shared" si="33"/>
        <v>2.32941176470588</v>
      </c>
      <c r="I400" s="47">
        <v>17</v>
      </c>
      <c r="J400" s="14">
        <v>9</v>
      </c>
      <c r="K400" s="48">
        <f t="shared" si="34"/>
        <v>0.741176470588235</v>
      </c>
      <c r="L400" s="61">
        <f t="shared" si="35"/>
        <v>6.67058823529412</v>
      </c>
      <c r="M400" s="46">
        <f t="shared" si="36"/>
        <v>39.6</v>
      </c>
      <c r="Q400" s="13" t="s">
        <v>38</v>
      </c>
    </row>
    <row r="401" hidden="1" customHeight="1" outlineLevel="1" spans="1:17">
      <c r="A401" s="24">
        <v>45636</v>
      </c>
      <c r="B401" s="24">
        <v>45668</v>
      </c>
      <c r="D401" s="14">
        <f t="shared" si="37"/>
        <v>1.8</v>
      </c>
      <c r="E401" s="14">
        <v>0</v>
      </c>
      <c r="F401" s="46">
        <v>2.5</v>
      </c>
      <c r="H401" s="60">
        <f t="shared" si="33"/>
        <v>2.07777777777778</v>
      </c>
      <c r="I401" s="47">
        <v>9</v>
      </c>
      <c r="J401" s="14">
        <v>9</v>
      </c>
      <c r="K401" s="48">
        <f t="shared" si="34"/>
        <v>0.769135802469136</v>
      </c>
      <c r="L401" s="61">
        <f t="shared" si="35"/>
        <v>6.92222222222222</v>
      </c>
      <c r="M401" s="46">
        <f t="shared" si="36"/>
        <v>18.7</v>
      </c>
      <c r="Q401" s="13"/>
    </row>
    <row r="402" hidden="1" customHeight="1" outlineLevel="1" spans="1:17">
      <c r="A402" s="24">
        <v>45666</v>
      </c>
      <c r="B402" s="24">
        <v>45673</v>
      </c>
      <c r="D402" s="14">
        <f t="shared" si="37"/>
        <v>1.8</v>
      </c>
      <c r="E402" s="14">
        <v>0</v>
      </c>
      <c r="F402" s="46">
        <v>2</v>
      </c>
      <c r="H402" s="60">
        <f t="shared" si="33"/>
        <v>1.95384615384615</v>
      </c>
      <c r="I402" s="47">
        <v>13</v>
      </c>
      <c r="J402" s="14">
        <v>9</v>
      </c>
      <c r="K402" s="48">
        <f t="shared" si="34"/>
        <v>0.782905982905983</v>
      </c>
      <c r="L402" s="61">
        <f t="shared" si="35"/>
        <v>7.04615384615385</v>
      </c>
      <c r="M402" s="46">
        <f t="shared" si="36"/>
        <v>25.4</v>
      </c>
      <c r="Q402" s="13"/>
    </row>
    <row r="403" hidden="1" customHeight="1" outlineLevel="1" spans="1:17">
      <c r="A403" s="24">
        <v>45666</v>
      </c>
      <c r="B403" s="24">
        <v>45675</v>
      </c>
      <c r="D403" s="14">
        <f t="shared" si="37"/>
        <v>1.8</v>
      </c>
      <c r="E403" s="14">
        <v>0</v>
      </c>
      <c r="F403" s="46">
        <v>2.5</v>
      </c>
      <c r="H403" s="60">
        <f t="shared" si="33"/>
        <v>2.02727272727273</v>
      </c>
      <c r="I403" s="47">
        <v>11</v>
      </c>
      <c r="J403" s="14">
        <v>9</v>
      </c>
      <c r="K403" s="48">
        <f t="shared" si="34"/>
        <v>0.774747474747475</v>
      </c>
      <c r="L403" s="61">
        <f t="shared" si="35"/>
        <v>6.97272727272727</v>
      </c>
      <c r="M403" s="46">
        <f t="shared" si="36"/>
        <v>22.3</v>
      </c>
      <c r="Q403" s="13"/>
    </row>
    <row r="404" hidden="1" customHeight="1" outlineLevel="1" spans="1:17">
      <c r="A404" s="24">
        <v>45675</v>
      </c>
      <c r="B404" s="64">
        <v>45689</v>
      </c>
      <c r="D404" s="14">
        <f t="shared" si="37"/>
        <v>1.8</v>
      </c>
      <c r="E404" s="14">
        <v>0</v>
      </c>
      <c r="F404" s="46">
        <v>3</v>
      </c>
      <c r="H404" s="60">
        <f t="shared" si="33"/>
        <v>2.07272727272727</v>
      </c>
      <c r="I404" s="47">
        <v>11</v>
      </c>
      <c r="J404" s="14">
        <v>9</v>
      </c>
      <c r="K404" s="48">
        <f t="shared" si="34"/>
        <v>0.76969696969697</v>
      </c>
      <c r="L404" s="61">
        <f t="shared" si="35"/>
        <v>6.92727272727273</v>
      </c>
      <c r="M404" s="46">
        <f t="shared" si="36"/>
        <v>22.8</v>
      </c>
      <c r="Q404" s="13"/>
    </row>
    <row r="405" hidden="1" customHeight="1" outlineLevel="1" spans="1:17">
      <c r="A405" s="24">
        <v>45675</v>
      </c>
      <c r="B405" s="24">
        <v>45690</v>
      </c>
      <c r="D405" s="14">
        <f t="shared" si="37"/>
        <v>1.8</v>
      </c>
      <c r="E405" s="14">
        <v>0</v>
      </c>
      <c r="F405" s="46">
        <v>10</v>
      </c>
      <c r="H405" s="60">
        <f t="shared" si="33"/>
        <v>3.46666666666667</v>
      </c>
      <c r="I405" s="47">
        <v>6</v>
      </c>
      <c r="J405" s="14">
        <v>9</v>
      </c>
      <c r="K405" s="48">
        <f t="shared" si="34"/>
        <v>0.614814814814815</v>
      </c>
      <c r="L405" s="61">
        <f t="shared" si="35"/>
        <v>5.53333333333333</v>
      </c>
      <c r="M405" s="46">
        <f t="shared" si="36"/>
        <v>20.8</v>
      </c>
      <c r="Q405" s="13"/>
    </row>
    <row r="406" hidden="1" customHeight="1" outlineLevel="1" spans="1:17">
      <c r="A406" s="24">
        <v>45675</v>
      </c>
      <c r="B406" s="24">
        <v>45696</v>
      </c>
      <c r="D406" s="14">
        <f t="shared" si="37"/>
        <v>1.8</v>
      </c>
      <c r="E406" s="14">
        <v>0</v>
      </c>
      <c r="F406" s="46">
        <v>2.8</v>
      </c>
      <c r="H406" s="60">
        <f t="shared" si="33"/>
        <v>2.11111111111111</v>
      </c>
      <c r="I406" s="47">
        <v>9</v>
      </c>
      <c r="J406" s="14">
        <v>9</v>
      </c>
      <c r="K406" s="48">
        <f t="shared" si="34"/>
        <v>0.765432098765432</v>
      </c>
      <c r="L406" s="61">
        <f t="shared" si="35"/>
        <v>6.88888888888889</v>
      </c>
      <c r="M406" s="46">
        <f t="shared" si="36"/>
        <v>19</v>
      </c>
      <c r="Q406" s="13"/>
    </row>
    <row r="407" hidden="1" customHeight="1" outlineLevel="1" spans="1:17">
      <c r="A407" s="24">
        <v>45675</v>
      </c>
      <c r="B407" s="24">
        <v>45699</v>
      </c>
      <c r="D407" s="14">
        <f t="shared" si="37"/>
        <v>1.8</v>
      </c>
      <c r="E407" s="14">
        <v>0</v>
      </c>
      <c r="F407" s="46">
        <v>1</v>
      </c>
      <c r="H407" s="60">
        <f t="shared" si="33"/>
        <v>2</v>
      </c>
      <c r="I407" s="47">
        <v>5</v>
      </c>
      <c r="J407" s="14">
        <v>9</v>
      </c>
      <c r="K407" s="48">
        <f t="shared" si="34"/>
        <v>0.777777777777778</v>
      </c>
      <c r="L407" s="61">
        <f t="shared" si="35"/>
        <v>7</v>
      </c>
      <c r="M407" s="46">
        <f t="shared" si="36"/>
        <v>10</v>
      </c>
      <c r="Q407" s="13"/>
    </row>
    <row r="408" hidden="1" customHeight="1" outlineLevel="1" spans="1:17">
      <c r="A408" s="24">
        <v>45698</v>
      </c>
      <c r="B408" s="24">
        <v>45700</v>
      </c>
      <c r="D408" s="14">
        <f t="shared" si="37"/>
        <v>1.8</v>
      </c>
      <c r="E408" s="14">
        <v>0</v>
      </c>
      <c r="F408" s="46">
        <v>4</v>
      </c>
      <c r="H408" s="60">
        <f t="shared" si="33"/>
        <v>2.24444444444444</v>
      </c>
      <c r="I408" s="47">
        <v>9</v>
      </c>
      <c r="J408" s="14">
        <v>9</v>
      </c>
      <c r="K408" s="48">
        <f t="shared" si="34"/>
        <v>0.750617283950617</v>
      </c>
      <c r="L408" s="61">
        <f t="shared" si="35"/>
        <v>6.75555555555556</v>
      </c>
      <c r="M408" s="46">
        <f t="shared" si="36"/>
        <v>20.2</v>
      </c>
      <c r="Q408" s="66" t="s">
        <v>39</v>
      </c>
    </row>
    <row r="409" hidden="1" customHeight="1" outlineLevel="1" spans="1:17">
      <c r="A409" s="24">
        <v>45698</v>
      </c>
      <c r="B409" s="24">
        <v>45703</v>
      </c>
      <c r="D409" s="14">
        <f t="shared" si="37"/>
        <v>1.8</v>
      </c>
      <c r="E409" s="14">
        <v>0</v>
      </c>
      <c r="F409" s="46">
        <v>2.6</v>
      </c>
      <c r="H409" s="60">
        <f t="shared" si="33"/>
        <v>2</v>
      </c>
      <c r="I409" s="47">
        <v>13</v>
      </c>
      <c r="J409" s="14">
        <v>9</v>
      </c>
      <c r="K409" s="48">
        <f t="shared" si="34"/>
        <v>0.777777777777778</v>
      </c>
      <c r="L409" s="61">
        <f t="shared" si="35"/>
        <v>7</v>
      </c>
      <c r="M409" s="46">
        <f t="shared" si="36"/>
        <v>26</v>
      </c>
      <c r="Q409" s="66"/>
    </row>
    <row r="410" hidden="1" customHeight="1" outlineLevel="1" spans="1:17">
      <c r="A410" s="24">
        <v>45700</v>
      </c>
      <c r="B410" s="24">
        <v>45705</v>
      </c>
      <c r="D410" s="14">
        <f t="shared" si="37"/>
        <v>1.8</v>
      </c>
      <c r="E410" s="14">
        <v>0</v>
      </c>
      <c r="F410" s="46">
        <v>2</v>
      </c>
      <c r="H410" s="60">
        <f t="shared" si="33"/>
        <v>2</v>
      </c>
      <c r="I410" s="47">
        <v>10</v>
      </c>
      <c r="J410" s="14">
        <v>9</v>
      </c>
      <c r="K410" s="48">
        <f t="shared" si="34"/>
        <v>0.777777777777778</v>
      </c>
      <c r="L410" s="61">
        <f t="shared" si="35"/>
        <v>7</v>
      </c>
      <c r="M410" s="46">
        <f t="shared" si="36"/>
        <v>20</v>
      </c>
      <c r="Q410" s="66"/>
    </row>
    <row r="411" hidden="1" customHeight="1" outlineLevel="1" spans="1:17">
      <c r="A411" s="24">
        <v>45705</v>
      </c>
      <c r="B411" s="24">
        <v>45709</v>
      </c>
      <c r="D411" s="14">
        <f t="shared" si="37"/>
        <v>1.8</v>
      </c>
      <c r="E411" s="14">
        <v>0</v>
      </c>
      <c r="F411" s="46">
        <v>2</v>
      </c>
      <c r="H411" s="60">
        <f t="shared" si="33"/>
        <v>1.95384615384615</v>
      </c>
      <c r="I411" s="47">
        <v>13</v>
      </c>
      <c r="J411" s="14">
        <v>9</v>
      </c>
      <c r="K411" s="48">
        <f t="shared" si="34"/>
        <v>0.782905982905983</v>
      </c>
      <c r="L411" s="61">
        <f t="shared" si="35"/>
        <v>7.04615384615385</v>
      </c>
      <c r="M411" s="46">
        <f t="shared" si="36"/>
        <v>25.4</v>
      </c>
      <c r="Q411" s="66"/>
    </row>
    <row r="412" hidden="1" customHeight="1" outlineLevel="1" spans="1:17">
      <c r="A412" s="24">
        <v>45705</v>
      </c>
      <c r="B412" s="24">
        <v>45710</v>
      </c>
      <c r="D412" s="14">
        <f t="shared" si="37"/>
        <v>1.8</v>
      </c>
      <c r="E412" s="14">
        <v>0</v>
      </c>
      <c r="F412" s="46">
        <v>2.5</v>
      </c>
      <c r="H412" s="60">
        <f t="shared" si="33"/>
        <v>1.99230769230769</v>
      </c>
      <c r="I412" s="47">
        <v>13</v>
      </c>
      <c r="J412" s="14">
        <v>9</v>
      </c>
      <c r="K412" s="48">
        <f t="shared" si="34"/>
        <v>0.778632478632479</v>
      </c>
      <c r="L412" s="61">
        <f t="shared" si="35"/>
        <v>7.00769230769231</v>
      </c>
      <c r="M412" s="46">
        <f t="shared" si="36"/>
        <v>25.9</v>
      </c>
      <c r="Q412" s="66"/>
    </row>
    <row r="413" hidden="1" customHeight="1" outlineLevel="1" spans="1:17">
      <c r="A413" s="24">
        <v>45717</v>
      </c>
      <c r="B413" s="24">
        <v>45721</v>
      </c>
      <c r="D413" s="14">
        <f t="shared" ref="D413:D424" si="38">0.7*3</f>
        <v>2.1</v>
      </c>
      <c r="E413" s="14">
        <v>0</v>
      </c>
      <c r="F413" s="46">
        <v>2</v>
      </c>
      <c r="H413" s="60">
        <f t="shared" si="33"/>
        <v>2.20526315789474</v>
      </c>
      <c r="I413" s="47">
        <v>19</v>
      </c>
      <c r="J413" s="14">
        <v>9</v>
      </c>
      <c r="K413" s="48">
        <f t="shared" si="34"/>
        <v>0.754970760233918</v>
      </c>
      <c r="L413" s="61">
        <f t="shared" si="35"/>
        <v>6.79473684210526</v>
      </c>
      <c r="M413" s="46">
        <f t="shared" si="36"/>
        <v>41.9</v>
      </c>
      <c r="Q413" s="66"/>
    </row>
    <row r="414" hidden="1" customHeight="1" outlineLevel="1" spans="1:17">
      <c r="A414" s="24">
        <v>45727</v>
      </c>
      <c r="B414" s="24">
        <v>45740</v>
      </c>
      <c r="D414" s="14">
        <f t="shared" si="38"/>
        <v>2.1</v>
      </c>
      <c r="E414" s="14">
        <v>0</v>
      </c>
      <c r="F414" s="46">
        <v>1</v>
      </c>
      <c r="H414" s="60">
        <f t="shared" si="33"/>
        <v>2.2</v>
      </c>
      <c r="I414" s="47">
        <v>10</v>
      </c>
      <c r="J414" s="14">
        <v>9</v>
      </c>
      <c r="K414" s="48">
        <f t="shared" si="34"/>
        <v>0.755555555555556</v>
      </c>
      <c r="L414" s="61">
        <f t="shared" si="35"/>
        <v>6.8</v>
      </c>
      <c r="M414" s="46">
        <f t="shared" si="36"/>
        <v>22</v>
      </c>
      <c r="Q414" s="66"/>
    </row>
    <row r="415" hidden="1" customHeight="1" outlineLevel="1" spans="1:17">
      <c r="A415" s="64">
        <v>45740</v>
      </c>
      <c r="B415" s="24">
        <v>45745</v>
      </c>
      <c r="D415" s="14">
        <f t="shared" si="38"/>
        <v>2.1</v>
      </c>
      <c r="E415" s="14">
        <v>0</v>
      </c>
      <c r="F415" s="46">
        <v>1</v>
      </c>
      <c r="H415" s="60">
        <f t="shared" si="33"/>
        <v>2.2</v>
      </c>
      <c r="I415" s="47">
        <v>10</v>
      </c>
      <c r="J415" s="14">
        <v>9.6</v>
      </c>
      <c r="K415" s="48">
        <f t="shared" si="34"/>
        <v>0.770833333333333</v>
      </c>
      <c r="L415" s="61">
        <f t="shared" si="35"/>
        <v>7.4</v>
      </c>
      <c r="M415" s="46">
        <f t="shared" si="36"/>
        <v>22</v>
      </c>
      <c r="Q415" s="66"/>
    </row>
    <row r="416" hidden="1" customHeight="1" outlineLevel="1" spans="1:17">
      <c r="A416" s="64">
        <v>45755</v>
      </c>
      <c r="B416" s="24">
        <v>45758</v>
      </c>
      <c r="D416" s="14">
        <f t="shared" si="38"/>
        <v>2.1</v>
      </c>
      <c r="E416" s="14">
        <v>1</v>
      </c>
      <c r="F416" s="46">
        <v>3</v>
      </c>
      <c r="H416" s="60">
        <f t="shared" si="33"/>
        <v>2.36666666666667</v>
      </c>
      <c r="I416" s="47">
        <v>15</v>
      </c>
      <c r="J416" s="14">
        <v>9.6</v>
      </c>
      <c r="K416" s="48">
        <f t="shared" si="34"/>
        <v>0.753472222222222</v>
      </c>
      <c r="L416" s="61">
        <f t="shared" si="35"/>
        <v>7.23333333333333</v>
      </c>
      <c r="M416" s="46">
        <f t="shared" si="36"/>
        <v>35.5</v>
      </c>
      <c r="Q416" s="66"/>
    </row>
    <row r="417" hidden="1" customHeight="1" outlineLevel="1" spans="1:17">
      <c r="A417" s="64">
        <v>45767</v>
      </c>
      <c r="B417" s="24">
        <v>45770</v>
      </c>
      <c r="D417" s="14">
        <f t="shared" si="38"/>
        <v>2.1</v>
      </c>
      <c r="E417" s="14">
        <v>0</v>
      </c>
      <c r="F417" s="46">
        <v>1</v>
      </c>
      <c r="H417" s="60">
        <f t="shared" si="33"/>
        <v>2.21111111111111</v>
      </c>
      <c r="I417" s="47">
        <v>9</v>
      </c>
      <c r="J417" s="14">
        <v>9.6</v>
      </c>
      <c r="K417" s="48">
        <f t="shared" si="34"/>
        <v>0.769675925925926</v>
      </c>
      <c r="L417" s="61">
        <f t="shared" si="35"/>
        <v>7.38888888888889</v>
      </c>
      <c r="M417" s="46">
        <f t="shared" si="36"/>
        <v>19.9</v>
      </c>
      <c r="Q417" s="66"/>
    </row>
    <row r="418" hidden="1" customHeight="1" outlineLevel="1" spans="1:17">
      <c r="A418" s="64">
        <v>45767</v>
      </c>
      <c r="B418" s="64">
        <v>45773</v>
      </c>
      <c r="D418" s="14">
        <f t="shared" si="38"/>
        <v>2.1</v>
      </c>
      <c r="E418" s="14">
        <v>0</v>
      </c>
      <c r="F418" s="46">
        <v>2</v>
      </c>
      <c r="H418" s="60">
        <f t="shared" si="33"/>
        <v>2.35</v>
      </c>
      <c r="I418" s="47">
        <v>8</v>
      </c>
      <c r="J418" s="14">
        <v>9.6</v>
      </c>
      <c r="K418" s="48">
        <f t="shared" si="34"/>
        <v>0.755208333333333</v>
      </c>
      <c r="L418" s="61">
        <f t="shared" si="35"/>
        <v>7.25</v>
      </c>
      <c r="M418" s="46">
        <f t="shared" si="36"/>
        <v>18.8</v>
      </c>
      <c r="Q418" s="66"/>
    </row>
    <row r="419" hidden="1" customHeight="1" outlineLevel="1" spans="1:17">
      <c r="A419" s="64">
        <v>45781</v>
      </c>
      <c r="B419" s="64">
        <v>45785</v>
      </c>
      <c r="D419" s="14">
        <f t="shared" si="38"/>
        <v>2.1</v>
      </c>
      <c r="E419" s="14">
        <v>0</v>
      </c>
      <c r="F419" s="46">
        <v>2</v>
      </c>
      <c r="H419" s="60">
        <f t="shared" si="33"/>
        <v>2.25384615384615</v>
      </c>
      <c r="I419" s="47">
        <v>13</v>
      </c>
      <c r="J419" s="14">
        <v>9.6</v>
      </c>
      <c r="K419" s="48">
        <f t="shared" si="34"/>
        <v>0.765224358974359</v>
      </c>
      <c r="L419" s="61">
        <f t="shared" si="35"/>
        <v>7.34615384615385</v>
      </c>
      <c r="M419" s="46">
        <f t="shared" si="36"/>
        <v>29.3</v>
      </c>
      <c r="Q419" s="66"/>
    </row>
    <row r="420" hidden="1" customHeight="1" outlineLevel="1" spans="1:17">
      <c r="A420" s="64">
        <v>45781</v>
      </c>
      <c r="B420" s="64">
        <v>45791</v>
      </c>
      <c r="D420" s="14">
        <f t="shared" si="38"/>
        <v>2.1</v>
      </c>
      <c r="E420" s="14">
        <v>0</v>
      </c>
      <c r="F420" s="46">
        <v>1</v>
      </c>
      <c r="H420" s="60">
        <f t="shared" si="33"/>
        <v>2.17692307692308</v>
      </c>
      <c r="I420" s="47">
        <v>13</v>
      </c>
      <c r="J420" s="14">
        <v>9.6</v>
      </c>
      <c r="K420" s="48">
        <f t="shared" si="34"/>
        <v>0.77323717948718</v>
      </c>
      <c r="L420" s="61">
        <f t="shared" si="35"/>
        <v>7.42307692307692</v>
      </c>
      <c r="M420" s="46">
        <f t="shared" si="36"/>
        <v>28.3</v>
      </c>
      <c r="Q420" s="66"/>
    </row>
    <row r="421" hidden="1" customHeight="1" outlineLevel="1" spans="1:17">
      <c r="A421" s="64">
        <v>45792</v>
      </c>
      <c r="B421" s="64">
        <v>45795</v>
      </c>
      <c r="D421" s="14">
        <f t="shared" si="38"/>
        <v>2.1</v>
      </c>
      <c r="E421" s="14">
        <v>0</v>
      </c>
      <c r="F421" s="46">
        <v>2</v>
      </c>
      <c r="H421" s="60">
        <f t="shared" si="33"/>
        <v>2.20526315789474</v>
      </c>
      <c r="I421" s="47">
        <v>19</v>
      </c>
      <c r="J421" s="14">
        <v>9.6</v>
      </c>
      <c r="K421" s="48">
        <f t="shared" si="34"/>
        <v>0.770285087719298</v>
      </c>
      <c r="L421" s="61">
        <f t="shared" si="35"/>
        <v>7.39473684210526</v>
      </c>
      <c r="M421" s="46">
        <f t="shared" si="36"/>
        <v>41.9</v>
      </c>
      <c r="Q421" s="66"/>
    </row>
    <row r="422" hidden="1" customHeight="1" outlineLevel="1" spans="1:17">
      <c r="A422" s="64">
        <v>45800</v>
      </c>
      <c r="B422" s="64">
        <v>45805</v>
      </c>
      <c r="D422" s="14">
        <f t="shared" si="38"/>
        <v>2.1</v>
      </c>
      <c r="E422" s="14">
        <v>0</v>
      </c>
      <c r="F422" s="46">
        <v>2</v>
      </c>
      <c r="H422" s="60">
        <f t="shared" si="33"/>
        <v>2.32222222222222</v>
      </c>
      <c r="I422" s="47">
        <v>9</v>
      </c>
      <c r="J422" s="14">
        <v>9.6</v>
      </c>
      <c r="K422" s="48">
        <f t="shared" si="34"/>
        <v>0.758101851851852</v>
      </c>
      <c r="L422" s="61">
        <f t="shared" si="35"/>
        <v>7.27777777777778</v>
      </c>
      <c r="M422" s="46">
        <f t="shared" si="36"/>
        <v>20.9</v>
      </c>
      <c r="Q422" s="66"/>
    </row>
    <row r="423" hidden="1" customHeight="1" outlineLevel="1" spans="1:17">
      <c r="A423" s="64">
        <v>45800</v>
      </c>
      <c r="B423" s="64">
        <v>45811</v>
      </c>
      <c r="D423" s="14">
        <f t="shared" si="38"/>
        <v>2.1</v>
      </c>
      <c r="E423" s="14">
        <v>0</v>
      </c>
      <c r="F423" s="46">
        <v>2</v>
      </c>
      <c r="H423" s="60">
        <f t="shared" si="33"/>
        <v>2.26666666666667</v>
      </c>
      <c r="I423" s="47">
        <v>12</v>
      </c>
      <c r="J423" s="14">
        <v>9.6</v>
      </c>
      <c r="K423" s="48">
        <f t="shared" si="34"/>
        <v>0.763888888888889</v>
      </c>
      <c r="L423" s="61">
        <f t="shared" si="35"/>
        <v>7.33333333333333</v>
      </c>
      <c r="M423" s="46">
        <f t="shared" si="36"/>
        <v>27.2</v>
      </c>
      <c r="Q423" s="66"/>
    </row>
    <row r="424" hidden="1" customHeight="1" outlineLevel="1" spans="1:17">
      <c r="A424" s="64">
        <v>45800</v>
      </c>
      <c r="B424" s="64">
        <v>45813</v>
      </c>
      <c r="D424" s="14">
        <f t="shared" si="38"/>
        <v>2.1</v>
      </c>
      <c r="E424" s="14">
        <v>1</v>
      </c>
      <c r="F424" s="46">
        <v>2</v>
      </c>
      <c r="H424" s="60">
        <f t="shared" si="33"/>
        <v>2.37272727272727</v>
      </c>
      <c r="I424" s="47">
        <v>11</v>
      </c>
      <c r="J424" s="14">
        <v>9.6</v>
      </c>
      <c r="K424" s="48">
        <f t="shared" si="34"/>
        <v>0.752840909090909</v>
      </c>
      <c r="L424" s="61">
        <f t="shared" si="35"/>
        <v>7.22727272727273</v>
      </c>
      <c r="M424" s="46">
        <f t="shared" si="36"/>
        <v>26.1</v>
      </c>
      <c r="Q424" s="66"/>
    </row>
    <row r="425" hidden="1" customHeight="1" outlineLevel="1" spans="1:17">
      <c r="A425" s="64">
        <v>45812</v>
      </c>
      <c r="B425" s="64">
        <v>45819</v>
      </c>
      <c r="D425" s="14">
        <f t="shared" ref="D425:D438" si="39">0.62*3</f>
        <v>1.86</v>
      </c>
      <c r="E425" s="14">
        <v>0</v>
      </c>
      <c r="F425" s="46">
        <v>2</v>
      </c>
      <c r="H425" s="60">
        <f t="shared" si="33"/>
        <v>1.96</v>
      </c>
      <c r="I425" s="47">
        <v>20</v>
      </c>
      <c r="J425" s="14">
        <v>9.6</v>
      </c>
      <c r="K425" s="48">
        <f t="shared" si="34"/>
        <v>0.795833333333333</v>
      </c>
      <c r="L425" s="61">
        <f t="shared" si="35"/>
        <v>7.64</v>
      </c>
      <c r="M425" s="46">
        <f t="shared" si="36"/>
        <v>39.2</v>
      </c>
      <c r="Q425" s="66"/>
    </row>
    <row r="426" hidden="1" customHeight="1" outlineLevel="1" spans="1:17">
      <c r="A426" s="64">
        <v>45812</v>
      </c>
      <c r="B426" s="64">
        <v>45832</v>
      </c>
      <c r="D426" s="14">
        <f t="shared" si="39"/>
        <v>1.86</v>
      </c>
      <c r="E426" s="14">
        <v>0</v>
      </c>
      <c r="F426" s="46">
        <v>2</v>
      </c>
      <c r="H426" s="60">
        <f t="shared" si="33"/>
        <v>2.19333333333333</v>
      </c>
      <c r="I426" s="47">
        <v>6</v>
      </c>
      <c r="J426" s="14">
        <v>9</v>
      </c>
      <c r="K426" s="48">
        <f t="shared" si="34"/>
        <v>0.756296296296296</v>
      </c>
      <c r="L426" s="61">
        <f t="shared" si="35"/>
        <v>6.80666666666667</v>
      </c>
      <c r="M426" s="46">
        <f t="shared" si="36"/>
        <v>13.16</v>
      </c>
      <c r="Q426" s="66"/>
    </row>
    <row r="427" hidden="1" customHeight="1" outlineLevel="1" spans="1:17">
      <c r="A427" s="64">
        <v>45812</v>
      </c>
      <c r="B427" s="64">
        <v>45835</v>
      </c>
      <c r="D427" s="14">
        <f t="shared" si="39"/>
        <v>1.86</v>
      </c>
      <c r="E427" s="14">
        <v>0</v>
      </c>
      <c r="F427" s="46">
        <v>2</v>
      </c>
      <c r="H427" s="60">
        <f t="shared" si="33"/>
        <v>2.19333333333333</v>
      </c>
      <c r="I427" s="47">
        <v>6</v>
      </c>
      <c r="J427" s="14">
        <v>9</v>
      </c>
      <c r="K427" s="48">
        <f t="shared" si="34"/>
        <v>0.756296296296296</v>
      </c>
      <c r="L427" s="61">
        <f t="shared" si="35"/>
        <v>6.80666666666667</v>
      </c>
      <c r="M427" s="46">
        <f t="shared" si="36"/>
        <v>13.16</v>
      </c>
      <c r="Q427" s="66"/>
    </row>
    <row r="428" hidden="1" customHeight="1" outlineLevel="1" spans="1:17">
      <c r="A428" s="64">
        <v>45832</v>
      </c>
      <c r="B428" s="64">
        <v>45838</v>
      </c>
      <c r="D428" s="14">
        <f t="shared" si="39"/>
        <v>1.86</v>
      </c>
      <c r="E428" s="14">
        <v>0</v>
      </c>
      <c r="F428" s="46">
        <v>2</v>
      </c>
      <c r="H428" s="60">
        <f t="shared" si="33"/>
        <v>2.11</v>
      </c>
      <c r="I428" s="47">
        <v>8</v>
      </c>
      <c r="J428" s="14">
        <v>9</v>
      </c>
      <c r="K428" s="48">
        <f t="shared" si="34"/>
        <v>0.765555555555556</v>
      </c>
      <c r="L428" s="61">
        <f t="shared" si="35"/>
        <v>6.89</v>
      </c>
      <c r="M428" s="46">
        <f t="shared" si="36"/>
        <v>16.88</v>
      </c>
      <c r="Q428" s="66"/>
    </row>
    <row r="429" hidden="1" customHeight="1" outlineLevel="1" spans="1:17">
      <c r="A429" s="64">
        <v>45832</v>
      </c>
      <c r="B429" s="64">
        <v>45841</v>
      </c>
      <c r="D429" s="14">
        <f t="shared" si="39"/>
        <v>1.86</v>
      </c>
      <c r="E429" s="14">
        <v>0</v>
      </c>
      <c r="F429" s="46">
        <v>2</v>
      </c>
      <c r="H429" s="60">
        <f t="shared" si="33"/>
        <v>2.08222222222222</v>
      </c>
      <c r="I429" s="47">
        <v>9</v>
      </c>
      <c r="J429" s="14">
        <v>9</v>
      </c>
      <c r="K429" s="48">
        <f t="shared" si="34"/>
        <v>0.768641975308642</v>
      </c>
      <c r="L429" s="61">
        <f t="shared" si="35"/>
        <v>6.91777777777778</v>
      </c>
      <c r="M429" s="46">
        <f t="shared" si="36"/>
        <v>18.74</v>
      </c>
      <c r="Q429" s="66"/>
    </row>
    <row r="430" hidden="1" customHeight="1" outlineLevel="1" spans="1:17">
      <c r="A430" s="64">
        <v>45832</v>
      </c>
      <c r="B430" s="64">
        <v>45842</v>
      </c>
      <c r="D430" s="14">
        <f t="shared" si="39"/>
        <v>1.86</v>
      </c>
      <c r="E430" s="14">
        <v>0</v>
      </c>
      <c r="F430" s="46">
        <v>2</v>
      </c>
      <c r="H430" s="60">
        <f t="shared" si="33"/>
        <v>2.08222222222222</v>
      </c>
      <c r="I430" s="47">
        <v>9</v>
      </c>
      <c r="J430" s="14">
        <v>9</v>
      </c>
      <c r="K430" s="48">
        <f t="shared" si="34"/>
        <v>0.768641975308642</v>
      </c>
      <c r="L430" s="61">
        <f t="shared" si="35"/>
        <v>6.91777777777778</v>
      </c>
      <c r="M430" s="46">
        <f t="shared" si="36"/>
        <v>18.74</v>
      </c>
      <c r="Q430" s="66"/>
    </row>
    <row r="431" hidden="1" customHeight="1" outlineLevel="1" spans="1:17">
      <c r="A431" s="64">
        <v>45842</v>
      </c>
      <c r="B431" s="64">
        <v>45848</v>
      </c>
      <c r="D431" s="14">
        <f t="shared" si="39"/>
        <v>1.86</v>
      </c>
      <c r="E431" s="14">
        <v>0</v>
      </c>
      <c r="F431" s="46">
        <v>3</v>
      </c>
      <c r="H431" s="60">
        <f t="shared" si="33"/>
        <v>2.16</v>
      </c>
      <c r="I431" s="47">
        <v>10</v>
      </c>
      <c r="J431" s="14">
        <v>9</v>
      </c>
      <c r="K431" s="48">
        <f t="shared" si="34"/>
        <v>0.76</v>
      </c>
      <c r="L431" s="61">
        <f t="shared" si="35"/>
        <v>6.84</v>
      </c>
      <c r="M431" s="46">
        <f t="shared" si="36"/>
        <v>21.6</v>
      </c>
      <c r="Q431" s="66"/>
    </row>
    <row r="432" hidden="1" customHeight="1" outlineLevel="1" spans="1:17">
      <c r="A432" s="64">
        <v>45842</v>
      </c>
      <c r="B432" s="64">
        <v>45851</v>
      </c>
      <c r="D432" s="14">
        <f t="shared" si="39"/>
        <v>1.86</v>
      </c>
      <c r="E432" s="14">
        <v>0</v>
      </c>
      <c r="F432" s="46">
        <v>3</v>
      </c>
      <c r="H432" s="60">
        <f t="shared" si="33"/>
        <v>2.16</v>
      </c>
      <c r="I432" s="47">
        <v>10</v>
      </c>
      <c r="J432" s="14">
        <v>9</v>
      </c>
      <c r="K432" s="48">
        <f t="shared" si="34"/>
        <v>0.76</v>
      </c>
      <c r="L432" s="61">
        <f t="shared" si="35"/>
        <v>6.84</v>
      </c>
      <c r="M432" s="46">
        <f t="shared" si="36"/>
        <v>21.6</v>
      </c>
      <c r="Q432" s="66"/>
    </row>
    <row r="433" hidden="1" customHeight="1" outlineLevel="1" spans="1:17">
      <c r="A433" s="64">
        <v>45850</v>
      </c>
      <c r="B433" s="64">
        <v>45858</v>
      </c>
      <c r="D433" s="14">
        <f t="shared" si="39"/>
        <v>1.86</v>
      </c>
      <c r="E433" s="14">
        <v>0</v>
      </c>
      <c r="F433" s="46">
        <v>2</v>
      </c>
      <c r="H433" s="60">
        <f t="shared" si="33"/>
        <v>2.08222222222222</v>
      </c>
      <c r="I433" s="47">
        <v>9</v>
      </c>
      <c r="J433" s="14">
        <v>9</v>
      </c>
      <c r="K433" s="48">
        <f t="shared" si="34"/>
        <v>0.768641975308642</v>
      </c>
      <c r="L433" s="61">
        <f t="shared" si="35"/>
        <v>6.91777777777778</v>
      </c>
      <c r="M433" s="46">
        <f t="shared" si="36"/>
        <v>18.74</v>
      </c>
      <c r="Q433" s="66"/>
    </row>
    <row r="434" hidden="1" customHeight="1" outlineLevel="1" spans="1:17">
      <c r="A434" s="64">
        <v>45858</v>
      </c>
      <c r="B434" s="64">
        <v>45862</v>
      </c>
      <c r="D434" s="14">
        <f t="shared" si="39"/>
        <v>1.86</v>
      </c>
      <c r="E434" s="14">
        <v>0</v>
      </c>
      <c r="F434" s="46">
        <v>2</v>
      </c>
      <c r="H434" s="60">
        <f t="shared" si="33"/>
        <v>2.06</v>
      </c>
      <c r="I434" s="47">
        <v>10</v>
      </c>
      <c r="J434" s="14">
        <v>9</v>
      </c>
      <c r="K434" s="48">
        <f t="shared" si="34"/>
        <v>0.771111111111111</v>
      </c>
      <c r="L434" s="61">
        <f t="shared" si="35"/>
        <v>6.94</v>
      </c>
      <c r="M434" s="46">
        <f t="shared" si="36"/>
        <v>20.6</v>
      </c>
      <c r="Q434" s="66"/>
    </row>
    <row r="435" hidden="1" customHeight="1" outlineLevel="1" spans="1:17">
      <c r="A435" s="64">
        <v>45858</v>
      </c>
      <c r="B435" s="64">
        <v>45867</v>
      </c>
      <c r="C435" s="58"/>
      <c r="D435" s="14">
        <f t="shared" si="39"/>
        <v>1.86</v>
      </c>
      <c r="E435" s="14">
        <v>0</v>
      </c>
      <c r="F435" s="46">
        <v>2</v>
      </c>
      <c r="H435" s="60">
        <f t="shared" si="33"/>
        <v>1.96526315789474</v>
      </c>
      <c r="I435" s="47">
        <v>19</v>
      </c>
      <c r="J435" s="14">
        <v>9</v>
      </c>
      <c r="K435" s="48">
        <f t="shared" si="34"/>
        <v>0.781637426900585</v>
      </c>
      <c r="L435" s="61">
        <f t="shared" si="35"/>
        <v>7.03473684210526</v>
      </c>
      <c r="M435" s="46">
        <f t="shared" si="36"/>
        <v>37.34</v>
      </c>
      <c r="N435" s="58"/>
      <c r="O435" s="58"/>
      <c r="P435" s="58"/>
      <c r="Q435" s="13"/>
    </row>
    <row r="436" hidden="1" customHeight="1" outlineLevel="1" spans="1:17">
      <c r="A436" s="64">
        <v>45866</v>
      </c>
      <c r="B436" s="37">
        <v>45874</v>
      </c>
      <c r="C436" s="58"/>
      <c r="D436" s="14">
        <f t="shared" si="39"/>
        <v>1.86</v>
      </c>
      <c r="E436" s="14">
        <v>0</v>
      </c>
      <c r="F436" s="46">
        <v>2</v>
      </c>
      <c r="H436" s="60">
        <f t="shared" si="33"/>
        <v>1.95090909090909</v>
      </c>
      <c r="I436" s="47">
        <v>22</v>
      </c>
      <c r="J436" s="14">
        <v>9</v>
      </c>
      <c r="K436" s="48">
        <f t="shared" si="34"/>
        <v>0.783232323232323</v>
      </c>
      <c r="L436" s="61">
        <f t="shared" si="35"/>
        <v>7.04909090909091</v>
      </c>
      <c r="M436" s="46">
        <f t="shared" si="36"/>
        <v>42.92</v>
      </c>
      <c r="N436" s="58"/>
      <c r="O436" s="58"/>
      <c r="P436" s="58"/>
      <c r="Q436" s="13"/>
    </row>
    <row r="437" hidden="1" customHeight="1" outlineLevel="1" spans="1:17">
      <c r="A437" s="24">
        <v>45874</v>
      </c>
      <c r="B437" s="37">
        <v>45887</v>
      </c>
      <c r="C437" s="58"/>
      <c r="D437" s="14">
        <f t="shared" si="39"/>
        <v>1.86</v>
      </c>
      <c r="E437" s="14">
        <v>0</v>
      </c>
      <c r="F437" s="46">
        <v>1</v>
      </c>
      <c r="H437" s="60">
        <f t="shared" si="33"/>
        <v>1.93692307692308</v>
      </c>
      <c r="I437" s="47">
        <v>13</v>
      </c>
      <c r="J437" s="14">
        <v>9</v>
      </c>
      <c r="K437" s="48">
        <f t="shared" si="34"/>
        <v>0.784786324786325</v>
      </c>
      <c r="L437" s="61">
        <f t="shared" si="35"/>
        <v>7.06307692307692</v>
      </c>
      <c r="M437" s="46">
        <f t="shared" si="36"/>
        <v>25.18</v>
      </c>
      <c r="N437" s="58"/>
      <c r="O437" s="58"/>
      <c r="P437" s="58"/>
      <c r="Q437" s="13"/>
    </row>
    <row r="438" hidden="1" customHeight="1" outlineLevel="1" spans="1:17">
      <c r="A438" s="40">
        <v>45886</v>
      </c>
      <c r="B438" s="24">
        <v>45893</v>
      </c>
      <c r="C438" s="58"/>
      <c r="D438" s="14">
        <f t="shared" si="39"/>
        <v>1.86</v>
      </c>
      <c r="E438" s="14">
        <v>0</v>
      </c>
      <c r="F438" s="46">
        <v>2</v>
      </c>
      <c r="H438" s="60">
        <f t="shared" si="33"/>
        <v>1.92666666666667</v>
      </c>
      <c r="I438" s="47">
        <v>30</v>
      </c>
      <c r="J438" s="14">
        <v>9</v>
      </c>
      <c r="K438" s="48">
        <f t="shared" si="34"/>
        <v>0.785925925925926</v>
      </c>
      <c r="L438" s="61">
        <f t="shared" si="35"/>
        <v>7.07333333333333</v>
      </c>
      <c r="M438" s="46">
        <f t="shared" si="36"/>
        <v>57.8</v>
      </c>
      <c r="N438" s="58"/>
      <c r="O438" s="58"/>
      <c r="P438" s="58"/>
      <c r="Q438" s="13"/>
    </row>
    <row r="439" hidden="1" customHeight="1" outlineLevel="1" spans="1:17">
      <c r="A439" s="40">
        <v>45902</v>
      </c>
      <c r="B439" s="40">
        <v>45906</v>
      </c>
      <c r="C439" s="58"/>
      <c r="D439" s="14">
        <f>0.7*3</f>
        <v>2.1</v>
      </c>
      <c r="E439" s="14">
        <v>1</v>
      </c>
      <c r="F439" s="46">
        <v>2</v>
      </c>
      <c r="H439" s="60">
        <f t="shared" si="33"/>
        <v>2.31428571428571</v>
      </c>
      <c r="I439" s="47">
        <v>14</v>
      </c>
      <c r="J439" s="14">
        <v>9</v>
      </c>
      <c r="K439" s="48">
        <f t="shared" si="34"/>
        <v>0.742857142857143</v>
      </c>
      <c r="L439" s="61">
        <f t="shared" si="35"/>
        <v>6.68571428571429</v>
      </c>
      <c r="M439" s="46">
        <f t="shared" si="36"/>
        <v>32.4</v>
      </c>
      <c r="N439" s="58"/>
      <c r="O439" s="58"/>
      <c r="P439" s="58"/>
      <c r="Q439" s="13"/>
    </row>
    <row r="440" hidden="1" customHeight="1" outlineLevel="1" spans="1:17">
      <c r="A440" s="40">
        <v>45899</v>
      </c>
      <c r="B440" s="40">
        <v>45916</v>
      </c>
      <c r="C440" s="58"/>
      <c r="D440" s="14">
        <f t="shared" ref="D440:D451" si="40">0.62*3</f>
        <v>1.86</v>
      </c>
      <c r="E440" s="14">
        <v>0</v>
      </c>
      <c r="F440" s="46">
        <v>2</v>
      </c>
      <c r="H440" s="60">
        <f t="shared" si="33"/>
        <v>2.08222222222222</v>
      </c>
      <c r="I440" s="47">
        <v>9</v>
      </c>
      <c r="J440" s="14">
        <v>9</v>
      </c>
      <c r="K440" s="48">
        <f t="shared" si="34"/>
        <v>0.768641975308642</v>
      </c>
      <c r="L440" s="61">
        <f t="shared" si="35"/>
        <v>6.91777777777778</v>
      </c>
      <c r="M440" s="46">
        <f t="shared" si="36"/>
        <v>18.74</v>
      </c>
      <c r="N440" s="58"/>
      <c r="O440" s="58"/>
      <c r="P440" s="58"/>
      <c r="Q440" s="13"/>
    </row>
    <row r="441" hidden="1" customHeight="1" outlineLevel="1" spans="1:17">
      <c r="A441" s="40">
        <v>45910</v>
      </c>
      <c r="B441" s="40">
        <v>45927</v>
      </c>
      <c r="C441" s="58"/>
      <c r="D441" s="14">
        <f t="shared" si="40"/>
        <v>1.86</v>
      </c>
      <c r="E441" s="14">
        <v>0</v>
      </c>
      <c r="F441" s="46">
        <v>2</v>
      </c>
      <c r="H441" s="60">
        <f t="shared" si="33"/>
        <v>1.99333333333333</v>
      </c>
      <c r="I441" s="47">
        <v>15</v>
      </c>
      <c r="J441" s="14">
        <v>9</v>
      </c>
      <c r="K441" s="48">
        <f t="shared" si="34"/>
        <v>0.778518518518518</v>
      </c>
      <c r="L441" s="61">
        <f t="shared" si="35"/>
        <v>7.00666666666667</v>
      </c>
      <c r="M441" s="46">
        <f t="shared" si="36"/>
        <v>29.9</v>
      </c>
      <c r="N441" s="58"/>
      <c r="O441" s="58"/>
      <c r="P441" s="58"/>
      <c r="Q441" s="13"/>
    </row>
    <row r="442" hidden="1" customHeight="1" outlineLevel="1" spans="1:17">
      <c r="A442" s="40">
        <v>45910</v>
      </c>
      <c r="B442" s="40">
        <v>45931</v>
      </c>
      <c r="C442" s="57"/>
      <c r="D442" s="14">
        <f t="shared" si="40"/>
        <v>1.86</v>
      </c>
      <c r="E442" s="14">
        <v>0</v>
      </c>
      <c r="F442" s="46">
        <v>1</v>
      </c>
      <c r="H442" s="60">
        <f t="shared" si="33"/>
        <v>1.94333333333333</v>
      </c>
      <c r="I442" s="47">
        <v>12</v>
      </c>
      <c r="J442" s="14">
        <v>9</v>
      </c>
      <c r="K442" s="48">
        <f t="shared" si="34"/>
        <v>0.784074074074074</v>
      </c>
      <c r="L442" s="61">
        <f t="shared" si="35"/>
        <v>7.05666666666667</v>
      </c>
      <c r="M442" s="46">
        <f t="shared" si="36"/>
        <v>23.32</v>
      </c>
      <c r="N442" s="57"/>
      <c r="O442" s="32"/>
      <c r="P442" s="58"/>
      <c r="Q442" s="13"/>
    </row>
    <row r="443" hidden="1" customHeight="1" outlineLevel="1" spans="1:17">
      <c r="A443" s="40">
        <v>45926</v>
      </c>
      <c r="B443" s="40">
        <v>45938</v>
      </c>
      <c r="C443" s="57"/>
      <c r="D443" s="14">
        <f t="shared" si="40"/>
        <v>1.86</v>
      </c>
      <c r="E443" s="14">
        <v>0</v>
      </c>
      <c r="F443" s="46">
        <v>2</v>
      </c>
      <c r="H443" s="60">
        <f t="shared" si="33"/>
        <v>1.93692307692308</v>
      </c>
      <c r="I443" s="47">
        <v>26</v>
      </c>
      <c r="J443" s="14">
        <v>9</v>
      </c>
      <c r="K443" s="48">
        <f t="shared" si="34"/>
        <v>0.784786324786325</v>
      </c>
      <c r="L443" s="61">
        <f t="shared" si="35"/>
        <v>7.06307692307692</v>
      </c>
      <c r="M443" s="46">
        <f t="shared" si="36"/>
        <v>50.36</v>
      </c>
      <c r="N443" s="57"/>
      <c r="O443" s="32"/>
      <c r="P443" s="58"/>
      <c r="Q443" s="13"/>
    </row>
    <row r="444" hidden="1" customHeight="1" outlineLevel="1" spans="1:17">
      <c r="A444" s="40">
        <v>45938</v>
      </c>
      <c r="B444" s="40">
        <v>45948</v>
      </c>
      <c r="C444" s="57"/>
      <c r="D444" s="14">
        <f t="shared" si="40"/>
        <v>1.86</v>
      </c>
      <c r="E444" s="14">
        <v>0</v>
      </c>
      <c r="F444" s="46">
        <v>2</v>
      </c>
      <c r="H444" s="60">
        <f t="shared" si="33"/>
        <v>2.02666666666667</v>
      </c>
      <c r="I444" s="47">
        <v>12</v>
      </c>
      <c r="J444" s="14">
        <v>9</v>
      </c>
      <c r="K444" s="48">
        <f t="shared" si="34"/>
        <v>0.774814814814815</v>
      </c>
      <c r="L444" s="61">
        <f t="shared" si="35"/>
        <v>6.97333333333333</v>
      </c>
      <c r="M444" s="46">
        <f t="shared" si="36"/>
        <v>24.32</v>
      </c>
      <c r="N444" s="57"/>
      <c r="O444" s="32"/>
      <c r="P444" s="58"/>
      <c r="Q444" s="13"/>
    </row>
    <row r="445" hidden="1" customHeight="1" outlineLevel="1" spans="1:17">
      <c r="A445" s="40">
        <v>45938</v>
      </c>
      <c r="B445" s="40">
        <v>45954</v>
      </c>
      <c r="C445" s="57"/>
      <c r="D445" s="14">
        <f t="shared" si="40"/>
        <v>1.86</v>
      </c>
      <c r="E445" s="14">
        <v>0</v>
      </c>
      <c r="F445" s="46">
        <v>2</v>
      </c>
      <c r="H445" s="60">
        <f t="shared" si="33"/>
        <v>1.96526315789474</v>
      </c>
      <c r="I445" s="47">
        <v>19</v>
      </c>
      <c r="J445" s="14">
        <v>9</v>
      </c>
      <c r="K445" s="48">
        <f t="shared" si="34"/>
        <v>0.781637426900585</v>
      </c>
      <c r="L445" s="61">
        <f t="shared" si="35"/>
        <v>7.03473684210526</v>
      </c>
      <c r="M445" s="46">
        <f t="shared" si="36"/>
        <v>37.34</v>
      </c>
      <c r="N445" s="57"/>
      <c r="O445" s="32"/>
      <c r="P445" s="58"/>
      <c r="Q445" s="13"/>
    </row>
    <row r="446" hidden="1" customHeight="1" outlineLevel="1" spans="1:17">
      <c r="A446" s="40">
        <v>45956</v>
      </c>
      <c r="B446" s="40">
        <v>45961</v>
      </c>
      <c r="C446" s="57"/>
      <c r="D446" s="14">
        <f t="shared" si="40"/>
        <v>1.86</v>
      </c>
      <c r="E446" s="14">
        <v>0</v>
      </c>
      <c r="F446" s="46">
        <v>2</v>
      </c>
      <c r="H446" s="60">
        <f t="shared" si="33"/>
        <v>2.00285714285714</v>
      </c>
      <c r="I446" s="47">
        <v>14</v>
      </c>
      <c r="J446" s="14">
        <v>9</v>
      </c>
      <c r="K446" s="48">
        <f t="shared" si="34"/>
        <v>0.777460317460318</v>
      </c>
      <c r="L446" s="61">
        <f t="shared" si="35"/>
        <v>6.99714285714286</v>
      </c>
      <c r="M446" s="46">
        <f t="shared" si="36"/>
        <v>28.04</v>
      </c>
      <c r="N446" s="57"/>
      <c r="O446" s="32"/>
      <c r="P446" s="58"/>
      <c r="Q446" s="13"/>
    </row>
    <row r="447" hidden="1" customHeight="1" outlineLevel="1" spans="1:17">
      <c r="A447" s="40">
        <v>45956</v>
      </c>
      <c r="B447" s="40">
        <v>45963</v>
      </c>
      <c r="C447" s="57"/>
      <c r="D447" s="14">
        <f t="shared" si="40"/>
        <v>1.86</v>
      </c>
      <c r="E447" s="14">
        <v>0</v>
      </c>
      <c r="F447" s="46">
        <v>2</v>
      </c>
      <c r="H447" s="60">
        <f t="shared" si="33"/>
        <v>1.94</v>
      </c>
      <c r="I447" s="47">
        <v>25</v>
      </c>
      <c r="J447" s="14">
        <v>9</v>
      </c>
      <c r="K447" s="48">
        <f t="shared" si="34"/>
        <v>0.784444444444444</v>
      </c>
      <c r="L447" s="61">
        <f t="shared" si="35"/>
        <v>7.06</v>
      </c>
      <c r="M447" s="46">
        <f t="shared" si="36"/>
        <v>48.5</v>
      </c>
      <c r="N447" s="57"/>
      <c r="O447" s="32"/>
      <c r="P447" s="58"/>
      <c r="Q447" s="13"/>
    </row>
    <row r="448" hidden="1" customHeight="1" outlineLevel="1" spans="1:17">
      <c r="A448" s="24">
        <v>45963</v>
      </c>
      <c r="B448" s="40">
        <v>45969</v>
      </c>
      <c r="C448" s="57"/>
      <c r="D448" s="14">
        <f t="shared" si="40"/>
        <v>1.86</v>
      </c>
      <c r="E448" s="14">
        <v>0</v>
      </c>
      <c r="F448" s="46">
        <v>2</v>
      </c>
      <c r="H448" s="60">
        <f t="shared" si="33"/>
        <v>1.97764705882353</v>
      </c>
      <c r="I448" s="47">
        <v>17</v>
      </c>
      <c r="J448" s="14">
        <v>9</v>
      </c>
      <c r="K448" s="48">
        <f t="shared" si="34"/>
        <v>0.780261437908497</v>
      </c>
      <c r="L448" s="61">
        <f t="shared" si="35"/>
        <v>7.02235294117647</v>
      </c>
      <c r="M448" s="46">
        <f t="shared" si="36"/>
        <v>33.62</v>
      </c>
      <c r="N448" s="57"/>
      <c r="O448" s="32"/>
      <c r="P448" s="58"/>
      <c r="Q448" s="13"/>
    </row>
    <row r="449" hidden="1" customHeight="1" outlineLevel="1" spans="1:17">
      <c r="A449" s="24">
        <v>45967</v>
      </c>
      <c r="B449" s="24">
        <v>45972</v>
      </c>
      <c r="C449" s="57"/>
      <c r="D449" s="14">
        <f t="shared" si="40"/>
        <v>1.86</v>
      </c>
      <c r="E449" s="14">
        <v>0</v>
      </c>
      <c r="F449" s="46">
        <v>2</v>
      </c>
      <c r="H449" s="60">
        <f t="shared" si="33"/>
        <v>2.01384615384615</v>
      </c>
      <c r="I449" s="47">
        <v>13</v>
      </c>
      <c r="J449" s="14">
        <v>9</v>
      </c>
      <c r="K449" s="48">
        <f t="shared" si="34"/>
        <v>0.776239316239316</v>
      </c>
      <c r="L449" s="61">
        <f t="shared" si="35"/>
        <v>6.98615384615385</v>
      </c>
      <c r="M449" s="46">
        <f t="shared" si="36"/>
        <v>26.18</v>
      </c>
      <c r="N449" s="57"/>
      <c r="O449" s="32"/>
      <c r="P449" s="58"/>
      <c r="Q449" s="13"/>
    </row>
    <row r="450" hidden="1" customHeight="1" outlineLevel="1" spans="1:17">
      <c r="A450" s="24">
        <v>45967</v>
      </c>
      <c r="B450" s="24">
        <v>45972</v>
      </c>
      <c r="C450" s="57"/>
      <c r="D450" s="14">
        <f t="shared" si="40"/>
        <v>1.86</v>
      </c>
      <c r="E450" s="14">
        <v>0</v>
      </c>
      <c r="F450" s="46">
        <v>2</v>
      </c>
      <c r="H450" s="60">
        <f t="shared" si="33"/>
        <v>2.01384615384615</v>
      </c>
      <c r="I450" s="47">
        <v>13</v>
      </c>
      <c r="J450" s="14">
        <v>9</v>
      </c>
      <c r="K450" s="48">
        <f t="shared" si="34"/>
        <v>0.776239316239316</v>
      </c>
      <c r="L450" s="61">
        <f t="shared" si="35"/>
        <v>6.98615384615385</v>
      </c>
      <c r="M450" s="46">
        <f t="shared" si="36"/>
        <v>26.18</v>
      </c>
      <c r="N450" s="57"/>
      <c r="O450" s="32"/>
      <c r="P450" s="58"/>
      <c r="Q450" s="13"/>
    </row>
    <row r="451" customHeight="1" spans="1:17">
      <c r="A451" s="24">
        <v>45967</v>
      </c>
      <c r="B451" s="24">
        <v>45979</v>
      </c>
      <c r="C451" s="57"/>
      <c r="D451" s="14">
        <f t="shared" si="40"/>
        <v>1.86</v>
      </c>
      <c r="E451" s="14">
        <v>0</v>
      </c>
      <c r="F451" s="46">
        <v>2</v>
      </c>
      <c r="H451" s="60">
        <f t="shared" si="33"/>
        <v>1.97111111111111</v>
      </c>
      <c r="I451" s="47">
        <v>18</v>
      </c>
      <c r="J451" s="14">
        <v>9</v>
      </c>
      <c r="K451" s="48">
        <f t="shared" si="34"/>
        <v>0.780987654320988</v>
      </c>
      <c r="L451" s="61">
        <f t="shared" si="35"/>
        <v>7.02888888888889</v>
      </c>
      <c r="M451" s="46">
        <f t="shared" si="36"/>
        <v>35.48</v>
      </c>
      <c r="N451" s="57"/>
      <c r="O451" s="32"/>
      <c r="P451" s="58"/>
      <c r="Q451" s="13"/>
    </row>
    <row r="452" customHeight="1" spans="1:17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32"/>
      <c r="P452" s="58"/>
      <c r="Q452" s="13"/>
    </row>
    <row r="453" customHeight="1" collapsed="1" spans="1:17">
      <c r="A453" s="57" t="s">
        <v>40</v>
      </c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32" t="str">
        <f>_xlfn.DISPIMG("ID_A32AAE097FC74DC7AF90F615814BFC32",1)</f>
        <v>=DISPIMG("ID_A32AAE097FC74DC7AF90F615814BFC32",1)</v>
      </c>
      <c r="P453" s="58"/>
      <c r="Q453" s="13" t="s">
        <v>41</v>
      </c>
    </row>
    <row r="454" hidden="1" customHeight="1" outlineLevel="1" spans="1:17">
      <c r="A454" s="24">
        <v>45676</v>
      </c>
      <c r="B454" s="24">
        <v>45676</v>
      </c>
      <c r="D454" s="14">
        <f t="shared" ref="D454:D463" si="41">0.6*3</f>
        <v>1.8</v>
      </c>
      <c r="E454" s="14">
        <v>0</v>
      </c>
      <c r="F454" s="46">
        <v>2</v>
      </c>
      <c r="H454" s="60">
        <f t="shared" ref="H454:H517" si="42">D454+(E454/I454)+(F454/I454)</f>
        <v>2.02222222222222</v>
      </c>
      <c r="I454" s="47">
        <v>9</v>
      </c>
      <c r="J454" s="62">
        <v>15.75</v>
      </c>
      <c r="K454" s="48">
        <f t="shared" ref="K454:K517" si="43">(J454-H454)/J454</f>
        <v>0.871604938271605</v>
      </c>
      <c r="L454" s="61">
        <f t="shared" ref="L454:L517" si="44">J454-H454</f>
        <v>13.7277777777778</v>
      </c>
      <c r="M454" s="46">
        <f t="shared" ref="M454:M517" si="45">D454*I454+E454+F454</f>
        <v>18.2</v>
      </c>
      <c r="Q454" s="13"/>
    </row>
    <row r="455" hidden="1" customHeight="1" outlineLevel="1" spans="1:17">
      <c r="A455" s="24">
        <v>45676</v>
      </c>
      <c r="B455" s="24">
        <v>45690</v>
      </c>
      <c r="D455" s="14">
        <f t="shared" si="41"/>
        <v>1.8</v>
      </c>
      <c r="E455" s="14">
        <v>0</v>
      </c>
      <c r="F455" s="46">
        <v>3</v>
      </c>
      <c r="H455" s="60">
        <f t="shared" si="42"/>
        <v>2.4</v>
      </c>
      <c r="I455" s="47">
        <v>5</v>
      </c>
      <c r="J455" s="62">
        <v>15.75</v>
      </c>
      <c r="K455" s="48">
        <f t="shared" si="43"/>
        <v>0.847619047619048</v>
      </c>
      <c r="L455" s="61">
        <f t="shared" si="44"/>
        <v>13.35</v>
      </c>
      <c r="M455" s="46">
        <f t="shared" si="45"/>
        <v>12</v>
      </c>
      <c r="Q455" s="13"/>
    </row>
    <row r="456" hidden="1" customHeight="1" outlineLevel="1" spans="1:17">
      <c r="A456" s="24">
        <v>45676</v>
      </c>
      <c r="B456" s="24">
        <v>45691</v>
      </c>
      <c r="D456" s="14">
        <f t="shared" si="41"/>
        <v>1.8</v>
      </c>
      <c r="E456" s="14">
        <v>0</v>
      </c>
      <c r="F456" s="46">
        <v>3</v>
      </c>
      <c r="H456" s="60">
        <f t="shared" si="42"/>
        <v>2.07272727272727</v>
      </c>
      <c r="I456" s="47">
        <v>11</v>
      </c>
      <c r="J456" s="62">
        <v>9.6</v>
      </c>
      <c r="K456" s="48">
        <f t="shared" si="43"/>
        <v>0.784090909090909</v>
      </c>
      <c r="L456" s="61">
        <f t="shared" si="44"/>
        <v>7.52727272727273</v>
      </c>
      <c r="M456" s="46">
        <f t="shared" si="45"/>
        <v>22.8</v>
      </c>
      <c r="Q456" s="13"/>
    </row>
    <row r="457" hidden="1" customHeight="1" outlineLevel="1" spans="1:17">
      <c r="A457" s="24">
        <v>45675</v>
      </c>
      <c r="B457" s="24">
        <v>45699</v>
      </c>
      <c r="D457" s="14">
        <f t="shared" si="41"/>
        <v>1.8</v>
      </c>
      <c r="E457" s="14">
        <v>0</v>
      </c>
      <c r="F457" s="46">
        <v>1</v>
      </c>
      <c r="H457" s="60">
        <f t="shared" si="42"/>
        <v>1.85</v>
      </c>
      <c r="I457" s="47">
        <v>20</v>
      </c>
      <c r="J457" s="62">
        <v>9.6</v>
      </c>
      <c r="K457" s="48">
        <f t="shared" si="43"/>
        <v>0.807291666666667</v>
      </c>
      <c r="L457" s="61">
        <f t="shared" si="44"/>
        <v>7.75</v>
      </c>
      <c r="M457" s="46">
        <f t="shared" si="45"/>
        <v>37</v>
      </c>
    </row>
    <row r="458" hidden="1" customHeight="1" outlineLevel="1" spans="1:17">
      <c r="A458" s="24">
        <v>45698</v>
      </c>
      <c r="B458" s="24">
        <v>45700</v>
      </c>
      <c r="D458" s="14">
        <f t="shared" si="41"/>
        <v>1.8</v>
      </c>
      <c r="E458" s="14">
        <v>0</v>
      </c>
      <c r="F458" s="46">
        <v>2</v>
      </c>
      <c r="H458" s="60">
        <f t="shared" si="42"/>
        <v>1.93333333333333</v>
      </c>
      <c r="I458" s="47">
        <v>15</v>
      </c>
      <c r="J458" s="62">
        <v>9.6</v>
      </c>
      <c r="K458" s="48">
        <f t="shared" si="43"/>
        <v>0.798611111111111</v>
      </c>
      <c r="L458" s="61">
        <f t="shared" si="44"/>
        <v>7.66666666666667</v>
      </c>
      <c r="M458" s="46">
        <f t="shared" si="45"/>
        <v>29</v>
      </c>
    </row>
    <row r="459" hidden="1" customHeight="1" outlineLevel="1" spans="1:17">
      <c r="A459" s="24">
        <v>45700</v>
      </c>
      <c r="B459" s="24">
        <v>45706</v>
      </c>
      <c r="D459" s="14">
        <f t="shared" si="41"/>
        <v>1.8</v>
      </c>
      <c r="E459" s="14">
        <v>0</v>
      </c>
      <c r="F459" s="46">
        <v>2.2</v>
      </c>
      <c r="H459" s="60">
        <f t="shared" si="42"/>
        <v>2</v>
      </c>
      <c r="I459" s="47">
        <v>11</v>
      </c>
      <c r="J459" s="14">
        <v>9.6</v>
      </c>
      <c r="K459" s="48">
        <f t="shared" si="43"/>
        <v>0.791666666666667</v>
      </c>
      <c r="L459" s="61">
        <f t="shared" si="44"/>
        <v>7.6</v>
      </c>
      <c r="M459" s="46">
        <f t="shared" si="45"/>
        <v>22</v>
      </c>
    </row>
    <row r="460" hidden="1" customHeight="1" outlineLevel="1" spans="1:17">
      <c r="A460" s="24">
        <v>45700</v>
      </c>
      <c r="B460" s="24">
        <v>45706</v>
      </c>
      <c r="D460" s="14">
        <f t="shared" si="41"/>
        <v>1.8</v>
      </c>
      <c r="E460" s="14">
        <v>0</v>
      </c>
      <c r="F460" s="46">
        <v>2.2</v>
      </c>
      <c r="H460" s="60">
        <f t="shared" si="42"/>
        <v>2</v>
      </c>
      <c r="I460" s="47">
        <v>11</v>
      </c>
      <c r="J460" s="14">
        <v>9.6</v>
      </c>
      <c r="K460" s="48">
        <f t="shared" si="43"/>
        <v>0.791666666666667</v>
      </c>
      <c r="L460" s="61">
        <f t="shared" si="44"/>
        <v>7.6</v>
      </c>
      <c r="M460" s="46">
        <f t="shared" si="45"/>
        <v>22</v>
      </c>
    </row>
    <row r="461" hidden="1" customHeight="1" outlineLevel="1" spans="1:17">
      <c r="A461" s="24">
        <v>45705</v>
      </c>
      <c r="B461" s="24">
        <v>45710</v>
      </c>
      <c r="D461" s="14">
        <f t="shared" si="41"/>
        <v>1.8</v>
      </c>
      <c r="E461" s="14">
        <v>0</v>
      </c>
      <c r="F461" s="46">
        <v>2.5</v>
      </c>
      <c r="H461" s="60">
        <f t="shared" si="42"/>
        <v>1.95625</v>
      </c>
      <c r="I461" s="47">
        <v>16</v>
      </c>
      <c r="J461" s="14">
        <v>9.6</v>
      </c>
      <c r="K461" s="48">
        <f t="shared" si="43"/>
        <v>0.796223958333333</v>
      </c>
      <c r="L461" s="61">
        <f t="shared" si="44"/>
        <v>7.64375</v>
      </c>
      <c r="M461" s="46">
        <f t="shared" si="45"/>
        <v>31.3</v>
      </c>
    </row>
    <row r="462" hidden="1" customHeight="1" outlineLevel="1" spans="1:17">
      <c r="A462" s="24">
        <v>45705</v>
      </c>
      <c r="B462" s="24">
        <v>45713</v>
      </c>
      <c r="D462" s="14">
        <f t="shared" si="41"/>
        <v>1.8</v>
      </c>
      <c r="E462" s="14">
        <v>0</v>
      </c>
      <c r="F462" s="46">
        <v>4</v>
      </c>
      <c r="H462" s="60">
        <f t="shared" si="42"/>
        <v>1.96</v>
      </c>
      <c r="I462" s="47">
        <v>25</v>
      </c>
      <c r="J462" s="14">
        <v>9.6</v>
      </c>
      <c r="K462" s="48">
        <f t="shared" si="43"/>
        <v>0.795833333333333</v>
      </c>
      <c r="L462" s="61">
        <f t="shared" si="44"/>
        <v>7.64</v>
      </c>
      <c r="M462" s="46">
        <f t="shared" si="45"/>
        <v>49</v>
      </c>
    </row>
    <row r="463" hidden="1" customHeight="1" outlineLevel="1" spans="1:17">
      <c r="A463" s="64">
        <v>45712</v>
      </c>
      <c r="B463" s="24">
        <v>45717</v>
      </c>
      <c r="D463" s="14">
        <f t="shared" si="41"/>
        <v>1.8</v>
      </c>
      <c r="E463" s="14">
        <v>0</v>
      </c>
      <c r="F463" s="46">
        <v>2</v>
      </c>
      <c r="H463" s="60">
        <f t="shared" si="42"/>
        <v>1.82985074626866</v>
      </c>
      <c r="I463" s="47">
        <v>67</v>
      </c>
      <c r="J463" s="14">
        <v>9.6</v>
      </c>
      <c r="K463" s="48">
        <f t="shared" si="43"/>
        <v>0.809390547263682</v>
      </c>
      <c r="L463" s="61">
        <f t="shared" si="44"/>
        <v>7.77014925373134</v>
      </c>
      <c r="M463" s="46">
        <f t="shared" si="45"/>
        <v>122.6</v>
      </c>
    </row>
    <row r="464" hidden="1" customHeight="1" outlineLevel="1" spans="1:17">
      <c r="A464" s="64">
        <v>45717</v>
      </c>
      <c r="B464" s="24">
        <v>45720</v>
      </c>
      <c r="D464" s="14">
        <f t="shared" ref="D464:D474" si="46">0.7*3</f>
        <v>2.1</v>
      </c>
      <c r="E464" s="14">
        <v>2</v>
      </c>
      <c r="F464" s="46">
        <v>2</v>
      </c>
      <c r="H464" s="60">
        <f t="shared" si="42"/>
        <v>2.23793103448276</v>
      </c>
      <c r="I464" s="47">
        <v>29</v>
      </c>
      <c r="J464" s="14">
        <v>9.6</v>
      </c>
      <c r="K464" s="48">
        <f t="shared" si="43"/>
        <v>0.766882183908046</v>
      </c>
      <c r="L464" s="61">
        <f t="shared" si="44"/>
        <v>7.36206896551724</v>
      </c>
      <c r="M464" s="46">
        <f t="shared" si="45"/>
        <v>64.9</v>
      </c>
      <c r="Q464" s="13" t="s">
        <v>42</v>
      </c>
    </row>
    <row r="465" hidden="1" customHeight="1" outlineLevel="1" spans="1:17">
      <c r="A465" s="64">
        <v>45717</v>
      </c>
      <c r="B465" s="24">
        <v>45724</v>
      </c>
      <c r="D465" s="14">
        <f t="shared" si="46"/>
        <v>2.1</v>
      </c>
      <c r="E465" s="14">
        <v>2</v>
      </c>
      <c r="F465" s="46">
        <v>2.5</v>
      </c>
      <c r="H465" s="60">
        <f t="shared" si="42"/>
        <v>2.225</v>
      </c>
      <c r="I465" s="47">
        <v>36</v>
      </c>
      <c r="J465" s="14">
        <v>9.6</v>
      </c>
      <c r="K465" s="48">
        <f t="shared" si="43"/>
        <v>0.768229166666667</v>
      </c>
      <c r="L465" s="61">
        <f t="shared" si="44"/>
        <v>7.375</v>
      </c>
      <c r="M465" s="46">
        <f t="shared" si="45"/>
        <v>80.1</v>
      </c>
      <c r="Q465" s="13"/>
    </row>
    <row r="466" hidden="1" customHeight="1" outlineLevel="1" spans="1:17">
      <c r="A466" s="64">
        <v>45717</v>
      </c>
      <c r="B466" s="24">
        <v>45728</v>
      </c>
      <c r="D466" s="14">
        <f t="shared" si="46"/>
        <v>2.1</v>
      </c>
      <c r="E466" s="14">
        <v>2</v>
      </c>
      <c r="F466" s="46">
        <v>2</v>
      </c>
      <c r="H466" s="60">
        <f t="shared" si="42"/>
        <v>2.35</v>
      </c>
      <c r="I466" s="47">
        <v>16</v>
      </c>
      <c r="J466" s="14">
        <v>9.6</v>
      </c>
      <c r="K466" s="48">
        <f t="shared" si="43"/>
        <v>0.755208333333333</v>
      </c>
      <c r="L466" s="61">
        <f t="shared" si="44"/>
        <v>7.25</v>
      </c>
      <c r="M466" s="46">
        <f t="shared" si="45"/>
        <v>37.6</v>
      </c>
      <c r="Q466" s="13"/>
    </row>
    <row r="467" hidden="1" customHeight="1" outlineLevel="1" spans="1:17">
      <c r="A467" s="64">
        <v>45727</v>
      </c>
      <c r="B467" s="24">
        <v>45732</v>
      </c>
      <c r="D467" s="14">
        <f t="shared" si="46"/>
        <v>2.1</v>
      </c>
      <c r="E467" s="14">
        <v>2</v>
      </c>
      <c r="F467" s="46">
        <v>3</v>
      </c>
      <c r="H467" s="60">
        <f t="shared" si="42"/>
        <v>2.26129032258064</v>
      </c>
      <c r="I467" s="47">
        <v>31</v>
      </c>
      <c r="J467" s="14">
        <v>9.6</v>
      </c>
      <c r="K467" s="48">
        <f t="shared" si="43"/>
        <v>0.764448924731183</v>
      </c>
      <c r="L467" s="61">
        <f t="shared" si="44"/>
        <v>7.33870967741935</v>
      </c>
      <c r="M467" s="46">
        <f t="shared" si="45"/>
        <v>70.1</v>
      </c>
      <c r="Q467" s="13"/>
    </row>
    <row r="468" hidden="1" customHeight="1" outlineLevel="1" spans="1:17">
      <c r="A468" s="64">
        <v>45727</v>
      </c>
      <c r="B468" s="24">
        <v>45740</v>
      </c>
      <c r="D468" s="14">
        <f t="shared" si="46"/>
        <v>2.1</v>
      </c>
      <c r="E468" s="14">
        <v>2</v>
      </c>
      <c r="F468" s="46">
        <v>1</v>
      </c>
      <c r="H468" s="60">
        <f t="shared" si="42"/>
        <v>2.31428571428571</v>
      </c>
      <c r="I468" s="47">
        <v>14</v>
      </c>
      <c r="J468" s="14">
        <v>9.6</v>
      </c>
      <c r="K468" s="48">
        <f t="shared" si="43"/>
        <v>0.758928571428571</v>
      </c>
      <c r="L468" s="61">
        <f t="shared" si="44"/>
        <v>7.28571428571429</v>
      </c>
      <c r="M468" s="46">
        <f t="shared" si="45"/>
        <v>32.4</v>
      </c>
      <c r="Q468" s="13"/>
    </row>
    <row r="469" hidden="1" customHeight="1" outlineLevel="1" spans="1:17">
      <c r="A469" s="64">
        <v>45740</v>
      </c>
      <c r="B469" s="24">
        <v>45745</v>
      </c>
      <c r="D469" s="14">
        <f t="shared" si="46"/>
        <v>2.1</v>
      </c>
      <c r="E469" s="14">
        <v>5</v>
      </c>
      <c r="F469" s="46">
        <v>2</v>
      </c>
      <c r="H469" s="60">
        <f t="shared" si="42"/>
        <v>2.24</v>
      </c>
      <c r="I469" s="47">
        <v>50</v>
      </c>
      <c r="J469" s="14">
        <v>9.6</v>
      </c>
      <c r="K469" s="48">
        <f t="shared" si="43"/>
        <v>0.766666666666667</v>
      </c>
      <c r="L469" s="61">
        <f t="shared" si="44"/>
        <v>7.36</v>
      </c>
      <c r="M469" s="46">
        <f t="shared" si="45"/>
        <v>112</v>
      </c>
      <c r="Q469" s="13"/>
    </row>
    <row r="470" hidden="1" customHeight="1" outlineLevel="1" spans="1:17">
      <c r="A470" s="64">
        <v>45744</v>
      </c>
      <c r="B470" s="24">
        <v>45746</v>
      </c>
      <c r="D470" s="14">
        <f t="shared" si="46"/>
        <v>2.1</v>
      </c>
      <c r="E470" s="14">
        <v>11</v>
      </c>
      <c r="F470" s="46">
        <v>2</v>
      </c>
      <c r="H470" s="60">
        <f t="shared" si="42"/>
        <v>2.47142857142857</v>
      </c>
      <c r="I470" s="47">
        <v>35</v>
      </c>
      <c r="J470" s="14">
        <v>9.6</v>
      </c>
      <c r="K470" s="48">
        <f t="shared" si="43"/>
        <v>0.742559523809524</v>
      </c>
      <c r="L470" s="61">
        <f t="shared" si="44"/>
        <v>7.12857142857143</v>
      </c>
      <c r="M470" s="46">
        <f t="shared" si="45"/>
        <v>86.5</v>
      </c>
      <c r="Q470" s="13"/>
    </row>
    <row r="471" hidden="1" customHeight="1" outlineLevel="1" spans="1:17">
      <c r="A471" s="64">
        <v>45744</v>
      </c>
      <c r="B471" s="24">
        <v>45748</v>
      </c>
      <c r="D471" s="14">
        <f t="shared" si="46"/>
        <v>2.1</v>
      </c>
      <c r="E471" s="14">
        <v>11</v>
      </c>
      <c r="F471" s="46">
        <v>3</v>
      </c>
      <c r="H471" s="60">
        <f t="shared" si="42"/>
        <v>2.73636363636364</v>
      </c>
      <c r="I471" s="47">
        <v>22</v>
      </c>
      <c r="J471" s="14">
        <v>9.6</v>
      </c>
      <c r="K471" s="48">
        <f t="shared" si="43"/>
        <v>0.714962121212121</v>
      </c>
      <c r="L471" s="61">
        <f t="shared" si="44"/>
        <v>6.86363636363636</v>
      </c>
      <c r="M471" s="46">
        <f t="shared" si="45"/>
        <v>60.2</v>
      </c>
      <c r="Q471" s="13"/>
    </row>
    <row r="472" hidden="1" customHeight="1" outlineLevel="1" spans="1:17">
      <c r="A472" s="64">
        <v>45751</v>
      </c>
      <c r="B472" s="24">
        <v>45754</v>
      </c>
      <c r="D472" s="14">
        <f t="shared" si="46"/>
        <v>2.1</v>
      </c>
      <c r="E472" s="14">
        <v>5</v>
      </c>
      <c r="F472" s="46">
        <v>3</v>
      </c>
      <c r="H472" s="60">
        <f t="shared" si="42"/>
        <v>2.24814814814815</v>
      </c>
      <c r="I472" s="47">
        <v>54</v>
      </c>
      <c r="J472" s="14">
        <v>9.6</v>
      </c>
      <c r="K472" s="48">
        <f t="shared" si="43"/>
        <v>0.765817901234568</v>
      </c>
      <c r="L472" s="61">
        <f t="shared" si="44"/>
        <v>7.35185185185185</v>
      </c>
      <c r="M472" s="46">
        <f t="shared" si="45"/>
        <v>121.4</v>
      </c>
      <c r="Q472" s="13"/>
    </row>
    <row r="473" hidden="1" customHeight="1" outlineLevel="1" spans="1:17">
      <c r="A473" s="64">
        <v>45755</v>
      </c>
      <c r="B473" s="24">
        <v>45757</v>
      </c>
      <c r="D473" s="14">
        <f t="shared" si="46"/>
        <v>2.1</v>
      </c>
      <c r="E473" s="14">
        <v>5</v>
      </c>
      <c r="F473" s="46">
        <v>2</v>
      </c>
      <c r="H473" s="60">
        <f t="shared" si="42"/>
        <v>2.24</v>
      </c>
      <c r="I473" s="47">
        <v>50</v>
      </c>
      <c r="J473" s="14">
        <v>9.6</v>
      </c>
      <c r="K473" s="48">
        <f t="shared" si="43"/>
        <v>0.766666666666667</v>
      </c>
      <c r="L473" s="61">
        <f t="shared" si="44"/>
        <v>7.36</v>
      </c>
      <c r="M473" s="46">
        <f t="shared" si="45"/>
        <v>112</v>
      </c>
      <c r="Q473" s="13"/>
    </row>
    <row r="474" hidden="1" customHeight="1" outlineLevel="1" spans="1:17">
      <c r="A474" s="64">
        <v>45755</v>
      </c>
      <c r="B474" s="24">
        <v>45761</v>
      </c>
      <c r="D474" s="14">
        <f t="shared" si="46"/>
        <v>2.1</v>
      </c>
      <c r="E474" s="14">
        <v>4</v>
      </c>
      <c r="F474" s="46">
        <v>3</v>
      </c>
      <c r="H474" s="60">
        <f t="shared" si="42"/>
        <v>2.3</v>
      </c>
      <c r="I474" s="47">
        <v>35</v>
      </c>
      <c r="J474" s="14">
        <v>9.6</v>
      </c>
      <c r="K474" s="48">
        <f t="shared" si="43"/>
        <v>0.760416666666667</v>
      </c>
      <c r="L474" s="61">
        <f t="shared" si="44"/>
        <v>7.3</v>
      </c>
      <c r="M474" s="46">
        <f t="shared" si="45"/>
        <v>80.5</v>
      </c>
      <c r="Q474" s="13"/>
    </row>
    <row r="475" hidden="1" customHeight="1" outlineLevel="1" spans="1:17">
      <c r="A475" s="64">
        <v>45767</v>
      </c>
      <c r="B475" s="24">
        <v>45770</v>
      </c>
      <c r="D475" s="14">
        <f t="shared" ref="D475:D487" si="47">0.7*3+0.1</f>
        <v>2.2</v>
      </c>
      <c r="E475" s="14">
        <v>1</v>
      </c>
      <c r="F475" s="46">
        <v>2</v>
      </c>
      <c r="H475" s="60">
        <f t="shared" si="42"/>
        <v>2.32</v>
      </c>
      <c r="I475" s="47">
        <v>25</v>
      </c>
      <c r="J475" s="14">
        <v>9.6</v>
      </c>
      <c r="K475" s="48">
        <f t="shared" si="43"/>
        <v>0.758333333333333</v>
      </c>
      <c r="L475" s="61">
        <f t="shared" si="44"/>
        <v>7.28</v>
      </c>
      <c r="M475" s="46">
        <f t="shared" si="45"/>
        <v>58</v>
      </c>
      <c r="Q475" s="13"/>
    </row>
    <row r="476" hidden="1" customHeight="1" outlineLevel="1" spans="1:17">
      <c r="A476" s="64">
        <v>45767</v>
      </c>
      <c r="B476" s="24">
        <v>45773</v>
      </c>
      <c r="D476" s="14">
        <f t="shared" si="47"/>
        <v>2.2</v>
      </c>
      <c r="E476" s="14">
        <v>1</v>
      </c>
      <c r="F476" s="46">
        <v>2</v>
      </c>
      <c r="H476" s="60">
        <f t="shared" si="42"/>
        <v>2.45</v>
      </c>
      <c r="I476" s="47">
        <v>12</v>
      </c>
      <c r="J476" s="14">
        <v>9.6</v>
      </c>
      <c r="K476" s="48">
        <f t="shared" si="43"/>
        <v>0.744791666666667</v>
      </c>
      <c r="L476" s="61">
        <f t="shared" si="44"/>
        <v>7.15</v>
      </c>
      <c r="M476" s="46">
        <f t="shared" si="45"/>
        <v>29.4</v>
      </c>
      <c r="Q476" s="13"/>
    </row>
    <row r="477" hidden="1" customHeight="1" outlineLevel="1" spans="1:17">
      <c r="A477" s="64">
        <v>45767</v>
      </c>
      <c r="B477" s="64">
        <v>45776</v>
      </c>
      <c r="D477" s="14">
        <f t="shared" si="47"/>
        <v>2.2</v>
      </c>
      <c r="E477" s="14">
        <v>1</v>
      </c>
      <c r="F477" s="46">
        <v>3</v>
      </c>
      <c r="H477" s="60">
        <f t="shared" si="42"/>
        <v>2.33333333333333</v>
      </c>
      <c r="I477" s="47">
        <v>30</v>
      </c>
      <c r="J477" s="14">
        <v>9.6</v>
      </c>
      <c r="K477" s="48">
        <f t="shared" si="43"/>
        <v>0.756944444444444</v>
      </c>
      <c r="L477" s="61">
        <f t="shared" si="44"/>
        <v>7.26666666666667</v>
      </c>
      <c r="M477" s="46">
        <f t="shared" si="45"/>
        <v>70</v>
      </c>
      <c r="Q477" s="13"/>
    </row>
    <row r="478" hidden="1" customHeight="1" outlineLevel="1" spans="1:17">
      <c r="A478" s="64">
        <v>45767</v>
      </c>
      <c r="B478" s="24">
        <v>45779</v>
      </c>
      <c r="D478" s="14">
        <f t="shared" si="47"/>
        <v>2.2</v>
      </c>
      <c r="E478" s="14">
        <v>1</v>
      </c>
      <c r="F478" s="46">
        <v>3</v>
      </c>
      <c r="H478" s="60">
        <f t="shared" si="42"/>
        <v>2.6</v>
      </c>
      <c r="I478" s="47">
        <v>10</v>
      </c>
      <c r="J478" s="14">
        <v>9.6</v>
      </c>
      <c r="K478" s="48">
        <f t="shared" si="43"/>
        <v>0.729166666666667</v>
      </c>
      <c r="L478" s="61">
        <f t="shared" si="44"/>
        <v>7</v>
      </c>
      <c r="M478" s="46">
        <f t="shared" si="45"/>
        <v>26</v>
      </c>
      <c r="Q478" s="13"/>
    </row>
    <row r="479" hidden="1" customHeight="1" outlineLevel="1" spans="1:17">
      <c r="A479" s="64">
        <v>45767</v>
      </c>
      <c r="B479" s="24">
        <v>45786</v>
      </c>
      <c r="D479" s="14">
        <f t="shared" si="47"/>
        <v>2.2</v>
      </c>
      <c r="E479" s="14">
        <v>1</v>
      </c>
      <c r="F479" s="46">
        <v>2</v>
      </c>
      <c r="H479" s="60">
        <f t="shared" si="42"/>
        <v>2.41428571428571</v>
      </c>
      <c r="I479" s="47">
        <v>14</v>
      </c>
      <c r="J479" s="14">
        <v>9.6</v>
      </c>
      <c r="K479" s="48">
        <f t="shared" si="43"/>
        <v>0.748511904761905</v>
      </c>
      <c r="L479" s="61">
        <f t="shared" si="44"/>
        <v>7.18571428571429</v>
      </c>
      <c r="M479" s="46">
        <f t="shared" si="45"/>
        <v>33.8</v>
      </c>
      <c r="Q479" s="13"/>
    </row>
    <row r="480" hidden="1" customHeight="1" outlineLevel="1" spans="1:17">
      <c r="A480" s="64">
        <v>45781</v>
      </c>
      <c r="B480" s="24">
        <v>45787</v>
      </c>
      <c r="D480" s="14">
        <f t="shared" si="47"/>
        <v>2.2</v>
      </c>
      <c r="E480" s="14">
        <v>1</v>
      </c>
      <c r="F480" s="46">
        <v>3</v>
      </c>
      <c r="H480" s="60">
        <f t="shared" si="42"/>
        <v>2.41052631578947</v>
      </c>
      <c r="I480" s="47">
        <v>19</v>
      </c>
      <c r="J480" s="14">
        <v>9.6</v>
      </c>
      <c r="K480" s="48">
        <f t="shared" si="43"/>
        <v>0.74890350877193</v>
      </c>
      <c r="L480" s="61">
        <f t="shared" si="44"/>
        <v>7.18947368421053</v>
      </c>
      <c r="M480" s="46">
        <f t="shared" si="45"/>
        <v>45.8</v>
      </c>
      <c r="Q480" s="13"/>
    </row>
    <row r="481" hidden="1" customHeight="1" outlineLevel="1" spans="1:17">
      <c r="A481" s="64">
        <v>45781</v>
      </c>
      <c r="B481" s="24">
        <v>45791</v>
      </c>
      <c r="D481" s="14">
        <f t="shared" si="47"/>
        <v>2.2</v>
      </c>
      <c r="E481" s="14">
        <v>1</v>
      </c>
      <c r="F481" s="46">
        <v>2</v>
      </c>
      <c r="H481" s="60">
        <f t="shared" si="42"/>
        <v>2.275</v>
      </c>
      <c r="I481" s="47">
        <v>40</v>
      </c>
      <c r="J481" s="14">
        <v>9.6</v>
      </c>
      <c r="K481" s="48">
        <f t="shared" si="43"/>
        <v>0.763020833333333</v>
      </c>
      <c r="L481" s="61">
        <f t="shared" si="44"/>
        <v>7.325</v>
      </c>
      <c r="M481" s="46">
        <f t="shared" si="45"/>
        <v>91</v>
      </c>
      <c r="Q481" s="13"/>
    </row>
    <row r="482" hidden="1" customHeight="1" outlineLevel="1" spans="1:17">
      <c r="A482" s="64">
        <v>45781</v>
      </c>
      <c r="B482" s="24">
        <v>45794</v>
      </c>
      <c r="D482" s="14">
        <f t="shared" si="47"/>
        <v>2.2</v>
      </c>
      <c r="E482" s="14">
        <v>1</v>
      </c>
      <c r="F482" s="46">
        <v>2</v>
      </c>
      <c r="H482" s="60">
        <f t="shared" si="42"/>
        <v>2.3304347826087</v>
      </c>
      <c r="I482" s="47">
        <v>23</v>
      </c>
      <c r="J482" s="14">
        <v>9.6</v>
      </c>
      <c r="K482" s="48">
        <f t="shared" si="43"/>
        <v>0.757246376811594</v>
      </c>
      <c r="L482" s="61">
        <f t="shared" si="44"/>
        <v>7.2695652173913</v>
      </c>
      <c r="M482" s="46">
        <f t="shared" si="45"/>
        <v>53.6</v>
      </c>
      <c r="Q482" s="13"/>
    </row>
    <row r="483" hidden="1" customHeight="1" outlineLevel="1" spans="1:17">
      <c r="A483" s="64">
        <v>45792</v>
      </c>
      <c r="B483" s="24">
        <v>45796</v>
      </c>
      <c r="D483" s="14">
        <f t="shared" si="47"/>
        <v>2.2</v>
      </c>
      <c r="E483" s="14">
        <v>2</v>
      </c>
      <c r="F483" s="46">
        <v>2</v>
      </c>
      <c r="H483" s="60">
        <f t="shared" si="42"/>
        <v>2.36</v>
      </c>
      <c r="I483" s="47">
        <v>25</v>
      </c>
      <c r="J483" s="14">
        <v>9.6</v>
      </c>
      <c r="K483" s="48">
        <f t="shared" si="43"/>
        <v>0.754166666666667</v>
      </c>
      <c r="L483" s="61">
        <f t="shared" si="44"/>
        <v>7.24</v>
      </c>
      <c r="M483" s="46">
        <f t="shared" si="45"/>
        <v>59</v>
      </c>
      <c r="Q483" s="13"/>
    </row>
    <row r="484" hidden="1" customHeight="1" outlineLevel="1" spans="1:17">
      <c r="A484" s="64">
        <v>45792</v>
      </c>
      <c r="B484" s="24">
        <v>45798</v>
      </c>
      <c r="D484" s="14">
        <f t="shared" si="47"/>
        <v>2.2</v>
      </c>
      <c r="E484" s="14">
        <v>1</v>
      </c>
      <c r="F484" s="46">
        <v>2</v>
      </c>
      <c r="H484" s="60">
        <f t="shared" si="42"/>
        <v>2.3</v>
      </c>
      <c r="I484" s="47">
        <v>30</v>
      </c>
      <c r="J484" s="14">
        <v>9.6</v>
      </c>
      <c r="K484" s="48">
        <f t="shared" si="43"/>
        <v>0.760416666666667</v>
      </c>
      <c r="L484" s="61">
        <f t="shared" si="44"/>
        <v>7.3</v>
      </c>
      <c r="M484" s="46">
        <f t="shared" si="45"/>
        <v>69</v>
      </c>
      <c r="Q484" s="13"/>
    </row>
    <row r="485" hidden="1" customHeight="1" outlineLevel="1" spans="1:17">
      <c r="A485" s="64">
        <v>45792</v>
      </c>
      <c r="B485" s="24">
        <v>45804</v>
      </c>
      <c r="D485" s="14">
        <f t="shared" si="47"/>
        <v>2.2</v>
      </c>
      <c r="E485" s="14">
        <v>1</v>
      </c>
      <c r="F485" s="46">
        <v>3.5</v>
      </c>
      <c r="H485" s="60">
        <f t="shared" si="42"/>
        <v>2.35</v>
      </c>
      <c r="I485" s="47">
        <v>30</v>
      </c>
      <c r="J485" s="14">
        <v>9.6</v>
      </c>
      <c r="K485" s="48">
        <f t="shared" si="43"/>
        <v>0.755208333333333</v>
      </c>
      <c r="L485" s="61">
        <f t="shared" si="44"/>
        <v>7.25</v>
      </c>
      <c r="M485" s="46">
        <f t="shared" si="45"/>
        <v>70.5</v>
      </c>
      <c r="Q485" s="13"/>
    </row>
    <row r="486" hidden="1" customHeight="1" outlineLevel="1" spans="1:17">
      <c r="A486" s="64">
        <v>45800</v>
      </c>
      <c r="B486" s="24">
        <v>45807</v>
      </c>
      <c r="D486" s="14">
        <f t="shared" si="47"/>
        <v>2.2</v>
      </c>
      <c r="E486" s="14">
        <v>5</v>
      </c>
      <c r="F486" s="46">
        <v>2</v>
      </c>
      <c r="H486" s="60">
        <f t="shared" si="42"/>
        <v>2.50434782608696</v>
      </c>
      <c r="I486" s="47">
        <v>23</v>
      </c>
      <c r="J486" s="14">
        <v>9.6</v>
      </c>
      <c r="K486" s="48">
        <f t="shared" si="43"/>
        <v>0.739130434782609</v>
      </c>
      <c r="L486" s="61">
        <f t="shared" si="44"/>
        <v>7.09565217391304</v>
      </c>
      <c r="M486" s="46">
        <f t="shared" si="45"/>
        <v>57.6</v>
      </c>
      <c r="Q486" s="13"/>
    </row>
    <row r="487" hidden="1" customHeight="1" outlineLevel="1" spans="1:17">
      <c r="A487" s="64">
        <v>45800</v>
      </c>
      <c r="B487" s="64">
        <v>45811</v>
      </c>
      <c r="D487" s="14">
        <f t="shared" si="47"/>
        <v>2.2</v>
      </c>
      <c r="E487" s="14">
        <v>2</v>
      </c>
      <c r="F487" s="46">
        <v>2</v>
      </c>
      <c r="H487" s="60">
        <f t="shared" si="42"/>
        <v>2.41052631578947</v>
      </c>
      <c r="I487" s="47">
        <v>19</v>
      </c>
      <c r="J487" s="14">
        <v>9.6</v>
      </c>
      <c r="K487" s="48">
        <f t="shared" si="43"/>
        <v>0.74890350877193</v>
      </c>
      <c r="L487" s="61">
        <f t="shared" si="44"/>
        <v>7.18947368421053</v>
      </c>
      <c r="M487" s="46">
        <f t="shared" si="45"/>
        <v>45.8</v>
      </c>
      <c r="Q487" s="13"/>
    </row>
    <row r="488" hidden="1" customHeight="1" outlineLevel="1" spans="1:17">
      <c r="A488" s="64">
        <v>45812</v>
      </c>
      <c r="B488" s="64">
        <v>45819</v>
      </c>
      <c r="D488" s="14">
        <f t="shared" ref="D488:D506" si="48">0.62*3</f>
        <v>1.86</v>
      </c>
      <c r="E488" s="14">
        <v>0</v>
      </c>
      <c r="F488" s="46">
        <v>2</v>
      </c>
      <c r="H488" s="60">
        <f t="shared" si="42"/>
        <v>1.91714285714286</v>
      </c>
      <c r="I488" s="47">
        <v>35</v>
      </c>
      <c r="J488" s="14">
        <v>9.6</v>
      </c>
      <c r="K488" s="48">
        <f t="shared" si="43"/>
        <v>0.800297619047619</v>
      </c>
      <c r="L488" s="61">
        <f t="shared" si="44"/>
        <v>7.68285714285714</v>
      </c>
      <c r="M488" s="46">
        <f t="shared" si="45"/>
        <v>67.1</v>
      </c>
      <c r="Q488" s="13" t="s">
        <v>43</v>
      </c>
    </row>
    <row r="489" hidden="1" customHeight="1" outlineLevel="1" spans="1:17">
      <c r="A489" s="64">
        <v>45812</v>
      </c>
      <c r="B489" s="64">
        <v>45821</v>
      </c>
      <c r="D489" s="14">
        <f t="shared" si="48"/>
        <v>1.86</v>
      </c>
      <c r="E489" s="14">
        <v>0</v>
      </c>
      <c r="F489" s="46">
        <v>2</v>
      </c>
      <c r="H489" s="60">
        <f t="shared" si="42"/>
        <v>1.92060606060606</v>
      </c>
      <c r="I489" s="47">
        <v>33</v>
      </c>
      <c r="J489" s="14">
        <v>9</v>
      </c>
      <c r="K489" s="48">
        <f t="shared" si="43"/>
        <v>0.786599326599327</v>
      </c>
      <c r="L489" s="61">
        <f t="shared" si="44"/>
        <v>7.07939393939394</v>
      </c>
      <c r="M489" s="46">
        <f t="shared" si="45"/>
        <v>63.38</v>
      </c>
      <c r="Q489" s="13"/>
    </row>
    <row r="490" hidden="1" customHeight="1" outlineLevel="1" spans="1:17">
      <c r="A490" s="64">
        <v>45821</v>
      </c>
      <c r="B490" s="64">
        <v>45826</v>
      </c>
      <c r="D490" s="14">
        <f t="shared" si="48"/>
        <v>1.86</v>
      </c>
      <c r="E490" s="14">
        <v>0</v>
      </c>
      <c r="F490" s="46">
        <v>2</v>
      </c>
      <c r="H490" s="60">
        <f t="shared" si="42"/>
        <v>1.89333333333333</v>
      </c>
      <c r="I490" s="47">
        <v>60</v>
      </c>
      <c r="J490" s="14">
        <v>9</v>
      </c>
      <c r="K490" s="48">
        <f t="shared" si="43"/>
        <v>0.78962962962963</v>
      </c>
      <c r="L490" s="61">
        <f t="shared" si="44"/>
        <v>7.10666666666667</v>
      </c>
      <c r="M490" s="46">
        <f t="shared" si="45"/>
        <v>113.6</v>
      </c>
      <c r="Q490" s="13"/>
    </row>
    <row r="491" hidden="1" customHeight="1" outlineLevel="1" spans="1:17">
      <c r="A491" s="64">
        <v>45821</v>
      </c>
      <c r="B491" s="64">
        <v>45832</v>
      </c>
      <c r="D491" s="14">
        <f t="shared" si="48"/>
        <v>1.86</v>
      </c>
      <c r="E491" s="14">
        <v>0</v>
      </c>
      <c r="F491" s="46">
        <v>2</v>
      </c>
      <c r="H491" s="60">
        <f t="shared" si="42"/>
        <v>1.91</v>
      </c>
      <c r="I491" s="47">
        <v>40</v>
      </c>
      <c r="J491" s="14">
        <v>9</v>
      </c>
      <c r="K491" s="48">
        <f t="shared" si="43"/>
        <v>0.787777777777778</v>
      </c>
      <c r="L491" s="61">
        <f t="shared" si="44"/>
        <v>7.09</v>
      </c>
      <c r="M491" s="46">
        <f t="shared" si="45"/>
        <v>76.4</v>
      </c>
      <c r="Q491" s="13"/>
    </row>
    <row r="492" hidden="1" customHeight="1" outlineLevel="1" spans="1:17">
      <c r="A492" s="64">
        <v>45832</v>
      </c>
      <c r="B492" s="64">
        <v>45840</v>
      </c>
      <c r="D492" s="14">
        <f t="shared" si="48"/>
        <v>1.86</v>
      </c>
      <c r="E492" s="14">
        <v>0</v>
      </c>
      <c r="F492" s="46">
        <v>2</v>
      </c>
      <c r="H492" s="60">
        <f t="shared" si="42"/>
        <v>1.91263157894737</v>
      </c>
      <c r="I492" s="47">
        <v>38</v>
      </c>
      <c r="J492" s="14">
        <v>9</v>
      </c>
      <c r="K492" s="48">
        <f t="shared" si="43"/>
        <v>0.787485380116959</v>
      </c>
      <c r="L492" s="61">
        <f t="shared" si="44"/>
        <v>7.08736842105263</v>
      </c>
      <c r="M492" s="46">
        <f t="shared" si="45"/>
        <v>72.68</v>
      </c>
      <c r="Q492" s="13"/>
    </row>
    <row r="493" hidden="1" customHeight="1" outlineLevel="1" spans="1:17">
      <c r="A493" s="64">
        <v>45832</v>
      </c>
      <c r="B493" s="24">
        <v>45842</v>
      </c>
      <c r="D493" s="14">
        <f t="shared" si="48"/>
        <v>1.86</v>
      </c>
      <c r="E493" s="14">
        <v>0</v>
      </c>
      <c r="F493" s="46">
        <v>2</v>
      </c>
      <c r="H493" s="60">
        <f t="shared" si="42"/>
        <v>1.92451612903226</v>
      </c>
      <c r="I493" s="47">
        <v>31</v>
      </c>
      <c r="J493" s="14">
        <v>9</v>
      </c>
      <c r="K493" s="48">
        <f t="shared" si="43"/>
        <v>0.786164874551971</v>
      </c>
      <c r="L493" s="61">
        <f t="shared" si="44"/>
        <v>7.07548387096774</v>
      </c>
      <c r="M493" s="46">
        <f t="shared" si="45"/>
        <v>59.66</v>
      </c>
      <c r="Q493" s="13"/>
    </row>
    <row r="494" hidden="1" customHeight="1" outlineLevel="1" spans="1:17">
      <c r="A494" s="64">
        <v>45842</v>
      </c>
      <c r="B494" s="24">
        <v>45846</v>
      </c>
      <c r="D494" s="14">
        <f t="shared" si="48"/>
        <v>1.86</v>
      </c>
      <c r="E494" s="14">
        <v>0</v>
      </c>
      <c r="F494" s="46">
        <v>3</v>
      </c>
      <c r="H494" s="60">
        <f t="shared" si="42"/>
        <v>1.91</v>
      </c>
      <c r="I494" s="47">
        <v>60</v>
      </c>
      <c r="J494" s="14">
        <v>9</v>
      </c>
      <c r="K494" s="48">
        <f t="shared" si="43"/>
        <v>0.787777777777778</v>
      </c>
      <c r="L494" s="61">
        <f t="shared" si="44"/>
        <v>7.09</v>
      </c>
      <c r="M494" s="46">
        <f t="shared" si="45"/>
        <v>114.6</v>
      </c>
      <c r="Q494" s="13"/>
    </row>
    <row r="495" hidden="1" customHeight="1" outlineLevel="1" spans="1:17">
      <c r="A495" s="64">
        <v>45842</v>
      </c>
      <c r="B495" s="24">
        <v>45850</v>
      </c>
      <c r="D495" s="14">
        <f t="shared" si="48"/>
        <v>1.86</v>
      </c>
      <c r="E495" s="14">
        <v>0</v>
      </c>
      <c r="F495" s="46">
        <v>3</v>
      </c>
      <c r="H495" s="60">
        <f t="shared" si="42"/>
        <v>2.01</v>
      </c>
      <c r="I495" s="47">
        <v>20</v>
      </c>
      <c r="J495" s="14">
        <v>9</v>
      </c>
      <c r="K495" s="48">
        <f t="shared" si="43"/>
        <v>0.776666666666667</v>
      </c>
      <c r="L495" s="61">
        <f t="shared" si="44"/>
        <v>6.99</v>
      </c>
      <c r="M495" s="46">
        <f t="shared" si="45"/>
        <v>40.2</v>
      </c>
      <c r="Q495" s="13"/>
    </row>
    <row r="496" hidden="1" customHeight="1" outlineLevel="1" spans="1:17">
      <c r="A496" s="64">
        <v>45850</v>
      </c>
      <c r="B496" s="24">
        <v>45857</v>
      </c>
      <c r="D496" s="14">
        <f t="shared" si="48"/>
        <v>1.86</v>
      </c>
      <c r="E496" s="14">
        <v>0</v>
      </c>
      <c r="F496" s="46">
        <v>3</v>
      </c>
      <c r="H496" s="60">
        <f t="shared" si="42"/>
        <v>1.89333333333333</v>
      </c>
      <c r="I496" s="47">
        <v>90</v>
      </c>
      <c r="J496" s="14">
        <v>9</v>
      </c>
      <c r="K496" s="48">
        <f t="shared" si="43"/>
        <v>0.78962962962963</v>
      </c>
      <c r="L496" s="61">
        <f t="shared" si="44"/>
        <v>7.10666666666667</v>
      </c>
      <c r="M496" s="46">
        <f t="shared" si="45"/>
        <v>170.4</v>
      </c>
      <c r="Q496" s="13"/>
    </row>
    <row r="497" hidden="1" customHeight="1" outlineLevel="1" spans="1:17">
      <c r="A497" s="64">
        <v>45858</v>
      </c>
      <c r="B497" s="24">
        <v>45862</v>
      </c>
      <c r="D497" s="14">
        <f t="shared" si="48"/>
        <v>1.86</v>
      </c>
      <c r="E497" s="14">
        <v>0</v>
      </c>
      <c r="F497" s="46">
        <v>2</v>
      </c>
      <c r="H497" s="60">
        <f t="shared" si="42"/>
        <v>1.91128205128205</v>
      </c>
      <c r="I497" s="47">
        <v>39</v>
      </c>
      <c r="J497" s="14">
        <v>9</v>
      </c>
      <c r="K497" s="48">
        <f t="shared" si="43"/>
        <v>0.787635327635328</v>
      </c>
      <c r="L497" s="61">
        <f t="shared" si="44"/>
        <v>7.08871794871795</v>
      </c>
      <c r="M497" s="46">
        <f t="shared" si="45"/>
        <v>74.54</v>
      </c>
      <c r="Q497" s="13"/>
    </row>
    <row r="498" hidden="1" customHeight="1" outlineLevel="1" spans="1:17">
      <c r="A498" s="64">
        <v>45858</v>
      </c>
      <c r="B498" s="24">
        <v>45865</v>
      </c>
      <c r="D498" s="14">
        <f t="shared" si="48"/>
        <v>1.86</v>
      </c>
      <c r="E498" s="14">
        <v>0</v>
      </c>
      <c r="F498" s="46">
        <v>2</v>
      </c>
      <c r="H498" s="60">
        <f t="shared" si="42"/>
        <v>1.91882352941176</v>
      </c>
      <c r="I498" s="47">
        <v>34</v>
      </c>
      <c r="J498" s="14">
        <v>9</v>
      </c>
      <c r="K498" s="48">
        <f t="shared" si="43"/>
        <v>0.786797385620915</v>
      </c>
      <c r="L498" s="61">
        <f t="shared" si="44"/>
        <v>7.08117647058824</v>
      </c>
      <c r="M498" s="46">
        <f t="shared" si="45"/>
        <v>65.24</v>
      </c>
      <c r="Q498" s="13"/>
    </row>
    <row r="499" hidden="1" customHeight="1" outlineLevel="1" spans="1:17">
      <c r="A499" s="64">
        <v>45866</v>
      </c>
      <c r="B499" s="24">
        <v>45871</v>
      </c>
      <c r="D499" s="14">
        <f t="shared" si="48"/>
        <v>1.86</v>
      </c>
      <c r="E499" s="14">
        <v>0</v>
      </c>
      <c r="F499" s="46">
        <v>2</v>
      </c>
      <c r="H499" s="60">
        <f t="shared" si="42"/>
        <v>1.88564102564103</v>
      </c>
      <c r="I499" s="47">
        <v>78</v>
      </c>
      <c r="J499" s="14">
        <v>9</v>
      </c>
      <c r="K499" s="48">
        <f t="shared" si="43"/>
        <v>0.790484330484331</v>
      </c>
      <c r="L499" s="61">
        <f t="shared" si="44"/>
        <v>7.11435897435898</v>
      </c>
      <c r="M499" s="46">
        <f t="shared" si="45"/>
        <v>147.08</v>
      </c>
      <c r="Q499" s="13"/>
    </row>
    <row r="500" hidden="1" customHeight="1" outlineLevel="1" spans="1:17">
      <c r="A500" s="24">
        <v>45869</v>
      </c>
      <c r="B500" s="24">
        <v>45875</v>
      </c>
      <c r="D500" s="14">
        <f t="shared" si="48"/>
        <v>1.86</v>
      </c>
      <c r="E500" s="14">
        <v>0</v>
      </c>
      <c r="F500" s="46">
        <v>6</v>
      </c>
      <c r="H500" s="60">
        <f t="shared" si="42"/>
        <v>1.92818181818182</v>
      </c>
      <c r="I500" s="47">
        <v>88</v>
      </c>
      <c r="J500" s="14">
        <v>9</v>
      </c>
      <c r="K500" s="48">
        <f t="shared" si="43"/>
        <v>0.785757575757576</v>
      </c>
      <c r="L500" s="61">
        <f t="shared" si="44"/>
        <v>7.07181818181818</v>
      </c>
      <c r="M500" s="46">
        <f t="shared" si="45"/>
        <v>169.68</v>
      </c>
    </row>
    <row r="501" hidden="1" customHeight="1" outlineLevel="1" spans="1:17">
      <c r="A501" s="24">
        <v>45869</v>
      </c>
      <c r="B501" s="24">
        <v>45879</v>
      </c>
      <c r="D501" s="14">
        <f t="shared" si="48"/>
        <v>1.86</v>
      </c>
      <c r="E501" s="14">
        <v>0</v>
      </c>
      <c r="F501" s="46">
        <v>1</v>
      </c>
      <c r="H501" s="60">
        <f t="shared" si="42"/>
        <v>1.93692307692308</v>
      </c>
      <c r="I501" s="47">
        <v>13</v>
      </c>
      <c r="J501" s="14">
        <v>9</v>
      </c>
      <c r="K501" s="48">
        <f t="shared" si="43"/>
        <v>0.784786324786325</v>
      </c>
      <c r="L501" s="61">
        <f t="shared" si="44"/>
        <v>7.06307692307692</v>
      </c>
      <c r="M501" s="46">
        <f t="shared" si="45"/>
        <v>25.18</v>
      </c>
    </row>
    <row r="502" hidden="1" customHeight="1" outlineLevel="1" spans="1:17">
      <c r="A502" s="24">
        <v>45874</v>
      </c>
      <c r="B502" s="24">
        <v>45879</v>
      </c>
      <c r="D502" s="14">
        <f t="shared" si="48"/>
        <v>1.86</v>
      </c>
      <c r="E502" s="14">
        <v>0</v>
      </c>
      <c r="F502" s="46">
        <v>1</v>
      </c>
      <c r="H502" s="60">
        <f t="shared" si="42"/>
        <v>1.87492537313433</v>
      </c>
      <c r="I502" s="47">
        <v>67</v>
      </c>
      <c r="J502" s="14">
        <v>9</v>
      </c>
      <c r="K502" s="48">
        <f t="shared" si="43"/>
        <v>0.79167495854063</v>
      </c>
      <c r="L502" s="61">
        <f t="shared" si="44"/>
        <v>7.12507462686567</v>
      </c>
      <c r="M502" s="46">
        <f t="shared" si="45"/>
        <v>125.62</v>
      </c>
    </row>
    <row r="503" hidden="1" customHeight="1" outlineLevel="1" spans="1:17">
      <c r="A503" s="24">
        <v>45874</v>
      </c>
      <c r="B503" s="37">
        <v>45887</v>
      </c>
      <c r="D503" s="14">
        <f t="shared" si="48"/>
        <v>1.86</v>
      </c>
      <c r="E503" s="14">
        <v>0</v>
      </c>
      <c r="F503" s="46">
        <v>1</v>
      </c>
      <c r="H503" s="60">
        <f t="shared" si="42"/>
        <v>1.91</v>
      </c>
      <c r="I503" s="47">
        <v>20</v>
      </c>
      <c r="J503" s="14">
        <v>9</v>
      </c>
      <c r="K503" s="48">
        <f t="shared" si="43"/>
        <v>0.787777777777778</v>
      </c>
      <c r="L503" s="61">
        <f t="shared" si="44"/>
        <v>7.09</v>
      </c>
      <c r="M503" s="46">
        <f t="shared" si="45"/>
        <v>38.2</v>
      </c>
    </row>
    <row r="504" hidden="1" customHeight="1" outlineLevel="1" spans="1:17">
      <c r="A504" s="40">
        <v>45886</v>
      </c>
      <c r="B504" s="24">
        <v>45893</v>
      </c>
      <c r="C504" s="57"/>
      <c r="D504" s="14">
        <f t="shared" si="48"/>
        <v>1.86</v>
      </c>
      <c r="E504" s="14">
        <v>0</v>
      </c>
      <c r="F504" s="46">
        <v>2</v>
      </c>
      <c r="H504" s="60">
        <f t="shared" si="42"/>
        <v>1.90444444444444</v>
      </c>
      <c r="I504" s="47">
        <v>45</v>
      </c>
      <c r="J504" s="14">
        <v>9</v>
      </c>
      <c r="K504" s="48">
        <f t="shared" si="43"/>
        <v>0.788395061728395</v>
      </c>
      <c r="L504" s="61">
        <f t="shared" si="44"/>
        <v>7.09555555555556</v>
      </c>
      <c r="M504" s="46">
        <f t="shared" si="45"/>
        <v>85.7</v>
      </c>
      <c r="N504" s="57"/>
      <c r="O504" s="57"/>
      <c r="P504" s="57"/>
      <c r="Q504" s="13"/>
    </row>
    <row r="505" hidden="1" customHeight="1" outlineLevel="1" spans="1:17">
      <c r="A505" s="40">
        <v>45886</v>
      </c>
      <c r="B505" s="40">
        <v>45898</v>
      </c>
      <c r="C505" s="57"/>
      <c r="D505" s="14">
        <f t="shared" si="48"/>
        <v>1.86</v>
      </c>
      <c r="E505" s="14">
        <v>0</v>
      </c>
      <c r="F505" s="46">
        <v>2</v>
      </c>
      <c r="H505" s="60">
        <f t="shared" si="42"/>
        <v>1.94</v>
      </c>
      <c r="I505" s="47">
        <v>25</v>
      </c>
      <c r="J505" s="14">
        <v>9</v>
      </c>
      <c r="K505" s="48">
        <f t="shared" si="43"/>
        <v>0.784444444444444</v>
      </c>
      <c r="L505" s="61">
        <f t="shared" si="44"/>
        <v>7.06</v>
      </c>
      <c r="M505" s="46">
        <f t="shared" si="45"/>
        <v>48.5</v>
      </c>
      <c r="N505" s="57"/>
      <c r="O505" s="57"/>
      <c r="P505" s="57"/>
      <c r="Q505" s="13"/>
    </row>
    <row r="506" hidden="1" customHeight="1" outlineLevel="1" spans="1:17">
      <c r="A506" s="40">
        <v>45894</v>
      </c>
      <c r="B506" s="40">
        <v>45905</v>
      </c>
      <c r="C506" s="57"/>
      <c r="D506" s="14">
        <f t="shared" si="48"/>
        <v>1.86</v>
      </c>
      <c r="E506" s="14">
        <v>0</v>
      </c>
      <c r="F506" s="46">
        <v>16</v>
      </c>
      <c r="H506" s="60">
        <f t="shared" si="42"/>
        <v>2.02326530612245</v>
      </c>
      <c r="I506" s="47">
        <v>98</v>
      </c>
      <c r="J506" s="14">
        <v>9</v>
      </c>
      <c r="K506" s="48">
        <f t="shared" si="43"/>
        <v>0.775192743764172</v>
      </c>
      <c r="L506" s="61">
        <f t="shared" si="44"/>
        <v>6.97673469387755</v>
      </c>
      <c r="M506" s="46">
        <f t="shared" si="45"/>
        <v>198.28</v>
      </c>
      <c r="N506" s="57"/>
      <c r="O506" s="57"/>
      <c r="P506" s="57"/>
      <c r="Q506" s="13"/>
    </row>
    <row r="507" hidden="1" customHeight="1" outlineLevel="1" spans="1:17">
      <c r="A507" s="40">
        <v>45902</v>
      </c>
      <c r="B507" s="40">
        <v>45906</v>
      </c>
      <c r="C507" s="57"/>
      <c r="D507" s="14">
        <f>0.7*3</f>
        <v>2.1</v>
      </c>
      <c r="E507" s="14">
        <v>5</v>
      </c>
      <c r="F507" s="46">
        <v>2</v>
      </c>
      <c r="H507" s="60">
        <f t="shared" si="42"/>
        <v>2.18974358974359</v>
      </c>
      <c r="I507" s="47">
        <v>78</v>
      </c>
      <c r="J507" s="14">
        <v>9</v>
      </c>
      <c r="K507" s="48">
        <f t="shared" si="43"/>
        <v>0.756695156695157</v>
      </c>
      <c r="L507" s="61">
        <f t="shared" si="44"/>
        <v>6.81025641025641</v>
      </c>
      <c r="M507" s="46">
        <f t="shared" si="45"/>
        <v>170.8</v>
      </c>
      <c r="N507" s="57"/>
      <c r="O507" s="57"/>
      <c r="P507" s="57"/>
      <c r="Q507" s="13" t="s">
        <v>44</v>
      </c>
    </row>
    <row r="508" hidden="1" customHeight="1" outlineLevel="1" spans="1:17">
      <c r="A508" s="40">
        <v>45899</v>
      </c>
      <c r="B508" s="40">
        <v>45913</v>
      </c>
      <c r="C508" s="57"/>
      <c r="D508" s="14">
        <f t="shared" ref="D508:D562" si="49">0.62*3</f>
        <v>1.86</v>
      </c>
      <c r="E508" s="14">
        <v>0</v>
      </c>
      <c r="F508" s="46">
        <v>2</v>
      </c>
      <c r="H508" s="60">
        <f t="shared" si="42"/>
        <v>1.90545454545455</v>
      </c>
      <c r="I508" s="47">
        <v>44</v>
      </c>
      <c r="J508" s="14">
        <v>9</v>
      </c>
      <c r="K508" s="48">
        <f t="shared" si="43"/>
        <v>0.788282828282828</v>
      </c>
      <c r="L508" s="61">
        <f t="shared" si="44"/>
        <v>7.09454545454545</v>
      </c>
      <c r="M508" s="46">
        <f t="shared" si="45"/>
        <v>83.84</v>
      </c>
    </row>
    <row r="509" hidden="1" customHeight="1" outlineLevel="1" spans="1:17">
      <c r="A509" s="40">
        <v>45899</v>
      </c>
      <c r="B509" s="40">
        <v>45916</v>
      </c>
      <c r="C509" s="57"/>
      <c r="D509" s="14">
        <f t="shared" si="49"/>
        <v>1.86</v>
      </c>
      <c r="E509" s="14">
        <v>0</v>
      </c>
      <c r="F509" s="46">
        <v>2</v>
      </c>
      <c r="H509" s="60">
        <f t="shared" si="42"/>
        <v>1.90255319148936</v>
      </c>
      <c r="I509" s="47">
        <v>47</v>
      </c>
      <c r="J509" s="14">
        <v>9</v>
      </c>
      <c r="K509" s="48">
        <f t="shared" si="43"/>
        <v>0.788605200945626</v>
      </c>
      <c r="L509" s="61">
        <f t="shared" si="44"/>
        <v>7.09744680851064</v>
      </c>
      <c r="M509" s="46">
        <f t="shared" si="45"/>
        <v>89.42</v>
      </c>
    </row>
    <row r="510" hidden="1" customHeight="1" outlineLevel="1" spans="1:17">
      <c r="A510" s="40">
        <v>45910</v>
      </c>
      <c r="B510" s="40">
        <v>45920</v>
      </c>
      <c r="C510" s="57"/>
      <c r="D510" s="14">
        <f t="shared" si="49"/>
        <v>1.86</v>
      </c>
      <c r="E510" s="14">
        <v>0</v>
      </c>
      <c r="F510" s="46">
        <v>2</v>
      </c>
      <c r="H510" s="60">
        <f t="shared" si="42"/>
        <v>1.91405405405405</v>
      </c>
      <c r="I510" s="47">
        <v>37</v>
      </c>
      <c r="J510" s="14">
        <v>9</v>
      </c>
      <c r="K510" s="48">
        <f t="shared" si="43"/>
        <v>0.787327327327327</v>
      </c>
      <c r="L510" s="61">
        <f t="shared" si="44"/>
        <v>7.08594594594595</v>
      </c>
      <c r="M510" s="46">
        <f t="shared" si="45"/>
        <v>70.82</v>
      </c>
      <c r="N510" s="57"/>
      <c r="O510" s="57"/>
      <c r="P510" s="57"/>
      <c r="Q510" s="13"/>
    </row>
    <row r="511" hidden="1" customHeight="1" outlineLevel="1" spans="1:17">
      <c r="A511" s="40">
        <v>45910</v>
      </c>
      <c r="B511" s="40">
        <v>45927</v>
      </c>
      <c r="C511" s="57"/>
      <c r="D511" s="14">
        <f t="shared" si="49"/>
        <v>1.86</v>
      </c>
      <c r="E511" s="14">
        <v>0</v>
      </c>
      <c r="F511" s="46">
        <v>2</v>
      </c>
      <c r="H511" s="60">
        <f t="shared" si="42"/>
        <v>2.00285714285714</v>
      </c>
      <c r="I511" s="47">
        <v>14</v>
      </c>
      <c r="J511" s="14">
        <v>9</v>
      </c>
      <c r="K511" s="48">
        <f t="shared" si="43"/>
        <v>0.777460317460318</v>
      </c>
      <c r="L511" s="61">
        <f t="shared" si="44"/>
        <v>6.99714285714286</v>
      </c>
      <c r="M511" s="46">
        <f t="shared" si="45"/>
        <v>28.04</v>
      </c>
      <c r="N511" s="57"/>
      <c r="O511" s="57"/>
      <c r="P511" s="57"/>
      <c r="Q511" s="13"/>
    </row>
    <row r="512" hidden="1" customHeight="1" outlineLevel="1" spans="1:17">
      <c r="A512" s="40">
        <v>45910</v>
      </c>
      <c r="B512" s="40">
        <v>45930</v>
      </c>
      <c r="C512" s="57"/>
      <c r="D512" s="14">
        <f t="shared" si="49"/>
        <v>1.86</v>
      </c>
      <c r="E512" s="14">
        <v>0</v>
      </c>
      <c r="F512" s="46">
        <v>2</v>
      </c>
      <c r="H512" s="60">
        <f t="shared" si="42"/>
        <v>1.91263157894737</v>
      </c>
      <c r="I512" s="47">
        <v>38</v>
      </c>
      <c r="J512" s="14">
        <v>9</v>
      </c>
      <c r="K512" s="48">
        <f t="shared" si="43"/>
        <v>0.787485380116959</v>
      </c>
      <c r="L512" s="61">
        <f t="shared" si="44"/>
        <v>7.08736842105263</v>
      </c>
      <c r="M512" s="46">
        <f t="shared" si="45"/>
        <v>72.68</v>
      </c>
      <c r="N512" s="57"/>
      <c r="O512" s="57"/>
      <c r="P512" s="57"/>
      <c r="Q512" s="13"/>
    </row>
    <row r="513" hidden="1" customHeight="1" outlineLevel="1" spans="1:17">
      <c r="A513" s="40">
        <v>45910</v>
      </c>
      <c r="B513" s="40">
        <v>45931</v>
      </c>
      <c r="C513" s="57"/>
      <c r="D513" s="14">
        <f t="shared" si="49"/>
        <v>1.86</v>
      </c>
      <c r="E513" s="14">
        <v>0</v>
      </c>
      <c r="F513" s="46">
        <v>1</v>
      </c>
      <c r="H513" s="60">
        <f t="shared" si="42"/>
        <v>1.92666666666667</v>
      </c>
      <c r="I513" s="47">
        <v>15</v>
      </c>
      <c r="J513" s="14">
        <v>9</v>
      </c>
      <c r="K513" s="48">
        <f t="shared" si="43"/>
        <v>0.785925925925926</v>
      </c>
      <c r="L513" s="61">
        <f t="shared" si="44"/>
        <v>7.07333333333333</v>
      </c>
      <c r="M513" s="46">
        <f t="shared" si="45"/>
        <v>28.9</v>
      </c>
      <c r="N513" s="57"/>
      <c r="O513" s="57"/>
      <c r="P513" s="57"/>
      <c r="Q513" s="13"/>
    </row>
    <row r="514" hidden="1" customHeight="1" outlineLevel="1" spans="1:17">
      <c r="A514" s="40">
        <v>45910</v>
      </c>
      <c r="B514" s="40">
        <v>45933</v>
      </c>
      <c r="C514" s="57"/>
      <c r="D514" s="14">
        <f t="shared" si="49"/>
        <v>1.86</v>
      </c>
      <c r="E514" s="14">
        <v>0</v>
      </c>
      <c r="F514" s="46">
        <v>2</v>
      </c>
      <c r="H514" s="60">
        <f t="shared" si="42"/>
        <v>1.9225</v>
      </c>
      <c r="I514" s="47">
        <v>32</v>
      </c>
      <c r="J514" s="14">
        <v>9</v>
      </c>
      <c r="K514" s="48">
        <f t="shared" si="43"/>
        <v>0.786388888888889</v>
      </c>
      <c r="L514" s="61">
        <f t="shared" si="44"/>
        <v>7.0775</v>
      </c>
      <c r="M514" s="46">
        <f t="shared" si="45"/>
        <v>61.52</v>
      </c>
      <c r="N514" s="57"/>
      <c r="O514" s="57"/>
      <c r="P514" s="57"/>
      <c r="Q514" s="13"/>
    </row>
    <row r="515" hidden="1" customHeight="1" outlineLevel="1" spans="1:17">
      <c r="A515" s="40">
        <v>45926</v>
      </c>
      <c r="B515" s="40">
        <v>45945</v>
      </c>
      <c r="C515" s="57"/>
      <c r="D515" s="14">
        <f t="shared" si="49"/>
        <v>1.86</v>
      </c>
      <c r="E515" s="14">
        <v>0</v>
      </c>
      <c r="F515" s="46">
        <v>2</v>
      </c>
      <c r="H515" s="60">
        <f t="shared" si="42"/>
        <v>1.93142857142857</v>
      </c>
      <c r="I515" s="47">
        <v>28</v>
      </c>
      <c r="J515" s="14">
        <v>9</v>
      </c>
      <c r="K515" s="48">
        <f t="shared" si="43"/>
        <v>0.785396825396825</v>
      </c>
      <c r="L515" s="61">
        <f t="shared" si="44"/>
        <v>7.06857142857143</v>
      </c>
      <c r="M515" s="46">
        <f t="shared" si="45"/>
        <v>54.08</v>
      </c>
      <c r="N515" s="57"/>
      <c r="O515" s="57"/>
      <c r="P515" s="57"/>
      <c r="Q515" s="13"/>
    </row>
    <row r="516" hidden="1" customHeight="1" outlineLevel="1" spans="1:17">
      <c r="A516" s="40">
        <v>45938</v>
      </c>
      <c r="B516" s="40">
        <v>45954</v>
      </c>
      <c r="C516" s="57"/>
      <c r="D516" s="14">
        <f t="shared" si="49"/>
        <v>1.86</v>
      </c>
      <c r="E516" s="14">
        <v>0</v>
      </c>
      <c r="F516" s="46">
        <v>2</v>
      </c>
      <c r="H516" s="60">
        <f t="shared" si="42"/>
        <v>1.96</v>
      </c>
      <c r="I516" s="47">
        <v>20</v>
      </c>
      <c r="J516" s="14">
        <v>9</v>
      </c>
      <c r="K516" s="48">
        <f t="shared" si="43"/>
        <v>0.782222222222222</v>
      </c>
      <c r="L516" s="61">
        <f t="shared" si="44"/>
        <v>7.04</v>
      </c>
      <c r="M516" s="46">
        <f t="shared" si="45"/>
        <v>39.2</v>
      </c>
      <c r="N516" s="57"/>
      <c r="O516" s="57"/>
      <c r="P516" s="57"/>
      <c r="Q516" s="13"/>
    </row>
    <row r="517" hidden="1" customHeight="1" outlineLevel="1" spans="1:17">
      <c r="A517" s="40">
        <v>45938</v>
      </c>
      <c r="B517" s="40">
        <v>45956</v>
      </c>
      <c r="C517" s="57"/>
      <c r="D517" s="14">
        <f t="shared" si="49"/>
        <v>1.86</v>
      </c>
      <c r="E517" s="14">
        <v>0</v>
      </c>
      <c r="F517" s="46">
        <v>2</v>
      </c>
      <c r="H517" s="60">
        <f t="shared" si="42"/>
        <v>1.93692307692308</v>
      </c>
      <c r="I517" s="47">
        <v>26</v>
      </c>
      <c r="J517" s="14">
        <v>9</v>
      </c>
      <c r="K517" s="48">
        <f t="shared" si="43"/>
        <v>0.784786324786325</v>
      </c>
      <c r="L517" s="61">
        <f t="shared" si="44"/>
        <v>7.06307692307692</v>
      </c>
      <c r="M517" s="46">
        <f t="shared" si="45"/>
        <v>50.36</v>
      </c>
      <c r="N517" s="57"/>
      <c r="O517" s="57"/>
      <c r="P517" s="57"/>
      <c r="Q517" s="13"/>
    </row>
    <row r="518" hidden="1" customHeight="1" outlineLevel="1" spans="1:17">
      <c r="A518" s="40">
        <v>45938</v>
      </c>
      <c r="B518" s="40">
        <v>45960</v>
      </c>
      <c r="C518" s="57"/>
      <c r="D518" s="14">
        <f t="shared" si="49"/>
        <v>1.86</v>
      </c>
      <c r="E518" s="14">
        <v>0</v>
      </c>
      <c r="F518" s="46">
        <v>2</v>
      </c>
      <c r="H518" s="60">
        <f t="shared" ref="H518:H562" si="50">D518+(E518/I518)+(F518/I518)</f>
        <v>1.94695652173913</v>
      </c>
      <c r="I518" s="47">
        <v>23</v>
      </c>
      <c r="J518" s="14">
        <v>9</v>
      </c>
      <c r="K518" s="48">
        <f t="shared" ref="K518:K562" si="51">(J518-H518)/J518</f>
        <v>0.783671497584541</v>
      </c>
      <c r="L518" s="61">
        <f t="shared" ref="L518:L562" si="52">J518-H518</f>
        <v>7.05304347826087</v>
      </c>
      <c r="M518" s="46">
        <f t="shared" ref="M518:M562" si="53">D518*I518+E518+F518</f>
        <v>44.78</v>
      </c>
      <c r="N518" s="57"/>
      <c r="O518" s="57"/>
      <c r="P518" s="57"/>
      <c r="Q518" s="13"/>
    </row>
    <row r="519" hidden="1" customHeight="1" outlineLevel="1" spans="1:17">
      <c r="A519" s="40">
        <v>45938</v>
      </c>
      <c r="B519" s="40">
        <v>45960</v>
      </c>
      <c r="C519" s="57"/>
      <c r="D519" s="14">
        <f t="shared" si="49"/>
        <v>1.86</v>
      </c>
      <c r="E519" s="14">
        <v>0</v>
      </c>
      <c r="F519" s="46">
        <v>2</v>
      </c>
      <c r="H519" s="60">
        <f t="shared" si="50"/>
        <v>1.89571428571429</v>
      </c>
      <c r="I519" s="47">
        <v>56</v>
      </c>
      <c r="J519" s="14">
        <v>9</v>
      </c>
      <c r="K519" s="48">
        <f t="shared" si="51"/>
        <v>0.789365079365079</v>
      </c>
      <c r="L519" s="61">
        <f t="shared" si="52"/>
        <v>7.10428571428571</v>
      </c>
      <c r="M519" s="46">
        <f t="shared" si="53"/>
        <v>106.16</v>
      </c>
      <c r="N519" s="57"/>
      <c r="O519" s="57"/>
      <c r="P519" s="57"/>
      <c r="Q519" s="13"/>
    </row>
    <row r="520" hidden="1" customHeight="1" outlineLevel="1" spans="1:17">
      <c r="A520" s="40">
        <v>45956</v>
      </c>
      <c r="B520" s="40">
        <v>45963</v>
      </c>
      <c r="C520" s="57"/>
      <c r="D520" s="14">
        <f t="shared" si="49"/>
        <v>1.86</v>
      </c>
      <c r="E520" s="14">
        <v>0</v>
      </c>
      <c r="F520" s="46">
        <v>2</v>
      </c>
      <c r="H520" s="60">
        <f t="shared" si="50"/>
        <v>1.90166666666667</v>
      </c>
      <c r="I520" s="47">
        <v>48</v>
      </c>
      <c r="J520" s="14">
        <v>9</v>
      </c>
      <c r="K520" s="48">
        <f t="shared" si="51"/>
        <v>0.788703703703704</v>
      </c>
      <c r="L520" s="61">
        <f t="shared" si="52"/>
        <v>7.09833333333333</v>
      </c>
      <c r="M520" s="46">
        <f t="shared" si="53"/>
        <v>91.28</v>
      </c>
      <c r="N520" s="57"/>
      <c r="O520" s="57"/>
      <c r="P520" s="57"/>
      <c r="Q520" s="13"/>
    </row>
    <row r="521" hidden="1" customHeight="1" outlineLevel="1" spans="1:17">
      <c r="A521" s="40">
        <v>45956</v>
      </c>
      <c r="B521" s="40">
        <v>45966</v>
      </c>
      <c r="C521" s="57"/>
      <c r="D521" s="14">
        <f t="shared" si="49"/>
        <v>1.86</v>
      </c>
      <c r="E521" s="14">
        <v>0</v>
      </c>
      <c r="F521" s="46">
        <v>2</v>
      </c>
      <c r="H521" s="60">
        <f t="shared" si="50"/>
        <v>1.92666666666667</v>
      </c>
      <c r="I521" s="47">
        <v>30</v>
      </c>
      <c r="J521" s="14">
        <v>9</v>
      </c>
      <c r="K521" s="48">
        <f t="shared" si="51"/>
        <v>0.785925925925926</v>
      </c>
      <c r="L521" s="61">
        <f t="shared" si="52"/>
        <v>7.07333333333333</v>
      </c>
      <c r="M521" s="46">
        <f t="shared" si="53"/>
        <v>57.8</v>
      </c>
      <c r="N521" s="57"/>
      <c r="O521" s="57"/>
      <c r="P521" s="57"/>
      <c r="Q521" s="13"/>
    </row>
    <row r="522" hidden="1" customHeight="1" outlineLevel="1" spans="1:17">
      <c r="A522" s="24">
        <v>45963</v>
      </c>
      <c r="B522" s="40">
        <v>45969</v>
      </c>
      <c r="C522" s="57"/>
      <c r="D522" s="14">
        <f t="shared" si="49"/>
        <v>1.86</v>
      </c>
      <c r="E522" s="14">
        <v>0</v>
      </c>
      <c r="F522" s="46">
        <v>2</v>
      </c>
      <c r="H522" s="60">
        <f t="shared" si="50"/>
        <v>1.8977358490566</v>
      </c>
      <c r="I522" s="47">
        <v>53</v>
      </c>
      <c r="J522" s="14">
        <v>9</v>
      </c>
      <c r="K522" s="48">
        <f t="shared" si="51"/>
        <v>0.789140461215933</v>
      </c>
      <c r="L522" s="61">
        <f t="shared" si="52"/>
        <v>7.1022641509434</v>
      </c>
      <c r="M522" s="46">
        <f t="shared" si="53"/>
        <v>100.58</v>
      </c>
      <c r="N522" s="57"/>
      <c r="O522" s="57"/>
      <c r="P522" s="57"/>
      <c r="Q522" s="13"/>
    </row>
    <row r="523" hidden="1" customHeight="1" outlineLevel="1" spans="1:17">
      <c r="A523" s="24">
        <v>45963</v>
      </c>
      <c r="B523" s="24">
        <v>45970</v>
      </c>
      <c r="D523" s="14">
        <f t="shared" si="49"/>
        <v>1.86</v>
      </c>
      <c r="E523" s="14">
        <v>0</v>
      </c>
      <c r="F523" s="46">
        <v>2</v>
      </c>
      <c r="H523" s="60">
        <f t="shared" si="50"/>
        <v>1.92666666666667</v>
      </c>
      <c r="I523" s="47">
        <v>30</v>
      </c>
      <c r="J523" s="14">
        <v>9</v>
      </c>
      <c r="K523" s="48">
        <f t="shared" si="51"/>
        <v>0.785925925925926</v>
      </c>
      <c r="L523" s="61">
        <f t="shared" si="52"/>
        <v>7.07333333333333</v>
      </c>
      <c r="M523" s="46">
        <f t="shared" si="53"/>
        <v>57.8</v>
      </c>
      <c r="N523" s="57"/>
      <c r="O523" s="57"/>
      <c r="P523" s="57"/>
      <c r="Q523" s="13"/>
    </row>
    <row r="524" hidden="1" customHeight="1" outlineLevel="1" spans="1:17">
      <c r="A524" s="24">
        <v>45967</v>
      </c>
      <c r="B524" s="24">
        <v>45982</v>
      </c>
      <c r="D524" s="14">
        <f t="shared" si="49"/>
        <v>1.86</v>
      </c>
      <c r="E524" s="14">
        <v>0</v>
      </c>
      <c r="F524" s="46">
        <v>2</v>
      </c>
      <c r="H524" s="60">
        <f t="shared" si="50"/>
        <v>1.90081632653061</v>
      </c>
      <c r="I524" s="47">
        <v>49</v>
      </c>
      <c r="J524" s="14">
        <v>9</v>
      </c>
      <c r="K524" s="48">
        <f t="shared" si="51"/>
        <v>0.788798185941043</v>
      </c>
      <c r="L524" s="61">
        <f t="shared" si="52"/>
        <v>7.09918367346939</v>
      </c>
      <c r="M524" s="46">
        <f t="shared" si="53"/>
        <v>93.14</v>
      </c>
      <c r="N524" s="57"/>
      <c r="O524" s="57"/>
      <c r="P524" s="57"/>
      <c r="Q524" s="13"/>
    </row>
    <row r="525" hidden="1" customHeight="1" outlineLevel="1" spans="1:17">
      <c r="A525" s="64">
        <v>45972</v>
      </c>
      <c r="B525" s="64">
        <v>45984</v>
      </c>
      <c r="D525" s="14">
        <f t="shared" si="49"/>
        <v>1.86</v>
      </c>
      <c r="E525" s="14">
        <v>0</v>
      </c>
      <c r="F525" s="46">
        <v>2</v>
      </c>
      <c r="H525" s="60">
        <f t="shared" si="50"/>
        <v>1.92060606060606</v>
      </c>
      <c r="I525" s="47">
        <v>33</v>
      </c>
      <c r="J525" s="14">
        <v>9</v>
      </c>
      <c r="K525" s="48">
        <f t="shared" si="51"/>
        <v>0.786599326599327</v>
      </c>
      <c r="L525" s="61">
        <f t="shared" si="52"/>
        <v>7.07939393939394</v>
      </c>
      <c r="M525" s="46">
        <f t="shared" si="53"/>
        <v>63.38</v>
      </c>
      <c r="Q525" s="13"/>
    </row>
    <row r="526" hidden="1" customHeight="1" outlineLevel="1" spans="1:17">
      <c r="A526" s="64">
        <v>45972</v>
      </c>
      <c r="B526" s="24">
        <v>45987</v>
      </c>
      <c r="D526" s="14">
        <f t="shared" si="49"/>
        <v>1.86</v>
      </c>
      <c r="E526" s="14">
        <v>0</v>
      </c>
      <c r="F526" s="46">
        <v>2</v>
      </c>
      <c r="H526" s="60">
        <f t="shared" si="50"/>
        <v>1.9225</v>
      </c>
      <c r="I526" s="47">
        <v>32</v>
      </c>
      <c r="J526" s="14">
        <v>9</v>
      </c>
      <c r="K526" s="48">
        <f t="shared" si="51"/>
        <v>0.786388888888889</v>
      </c>
      <c r="L526" s="61">
        <f t="shared" si="52"/>
        <v>7.0775</v>
      </c>
      <c r="M526" s="46">
        <f t="shared" si="53"/>
        <v>61.52</v>
      </c>
      <c r="Q526" s="13"/>
    </row>
    <row r="527" hidden="1" customHeight="1" outlineLevel="1" spans="1:17">
      <c r="A527" s="64">
        <v>45972</v>
      </c>
      <c r="B527" s="24">
        <v>45989</v>
      </c>
      <c r="D527" s="14">
        <f t="shared" si="49"/>
        <v>1.86</v>
      </c>
      <c r="E527" s="14">
        <v>0</v>
      </c>
      <c r="F527" s="46">
        <v>2</v>
      </c>
      <c r="H527" s="60">
        <f t="shared" si="50"/>
        <v>1.90651162790698</v>
      </c>
      <c r="I527" s="47">
        <v>43</v>
      </c>
      <c r="J527" s="14">
        <v>9</v>
      </c>
      <c r="K527" s="48">
        <f t="shared" si="51"/>
        <v>0.788165374677003</v>
      </c>
      <c r="L527" s="61">
        <f t="shared" si="52"/>
        <v>7.09348837209302</v>
      </c>
      <c r="M527" s="46">
        <f t="shared" si="53"/>
        <v>81.98</v>
      </c>
      <c r="Q527" s="13"/>
    </row>
    <row r="528" hidden="1" customHeight="1" outlineLevel="1" spans="1:17">
      <c r="A528" s="64">
        <v>45985</v>
      </c>
      <c r="B528" s="64">
        <v>45991</v>
      </c>
      <c r="D528" s="14">
        <f t="shared" si="49"/>
        <v>1.86</v>
      </c>
      <c r="E528" s="14">
        <v>0</v>
      </c>
      <c r="F528" s="46">
        <v>2</v>
      </c>
      <c r="H528" s="60">
        <f t="shared" si="50"/>
        <v>1.89571428571429</v>
      </c>
      <c r="I528" s="47">
        <v>56</v>
      </c>
      <c r="J528" s="14">
        <v>9</v>
      </c>
      <c r="K528" s="48">
        <f t="shared" si="51"/>
        <v>0.789365079365079</v>
      </c>
      <c r="L528" s="61">
        <f t="shared" si="52"/>
        <v>7.10428571428571</v>
      </c>
      <c r="M528" s="46">
        <f t="shared" si="53"/>
        <v>106.16</v>
      </c>
      <c r="Q528" s="13"/>
    </row>
    <row r="529" hidden="1" customHeight="1" outlineLevel="1" spans="1:17">
      <c r="A529" s="64">
        <v>45985</v>
      </c>
      <c r="B529" s="24">
        <v>45995</v>
      </c>
      <c r="D529" s="14">
        <f t="shared" si="49"/>
        <v>1.86</v>
      </c>
      <c r="E529" s="14">
        <v>0</v>
      </c>
      <c r="F529" s="46">
        <v>2</v>
      </c>
      <c r="H529" s="60">
        <f t="shared" si="50"/>
        <v>1.90545454545455</v>
      </c>
      <c r="I529" s="47">
        <v>44</v>
      </c>
      <c r="J529" s="14">
        <v>9</v>
      </c>
      <c r="K529" s="48">
        <f t="shared" si="51"/>
        <v>0.788282828282828</v>
      </c>
      <c r="L529" s="61">
        <f t="shared" si="52"/>
        <v>7.09454545454545</v>
      </c>
      <c r="M529" s="46">
        <f t="shared" si="53"/>
        <v>83.84</v>
      </c>
      <c r="Q529" s="13"/>
    </row>
    <row r="530" hidden="1" customHeight="1" outlineLevel="1" spans="1:17">
      <c r="A530" s="64">
        <v>45990</v>
      </c>
      <c r="B530" s="64">
        <v>46001</v>
      </c>
      <c r="C530" s="57"/>
      <c r="D530" s="14">
        <f t="shared" si="49"/>
        <v>1.86</v>
      </c>
      <c r="E530" s="14">
        <v>0</v>
      </c>
      <c r="F530" s="46">
        <v>2</v>
      </c>
      <c r="H530" s="60">
        <f t="shared" si="50"/>
        <v>1.89636363636364</v>
      </c>
      <c r="I530" s="47">
        <v>55</v>
      </c>
      <c r="J530" s="14">
        <v>9</v>
      </c>
      <c r="K530" s="48">
        <f t="shared" si="51"/>
        <v>0.789292929292929</v>
      </c>
      <c r="L530" s="61">
        <f t="shared" si="52"/>
        <v>7.10363636363636</v>
      </c>
      <c r="M530" s="46">
        <f t="shared" si="53"/>
        <v>104.3</v>
      </c>
      <c r="N530" s="57"/>
      <c r="O530" s="57"/>
      <c r="P530" s="57"/>
    </row>
    <row r="531" hidden="1" customHeight="1" outlineLevel="1" spans="1:17">
      <c r="A531" s="64">
        <v>45990</v>
      </c>
      <c r="B531" s="64">
        <v>46005</v>
      </c>
      <c r="C531" s="57"/>
      <c r="D531" s="14">
        <f t="shared" si="49"/>
        <v>1.86</v>
      </c>
      <c r="E531" s="14">
        <v>0</v>
      </c>
      <c r="F531" s="46">
        <v>2</v>
      </c>
      <c r="H531" s="60">
        <f t="shared" si="50"/>
        <v>1.90444444444444</v>
      </c>
      <c r="I531" s="47">
        <v>45</v>
      </c>
      <c r="J531" s="14">
        <v>9</v>
      </c>
      <c r="K531" s="48">
        <f t="shared" si="51"/>
        <v>0.788395061728395</v>
      </c>
      <c r="L531" s="61">
        <f t="shared" si="52"/>
        <v>7.09555555555556</v>
      </c>
      <c r="M531" s="46">
        <f t="shared" si="53"/>
        <v>85.7</v>
      </c>
      <c r="N531" s="57"/>
      <c r="O531" s="57"/>
      <c r="P531" s="57"/>
    </row>
    <row r="532" hidden="1" customHeight="1" outlineLevel="1" spans="1:17">
      <c r="A532" s="64">
        <v>46001</v>
      </c>
      <c r="B532" s="64">
        <v>46010</v>
      </c>
      <c r="C532" s="57"/>
      <c r="D532" s="14">
        <f t="shared" si="49"/>
        <v>1.86</v>
      </c>
      <c r="E532" s="14">
        <v>0</v>
      </c>
      <c r="F532" s="46">
        <v>2</v>
      </c>
      <c r="H532" s="60">
        <f t="shared" si="50"/>
        <v>1.89448275862069</v>
      </c>
      <c r="I532" s="47">
        <v>58</v>
      </c>
      <c r="J532" s="14">
        <v>9</v>
      </c>
      <c r="K532" s="48">
        <f t="shared" si="51"/>
        <v>0.789501915708812</v>
      </c>
      <c r="L532" s="61">
        <f t="shared" si="52"/>
        <v>7.10551724137931</v>
      </c>
      <c r="M532" s="46">
        <f t="shared" si="53"/>
        <v>109.88</v>
      </c>
      <c r="N532" s="57"/>
      <c r="O532" s="57"/>
      <c r="P532" s="57"/>
    </row>
    <row r="533" hidden="1" customHeight="1" outlineLevel="1" spans="1:17">
      <c r="A533" s="64">
        <v>46001</v>
      </c>
      <c r="B533" s="64">
        <v>46016</v>
      </c>
      <c r="C533" s="57"/>
      <c r="D533" s="14">
        <f t="shared" si="49"/>
        <v>1.86</v>
      </c>
      <c r="E533" s="14">
        <v>0</v>
      </c>
      <c r="F533" s="46">
        <v>1</v>
      </c>
      <c r="H533" s="60">
        <f t="shared" si="50"/>
        <v>1.88702702702703</v>
      </c>
      <c r="I533" s="47">
        <v>37</v>
      </c>
      <c r="J533" s="14">
        <v>9</v>
      </c>
      <c r="K533" s="48">
        <f t="shared" si="51"/>
        <v>0.79033033033033</v>
      </c>
      <c r="L533" s="61">
        <f t="shared" si="52"/>
        <v>7.11297297297297</v>
      </c>
      <c r="M533" s="46">
        <f t="shared" si="53"/>
        <v>69.82</v>
      </c>
      <c r="N533" s="57"/>
      <c r="O533" s="57"/>
      <c r="P533" s="57"/>
    </row>
    <row r="534" hidden="1" customHeight="1" outlineLevel="1" spans="1:17">
      <c r="A534" s="64">
        <v>46008</v>
      </c>
      <c r="B534" s="64">
        <v>46016</v>
      </c>
      <c r="C534" s="57"/>
      <c r="D534" s="14">
        <f t="shared" si="49"/>
        <v>1.86</v>
      </c>
      <c r="E534" s="14">
        <v>0</v>
      </c>
      <c r="F534" s="46">
        <v>1</v>
      </c>
      <c r="H534" s="60">
        <f t="shared" si="50"/>
        <v>1.90761904761905</v>
      </c>
      <c r="I534" s="47">
        <v>21</v>
      </c>
      <c r="J534" s="14">
        <v>9</v>
      </c>
      <c r="K534" s="48">
        <f t="shared" si="51"/>
        <v>0.788042328042328</v>
      </c>
      <c r="L534" s="61">
        <f t="shared" si="52"/>
        <v>7.09238095238095</v>
      </c>
      <c r="M534" s="46">
        <f t="shared" si="53"/>
        <v>40.06</v>
      </c>
      <c r="N534" s="57"/>
      <c r="O534" s="57"/>
      <c r="P534" s="57"/>
    </row>
    <row r="535" hidden="1" customHeight="1" outlineLevel="1" spans="1:17">
      <c r="A535" s="64">
        <v>46008</v>
      </c>
      <c r="B535" s="64">
        <v>46018</v>
      </c>
      <c r="C535" s="57"/>
      <c r="D535" s="14">
        <f t="shared" si="49"/>
        <v>1.86</v>
      </c>
      <c r="E535" s="14">
        <v>0</v>
      </c>
      <c r="F535" s="46">
        <v>2</v>
      </c>
      <c r="H535" s="60">
        <f t="shared" si="50"/>
        <v>1.88898550724638</v>
      </c>
      <c r="I535" s="47">
        <v>69</v>
      </c>
      <c r="J535" s="14">
        <v>9</v>
      </c>
      <c r="K535" s="48">
        <f t="shared" si="51"/>
        <v>0.790112721417069</v>
      </c>
      <c r="L535" s="61">
        <f t="shared" si="52"/>
        <v>7.11101449275362</v>
      </c>
      <c r="M535" s="46">
        <f t="shared" si="53"/>
        <v>130.34</v>
      </c>
      <c r="N535" s="57"/>
      <c r="O535" s="57"/>
      <c r="P535" s="57"/>
    </row>
    <row r="536" hidden="1" customHeight="1" outlineLevel="1" spans="1:17">
      <c r="A536" s="64">
        <v>46008</v>
      </c>
      <c r="B536" s="64">
        <v>46023</v>
      </c>
      <c r="C536" s="57"/>
      <c r="D536" s="14">
        <f t="shared" si="49"/>
        <v>1.86</v>
      </c>
      <c r="E536" s="14">
        <v>0</v>
      </c>
      <c r="F536" s="46">
        <v>2</v>
      </c>
      <c r="H536" s="60">
        <f t="shared" si="50"/>
        <v>2.06</v>
      </c>
      <c r="I536" s="47">
        <v>10</v>
      </c>
      <c r="J536" s="14">
        <v>9</v>
      </c>
      <c r="K536" s="48">
        <f t="shared" si="51"/>
        <v>0.771111111111111</v>
      </c>
      <c r="L536" s="61">
        <f t="shared" si="52"/>
        <v>6.94</v>
      </c>
      <c r="M536" s="46">
        <f t="shared" si="53"/>
        <v>20.6</v>
      </c>
      <c r="N536" s="57"/>
      <c r="O536" s="57"/>
      <c r="P536" s="57"/>
      <c r="Q536" s="13" t="s">
        <v>22</v>
      </c>
    </row>
    <row r="537" hidden="1" customHeight="1" outlineLevel="1" spans="1:17">
      <c r="A537" s="64">
        <v>46016</v>
      </c>
      <c r="B537" s="64">
        <v>46024</v>
      </c>
      <c r="C537" s="57"/>
      <c r="D537" s="14">
        <f t="shared" si="49"/>
        <v>1.86</v>
      </c>
      <c r="E537" s="14">
        <v>0</v>
      </c>
      <c r="F537" s="46">
        <v>2</v>
      </c>
      <c r="H537" s="60">
        <f t="shared" si="50"/>
        <v>1.88</v>
      </c>
      <c r="I537" s="47">
        <v>100</v>
      </c>
      <c r="J537" s="14">
        <v>9</v>
      </c>
      <c r="K537" s="48">
        <f t="shared" si="51"/>
        <v>0.791111111111111</v>
      </c>
      <c r="L537" s="61">
        <f t="shared" si="52"/>
        <v>7.12</v>
      </c>
      <c r="M537" s="46">
        <f t="shared" si="53"/>
        <v>188</v>
      </c>
      <c r="N537" s="57"/>
      <c r="O537" s="57"/>
      <c r="P537" s="57"/>
    </row>
    <row r="538" hidden="1" customHeight="1" outlineLevel="1" spans="1:17">
      <c r="A538" s="64">
        <v>46019</v>
      </c>
      <c r="B538" s="64">
        <v>46024</v>
      </c>
      <c r="C538" s="57"/>
      <c r="D538" s="14">
        <f t="shared" si="49"/>
        <v>1.86</v>
      </c>
      <c r="E538" s="14">
        <v>0</v>
      </c>
      <c r="F538" s="46">
        <v>1</v>
      </c>
      <c r="H538" s="60">
        <f t="shared" si="50"/>
        <v>1.89030303030303</v>
      </c>
      <c r="I538" s="47">
        <v>33</v>
      </c>
      <c r="J538" s="14">
        <v>9</v>
      </c>
      <c r="K538" s="48">
        <f t="shared" si="51"/>
        <v>0.78996632996633</v>
      </c>
      <c r="L538" s="61">
        <f t="shared" si="52"/>
        <v>7.10969696969697</v>
      </c>
      <c r="M538" s="46">
        <f t="shared" si="53"/>
        <v>62.38</v>
      </c>
      <c r="N538" s="57"/>
      <c r="O538" s="57"/>
      <c r="P538" s="57"/>
    </row>
    <row r="539" hidden="1" customHeight="1" outlineLevel="1" spans="1:17">
      <c r="A539" s="64">
        <v>46019</v>
      </c>
      <c r="B539" s="64">
        <v>46028</v>
      </c>
      <c r="C539" s="57"/>
      <c r="D539" s="14">
        <f t="shared" si="49"/>
        <v>1.86</v>
      </c>
      <c r="E539" s="14">
        <v>0</v>
      </c>
      <c r="F539" s="46">
        <v>2</v>
      </c>
      <c r="H539" s="60">
        <f t="shared" si="50"/>
        <v>1.88739726027397</v>
      </c>
      <c r="I539" s="47">
        <v>73</v>
      </c>
      <c r="J539" s="14">
        <v>9</v>
      </c>
      <c r="K539" s="48">
        <f t="shared" si="51"/>
        <v>0.790289193302892</v>
      </c>
      <c r="L539" s="61">
        <f t="shared" si="52"/>
        <v>7.11260273972603</v>
      </c>
      <c r="M539" s="46">
        <f t="shared" si="53"/>
        <v>137.78</v>
      </c>
      <c r="N539" s="57"/>
      <c r="O539" s="57"/>
      <c r="P539" s="57"/>
    </row>
    <row r="540" hidden="1" customHeight="1" outlineLevel="1" spans="1:17">
      <c r="A540" s="64">
        <v>46020</v>
      </c>
      <c r="B540" s="64">
        <v>46035</v>
      </c>
      <c r="C540" s="57"/>
      <c r="D540" s="14">
        <f t="shared" si="49"/>
        <v>1.86</v>
      </c>
      <c r="E540" s="14">
        <v>0</v>
      </c>
      <c r="F540" s="46">
        <v>2</v>
      </c>
      <c r="H540" s="60">
        <f t="shared" si="50"/>
        <v>1.89921568627451</v>
      </c>
      <c r="I540" s="47">
        <v>51</v>
      </c>
      <c r="J540" s="14">
        <v>9</v>
      </c>
      <c r="K540" s="48">
        <f t="shared" si="51"/>
        <v>0.788976034858388</v>
      </c>
      <c r="L540" s="61">
        <f t="shared" si="52"/>
        <v>7.10078431372549</v>
      </c>
      <c r="M540" s="46">
        <f t="shared" si="53"/>
        <v>96.86</v>
      </c>
      <c r="N540" s="57"/>
      <c r="O540" s="57"/>
      <c r="P540" s="57"/>
    </row>
    <row r="541" hidden="1" customHeight="1" outlineLevel="1" spans="1:17">
      <c r="A541" s="64">
        <v>46020</v>
      </c>
      <c r="B541" s="64">
        <v>46038</v>
      </c>
      <c r="C541" s="57"/>
      <c r="D541" s="14">
        <f t="shared" si="49"/>
        <v>1.86</v>
      </c>
      <c r="E541" s="14">
        <v>0</v>
      </c>
      <c r="F541" s="46">
        <v>2</v>
      </c>
      <c r="H541" s="60">
        <f t="shared" si="50"/>
        <v>1.90347826086957</v>
      </c>
      <c r="I541" s="47">
        <v>46</v>
      </c>
      <c r="J541" s="14">
        <v>9</v>
      </c>
      <c r="K541" s="48">
        <f t="shared" si="51"/>
        <v>0.788502415458937</v>
      </c>
      <c r="L541" s="61">
        <f t="shared" si="52"/>
        <v>7.09652173913044</v>
      </c>
      <c r="M541" s="46">
        <f t="shared" si="53"/>
        <v>87.56</v>
      </c>
      <c r="N541" s="57"/>
      <c r="O541" s="57"/>
      <c r="P541" s="57"/>
    </row>
    <row r="542" hidden="1" customHeight="1" outlineLevel="1" spans="1:17">
      <c r="A542" s="64">
        <v>46029</v>
      </c>
      <c r="B542" s="64">
        <v>46043</v>
      </c>
      <c r="C542" s="57"/>
      <c r="D542" s="14">
        <f t="shared" si="49"/>
        <v>1.86</v>
      </c>
      <c r="E542" s="14">
        <v>0</v>
      </c>
      <c r="F542" s="46">
        <v>2</v>
      </c>
      <c r="H542" s="60">
        <f t="shared" si="50"/>
        <v>1.88083333333333</v>
      </c>
      <c r="I542" s="47">
        <v>96</v>
      </c>
      <c r="J542" s="14">
        <v>9</v>
      </c>
      <c r="K542" s="48">
        <f t="shared" si="51"/>
        <v>0.791018518518519</v>
      </c>
      <c r="L542" s="61">
        <f t="shared" si="52"/>
        <v>7.11916666666667</v>
      </c>
      <c r="M542" s="46">
        <f t="shared" si="53"/>
        <v>180.56</v>
      </c>
      <c r="N542" s="57"/>
      <c r="O542" s="57"/>
      <c r="P542" s="57"/>
    </row>
    <row r="543" hidden="1" customHeight="1" outlineLevel="1" spans="1:17">
      <c r="A543" s="64">
        <v>46038</v>
      </c>
      <c r="B543" s="64">
        <v>46046</v>
      </c>
      <c r="C543" s="57"/>
      <c r="D543" s="14">
        <f t="shared" si="49"/>
        <v>1.86</v>
      </c>
      <c r="E543" s="14">
        <v>0</v>
      </c>
      <c r="F543" s="46">
        <v>2</v>
      </c>
      <c r="H543" s="60">
        <f t="shared" si="50"/>
        <v>1.88</v>
      </c>
      <c r="I543" s="47">
        <v>100</v>
      </c>
      <c r="J543" s="14">
        <v>9</v>
      </c>
      <c r="K543" s="48">
        <f t="shared" si="51"/>
        <v>0.791111111111111</v>
      </c>
      <c r="L543" s="61">
        <f t="shared" si="52"/>
        <v>7.12</v>
      </c>
      <c r="M543" s="46">
        <f t="shared" si="53"/>
        <v>188</v>
      </c>
      <c r="N543" s="57"/>
      <c r="O543" s="32"/>
      <c r="P543" s="57"/>
    </row>
    <row r="544" hidden="1" customHeight="1" outlineLevel="1" spans="1:17">
      <c r="A544" s="64">
        <v>46044</v>
      </c>
      <c r="B544" s="64">
        <v>46052</v>
      </c>
      <c r="C544" s="57"/>
      <c r="D544" s="14">
        <f t="shared" si="49"/>
        <v>1.86</v>
      </c>
      <c r="E544" s="14">
        <v>0</v>
      </c>
      <c r="F544" s="46">
        <v>2</v>
      </c>
      <c r="H544" s="60">
        <f t="shared" si="50"/>
        <v>1.88</v>
      </c>
      <c r="I544" s="47">
        <v>100</v>
      </c>
      <c r="J544" s="14">
        <v>9</v>
      </c>
      <c r="K544" s="48">
        <f t="shared" si="51"/>
        <v>0.791111111111111</v>
      </c>
      <c r="L544" s="61">
        <f t="shared" si="52"/>
        <v>7.12</v>
      </c>
      <c r="M544" s="46">
        <f t="shared" si="53"/>
        <v>188</v>
      </c>
      <c r="N544" s="57"/>
      <c r="O544" s="32"/>
      <c r="P544" s="57"/>
    </row>
    <row r="545" hidden="1" customHeight="1" outlineLevel="1" spans="1:17">
      <c r="A545" s="64">
        <v>46048</v>
      </c>
      <c r="B545" s="40">
        <v>46055</v>
      </c>
      <c r="C545" s="57"/>
      <c r="D545" s="14">
        <f t="shared" si="49"/>
        <v>1.86</v>
      </c>
      <c r="E545" s="14">
        <v>0</v>
      </c>
      <c r="F545" s="46">
        <v>2</v>
      </c>
      <c r="H545" s="60">
        <f t="shared" si="50"/>
        <v>1.88</v>
      </c>
      <c r="I545" s="47">
        <v>100</v>
      </c>
      <c r="J545" s="14">
        <v>9</v>
      </c>
      <c r="K545" s="48">
        <f t="shared" si="51"/>
        <v>0.791111111111111</v>
      </c>
      <c r="L545" s="61">
        <f t="shared" si="52"/>
        <v>7.12</v>
      </c>
      <c r="M545" s="46">
        <f t="shared" si="53"/>
        <v>188</v>
      </c>
      <c r="N545" s="57"/>
      <c r="O545" s="32"/>
      <c r="P545" s="57"/>
    </row>
    <row r="546" hidden="1" customHeight="1" outlineLevel="1" spans="1:17">
      <c r="A546" s="64">
        <v>46048</v>
      </c>
      <c r="B546" s="64">
        <v>46076</v>
      </c>
      <c r="C546" s="57"/>
      <c r="D546" s="14">
        <f t="shared" si="49"/>
        <v>1.86</v>
      </c>
      <c r="E546" s="14">
        <v>0</v>
      </c>
      <c r="F546" s="46">
        <v>2</v>
      </c>
      <c r="H546" s="60">
        <f t="shared" si="50"/>
        <v>1.9</v>
      </c>
      <c r="I546" s="47">
        <v>50</v>
      </c>
      <c r="J546" s="14">
        <v>9</v>
      </c>
      <c r="K546" s="48">
        <f t="shared" si="51"/>
        <v>0.788888888888889</v>
      </c>
      <c r="L546" s="61">
        <f t="shared" si="52"/>
        <v>7.1</v>
      </c>
      <c r="M546" s="46">
        <f t="shared" si="53"/>
        <v>95</v>
      </c>
      <c r="N546" s="57"/>
      <c r="O546" s="32"/>
      <c r="P546" s="57"/>
      <c r="Q546" s="13"/>
    </row>
    <row r="547" hidden="1" customHeight="1" outlineLevel="1" spans="1:17">
      <c r="A547" s="64">
        <v>46048</v>
      </c>
      <c r="B547" s="64">
        <v>46079</v>
      </c>
      <c r="C547" s="57"/>
      <c r="D547" s="14">
        <f t="shared" si="49"/>
        <v>1.86</v>
      </c>
      <c r="E547" s="14">
        <v>0</v>
      </c>
      <c r="F547" s="46">
        <v>2</v>
      </c>
      <c r="H547" s="60">
        <f t="shared" si="50"/>
        <v>1.88631578947368</v>
      </c>
      <c r="I547" s="47">
        <v>76</v>
      </c>
      <c r="J547" s="14">
        <v>9</v>
      </c>
      <c r="K547" s="48">
        <f t="shared" si="51"/>
        <v>0.790409356725146</v>
      </c>
      <c r="L547" s="61">
        <f t="shared" si="52"/>
        <v>7.11368421052632</v>
      </c>
      <c r="M547" s="46">
        <f t="shared" si="53"/>
        <v>143.36</v>
      </c>
      <c r="N547" s="57"/>
      <c r="O547" s="32"/>
      <c r="P547" s="57"/>
    </row>
    <row r="548" hidden="1" customHeight="1" outlineLevel="1" spans="1:17">
      <c r="A548" s="64">
        <v>46056</v>
      </c>
      <c r="B548" s="64">
        <v>46082</v>
      </c>
      <c r="C548" s="57"/>
      <c r="D548" s="14">
        <f t="shared" si="49"/>
        <v>1.86</v>
      </c>
      <c r="E548" s="14">
        <v>0</v>
      </c>
      <c r="F548" s="46">
        <v>2</v>
      </c>
      <c r="H548" s="60">
        <f t="shared" si="50"/>
        <v>1.87438848920863</v>
      </c>
      <c r="I548" s="47">
        <v>139</v>
      </c>
      <c r="J548" s="14">
        <v>9</v>
      </c>
      <c r="K548" s="48">
        <f t="shared" si="51"/>
        <v>0.791734612310152</v>
      </c>
      <c r="L548" s="61">
        <f t="shared" si="52"/>
        <v>7.12561151079137</v>
      </c>
      <c r="M548" s="46">
        <f t="shared" si="53"/>
        <v>260.54</v>
      </c>
      <c r="N548" s="57"/>
      <c r="O548" s="32"/>
      <c r="P548" s="57"/>
    </row>
    <row r="549" hidden="1" customHeight="1" outlineLevel="1" spans="1:17">
      <c r="A549" s="64">
        <v>46056</v>
      </c>
      <c r="B549" s="64">
        <v>46090</v>
      </c>
      <c r="C549" s="57"/>
      <c r="D549" s="14">
        <f t="shared" si="49"/>
        <v>1.86</v>
      </c>
      <c r="E549" s="14">
        <v>0</v>
      </c>
      <c r="F549" s="46">
        <v>2</v>
      </c>
      <c r="H549" s="60">
        <f t="shared" si="50"/>
        <v>1.885</v>
      </c>
      <c r="I549" s="47">
        <v>80</v>
      </c>
      <c r="J549" s="14">
        <v>9</v>
      </c>
      <c r="K549" s="48">
        <f t="shared" si="51"/>
        <v>0.790555555555556</v>
      </c>
      <c r="L549" s="61">
        <f t="shared" si="52"/>
        <v>7.115</v>
      </c>
      <c r="M549" s="46">
        <f t="shared" si="53"/>
        <v>150.8</v>
      </c>
      <c r="N549" s="57"/>
      <c r="O549" s="32"/>
      <c r="P549" s="57"/>
    </row>
    <row r="550" hidden="1" customHeight="1" outlineLevel="1" spans="1:17">
      <c r="A550" s="64">
        <v>46056</v>
      </c>
      <c r="B550" s="64">
        <v>46102</v>
      </c>
      <c r="C550" s="57"/>
      <c r="D550" s="14">
        <f t="shared" si="49"/>
        <v>1.86</v>
      </c>
      <c r="E550" s="14">
        <v>0</v>
      </c>
      <c r="F550" s="46">
        <v>1</v>
      </c>
      <c r="H550" s="60">
        <f t="shared" si="50"/>
        <v>1.87818181818182</v>
      </c>
      <c r="I550" s="47">
        <v>55</v>
      </c>
      <c r="J550" s="14">
        <v>9</v>
      </c>
      <c r="K550" s="48">
        <f t="shared" si="51"/>
        <v>0.791313131313131</v>
      </c>
      <c r="L550" s="61">
        <f t="shared" si="52"/>
        <v>7.12181818181818</v>
      </c>
      <c r="M550" s="46">
        <f t="shared" si="53"/>
        <v>103.3</v>
      </c>
      <c r="N550" s="57"/>
      <c r="O550" s="32"/>
      <c r="P550" s="57"/>
    </row>
    <row r="551" hidden="1" customHeight="1" outlineLevel="1" spans="1:17">
      <c r="A551" s="64">
        <v>46082</v>
      </c>
      <c r="B551" s="64">
        <v>46102</v>
      </c>
      <c r="C551" s="57"/>
      <c r="D551" s="14">
        <f t="shared" si="49"/>
        <v>1.86</v>
      </c>
      <c r="E551" s="14">
        <v>0</v>
      </c>
      <c r="F551" s="46">
        <v>1</v>
      </c>
      <c r="H551" s="60">
        <f t="shared" si="50"/>
        <v>1.87086956521739</v>
      </c>
      <c r="I551" s="47">
        <v>92</v>
      </c>
      <c r="J551" s="14">
        <v>9</v>
      </c>
      <c r="K551" s="48">
        <f t="shared" si="51"/>
        <v>0.792125603864734</v>
      </c>
      <c r="L551" s="61">
        <f t="shared" si="52"/>
        <v>7.12913043478261</v>
      </c>
      <c r="M551" s="46">
        <f t="shared" si="53"/>
        <v>172.12</v>
      </c>
      <c r="N551" s="57"/>
      <c r="O551" s="32"/>
      <c r="P551" s="57"/>
    </row>
    <row r="552" hidden="1" customHeight="1" outlineLevel="1" spans="1:17">
      <c r="A552" s="64">
        <v>46082</v>
      </c>
      <c r="B552" s="64">
        <v>46109</v>
      </c>
      <c r="C552" s="57"/>
      <c r="D552" s="14">
        <f t="shared" si="49"/>
        <v>1.86</v>
      </c>
      <c r="E552" s="14">
        <v>0</v>
      </c>
      <c r="F552" s="46">
        <v>2</v>
      </c>
      <c r="H552" s="60">
        <f t="shared" si="50"/>
        <v>1.90651162790698</v>
      </c>
      <c r="I552" s="47">
        <v>43</v>
      </c>
      <c r="J552" s="14">
        <v>9</v>
      </c>
      <c r="K552" s="48">
        <f t="shared" si="51"/>
        <v>0.788165374677003</v>
      </c>
      <c r="L552" s="61">
        <f t="shared" si="52"/>
        <v>7.09348837209302</v>
      </c>
      <c r="M552" s="46">
        <f t="shared" si="53"/>
        <v>81.98</v>
      </c>
      <c r="N552" s="57"/>
      <c r="O552" s="32"/>
      <c r="P552" s="57"/>
    </row>
    <row r="553" hidden="1" customHeight="1" outlineLevel="1" spans="1:17">
      <c r="A553" s="64">
        <v>46082</v>
      </c>
      <c r="B553" s="64">
        <v>46112</v>
      </c>
      <c r="C553" s="57"/>
      <c r="D553" s="14">
        <f t="shared" si="49"/>
        <v>1.86</v>
      </c>
      <c r="E553" s="14">
        <v>0</v>
      </c>
      <c r="F553" s="46">
        <v>2</v>
      </c>
      <c r="H553" s="60">
        <f t="shared" si="50"/>
        <v>1.91714285714286</v>
      </c>
      <c r="I553" s="47">
        <v>35</v>
      </c>
      <c r="J553" s="14">
        <v>9</v>
      </c>
      <c r="K553" s="48">
        <f t="shared" si="51"/>
        <v>0.786984126984127</v>
      </c>
      <c r="L553" s="61">
        <f t="shared" si="52"/>
        <v>7.08285714285714</v>
      </c>
      <c r="M553" s="46">
        <f t="shared" si="53"/>
        <v>67.1</v>
      </c>
      <c r="N553" s="57"/>
      <c r="O553" s="32"/>
      <c r="P553" s="57"/>
    </row>
    <row r="554" hidden="1" customHeight="1" outlineLevel="1" spans="1:17">
      <c r="A554" s="64">
        <v>46082</v>
      </c>
      <c r="B554" s="64">
        <v>46119</v>
      </c>
      <c r="C554" s="57"/>
      <c r="D554" s="14">
        <f t="shared" si="49"/>
        <v>1.86</v>
      </c>
      <c r="E554" s="14">
        <v>0</v>
      </c>
      <c r="F554" s="46">
        <v>2</v>
      </c>
      <c r="H554" s="60">
        <f t="shared" si="50"/>
        <v>1.90166666666667</v>
      </c>
      <c r="I554" s="47">
        <v>48</v>
      </c>
      <c r="J554" s="14">
        <v>9</v>
      </c>
      <c r="K554" s="48">
        <f t="shared" si="51"/>
        <v>0.788703703703704</v>
      </c>
      <c r="L554" s="61">
        <f t="shared" si="52"/>
        <v>7.09833333333333</v>
      </c>
      <c r="M554" s="46">
        <f t="shared" si="53"/>
        <v>91.28</v>
      </c>
      <c r="N554" s="57"/>
      <c r="O554" s="32"/>
      <c r="P554" s="57"/>
    </row>
    <row r="555" hidden="1" customHeight="1" outlineLevel="1" spans="1:17">
      <c r="A555" s="64">
        <v>46101</v>
      </c>
      <c r="B555" s="64">
        <v>46126</v>
      </c>
      <c r="C555" s="57"/>
      <c r="D555" s="14">
        <f t="shared" si="49"/>
        <v>1.86</v>
      </c>
      <c r="E555" s="14">
        <v>0</v>
      </c>
      <c r="F555" s="46">
        <v>2</v>
      </c>
      <c r="H555" s="60">
        <f t="shared" si="50"/>
        <v>1.89508771929825</v>
      </c>
      <c r="I555" s="47">
        <v>57</v>
      </c>
      <c r="J555" s="14">
        <v>9</v>
      </c>
      <c r="K555" s="48">
        <f t="shared" si="51"/>
        <v>0.78943469785575</v>
      </c>
      <c r="L555" s="61">
        <f t="shared" si="52"/>
        <v>7.10491228070175</v>
      </c>
      <c r="M555" s="46">
        <f t="shared" si="53"/>
        <v>108.02</v>
      </c>
      <c r="N555" s="57"/>
      <c r="O555" s="32"/>
      <c r="P555" s="57"/>
    </row>
    <row r="556" hidden="1" customHeight="1" outlineLevel="1" spans="1:17">
      <c r="A556" s="64">
        <v>46101</v>
      </c>
      <c r="B556" s="64">
        <v>46137</v>
      </c>
      <c r="C556" s="57"/>
      <c r="D556" s="14">
        <f t="shared" si="49"/>
        <v>1.86</v>
      </c>
      <c r="E556" s="14">
        <v>0</v>
      </c>
      <c r="F556" s="46">
        <v>2</v>
      </c>
      <c r="H556" s="60">
        <f t="shared" si="50"/>
        <v>1.89448275862069</v>
      </c>
      <c r="I556" s="47">
        <v>58</v>
      </c>
      <c r="J556" s="14">
        <v>9</v>
      </c>
      <c r="K556" s="48">
        <f t="shared" si="51"/>
        <v>0.789501915708812</v>
      </c>
      <c r="L556" s="61">
        <f t="shared" si="52"/>
        <v>7.10551724137931</v>
      </c>
      <c r="M556" s="46">
        <f t="shared" si="53"/>
        <v>109.88</v>
      </c>
      <c r="N556" s="57"/>
      <c r="O556" s="32"/>
      <c r="P556" s="57"/>
    </row>
    <row r="557" hidden="1" customHeight="1" outlineLevel="1" spans="1:17">
      <c r="A557" s="64">
        <v>46101</v>
      </c>
      <c r="B557" s="64">
        <v>46162</v>
      </c>
      <c r="C557" s="57"/>
      <c r="D557" s="14">
        <f t="shared" si="49"/>
        <v>1.86</v>
      </c>
      <c r="E557" s="14">
        <v>0</v>
      </c>
      <c r="F557" s="46">
        <v>2</v>
      </c>
      <c r="H557" s="60">
        <f t="shared" si="50"/>
        <v>1.88197802197802</v>
      </c>
      <c r="I557" s="47">
        <v>91</v>
      </c>
      <c r="J557" s="14">
        <v>9</v>
      </c>
      <c r="K557" s="48">
        <f t="shared" si="51"/>
        <v>0.790891330891331</v>
      </c>
      <c r="L557" s="61">
        <f t="shared" si="52"/>
        <v>7.11802197802198</v>
      </c>
      <c r="M557" s="46">
        <f t="shared" si="53"/>
        <v>171.26</v>
      </c>
      <c r="N557" s="57"/>
      <c r="O557" s="32"/>
      <c r="P557" s="57"/>
    </row>
    <row r="558" customHeight="1" spans="1:17">
      <c r="A558" s="64">
        <v>46125</v>
      </c>
      <c r="B558" s="64">
        <v>46278</v>
      </c>
      <c r="C558" s="57"/>
      <c r="D558" s="14">
        <f t="shared" si="49"/>
        <v>1.86</v>
      </c>
      <c r="E558" s="14">
        <v>0</v>
      </c>
      <c r="F558" s="46">
        <v>2</v>
      </c>
      <c r="G558" s="46">
        <v>1.2</v>
      </c>
      <c r="H558" s="60">
        <f t="shared" si="50"/>
        <v>2.19333333333333</v>
      </c>
      <c r="I558" s="47">
        <v>6</v>
      </c>
      <c r="J558" s="14">
        <v>7.21</v>
      </c>
      <c r="K558" s="48">
        <f t="shared" si="51"/>
        <v>0.6957928802589</v>
      </c>
      <c r="L558" s="61">
        <f t="shared" si="52"/>
        <v>5.01666666666667</v>
      </c>
      <c r="M558" s="46">
        <f t="shared" si="53"/>
        <v>13.16</v>
      </c>
      <c r="N558" s="57"/>
      <c r="O558" s="32"/>
      <c r="P558" s="57"/>
      <c r="Q558" s="28">
        <v>91</v>
      </c>
    </row>
    <row r="559" customHeight="1" spans="1:17">
      <c r="A559" s="64">
        <v>46125</v>
      </c>
      <c r="B559" s="64">
        <v>46309</v>
      </c>
      <c r="C559" s="57"/>
      <c r="D559" s="14">
        <f t="shared" si="49"/>
        <v>1.86</v>
      </c>
      <c r="E559" s="14">
        <v>0</v>
      </c>
      <c r="F559" s="46">
        <v>2</v>
      </c>
      <c r="G559" s="46">
        <v>1.2</v>
      </c>
      <c r="H559" s="60">
        <f t="shared" si="50"/>
        <v>2.04181818181818</v>
      </c>
      <c r="I559" s="47">
        <v>11</v>
      </c>
      <c r="J559" s="14">
        <v>9</v>
      </c>
      <c r="K559" s="48">
        <f t="shared" si="51"/>
        <v>0.773131313131313</v>
      </c>
      <c r="L559" s="61">
        <f t="shared" si="52"/>
        <v>6.95818181818182</v>
      </c>
      <c r="M559" s="46">
        <f t="shared" si="53"/>
        <v>22.46</v>
      </c>
      <c r="N559" s="57"/>
      <c r="O559" s="32"/>
      <c r="P559" s="57"/>
    </row>
    <row r="560" customHeight="1" spans="1:17">
      <c r="A560" s="64">
        <v>46125</v>
      </c>
      <c r="B560" s="64"/>
      <c r="C560" s="57"/>
      <c r="D560" s="14">
        <f t="shared" si="49"/>
        <v>1.86</v>
      </c>
      <c r="E560" s="14">
        <v>0</v>
      </c>
      <c r="G560" s="46">
        <v>1.2</v>
      </c>
      <c r="H560" s="60">
        <f t="shared" si="50"/>
        <v>1.86</v>
      </c>
      <c r="I560" s="47">
        <v>59</v>
      </c>
      <c r="J560" s="14">
        <v>9</v>
      </c>
      <c r="K560" s="48">
        <f t="shared" si="51"/>
        <v>0.793333333333333</v>
      </c>
      <c r="L560" s="61">
        <f t="shared" si="52"/>
        <v>7.14</v>
      </c>
      <c r="M560" s="46">
        <f t="shared" si="53"/>
        <v>109.74</v>
      </c>
      <c r="N560" s="57"/>
      <c r="O560" s="32"/>
      <c r="P560" s="57"/>
    </row>
    <row r="561" customHeight="1" spans="1:17">
      <c r="A561" s="64">
        <v>46160</v>
      </c>
      <c r="B561" s="64"/>
      <c r="C561" s="57"/>
      <c r="D561" s="14">
        <f t="shared" si="49"/>
        <v>1.86</v>
      </c>
      <c r="E561" s="14">
        <v>0</v>
      </c>
      <c r="H561" s="60">
        <f t="shared" si="50"/>
        <v>1.86</v>
      </c>
      <c r="I561" s="47">
        <v>100</v>
      </c>
      <c r="J561" s="14">
        <v>9</v>
      </c>
      <c r="K561" s="48">
        <f t="shared" si="51"/>
        <v>0.793333333333333</v>
      </c>
      <c r="L561" s="61">
        <f t="shared" si="52"/>
        <v>7.14</v>
      </c>
      <c r="M561" s="46">
        <f t="shared" si="53"/>
        <v>186</v>
      </c>
      <c r="N561" s="57"/>
      <c r="O561" s="32"/>
      <c r="P561" s="57"/>
    </row>
    <row r="562" customHeight="1" spans="1:17">
      <c r="A562" s="64">
        <v>46167</v>
      </c>
      <c r="B562" s="64"/>
      <c r="C562" s="57"/>
      <c r="D562" s="14">
        <f t="shared" si="49"/>
        <v>1.86</v>
      </c>
      <c r="E562" s="14">
        <v>0</v>
      </c>
      <c r="H562" s="60">
        <f t="shared" si="50"/>
        <v>1.86</v>
      </c>
      <c r="I562" s="47">
        <v>100</v>
      </c>
      <c r="J562" s="14">
        <v>9</v>
      </c>
      <c r="K562" s="48">
        <f t="shared" si="51"/>
        <v>0.793333333333333</v>
      </c>
      <c r="L562" s="61">
        <f t="shared" si="52"/>
        <v>7.14</v>
      </c>
      <c r="M562" s="46">
        <f t="shared" si="53"/>
        <v>186</v>
      </c>
      <c r="N562" s="57"/>
      <c r="O562" s="32"/>
      <c r="P562" s="57"/>
    </row>
    <row r="563" customHeight="1" spans="1:17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32"/>
      <c r="P563" s="57"/>
    </row>
    <row r="564" customHeight="1" collapsed="1" spans="1:17">
      <c r="A564" s="57" t="s">
        <v>45</v>
      </c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32" t="str">
        <f>_xlfn.DISPIMG("ID_D5AC5E2501A3469583DD6039E9181655",1)</f>
        <v>=DISPIMG("ID_D5AC5E2501A3469583DD6039E9181655",1)</v>
      </c>
      <c r="P564" s="57"/>
    </row>
    <row r="565" hidden="1" customHeight="1" outlineLevel="1" collapsed="1" spans="1:17">
      <c r="A565" s="57" t="s">
        <v>46</v>
      </c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</row>
    <row r="566" hidden="1" customHeight="1" outlineLevel="2" spans="1:17">
      <c r="A566" s="24">
        <v>45699</v>
      </c>
      <c r="B566" s="24">
        <v>45703</v>
      </c>
      <c r="C566" s="22"/>
      <c r="D566" s="67">
        <f t="shared" ref="D566:D579" si="54">0.15*10</f>
        <v>1.5</v>
      </c>
      <c r="E566" s="46">
        <v>0.85</v>
      </c>
      <c r="F566" s="46">
        <v>0.58</v>
      </c>
      <c r="H566" s="68">
        <f t="shared" ref="H566:H584" si="55">D566+(E566/I566)+(F566/I566)</f>
        <v>1.643</v>
      </c>
      <c r="I566" s="47">
        <v>10</v>
      </c>
      <c r="J566" s="61">
        <v>8.5</v>
      </c>
      <c r="K566" s="48">
        <f t="shared" ref="K566:K584" si="56">(J566-H566)/J566</f>
        <v>0.806705882352941</v>
      </c>
      <c r="L566" s="61">
        <f t="shared" ref="L566:L584" si="57">J566-H566</f>
        <v>6.857</v>
      </c>
      <c r="M566" s="36">
        <f t="shared" ref="M566:M584" si="58">D566*I566+E566+F566</f>
        <v>16.43</v>
      </c>
    </row>
    <row r="567" hidden="1" customHeight="1" outlineLevel="2" spans="1:17">
      <c r="A567" s="24">
        <v>45711</v>
      </c>
      <c r="B567" s="24">
        <v>45717</v>
      </c>
      <c r="C567" s="22"/>
      <c r="D567" s="67">
        <f t="shared" si="54"/>
        <v>1.5</v>
      </c>
      <c r="E567" s="46">
        <v>0</v>
      </c>
      <c r="F567" s="46">
        <v>1</v>
      </c>
      <c r="H567" s="68">
        <f t="shared" si="55"/>
        <v>1.57692307692308</v>
      </c>
      <c r="I567" s="47">
        <v>13</v>
      </c>
      <c r="J567" s="61">
        <v>8.5</v>
      </c>
      <c r="K567" s="48">
        <f t="shared" si="56"/>
        <v>0.81447963800905</v>
      </c>
      <c r="L567" s="61">
        <f t="shared" si="57"/>
        <v>6.92307692307692</v>
      </c>
      <c r="M567" s="36">
        <f t="shared" si="58"/>
        <v>20.5</v>
      </c>
    </row>
    <row r="568" hidden="1" customHeight="1" outlineLevel="2" spans="1:17">
      <c r="A568" s="24">
        <v>45711</v>
      </c>
      <c r="B568" s="24">
        <v>45718</v>
      </c>
      <c r="C568" s="22"/>
      <c r="D568" s="67">
        <f t="shared" si="54"/>
        <v>1.5</v>
      </c>
      <c r="E568" s="46">
        <v>0</v>
      </c>
      <c r="F568" s="46">
        <v>2.5</v>
      </c>
      <c r="H568" s="68">
        <f t="shared" si="55"/>
        <v>1.85714285714286</v>
      </c>
      <c r="I568" s="47">
        <v>7</v>
      </c>
      <c r="J568" s="61">
        <v>8.5</v>
      </c>
      <c r="K568" s="48">
        <f t="shared" si="56"/>
        <v>0.781512605042017</v>
      </c>
      <c r="L568" s="61">
        <f t="shared" si="57"/>
        <v>6.64285714285714</v>
      </c>
      <c r="M568" s="36">
        <f t="shared" si="58"/>
        <v>13</v>
      </c>
      <c r="Q568" s="13" t="s">
        <v>47</v>
      </c>
    </row>
    <row r="569" hidden="1" customHeight="1" outlineLevel="2" spans="1:17">
      <c r="A569" s="24">
        <v>45718</v>
      </c>
      <c r="B569" s="24">
        <v>45724</v>
      </c>
      <c r="C569" s="22"/>
      <c r="D569" s="67">
        <f t="shared" si="54"/>
        <v>1.5</v>
      </c>
      <c r="E569" s="46">
        <v>0</v>
      </c>
      <c r="F569" s="46">
        <v>1</v>
      </c>
      <c r="H569" s="68">
        <f t="shared" si="55"/>
        <v>1.66666666666667</v>
      </c>
      <c r="I569" s="47">
        <v>6</v>
      </c>
      <c r="J569" s="61">
        <v>8.5</v>
      </c>
      <c r="K569" s="48">
        <f t="shared" si="56"/>
        <v>0.803921568627451</v>
      </c>
      <c r="L569" s="61">
        <f t="shared" si="57"/>
        <v>6.83333333333333</v>
      </c>
      <c r="M569" s="36">
        <f t="shared" si="58"/>
        <v>10</v>
      </c>
      <c r="Q569" s="13"/>
    </row>
    <row r="570" hidden="1" customHeight="1" outlineLevel="2" spans="1:17">
      <c r="A570" s="24">
        <v>45725</v>
      </c>
      <c r="B570" s="24">
        <v>45726</v>
      </c>
      <c r="C570" s="22"/>
      <c r="D570" s="67">
        <f t="shared" si="54"/>
        <v>1.5</v>
      </c>
      <c r="E570" s="46">
        <v>0</v>
      </c>
      <c r="F570" s="46">
        <v>1</v>
      </c>
      <c r="H570" s="68">
        <f t="shared" si="55"/>
        <v>1.55882352941176</v>
      </c>
      <c r="I570" s="47">
        <v>17</v>
      </c>
      <c r="J570" s="61">
        <v>8.5</v>
      </c>
      <c r="K570" s="48">
        <f t="shared" si="56"/>
        <v>0.816608996539792</v>
      </c>
      <c r="L570" s="61">
        <f t="shared" si="57"/>
        <v>6.94117647058824</v>
      </c>
      <c r="M570" s="36">
        <f t="shared" si="58"/>
        <v>26.5</v>
      </c>
      <c r="Q570" s="13"/>
    </row>
    <row r="571" hidden="1" customHeight="1" outlineLevel="2" spans="1:17">
      <c r="A571" s="24">
        <v>45725</v>
      </c>
      <c r="B571" s="24">
        <v>45744</v>
      </c>
      <c r="C571" s="22"/>
      <c r="D571" s="67">
        <f t="shared" si="54"/>
        <v>1.5</v>
      </c>
      <c r="E571" s="46">
        <v>0</v>
      </c>
      <c r="F571" s="46">
        <v>1</v>
      </c>
      <c r="H571" s="68">
        <f t="shared" si="55"/>
        <v>2</v>
      </c>
      <c r="I571" s="47">
        <v>2</v>
      </c>
      <c r="J571" s="61">
        <v>8.5</v>
      </c>
      <c r="K571" s="48">
        <f t="shared" si="56"/>
        <v>0.764705882352941</v>
      </c>
      <c r="L571" s="61">
        <f t="shared" si="57"/>
        <v>6.5</v>
      </c>
      <c r="M571" s="36">
        <f t="shared" si="58"/>
        <v>4</v>
      </c>
      <c r="Q571" s="13"/>
    </row>
    <row r="572" hidden="1" customHeight="1" outlineLevel="2" spans="1:17">
      <c r="A572" s="24">
        <v>45747</v>
      </c>
      <c r="B572" s="24">
        <v>45751</v>
      </c>
      <c r="C572" s="22"/>
      <c r="D572" s="67">
        <f t="shared" si="54"/>
        <v>1.5</v>
      </c>
      <c r="E572" s="46">
        <v>1</v>
      </c>
      <c r="F572" s="46">
        <v>1</v>
      </c>
      <c r="H572" s="68">
        <f t="shared" si="55"/>
        <v>1.61111111111111</v>
      </c>
      <c r="I572" s="47">
        <v>18</v>
      </c>
      <c r="J572" s="61">
        <v>8.5</v>
      </c>
      <c r="K572" s="48">
        <f t="shared" si="56"/>
        <v>0.810457516339869</v>
      </c>
      <c r="L572" s="61">
        <f t="shared" si="57"/>
        <v>6.88888888888889</v>
      </c>
      <c r="M572" s="36">
        <f t="shared" si="58"/>
        <v>29</v>
      </c>
      <c r="Q572" s="13"/>
    </row>
    <row r="573" hidden="1" customHeight="1" outlineLevel="2" spans="1:17">
      <c r="A573" s="24">
        <v>45762</v>
      </c>
      <c r="B573" s="24">
        <v>45765</v>
      </c>
      <c r="C573" s="22"/>
      <c r="D573" s="67">
        <f t="shared" si="54"/>
        <v>1.5</v>
      </c>
      <c r="E573" s="46">
        <v>1</v>
      </c>
      <c r="F573" s="46">
        <v>2</v>
      </c>
      <c r="H573" s="68">
        <f t="shared" si="55"/>
        <v>2</v>
      </c>
      <c r="I573" s="47">
        <v>6</v>
      </c>
      <c r="J573" s="61">
        <v>8.5</v>
      </c>
      <c r="K573" s="48">
        <f t="shared" si="56"/>
        <v>0.764705882352941</v>
      </c>
      <c r="L573" s="61">
        <f t="shared" si="57"/>
        <v>6.5</v>
      </c>
      <c r="M573" s="36">
        <f t="shared" si="58"/>
        <v>12</v>
      </c>
      <c r="Q573" s="13"/>
    </row>
    <row r="574" hidden="1" customHeight="1" outlineLevel="2" spans="1:17">
      <c r="A574" s="24">
        <v>45762</v>
      </c>
      <c r="B574" s="24">
        <v>45781</v>
      </c>
      <c r="C574" s="22"/>
      <c r="D574" s="67">
        <f t="shared" si="54"/>
        <v>1.5</v>
      </c>
      <c r="E574" s="46">
        <v>0</v>
      </c>
      <c r="F574" s="46">
        <v>1</v>
      </c>
      <c r="H574" s="68">
        <f t="shared" si="55"/>
        <v>1.5625</v>
      </c>
      <c r="I574" s="47">
        <v>16</v>
      </c>
      <c r="J574" s="61">
        <v>8.5</v>
      </c>
      <c r="K574" s="48">
        <f t="shared" si="56"/>
        <v>0.816176470588235</v>
      </c>
      <c r="L574" s="61">
        <f t="shared" si="57"/>
        <v>6.9375</v>
      </c>
      <c r="M574" s="36">
        <f t="shared" si="58"/>
        <v>25</v>
      </c>
      <c r="Q574" s="13"/>
    </row>
    <row r="575" hidden="1" customHeight="1" outlineLevel="2" spans="1:17">
      <c r="A575" s="24">
        <v>45785</v>
      </c>
      <c r="B575" s="24">
        <v>45806</v>
      </c>
      <c r="C575" s="22"/>
      <c r="D575" s="67">
        <f t="shared" si="54"/>
        <v>1.5</v>
      </c>
      <c r="E575" s="46">
        <v>0</v>
      </c>
      <c r="F575" s="46">
        <v>1</v>
      </c>
      <c r="H575" s="68">
        <f t="shared" si="55"/>
        <v>1.6</v>
      </c>
      <c r="I575" s="47">
        <v>10</v>
      </c>
      <c r="J575" s="61">
        <v>8.5</v>
      </c>
      <c r="K575" s="48">
        <f t="shared" si="56"/>
        <v>0.811764705882353</v>
      </c>
      <c r="L575" s="61">
        <f t="shared" si="57"/>
        <v>6.9</v>
      </c>
      <c r="M575" s="36">
        <f t="shared" si="58"/>
        <v>16</v>
      </c>
      <c r="Q575" s="13"/>
    </row>
    <row r="576" hidden="1" customHeight="1" outlineLevel="2" spans="1:17">
      <c r="A576" s="24">
        <v>45785</v>
      </c>
      <c r="B576" s="24">
        <v>45824</v>
      </c>
      <c r="C576" s="22"/>
      <c r="D576" s="67">
        <f t="shared" si="54"/>
        <v>1.5</v>
      </c>
      <c r="E576" s="46">
        <v>0</v>
      </c>
      <c r="F576" s="46">
        <v>1</v>
      </c>
      <c r="H576" s="68">
        <f t="shared" si="55"/>
        <v>1.66666666666667</v>
      </c>
      <c r="I576" s="47">
        <v>6</v>
      </c>
      <c r="J576" s="61">
        <v>8.5</v>
      </c>
      <c r="K576" s="48">
        <f t="shared" si="56"/>
        <v>0.803921568627451</v>
      </c>
      <c r="L576" s="61">
        <f t="shared" si="57"/>
        <v>6.83333333333333</v>
      </c>
      <c r="M576" s="36">
        <f t="shared" si="58"/>
        <v>10</v>
      </c>
      <c r="Q576" s="13"/>
    </row>
    <row r="577" hidden="1" customHeight="1" outlineLevel="2" spans="1:17">
      <c r="A577" s="24">
        <v>45825</v>
      </c>
      <c r="B577" s="24">
        <v>45824</v>
      </c>
      <c r="C577" s="22"/>
      <c r="D577" s="67">
        <f t="shared" si="54"/>
        <v>1.5</v>
      </c>
      <c r="E577" s="46">
        <v>0</v>
      </c>
      <c r="F577" s="46">
        <v>1</v>
      </c>
      <c r="H577" s="68">
        <f t="shared" si="55"/>
        <v>1.6</v>
      </c>
      <c r="I577" s="47">
        <v>10</v>
      </c>
      <c r="J577" s="61">
        <v>8.5</v>
      </c>
      <c r="K577" s="48">
        <f t="shared" si="56"/>
        <v>0.811764705882353</v>
      </c>
      <c r="L577" s="61">
        <f t="shared" si="57"/>
        <v>6.9</v>
      </c>
      <c r="M577" s="36">
        <f t="shared" si="58"/>
        <v>16</v>
      </c>
      <c r="Q577" s="13"/>
    </row>
    <row r="578" hidden="1" customHeight="1" outlineLevel="2" spans="1:17">
      <c r="A578" s="24">
        <v>45859</v>
      </c>
      <c r="B578" s="24">
        <v>45862</v>
      </c>
      <c r="C578" s="22"/>
      <c r="D578" s="67">
        <f t="shared" si="54"/>
        <v>1.5</v>
      </c>
      <c r="E578" s="46">
        <v>0</v>
      </c>
      <c r="F578" s="46">
        <v>2</v>
      </c>
      <c r="H578" s="68">
        <f t="shared" si="55"/>
        <v>1.625</v>
      </c>
      <c r="I578" s="47">
        <v>16</v>
      </c>
      <c r="J578" s="61">
        <v>8.5</v>
      </c>
      <c r="K578" s="48">
        <f t="shared" si="56"/>
        <v>0.808823529411765</v>
      </c>
      <c r="L578" s="61">
        <f t="shared" si="57"/>
        <v>6.875</v>
      </c>
      <c r="M578" s="36">
        <f t="shared" si="58"/>
        <v>26</v>
      </c>
      <c r="Q578" s="13"/>
    </row>
    <row r="579" hidden="1" customHeight="1" outlineLevel="2" spans="1:17">
      <c r="A579" s="24">
        <v>45934</v>
      </c>
      <c r="B579" s="24">
        <v>45936</v>
      </c>
      <c r="C579" s="58"/>
      <c r="D579" s="67">
        <f t="shared" si="54"/>
        <v>1.5</v>
      </c>
      <c r="E579" s="46">
        <v>1.5</v>
      </c>
      <c r="F579" s="46">
        <v>2</v>
      </c>
      <c r="H579" s="68">
        <f t="shared" si="55"/>
        <v>1.85</v>
      </c>
      <c r="I579" s="47">
        <v>10</v>
      </c>
      <c r="J579" s="61">
        <v>8.5</v>
      </c>
      <c r="K579" s="48">
        <f t="shared" si="56"/>
        <v>0.782352941176471</v>
      </c>
      <c r="L579" s="61">
        <f t="shared" si="57"/>
        <v>6.65</v>
      </c>
      <c r="M579" s="36">
        <f t="shared" si="58"/>
        <v>18.5</v>
      </c>
      <c r="N579" s="58"/>
      <c r="O579" s="58"/>
      <c r="P579" s="58"/>
    </row>
    <row r="580" hidden="1" customHeight="1" outlineLevel="2" spans="1:17">
      <c r="A580" s="24">
        <v>45945</v>
      </c>
      <c r="B580" s="24">
        <v>45993</v>
      </c>
      <c r="C580" s="58"/>
      <c r="D580" s="67">
        <f>0.11*10</f>
        <v>1.1</v>
      </c>
      <c r="E580" s="46">
        <v>0</v>
      </c>
      <c r="F580" s="46">
        <v>1</v>
      </c>
      <c r="H580" s="68">
        <f t="shared" si="55"/>
        <v>1.3</v>
      </c>
      <c r="I580" s="47">
        <v>5</v>
      </c>
      <c r="J580" s="61">
        <v>8.5</v>
      </c>
      <c r="K580" s="48">
        <f t="shared" si="56"/>
        <v>0.847058823529412</v>
      </c>
      <c r="L580" s="61">
        <f t="shared" si="57"/>
        <v>7.2</v>
      </c>
      <c r="M580" s="36">
        <f t="shared" si="58"/>
        <v>6.5</v>
      </c>
      <c r="N580" s="58"/>
      <c r="O580" s="58"/>
      <c r="P580" s="58"/>
      <c r="Q580" s="13" t="s">
        <v>48</v>
      </c>
    </row>
    <row r="581" hidden="1" customHeight="1" outlineLevel="2" spans="1:17">
      <c r="A581" s="24">
        <v>45945</v>
      </c>
      <c r="B581" s="24">
        <v>46021</v>
      </c>
      <c r="C581" s="58"/>
      <c r="D581" s="67">
        <f>0.11*10</f>
        <v>1.1</v>
      </c>
      <c r="E581" s="46">
        <v>0</v>
      </c>
      <c r="F581" s="46">
        <v>1</v>
      </c>
      <c r="H581" s="68">
        <f t="shared" si="55"/>
        <v>1.19090909090909</v>
      </c>
      <c r="I581" s="47">
        <v>11</v>
      </c>
      <c r="J581" s="61">
        <v>8.5</v>
      </c>
      <c r="K581" s="48">
        <f t="shared" si="56"/>
        <v>0.859893048128342</v>
      </c>
      <c r="L581" s="61">
        <f t="shared" si="57"/>
        <v>7.30909090909091</v>
      </c>
      <c r="M581" s="36">
        <f t="shared" si="58"/>
        <v>13.1</v>
      </c>
      <c r="N581" s="58"/>
      <c r="O581" s="58"/>
      <c r="P581" s="58"/>
    </row>
    <row r="582" hidden="1" customHeight="1" outlineLevel="2" spans="1:17">
      <c r="A582" s="24">
        <v>46057</v>
      </c>
      <c r="B582" s="24">
        <v>46059</v>
      </c>
      <c r="C582" s="58"/>
      <c r="D582" s="67">
        <f t="shared" ref="D582:D584" si="59">0.11*10+0.2</f>
        <v>1.3</v>
      </c>
      <c r="E582" s="46">
        <v>0</v>
      </c>
      <c r="F582" s="46">
        <v>1</v>
      </c>
      <c r="H582" s="68">
        <f t="shared" si="55"/>
        <v>1.37142857142857</v>
      </c>
      <c r="I582" s="47">
        <v>14</v>
      </c>
      <c r="J582" s="61">
        <v>8.5</v>
      </c>
      <c r="K582" s="48">
        <f t="shared" si="56"/>
        <v>0.838655462184874</v>
      </c>
      <c r="L582" s="61">
        <f t="shared" si="57"/>
        <v>7.12857142857143</v>
      </c>
      <c r="M582" s="36">
        <f t="shared" si="58"/>
        <v>19.2</v>
      </c>
      <c r="N582" s="58"/>
      <c r="O582" s="58"/>
      <c r="P582" s="58"/>
    </row>
    <row r="583" hidden="1" customHeight="1" outlineLevel="2" collapsed="1" spans="1:17">
      <c r="A583" s="24">
        <v>46122</v>
      </c>
      <c r="B583" s="24">
        <v>46125</v>
      </c>
      <c r="C583" s="58"/>
      <c r="D583" s="67">
        <f t="shared" si="59"/>
        <v>1.3</v>
      </c>
      <c r="E583" s="46">
        <v>2</v>
      </c>
      <c r="F583" s="46">
        <v>0</v>
      </c>
      <c r="H583" s="68">
        <f t="shared" si="55"/>
        <v>1.4</v>
      </c>
      <c r="I583" s="47">
        <v>20</v>
      </c>
      <c r="J583" s="61">
        <v>8.5</v>
      </c>
      <c r="K583" s="48">
        <f t="shared" si="56"/>
        <v>0.835294117647059</v>
      </c>
      <c r="L583" s="61">
        <f t="shared" si="57"/>
        <v>7.1</v>
      </c>
      <c r="M583" s="36">
        <f t="shared" si="58"/>
        <v>28</v>
      </c>
      <c r="N583" s="58"/>
      <c r="O583" s="58"/>
      <c r="P583" s="58"/>
    </row>
    <row r="584" hidden="1" customHeight="1" outlineLevel="1" collapsed="1" spans="1:17">
      <c r="A584" s="24">
        <v>46209</v>
      </c>
      <c r="B584" s="24">
        <v>46211</v>
      </c>
      <c r="C584" s="58"/>
      <c r="D584" s="67">
        <f t="shared" si="59"/>
        <v>1.3</v>
      </c>
      <c r="E584" s="46">
        <v>1</v>
      </c>
      <c r="H584" s="68">
        <f t="shared" si="55"/>
        <v>1.35</v>
      </c>
      <c r="I584" s="47">
        <v>20</v>
      </c>
      <c r="J584" s="61">
        <v>8.5</v>
      </c>
      <c r="K584" s="48">
        <f t="shared" si="56"/>
        <v>0.841176470588235</v>
      </c>
      <c r="L584" s="61">
        <f t="shared" si="57"/>
        <v>7.15</v>
      </c>
      <c r="M584" s="36">
        <f t="shared" si="58"/>
        <v>27</v>
      </c>
      <c r="N584" s="58"/>
      <c r="O584" s="58"/>
      <c r="P584" s="58"/>
    </row>
    <row r="585" hidden="1" customHeight="1" outlineLevel="1" spans="1:17">
      <c r="A585" s="57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</row>
    <row r="586" hidden="1" customHeight="1" outlineLevel="1" collapsed="1" spans="1:17">
      <c r="A586" s="57" t="s">
        <v>49</v>
      </c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</row>
    <row r="587" hidden="1" customHeight="1" outlineLevel="2" spans="1:17">
      <c r="A587" s="24">
        <v>45699</v>
      </c>
      <c r="B587" s="24">
        <v>45703</v>
      </c>
      <c r="C587" s="22"/>
      <c r="D587" s="67">
        <f t="shared" ref="D587:D595" si="60">0.18*10</f>
        <v>1.8</v>
      </c>
      <c r="E587" s="46">
        <v>0.85</v>
      </c>
      <c r="F587" s="46">
        <v>0.58</v>
      </c>
      <c r="H587" s="68">
        <f t="shared" ref="H587:H600" si="61">D587+(E587/I587)+(F587/I587)</f>
        <v>1.943</v>
      </c>
      <c r="I587" s="47">
        <v>10</v>
      </c>
      <c r="J587" s="61">
        <v>9.5</v>
      </c>
      <c r="K587" s="48">
        <f t="shared" ref="K587:K600" si="62">(J587-H587)/J587</f>
        <v>0.795473684210526</v>
      </c>
      <c r="L587" s="61">
        <f t="shared" ref="L587:L600" si="63">J587-H587</f>
        <v>7.557</v>
      </c>
      <c r="M587" s="36">
        <f t="shared" ref="M587:M600" si="64">D587*I587+E587+F587</f>
        <v>19.43</v>
      </c>
    </row>
    <row r="588" hidden="1" customHeight="1" outlineLevel="2" spans="1:17">
      <c r="A588" s="24">
        <v>45711</v>
      </c>
      <c r="B588" s="24">
        <v>45714</v>
      </c>
      <c r="C588" s="22"/>
      <c r="D588" s="67">
        <f t="shared" si="60"/>
        <v>1.8</v>
      </c>
      <c r="E588" s="46">
        <v>0</v>
      </c>
      <c r="F588" s="46">
        <v>1</v>
      </c>
      <c r="H588" s="68">
        <f t="shared" si="61"/>
        <v>1.85882352941176</v>
      </c>
      <c r="I588" s="47">
        <v>17</v>
      </c>
      <c r="J588" s="61">
        <v>9.5</v>
      </c>
      <c r="K588" s="48">
        <f t="shared" si="62"/>
        <v>0.804334365325077</v>
      </c>
      <c r="L588" s="61">
        <f t="shared" si="63"/>
        <v>7.64117647058824</v>
      </c>
      <c r="M588" s="36">
        <f t="shared" si="64"/>
        <v>31.6</v>
      </c>
    </row>
    <row r="589" hidden="1" customHeight="1" outlineLevel="2" spans="1:17">
      <c r="A589" s="24">
        <v>45785</v>
      </c>
      <c r="B589" s="24">
        <v>45806</v>
      </c>
      <c r="C589" s="22"/>
      <c r="D589" s="67">
        <f t="shared" si="60"/>
        <v>1.8</v>
      </c>
      <c r="E589" s="46">
        <v>0</v>
      </c>
      <c r="F589" s="46">
        <v>0</v>
      </c>
      <c r="H589" s="68">
        <f t="shared" si="61"/>
        <v>1.8</v>
      </c>
      <c r="I589" s="47">
        <v>2</v>
      </c>
      <c r="J589" s="61">
        <v>9.5</v>
      </c>
      <c r="K589" s="48">
        <f t="shared" si="62"/>
        <v>0.810526315789474</v>
      </c>
      <c r="L589" s="61">
        <f t="shared" si="63"/>
        <v>7.7</v>
      </c>
      <c r="M589" s="36">
        <f t="shared" si="64"/>
        <v>3.6</v>
      </c>
    </row>
    <row r="590" hidden="1" customHeight="1" outlineLevel="2" spans="1:17">
      <c r="A590" s="24">
        <v>45821</v>
      </c>
      <c r="B590" s="24">
        <v>45825</v>
      </c>
      <c r="C590" s="22"/>
      <c r="D590" s="67">
        <f t="shared" si="60"/>
        <v>1.8</v>
      </c>
      <c r="E590" s="46">
        <v>0</v>
      </c>
      <c r="F590" s="46">
        <v>1</v>
      </c>
      <c r="H590" s="68">
        <f t="shared" si="61"/>
        <v>1.91111111111111</v>
      </c>
      <c r="I590" s="47">
        <v>9</v>
      </c>
      <c r="J590" s="61">
        <v>9.5</v>
      </c>
      <c r="K590" s="48">
        <f t="shared" si="62"/>
        <v>0.798830409356725</v>
      </c>
      <c r="L590" s="61">
        <f t="shared" si="63"/>
        <v>7.58888888888889</v>
      </c>
      <c r="M590" s="36">
        <f t="shared" si="64"/>
        <v>17.2</v>
      </c>
    </row>
    <row r="591" hidden="1" customHeight="1" outlineLevel="2" spans="1:17">
      <c r="A591" s="24">
        <v>45825</v>
      </c>
      <c r="B591" s="37">
        <v>45848</v>
      </c>
      <c r="C591" s="58"/>
      <c r="D591" s="67">
        <f t="shared" si="60"/>
        <v>1.8</v>
      </c>
      <c r="E591" s="46">
        <v>0</v>
      </c>
      <c r="F591" s="46">
        <v>1</v>
      </c>
      <c r="H591" s="68">
        <f t="shared" si="61"/>
        <v>2</v>
      </c>
      <c r="I591" s="47">
        <v>5</v>
      </c>
      <c r="J591" s="61">
        <v>9.5</v>
      </c>
      <c r="K591" s="48">
        <f t="shared" si="62"/>
        <v>0.789473684210526</v>
      </c>
      <c r="L591" s="61">
        <f t="shared" si="63"/>
        <v>7.5</v>
      </c>
      <c r="M591" s="36">
        <f t="shared" si="64"/>
        <v>10</v>
      </c>
      <c r="N591" s="58"/>
      <c r="O591" s="58"/>
      <c r="P591" s="58"/>
    </row>
    <row r="592" hidden="1" customHeight="1" outlineLevel="2" spans="1:17">
      <c r="A592" s="24">
        <v>45825</v>
      </c>
      <c r="B592" s="24">
        <v>45894</v>
      </c>
      <c r="C592" s="58"/>
      <c r="D592" s="67">
        <f t="shared" si="60"/>
        <v>1.8</v>
      </c>
      <c r="E592" s="46">
        <v>0</v>
      </c>
      <c r="F592" s="46">
        <v>2</v>
      </c>
      <c r="H592" s="68">
        <f t="shared" si="61"/>
        <v>2.46666666666667</v>
      </c>
      <c r="I592" s="47">
        <v>3</v>
      </c>
      <c r="J592" s="61">
        <v>9.5</v>
      </c>
      <c r="K592" s="48">
        <f t="shared" si="62"/>
        <v>0.740350877192982</v>
      </c>
      <c r="L592" s="61">
        <f t="shared" si="63"/>
        <v>7.03333333333333</v>
      </c>
      <c r="M592" s="36">
        <f t="shared" si="64"/>
        <v>7.4</v>
      </c>
      <c r="N592" s="58"/>
      <c r="O592" s="58"/>
      <c r="P592" s="58"/>
    </row>
    <row r="593" hidden="1" customHeight="1" outlineLevel="2" spans="1:16">
      <c r="A593" s="24">
        <v>45825</v>
      </c>
      <c r="B593" s="24">
        <v>45898</v>
      </c>
      <c r="C593" s="58"/>
      <c r="D593" s="67">
        <f t="shared" si="60"/>
        <v>1.8</v>
      </c>
      <c r="E593" s="46">
        <v>0</v>
      </c>
      <c r="F593" s="46">
        <v>1</v>
      </c>
      <c r="H593" s="68">
        <f t="shared" si="61"/>
        <v>2</v>
      </c>
      <c r="I593" s="47">
        <v>5</v>
      </c>
      <c r="J593" s="61">
        <v>9.5</v>
      </c>
      <c r="K593" s="48">
        <f t="shared" si="62"/>
        <v>0.789473684210526</v>
      </c>
      <c r="L593" s="61">
        <f t="shared" si="63"/>
        <v>7.5</v>
      </c>
      <c r="M593" s="36">
        <f t="shared" si="64"/>
        <v>10</v>
      </c>
      <c r="N593" s="58"/>
      <c r="O593" s="58"/>
      <c r="P593" s="58"/>
    </row>
    <row r="594" hidden="1" customHeight="1" outlineLevel="2" spans="1:16">
      <c r="A594" s="24">
        <v>45934</v>
      </c>
      <c r="B594" s="24">
        <v>45941</v>
      </c>
      <c r="C594" s="58"/>
      <c r="D594" s="67">
        <f t="shared" si="60"/>
        <v>1.8</v>
      </c>
      <c r="E594" s="46">
        <v>1.5</v>
      </c>
      <c r="H594" s="68">
        <f t="shared" si="61"/>
        <v>2.1</v>
      </c>
      <c r="I594" s="47">
        <v>5</v>
      </c>
      <c r="J594" s="61">
        <v>9.5</v>
      </c>
      <c r="K594" s="48">
        <f t="shared" si="62"/>
        <v>0.778947368421053</v>
      </c>
      <c r="L594" s="61">
        <f t="shared" si="63"/>
        <v>7.4</v>
      </c>
      <c r="M594" s="36">
        <f t="shared" si="64"/>
        <v>10.5</v>
      </c>
      <c r="N594" s="58"/>
      <c r="O594" s="58"/>
      <c r="P594" s="58"/>
    </row>
    <row r="595" hidden="1" customHeight="1" outlineLevel="2" spans="1:16">
      <c r="A595" s="24">
        <v>46005</v>
      </c>
      <c r="B595" s="24">
        <v>46021</v>
      </c>
      <c r="C595" s="58"/>
      <c r="D595" s="67">
        <f t="shared" si="60"/>
        <v>1.8</v>
      </c>
      <c r="E595" s="46">
        <v>0</v>
      </c>
      <c r="F595" s="46">
        <v>1</v>
      </c>
      <c r="H595" s="68">
        <f t="shared" si="61"/>
        <v>2</v>
      </c>
      <c r="I595" s="47">
        <v>5</v>
      </c>
      <c r="J595" s="61">
        <v>9.5</v>
      </c>
      <c r="K595" s="48">
        <f t="shared" si="62"/>
        <v>0.789473684210526</v>
      </c>
      <c r="L595" s="61">
        <f t="shared" si="63"/>
        <v>7.5</v>
      </c>
      <c r="M595" s="36">
        <f t="shared" si="64"/>
        <v>10</v>
      </c>
      <c r="N595" s="58"/>
      <c r="O595" s="58"/>
      <c r="P595" s="58"/>
    </row>
    <row r="596" hidden="1" customHeight="1" outlineLevel="2" spans="1:16">
      <c r="A596" s="24">
        <v>46027</v>
      </c>
      <c r="B596" s="24">
        <v>46030</v>
      </c>
      <c r="D596" s="67">
        <f t="shared" ref="D596:D600" si="65">0.18*10+0.2</f>
        <v>2</v>
      </c>
      <c r="E596" s="46">
        <v>0</v>
      </c>
      <c r="F596" s="46">
        <v>1</v>
      </c>
      <c r="H596" s="68">
        <f t="shared" si="61"/>
        <v>2.1</v>
      </c>
      <c r="I596" s="47">
        <v>10</v>
      </c>
      <c r="J596" s="61">
        <v>9.5</v>
      </c>
      <c r="K596" s="48">
        <f t="shared" si="62"/>
        <v>0.778947368421053</v>
      </c>
      <c r="L596" s="61">
        <f t="shared" si="63"/>
        <v>7.4</v>
      </c>
      <c r="M596" s="36">
        <f t="shared" si="64"/>
        <v>21</v>
      </c>
      <c r="O596" s="58"/>
      <c r="P596" s="58"/>
    </row>
    <row r="597" hidden="1" customHeight="1" outlineLevel="2" collapsed="1" spans="1:16">
      <c r="A597" s="24">
        <v>46027</v>
      </c>
      <c r="B597" s="24">
        <v>46059</v>
      </c>
      <c r="D597" s="67">
        <f t="shared" si="65"/>
        <v>2</v>
      </c>
      <c r="E597" s="46">
        <v>0</v>
      </c>
      <c r="F597" s="46">
        <v>0</v>
      </c>
      <c r="H597" s="68">
        <f t="shared" si="61"/>
        <v>2</v>
      </c>
      <c r="I597" s="47">
        <v>5</v>
      </c>
      <c r="J597" s="61">
        <v>9.5</v>
      </c>
      <c r="K597" s="48">
        <f t="shared" si="62"/>
        <v>0.789473684210526</v>
      </c>
      <c r="L597" s="61">
        <f t="shared" si="63"/>
        <v>7.5</v>
      </c>
      <c r="M597" s="36">
        <f t="shared" si="64"/>
        <v>10</v>
      </c>
      <c r="O597" s="58"/>
      <c r="P597" s="58"/>
    </row>
    <row r="598" hidden="1" customHeight="1" outlineLevel="2" collapsed="1" spans="1:16">
      <c r="A598" s="24">
        <v>46057</v>
      </c>
      <c r="B598" s="24">
        <v>46059</v>
      </c>
      <c r="D598" s="67">
        <f t="shared" si="65"/>
        <v>2</v>
      </c>
      <c r="E598" s="46">
        <v>0</v>
      </c>
      <c r="F598" s="46">
        <v>1</v>
      </c>
      <c r="H598" s="68">
        <f t="shared" si="61"/>
        <v>2.07692307692308</v>
      </c>
      <c r="I598" s="47">
        <v>13</v>
      </c>
      <c r="J598" s="61">
        <v>9.5</v>
      </c>
      <c r="K598" s="48">
        <f t="shared" si="62"/>
        <v>0.781376518218624</v>
      </c>
      <c r="L598" s="61">
        <f t="shared" si="63"/>
        <v>7.42307692307692</v>
      </c>
      <c r="M598" s="36">
        <f t="shared" si="64"/>
        <v>27</v>
      </c>
      <c r="O598" s="58"/>
      <c r="P598" s="58"/>
    </row>
    <row r="599" hidden="1" customHeight="1" outlineLevel="1" collapsed="1" spans="1:16">
      <c r="A599" s="24">
        <v>46209</v>
      </c>
      <c r="B599" s="24">
        <v>46211</v>
      </c>
      <c r="D599" s="67">
        <f t="shared" si="65"/>
        <v>2</v>
      </c>
      <c r="E599" s="46">
        <v>1</v>
      </c>
      <c r="H599" s="68">
        <f t="shared" si="61"/>
        <v>2.11111111111111</v>
      </c>
      <c r="I599" s="47">
        <v>9</v>
      </c>
      <c r="J599" s="61">
        <v>9.5</v>
      </c>
      <c r="K599" s="48">
        <f t="shared" si="62"/>
        <v>0.777777777777778</v>
      </c>
      <c r="L599" s="61">
        <f t="shared" si="63"/>
        <v>7.38888888888889</v>
      </c>
      <c r="M599" s="36">
        <f t="shared" si="64"/>
        <v>19</v>
      </c>
      <c r="O599" s="58"/>
      <c r="P599" s="58"/>
    </row>
    <row r="600" hidden="1" customHeight="1" outlineLevel="1" collapsed="1" spans="1:16">
      <c r="A600" s="24">
        <v>46284</v>
      </c>
      <c r="B600" s="24"/>
      <c r="D600" s="67">
        <f t="shared" si="65"/>
        <v>2</v>
      </c>
      <c r="E600" s="46">
        <v>1</v>
      </c>
      <c r="H600" s="68">
        <f t="shared" si="61"/>
        <v>2.05</v>
      </c>
      <c r="I600" s="47">
        <v>20</v>
      </c>
      <c r="J600" s="61">
        <v>9.5</v>
      </c>
      <c r="K600" s="48">
        <f t="shared" si="62"/>
        <v>0.784210526315789</v>
      </c>
      <c r="L600" s="61">
        <f t="shared" si="63"/>
        <v>7.45</v>
      </c>
      <c r="M600" s="36">
        <f t="shared" si="64"/>
        <v>41</v>
      </c>
      <c r="O600" s="58"/>
      <c r="P600" s="58"/>
    </row>
    <row r="601" hidden="1" customHeight="1" outlineLevel="1" spans="1:16">
      <c r="A601" s="57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</row>
    <row r="602" hidden="1" customHeight="1" outlineLevel="1" collapsed="1" spans="1:16">
      <c r="A602" s="57" t="s">
        <v>50</v>
      </c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</row>
    <row r="603" hidden="1" customHeight="1" outlineLevel="2" spans="1:16">
      <c r="A603" s="24">
        <v>45699</v>
      </c>
      <c r="B603" s="24">
        <v>45703</v>
      </c>
      <c r="C603" s="22"/>
      <c r="D603" s="67">
        <f t="shared" ref="D603:D614" si="66">0.2*10</f>
        <v>2</v>
      </c>
      <c r="E603" s="46">
        <v>0.85</v>
      </c>
      <c r="F603" s="46">
        <v>0.58</v>
      </c>
      <c r="H603" s="68">
        <f t="shared" ref="H603:H617" si="67">D603+(E603/I603)+(F603/I603)</f>
        <v>2.143</v>
      </c>
      <c r="I603" s="47">
        <v>10</v>
      </c>
      <c r="J603" s="61">
        <v>11.5</v>
      </c>
      <c r="K603" s="48">
        <f t="shared" ref="K603:K617" si="68">(J603-H603)/J603</f>
        <v>0.813652173913043</v>
      </c>
      <c r="L603" s="61">
        <f t="shared" ref="L603:L617" si="69">J603-H603</f>
        <v>9.357</v>
      </c>
      <c r="M603" s="36">
        <f t="shared" ref="M603:M617" si="70">D603*I603+E603+F603</f>
        <v>21.43</v>
      </c>
    </row>
    <row r="604" hidden="1" customHeight="1" outlineLevel="2" spans="1:16">
      <c r="A604" s="24">
        <v>45711</v>
      </c>
      <c r="B604" s="24">
        <v>45714</v>
      </c>
      <c r="C604" s="22"/>
      <c r="D604" s="67">
        <f t="shared" si="66"/>
        <v>2</v>
      </c>
      <c r="E604" s="46">
        <v>0</v>
      </c>
      <c r="F604" s="46">
        <v>1</v>
      </c>
      <c r="H604" s="68">
        <f t="shared" si="67"/>
        <v>2.06666666666667</v>
      </c>
      <c r="I604" s="47">
        <v>15</v>
      </c>
      <c r="J604" s="61">
        <v>11.5</v>
      </c>
      <c r="K604" s="48">
        <f t="shared" si="68"/>
        <v>0.820289855072464</v>
      </c>
      <c r="L604" s="61">
        <f t="shared" si="69"/>
        <v>9.43333333333333</v>
      </c>
      <c r="M604" s="36">
        <f t="shared" si="70"/>
        <v>31</v>
      </c>
    </row>
    <row r="605" hidden="1" customHeight="1" outlineLevel="2" spans="1:16">
      <c r="A605" s="24">
        <v>45717</v>
      </c>
      <c r="B605" s="24">
        <v>45744</v>
      </c>
      <c r="D605" s="67">
        <f t="shared" si="66"/>
        <v>2</v>
      </c>
      <c r="E605" s="46">
        <v>0</v>
      </c>
      <c r="F605" s="46">
        <v>1</v>
      </c>
      <c r="H605" s="68">
        <f t="shared" si="67"/>
        <v>2.16666666666667</v>
      </c>
      <c r="I605" s="47">
        <v>6</v>
      </c>
      <c r="J605" s="61">
        <v>11.5</v>
      </c>
      <c r="K605" s="48">
        <f t="shared" si="68"/>
        <v>0.811594202898551</v>
      </c>
      <c r="L605" s="61">
        <f t="shared" si="69"/>
        <v>9.33333333333333</v>
      </c>
      <c r="M605" s="36">
        <f t="shared" si="70"/>
        <v>13</v>
      </c>
    </row>
    <row r="606" hidden="1" customHeight="1" outlineLevel="2" spans="1:16">
      <c r="A606" s="24">
        <v>45717</v>
      </c>
      <c r="B606" s="24">
        <v>45751</v>
      </c>
      <c r="D606" s="67">
        <f t="shared" si="66"/>
        <v>2</v>
      </c>
      <c r="E606" s="46">
        <v>0</v>
      </c>
      <c r="F606" s="46">
        <v>1</v>
      </c>
      <c r="H606" s="68">
        <f t="shared" si="67"/>
        <v>2.5</v>
      </c>
      <c r="I606" s="47">
        <v>2</v>
      </c>
      <c r="J606" s="61">
        <v>11.5</v>
      </c>
      <c r="K606" s="48">
        <f t="shared" si="68"/>
        <v>0.782608695652174</v>
      </c>
      <c r="L606" s="61">
        <f t="shared" si="69"/>
        <v>9</v>
      </c>
      <c r="M606" s="36">
        <f t="shared" si="70"/>
        <v>5</v>
      </c>
    </row>
    <row r="607" hidden="1" customHeight="1" outlineLevel="2" spans="1:16">
      <c r="A607" s="24">
        <v>45811</v>
      </c>
      <c r="B607" s="24">
        <v>45814</v>
      </c>
      <c r="D607" s="67">
        <f t="shared" si="66"/>
        <v>2</v>
      </c>
      <c r="E607" s="46">
        <v>0</v>
      </c>
      <c r="F607" s="46">
        <v>1</v>
      </c>
      <c r="H607" s="68">
        <f t="shared" si="67"/>
        <v>2.14285714285714</v>
      </c>
      <c r="I607" s="47">
        <v>7</v>
      </c>
      <c r="J607" s="61">
        <v>11.5</v>
      </c>
      <c r="K607" s="48">
        <f t="shared" si="68"/>
        <v>0.813664596273292</v>
      </c>
      <c r="L607" s="61">
        <f t="shared" si="69"/>
        <v>9.35714285714286</v>
      </c>
      <c r="M607" s="36">
        <f t="shared" si="70"/>
        <v>15</v>
      </c>
    </row>
    <row r="608" hidden="1" customHeight="1" outlineLevel="2" spans="1:16">
      <c r="A608" s="24">
        <v>45811</v>
      </c>
      <c r="B608" s="24">
        <v>45832</v>
      </c>
      <c r="D608" s="67">
        <f t="shared" si="66"/>
        <v>2</v>
      </c>
      <c r="E608" s="46">
        <v>0</v>
      </c>
      <c r="F608" s="46">
        <v>1</v>
      </c>
      <c r="H608" s="68">
        <f t="shared" si="67"/>
        <v>2.16666666666667</v>
      </c>
      <c r="I608" s="47">
        <v>6</v>
      </c>
      <c r="J608" s="61">
        <v>11.5</v>
      </c>
      <c r="K608" s="48">
        <f t="shared" si="68"/>
        <v>0.811594202898551</v>
      </c>
      <c r="L608" s="61">
        <f t="shared" si="69"/>
        <v>9.33333333333333</v>
      </c>
      <c r="M608" s="36">
        <f t="shared" si="70"/>
        <v>13</v>
      </c>
    </row>
    <row r="609" hidden="1" customHeight="1" outlineLevel="2" spans="1:16">
      <c r="A609" s="24">
        <v>45825</v>
      </c>
      <c r="B609" s="24">
        <v>45848</v>
      </c>
      <c r="D609" s="67">
        <f t="shared" si="66"/>
        <v>2</v>
      </c>
      <c r="E609" s="46">
        <v>0</v>
      </c>
      <c r="F609" s="46">
        <v>1</v>
      </c>
      <c r="H609" s="68">
        <f t="shared" si="67"/>
        <v>2.25</v>
      </c>
      <c r="I609" s="47">
        <v>4</v>
      </c>
      <c r="J609" s="61">
        <v>11.5</v>
      </c>
      <c r="K609" s="48">
        <f t="shared" si="68"/>
        <v>0.804347826086957</v>
      </c>
      <c r="L609" s="61">
        <f t="shared" si="69"/>
        <v>9.25</v>
      </c>
      <c r="M609" s="36">
        <f t="shared" si="70"/>
        <v>9</v>
      </c>
    </row>
    <row r="610" hidden="1" customHeight="1" outlineLevel="2" spans="1:16">
      <c r="A610" s="24">
        <v>45862</v>
      </c>
      <c r="B610" s="24">
        <v>45864</v>
      </c>
      <c r="D610" s="67">
        <f t="shared" si="66"/>
        <v>2</v>
      </c>
      <c r="E610" s="46">
        <v>0</v>
      </c>
      <c r="F610" s="46">
        <v>2</v>
      </c>
      <c r="H610" s="68">
        <f t="shared" si="67"/>
        <v>2.28571428571429</v>
      </c>
      <c r="I610" s="47">
        <v>7</v>
      </c>
      <c r="J610" s="61">
        <v>11.5</v>
      </c>
      <c r="K610" s="48">
        <f t="shared" si="68"/>
        <v>0.801242236024845</v>
      </c>
      <c r="L610" s="61">
        <f t="shared" si="69"/>
        <v>9.21428571428572</v>
      </c>
      <c r="M610" s="36">
        <f t="shared" si="70"/>
        <v>16</v>
      </c>
    </row>
    <row r="611" hidden="1" customHeight="1" outlineLevel="2" spans="1:16">
      <c r="A611" s="24">
        <v>45898</v>
      </c>
      <c r="B611" s="24">
        <v>45902</v>
      </c>
      <c r="D611" s="67">
        <f t="shared" si="66"/>
        <v>2</v>
      </c>
      <c r="E611" s="46">
        <v>0</v>
      </c>
      <c r="F611" s="46">
        <v>1</v>
      </c>
      <c r="H611" s="68">
        <f t="shared" si="67"/>
        <v>2.5</v>
      </c>
      <c r="I611" s="47">
        <v>2</v>
      </c>
      <c r="J611" s="61">
        <v>11.5</v>
      </c>
      <c r="K611" s="48">
        <f t="shared" si="68"/>
        <v>0.782608695652174</v>
      </c>
      <c r="L611" s="61">
        <f t="shared" si="69"/>
        <v>9</v>
      </c>
      <c r="M611" s="36">
        <f t="shared" si="70"/>
        <v>5</v>
      </c>
    </row>
    <row r="612" hidden="1" customHeight="1" outlineLevel="2" spans="1:16">
      <c r="A612" s="24">
        <v>45898</v>
      </c>
      <c r="B612" s="37">
        <v>45906</v>
      </c>
      <c r="C612" s="58"/>
      <c r="D612" s="67">
        <f t="shared" si="66"/>
        <v>2</v>
      </c>
      <c r="E612" s="46">
        <v>0</v>
      </c>
      <c r="F612" s="46">
        <v>1</v>
      </c>
      <c r="H612" s="68">
        <f t="shared" si="67"/>
        <v>2.16666666666667</v>
      </c>
      <c r="I612" s="47">
        <v>6</v>
      </c>
      <c r="J612" s="61">
        <v>11.5</v>
      </c>
      <c r="K612" s="48">
        <f t="shared" si="68"/>
        <v>0.811594202898551</v>
      </c>
      <c r="L612" s="61">
        <f t="shared" si="69"/>
        <v>9.33333333333333</v>
      </c>
      <c r="M612" s="36">
        <f t="shared" si="70"/>
        <v>13</v>
      </c>
      <c r="N612" s="58"/>
      <c r="O612" s="58"/>
      <c r="P612" s="58"/>
    </row>
    <row r="613" hidden="1" customHeight="1" outlineLevel="2" spans="1:16">
      <c r="A613" s="24">
        <v>45904</v>
      </c>
      <c r="B613" s="24">
        <v>45941</v>
      </c>
      <c r="C613" s="58"/>
      <c r="D613" s="67">
        <f t="shared" si="66"/>
        <v>2</v>
      </c>
      <c r="E613" s="46">
        <v>0</v>
      </c>
      <c r="F613" s="46">
        <v>1</v>
      </c>
      <c r="H613" s="68">
        <f t="shared" si="67"/>
        <v>2.14285714285714</v>
      </c>
      <c r="I613" s="47">
        <v>7</v>
      </c>
      <c r="J613" s="61">
        <v>11.5</v>
      </c>
      <c r="K613" s="48">
        <f t="shared" si="68"/>
        <v>0.813664596273292</v>
      </c>
      <c r="L613" s="61">
        <f t="shared" si="69"/>
        <v>9.35714285714286</v>
      </c>
      <c r="M613" s="36">
        <f t="shared" si="70"/>
        <v>15</v>
      </c>
      <c r="N613" s="58"/>
      <c r="O613" s="58"/>
      <c r="P613" s="58"/>
    </row>
    <row r="614" hidden="1" customHeight="1" outlineLevel="2" spans="1:16">
      <c r="A614" s="24">
        <v>45945</v>
      </c>
      <c r="B614" s="24">
        <v>45961</v>
      </c>
      <c r="C614" s="58"/>
      <c r="D614" s="67">
        <f t="shared" si="66"/>
        <v>2</v>
      </c>
      <c r="E614" s="46">
        <v>0</v>
      </c>
      <c r="F614" s="46">
        <v>2</v>
      </c>
      <c r="H614" s="68">
        <f t="shared" si="67"/>
        <v>2.2</v>
      </c>
      <c r="I614" s="47">
        <v>10</v>
      </c>
      <c r="J614" s="61">
        <v>11.5</v>
      </c>
      <c r="K614" s="48">
        <f t="shared" si="68"/>
        <v>0.808695652173913</v>
      </c>
      <c r="L614" s="61">
        <f t="shared" si="69"/>
        <v>9.3</v>
      </c>
      <c r="M614" s="36">
        <f t="shared" si="70"/>
        <v>22</v>
      </c>
      <c r="N614" s="58"/>
      <c r="O614" s="58"/>
      <c r="P614" s="58"/>
    </row>
    <row r="615" hidden="1" customHeight="1" outlineLevel="2" spans="1:16">
      <c r="A615" s="24">
        <v>46057</v>
      </c>
      <c r="B615" s="24">
        <v>46059</v>
      </c>
      <c r="C615" s="58"/>
      <c r="D615" s="67">
        <f t="shared" ref="D615:D617" si="71">0.2*10+0.2</f>
        <v>2.2</v>
      </c>
      <c r="E615" s="46">
        <v>0</v>
      </c>
      <c r="F615" s="46">
        <v>2</v>
      </c>
      <c r="H615" s="68">
        <f t="shared" si="67"/>
        <v>2.29090909090909</v>
      </c>
      <c r="I615" s="47">
        <v>22</v>
      </c>
      <c r="J615" s="61">
        <v>11.5</v>
      </c>
      <c r="K615" s="48">
        <f t="shared" si="68"/>
        <v>0.800790513833992</v>
      </c>
      <c r="L615" s="61">
        <f t="shared" si="69"/>
        <v>9.20909090909091</v>
      </c>
      <c r="M615" s="36">
        <f t="shared" si="70"/>
        <v>50.4</v>
      </c>
      <c r="N615" s="58"/>
      <c r="O615" s="58"/>
      <c r="P615" s="58"/>
    </row>
    <row r="616" hidden="1" customHeight="1" outlineLevel="1" spans="1:16">
      <c r="A616" s="24">
        <v>46122</v>
      </c>
      <c r="B616" s="24">
        <v>46125</v>
      </c>
      <c r="C616" s="58"/>
      <c r="D616" s="67">
        <f t="shared" si="71"/>
        <v>2.2</v>
      </c>
      <c r="E616" s="46">
        <v>2</v>
      </c>
      <c r="F616" s="46">
        <v>0</v>
      </c>
      <c r="H616" s="68">
        <f t="shared" si="67"/>
        <v>2.4</v>
      </c>
      <c r="I616" s="47">
        <v>10</v>
      </c>
      <c r="J616" s="61">
        <v>11.5</v>
      </c>
      <c r="K616" s="48">
        <f t="shared" si="68"/>
        <v>0.791304347826087</v>
      </c>
      <c r="L616" s="61">
        <f t="shared" si="69"/>
        <v>9.1</v>
      </c>
      <c r="M616" s="36">
        <f t="shared" si="70"/>
        <v>24</v>
      </c>
      <c r="N616" s="58"/>
      <c r="O616" s="58"/>
      <c r="P616" s="58"/>
    </row>
    <row r="617" hidden="1" customHeight="1" outlineLevel="1" spans="1:16">
      <c r="A617" s="24">
        <v>46209</v>
      </c>
      <c r="B617" s="24">
        <v>46211</v>
      </c>
      <c r="C617" s="58"/>
      <c r="D617" s="67">
        <f t="shared" si="71"/>
        <v>2.2</v>
      </c>
      <c r="E617" s="46">
        <v>1</v>
      </c>
      <c r="F617" s="46">
        <v>0</v>
      </c>
      <c r="H617" s="68">
        <f t="shared" si="67"/>
        <v>2.31111111111111</v>
      </c>
      <c r="I617" s="47">
        <v>9</v>
      </c>
      <c r="J617" s="61">
        <v>11.5</v>
      </c>
      <c r="K617" s="48">
        <f t="shared" si="68"/>
        <v>0.799033816425121</v>
      </c>
      <c r="L617" s="61">
        <f t="shared" si="69"/>
        <v>9.18888888888889</v>
      </c>
      <c r="M617" s="36">
        <f t="shared" si="70"/>
        <v>20.8</v>
      </c>
      <c r="N617" s="58"/>
      <c r="O617" s="58"/>
      <c r="P617" s="58"/>
    </row>
    <row r="618" hidden="1" customHeight="1" outlineLevel="1" spans="1:16">
      <c r="A618" s="57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</row>
    <row r="619" hidden="1" customHeight="1" outlineLevel="1" collapsed="1" spans="1:16">
      <c r="A619" s="57" t="s">
        <v>51</v>
      </c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</row>
    <row r="620" hidden="1" customHeight="1" outlineLevel="2" spans="1:16">
      <c r="A620" s="24">
        <v>45699</v>
      </c>
      <c r="B620" s="24">
        <v>45703</v>
      </c>
      <c r="C620" s="22"/>
      <c r="D620" s="67">
        <f t="shared" ref="D620:D635" si="72">0.25*10</f>
        <v>2.5</v>
      </c>
      <c r="E620" s="46">
        <v>0.85</v>
      </c>
      <c r="F620" s="46">
        <v>0.58</v>
      </c>
      <c r="H620" s="68">
        <f t="shared" ref="H620:H640" si="73">D620+(E620/I620)+(F620/I620)</f>
        <v>2.643</v>
      </c>
      <c r="I620" s="47">
        <v>10</v>
      </c>
      <c r="J620" s="61">
        <v>13.5</v>
      </c>
      <c r="K620" s="48">
        <f t="shared" ref="K620:K640" si="74">(J620-H620)/J620</f>
        <v>0.804222222222222</v>
      </c>
      <c r="L620" s="61">
        <f t="shared" ref="L620:L640" si="75">J620-H620</f>
        <v>10.857</v>
      </c>
      <c r="M620" s="36">
        <f t="shared" ref="M620:M640" si="76">D620*I620+E620+F620</f>
        <v>26.43</v>
      </c>
    </row>
    <row r="621" hidden="1" customHeight="1" outlineLevel="2" spans="1:16">
      <c r="A621" s="24">
        <v>45711</v>
      </c>
      <c r="B621" s="24">
        <v>45714</v>
      </c>
      <c r="C621" s="22"/>
      <c r="D621" s="67">
        <f t="shared" si="72"/>
        <v>2.5</v>
      </c>
      <c r="E621" s="46">
        <v>0</v>
      </c>
      <c r="F621" s="46">
        <v>2</v>
      </c>
      <c r="H621" s="68">
        <f t="shared" si="73"/>
        <v>2.78571428571429</v>
      </c>
      <c r="I621" s="47">
        <v>7</v>
      </c>
      <c r="J621" s="61">
        <v>13.5</v>
      </c>
      <c r="K621" s="48">
        <f t="shared" si="74"/>
        <v>0.793650793650794</v>
      </c>
      <c r="L621" s="61">
        <f t="shared" si="75"/>
        <v>10.7142857142857</v>
      </c>
      <c r="M621" s="36">
        <f t="shared" si="76"/>
        <v>19.5</v>
      </c>
    </row>
    <row r="622" hidden="1" customHeight="1" outlineLevel="2" spans="1:16">
      <c r="A622" s="24">
        <v>45711</v>
      </c>
      <c r="B622" s="24">
        <v>45718</v>
      </c>
      <c r="C622" s="22"/>
      <c r="D622" s="67">
        <f t="shared" si="72"/>
        <v>2.5</v>
      </c>
      <c r="E622" s="46">
        <v>0</v>
      </c>
      <c r="F622" s="46">
        <v>1</v>
      </c>
      <c r="H622" s="68">
        <f t="shared" si="73"/>
        <v>2.6</v>
      </c>
      <c r="I622" s="47">
        <v>10</v>
      </c>
      <c r="J622" s="61">
        <v>13.5</v>
      </c>
      <c r="K622" s="48">
        <f t="shared" si="74"/>
        <v>0.807407407407407</v>
      </c>
      <c r="L622" s="61">
        <f t="shared" si="75"/>
        <v>10.9</v>
      </c>
      <c r="M622" s="36">
        <f t="shared" si="76"/>
        <v>26</v>
      </c>
    </row>
    <row r="623" hidden="1" customHeight="1" outlineLevel="2" spans="1:16">
      <c r="A623" s="24">
        <v>45711</v>
      </c>
      <c r="B623" s="24">
        <v>45724</v>
      </c>
      <c r="C623" s="22"/>
      <c r="D623" s="67">
        <f t="shared" si="72"/>
        <v>2.5</v>
      </c>
      <c r="E623" s="46">
        <v>0</v>
      </c>
      <c r="F623" s="46">
        <v>1</v>
      </c>
      <c r="H623" s="68">
        <f t="shared" si="73"/>
        <v>2.66666666666667</v>
      </c>
      <c r="I623" s="47">
        <v>6</v>
      </c>
      <c r="J623" s="61">
        <v>13.5</v>
      </c>
      <c r="K623" s="48">
        <f t="shared" si="74"/>
        <v>0.802469135802469</v>
      </c>
      <c r="L623" s="61">
        <f t="shared" si="75"/>
        <v>10.8333333333333</v>
      </c>
      <c r="M623" s="36">
        <f t="shared" si="76"/>
        <v>16</v>
      </c>
    </row>
    <row r="624" hidden="1" customHeight="1" outlineLevel="2" spans="1:16">
      <c r="A624" s="24">
        <v>45711</v>
      </c>
      <c r="B624" s="24">
        <v>45748</v>
      </c>
      <c r="C624" s="22"/>
      <c r="D624" s="67">
        <f t="shared" si="72"/>
        <v>2.5</v>
      </c>
      <c r="E624" s="46">
        <v>0</v>
      </c>
      <c r="F624" s="46">
        <v>3</v>
      </c>
      <c r="H624" s="68">
        <f t="shared" si="73"/>
        <v>3</v>
      </c>
      <c r="I624" s="47">
        <v>6</v>
      </c>
      <c r="J624" s="61">
        <v>13.5</v>
      </c>
      <c r="K624" s="48">
        <f t="shared" si="74"/>
        <v>0.777777777777778</v>
      </c>
      <c r="L624" s="61">
        <f t="shared" si="75"/>
        <v>10.5</v>
      </c>
      <c r="M624" s="36">
        <f t="shared" si="76"/>
        <v>18</v>
      </c>
    </row>
    <row r="625" hidden="1" customHeight="1" outlineLevel="2" spans="1:16">
      <c r="A625" s="24">
        <v>45747</v>
      </c>
      <c r="B625" s="24">
        <v>45752</v>
      </c>
      <c r="C625" s="22"/>
      <c r="D625" s="67">
        <f t="shared" si="72"/>
        <v>2.5</v>
      </c>
      <c r="E625" s="46">
        <v>1</v>
      </c>
      <c r="F625" s="46">
        <v>2</v>
      </c>
      <c r="H625" s="68">
        <f t="shared" si="73"/>
        <v>2.92857142857143</v>
      </c>
      <c r="I625" s="47">
        <v>7</v>
      </c>
      <c r="J625" s="61">
        <v>13.5</v>
      </c>
      <c r="K625" s="48">
        <f t="shared" si="74"/>
        <v>0.783068783068783</v>
      </c>
      <c r="L625" s="61">
        <f t="shared" si="75"/>
        <v>10.5714285714286</v>
      </c>
      <c r="M625" s="36">
        <f t="shared" si="76"/>
        <v>20.5</v>
      </c>
    </row>
    <row r="626" hidden="1" customHeight="1" outlineLevel="2" spans="1:16">
      <c r="A626" s="24">
        <v>45747</v>
      </c>
      <c r="B626" s="24">
        <v>45781</v>
      </c>
      <c r="C626" s="22"/>
      <c r="D626" s="67">
        <f t="shared" si="72"/>
        <v>2.5</v>
      </c>
      <c r="E626" s="46">
        <v>1</v>
      </c>
      <c r="F626" s="46">
        <v>1</v>
      </c>
      <c r="H626" s="68">
        <f t="shared" si="73"/>
        <v>2.9</v>
      </c>
      <c r="I626" s="47">
        <v>5</v>
      </c>
      <c r="J626" s="61">
        <v>13.5</v>
      </c>
      <c r="K626" s="48">
        <f t="shared" si="74"/>
        <v>0.785185185185185</v>
      </c>
      <c r="L626" s="61">
        <f t="shared" si="75"/>
        <v>10.6</v>
      </c>
      <c r="M626" s="36">
        <f t="shared" si="76"/>
        <v>14.5</v>
      </c>
    </row>
    <row r="627" hidden="1" customHeight="1" outlineLevel="2" spans="1:16">
      <c r="A627" s="24">
        <v>45795</v>
      </c>
      <c r="B627" s="24">
        <v>45798</v>
      </c>
      <c r="C627" s="22"/>
      <c r="D627" s="67">
        <f t="shared" si="72"/>
        <v>2.5</v>
      </c>
      <c r="E627" s="46">
        <v>0</v>
      </c>
      <c r="F627" s="46">
        <v>1</v>
      </c>
      <c r="H627" s="68">
        <f t="shared" si="73"/>
        <v>2.75</v>
      </c>
      <c r="I627" s="47">
        <v>4</v>
      </c>
      <c r="J627" s="61">
        <v>13.5</v>
      </c>
      <c r="K627" s="48">
        <f t="shared" si="74"/>
        <v>0.796296296296296</v>
      </c>
      <c r="L627" s="61">
        <f t="shared" si="75"/>
        <v>10.75</v>
      </c>
      <c r="M627" s="36">
        <f t="shared" si="76"/>
        <v>11</v>
      </c>
    </row>
    <row r="628" hidden="1" customHeight="1" outlineLevel="2" spans="1:16">
      <c r="A628" s="24">
        <v>45795</v>
      </c>
      <c r="B628" s="24">
        <v>45811</v>
      </c>
      <c r="C628" s="22"/>
      <c r="D628" s="67">
        <f t="shared" si="72"/>
        <v>2.5</v>
      </c>
      <c r="E628" s="46">
        <v>0</v>
      </c>
      <c r="F628" s="46">
        <v>2</v>
      </c>
      <c r="H628" s="68">
        <f t="shared" si="73"/>
        <v>2.83333333333333</v>
      </c>
      <c r="I628" s="47">
        <v>6</v>
      </c>
      <c r="J628" s="61">
        <v>13.5</v>
      </c>
      <c r="K628" s="48">
        <f t="shared" si="74"/>
        <v>0.790123456790123</v>
      </c>
      <c r="L628" s="61">
        <f t="shared" si="75"/>
        <v>10.6666666666667</v>
      </c>
      <c r="M628" s="36">
        <f t="shared" si="76"/>
        <v>17</v>
      </c>
    </row>
    <row r="629" hidden="1" customHeight="1" outlineLevel="2" spans="1:16">
      <c r="A629" s="24">
        <v>45825</v>
      </c>
      <c r="B629" s="37">
        <v>45848</v>
      </c>
      <c r="C629" s="22"/>
      <c r="D629" s="67">
        <f t="shared" si="72"/>
        <v>2.5</v>
      </c>
      <c r="E629" s="46">
        <v>0</v>
      </c>
      <c r="F629" s="46">
        <v>1</v>
      </c>
      <c r="H629" s="68">
        <f t="shared" si="73"/>
        <v>2.7</v>
      </c>
      <c r="I629" s="47">
        <v>5</v>
      </c>
      <c r="J629" s="61">
        <v>13.5</v>
      </c>
      <c r="K629" s="48">
        <f t="shared" si="74"/>
        <v>0.8</v>
      </c>
      <c r="L629" s="61">
        <f t="shared" si="75"/>
        <v>10.8</v>
      </c>
      <c r="M629" s="36">
        <f t="shared" si="76"/>
        <v>13.5</v>
      </c>
    </row>
    <row r="630" hidden="1" customHeight="1" outlineLevel="2" spans="1:16">
      <c r="A630" s="24">
        <v>45825</v>
      </c>
      <c r="B630" s="37">
        <v>45861</v>
      </c>
      <c r="C630" s="22"/>
      <c r="D630" s="67">
        <f t="shared" si="72"/>
        <v>2.5</v>
      </c>
      <c r="E630" s="46">
        <v>0</v>
      </c>
      <c r="F630" s="46">
        <v>1</v>
      </c>
      <c r="H630" s="68">
        <f t="shared" si="73"/>
        <v>2.7</v>
      </c>
      <c r="I630" s="47">
        <v>5</v>
      </c>
      <c r="J630" s="61">
        <v>13.5</v>
      </c>
      <c r="K630" s="48">
        <f t="shared" si="74"/>
        <v>0.8</v>
      </c>
      <c r="L630" s="61">
        <f t="shared" si="75"/>
        <v>10.8</v>
      </c>
      <c r="M630" s="36">
        <f t="shared" si="76"/>
        <v>13.5</v>
      </c>
    </row>
    <row r="631" hidden="1" customHeight="1" outlineLevel="2" spans="1:16">
      <c r="A631" s="24">
        <v>45876</v>
      </c>
      <c r="B631" s="37">
        <v>45879</v>
      </c>
      <c r="C631" s="22"/>
      <c r="D631" s="67">
        <f t="shared" si="72"/>
        <v>2.5</v>
      </c>
      <c r="E631" s="46">
        <v>0</v>
      </c>
      <c r="F631" s="46">
        <v>1</v>
      </c>
      <c r="H631" s="68">
        <f t="shared" si="73"/>
        <v>2.6</v>
      </c>
      <c r="I631" s="47">
        <v>10</v>
      </c>
      <c r="J631" s="61">
        <v>13.5</v>
      </c>
      <c r="K631" s="48">
        <f t="shared" si="74"/>
        <v>0.807407407407407</v>
      </c>
      <c r="L631" s="61">
        <f t="shared" si="75"/>
        <v>10.9</v>
      </c>
      <c r="M631" s="36">
        <f t="shared" si="76"/>
        <v>26</v>
      </c>
    </row>
    <row r="632" hidden="1" customHeight="1" outlineLevel="2" spans="1:16">
      <c r="A632" s="24">
        <v>45904</v>
      </c>
      <c r="B632" s="37">
        <v>45906</v>
      </c>
      <c r="C632" s="58"/>
      <c r="D632" s="67">
        <f t="shared" si="72"/>
        <v>2.5</v>
      </c>
      <c r="E632" s="46">
        <v>0</v>
      </c>
      <c r="F632" s="46">
        <v>1</v>
      </c>
      <c r="H632" s="68">
        <f t="shared" si="73"/>
        <v>2.66666666666667</v>
      </c>
      <c r="I632" s="47">
        <v>6</v>
      </c>
      <c r="J632" s="61">
        <v>13.5</v>
      </c>
      <c r="K632" s="48">
        <f t="shared" si="74"/>
        <v>0.802469135802469</v>
      </c>
      <c r="L632" s="61">
        <f t="shared" si="75"/>
        <v>10.8333333333333</v>
      </c>
      <c r="M632" s="36">
        <f t="shared" si="76"/>
        <v>16</v>
      </c>
      <c r="O632" s="58"/>
      <c r="P632" s="58"/>
    </row>
    <row r="633" hidden="1" customHeight="1" outlineLevel="2" spans="1:16">
      <c r="A633" s="24">
        <v>45945</v>
      </c>
      <c r="B633" s="24">
        <v>45996</v>
      </c>
      <c r="C633" s="58"/>
      <c r="D633" s="67">
        <f t="shared" si="72"/>
        <v>2.5</v>
      </c>
      <c r="E633" s="46">
        <v>0</v>
      </c>
      <c r="F633" s="46">
        <v>1</v>
      </c>
      <c r="H633" s="68">
        <f t="shared" si="73"/>
        <v>2.75</v>
      </c>
      <c r="I633" s="47">
        <v>4</v>
      </c>
      <c r="J633" s="61">
        <v>13.5</v>
      </c>
      <c r="K633" s="48">
        <f t="shared" si="74"/>
        <v>0.796296296296296</v>
      </c>
      <c r="L633" s="61">
        <f t="shared" si="75"/>
        <v>10.75</v>
      </c>
      <c r="M633" s="36">
        <f t="shared" si="76"/>
        <v>11</v>
      </c>
      <c r="O633" s="58"/>
      <c r="P633" s="58"/>
    </row>
    <row r="634" hidden="1" customHeight="1" outlineLevel="2" spans="1:16">
      <c r="A634" s="24">
        <v>46005</v>
      </c>
      <c r="B634" s="24">
        <v>46009</v>
      </c>
      <c r="C634" s="58"/>
      <c r="D634" s="67">
        <f t="shared" si="72"/>
        <v>2.5</v>
      </c>
      <c r="E634" s="46">
        <v>0</v>
      </c>
      <c r="F634" s="46">
        <v>1</v>
      </c>
      <c r="H634" s="68">
        <f t="shared" si="73"/>
        <v>2.7</v>
      </c>
      <c r="I634" s="47">
        <v>5</v>
      </c>
      <c r="J634" s="61">
        <v>13.5</v>
      </c>
      <c r="K634" s="48">
        <f t="shared" si="74"/>
        <v>0.8</v>
      </c>
      <c r="L634" s="61">
        <f t="shared" si="75"/>
        <v>10.8</v>
      </c>
      <c r="M634" s="36">
        <f t="shared" si="76"/>
        <v>13.5</v>
      </c>
      <c r="N634" s="58"/>
      <c r="O634" s="58"/>
      <c r="P634" s="58"/>
    </row>
    <row r="635" hidden="1" customHeight="1" outlineLevel="2" spans="1:16">
      <c r="A635" s="24">
        <v>46023</v>
      </c>
      <c r="B635" s="24">
        <v>46025</v>
      </c>
      <c r="C635" s="58"/>
      <c r="D635" s="67">
        <f t="shared" si="72"/>
        <v>2.5</v>
      </c>
      <c r="E635" s="46">
        <v>0</v>
      </c>
      <c r="F635" s="46">
        <v>2</v>
      </c>
      <c r="H635" s="68">
        <f t="shared" si="73"/>
        <v>2.63333333333333</v>
      </c>
      <c r="I635" s="47">
        <v>15</v>
      </c>
      <c r="J635" s="61">
        <v>13.5</v>
      </c>
      <c r="K635" s="48">
        <f t="shared" si="74"/>
        <v>0.804938271604938</v>
      </c>
      <c r="L635" s="61">
        <f t="shared" si="75"/>
        <v>10.8666666666667</v>
      </c>
      <c r="M635" s="36">
        <f t="shared" si="76"/>
        <v>39.5</v>
      </c>
      <c r="N635" s="58"/>
      <c r="O635" s="58"/>
      <c r="P635" s="58"/>
    </row>
    <row r="636" hidden="1" customHeight="1" outlineLevel="2" collapsed="1" spans="1:16">
      <c r="A636" s="24">
        <v>46057</v>
      </c>
      <c r="B636" s="24">
        <v>46059</v>
      </c>
      <c r="C636" s="58"/>
      <c r="D636" s="67">
        <f t="shared" ref="D636:D640" si="77">0.25*10+0.2</f>
        <v>2.7</v>
      </c>
      <c r="E636" s="46">
        <v>0</v>
      </c>
      <c r="F636" s="46">
        <v>1</v>
      </c>
      <c r="H636" s="68">
        <f t="shared" si="73"/>
        <v>2.76666666666667</v>
      </c>
      <c r="I636" s="47">
        <v>15</v>
      </c>
      <c r="J636" s="61">
        <v>13.5</v>
      </c>
      <c r="K636" s="48">
        <f t="shared" si="74"/>
        <v>0.795061728395062</v>
      </c>
      <c r="L636" s="61">
        <f t="shared" si="75"/>
        <v>10.7333333333333</v>
      </c>
      <c r="M636" s="36">
        <f t="shared" si="76"/>
        <v>41.5</v>
      </c>
      <c r="N636" s="58"/>
      <c r="O636" s="58"/>
      <c r="P636" s="58"/>
    </row>
    <row r="637" hidden="1" customHeight="1" outlineLevel="2" collapsed="1" spans="1:16">
      <c r="A637" s="24">
        <v>46023</v>
      </c>
      <c r="B637" s="24"/>
      <c r="C637" s="58"/>
      <c r="D637" s="67">
        <f>0.25*10</f>
        <v>2.5</v>
      </c>
      <c r="E637" s="46">
        <v>0</v>
      </c>
      <c r="H637" s="68">
        <f t="shared" si="73"/>
        <v>2.5</v>
      </c>
      <c r="I637" s="47">
        <v>5</v>
      </c>
      <c r="J637" s="61">
        <v>13.5</v>
      </c>
      <c r="K637" s="48">
        <f t="shared" si="74"/>
        <v>0.814814814814815</v>
      </c>
      <c r="L637" s="61">
        <f t="shared" si="75"/>
        <v>11</v>
      </c>
      <c r="M637" s="36">
        <f t="shared" si="76"/>
        <v>12.5</v>
      </c>
      <c r="N637" s="58"/>
      <c r="O637" s="58"/>
      <c r="P637" s="58"/>
    </row>
    <row r="638" hidden="1" customHeight="1" outlineLevel="2" spans="1:16">
      <c r="A638" s="24">
        <v>46172</v>
      </c>
      <c r="B638" s="24">
        <v>46176</v>
      </c>
      <c r="D638" s="67">
        <f t="shared" si="77"/>
        <v>2.7</v>
      </c>
      <c r="E638" s="46">
        <v>0</v>
      </c>
      <c r="F638" s="46">
        <v>1</v>
      </c>
      <c r="H638" s="68">
        <f t="shared" si="73"/>
        <v>2.8</v>
      </c>
      <c r="I638" s="47">
        <v>10</v>
      </c>
      <c r="J638" s="61">
        <v>13.5</v>
      </c>
      <c r="K638" s="48">
        <f t="shared" si="74"/>
        <v>0.792592592592593</v>
      </c>
      <c r="L638" s="61">
        <f t="shared" si="75"/>
        <v>10.7</v>
      </c>
      <c r="M638" s="36">
        <f t="shared" si="76"/>
        <v>28</v>
      </c>
      <c r="N638" s="58"/>
      <c r="O638" s="58"/>
      <c r="P638" s="58"/>
    </row>
    <row r="639" hidden="1" customHeight="1" outlineLevel="1" spans="1:16">
      <c r="A639" s="24">
        <v>46209</v>
      </c>
      <c r="B639" s="24">
        <v>46211</v>
      </c>
      <c r="D639" s="67">
        <f t="shared" si="77"/>
        <v>2.7</v>
      </c>
      <c r="E639" s="46">
        <v>1</v>
      </c>
      <c r="H639" s="68">
        <f t="shared" si="73"/>
        <v>2.9</v>
      </c>
      <c r="I639" s="47">
        <v>5</v>
      </c>
      <c r="J639" s="61">
        <v>13.5</v>
      </c>
      <c r="K639" s="48">
        <f t="shared" si="74"/>
        <v>0.785185185185185</v>
      </c>
      <c r="L639" s="61">
        <f t="shared" si="75"/>
        <v>10.6</v>
      </c>
      <c r="M639" s="36">
        <f t="shared" si="76"/>
        <v>14.5</v>
      </c>
      <c r="N639" s="58"/>
      <c r="O639" s="58"/>
      <c r="P639" s="58"/>
    </row>
    <row r="640" hidden="1" customHeight="1" outlineLevel="1" spans="1:16">
      <c r="A640" s="24">
        <v>46284</v>
      </c>
      <c r="B640" s="24"/>
      <c r="D640" s="67">
        <f t="shared" si="77"/>
        <v>2.7</v>
      </c>
      <c r="E640" s="46">
        <v>1</v>
      </c>
      <c r="H640" s="68">
        <f t="shared" si="73"/>
        <v>2.73333333333333</v>
      </c>
      <c r="I640" s="47">
        <v>30</v>
      </c>
      <c r="J640" s="61">
        <v>13.5</v>
      </c>
      <c r="K640" s="48">
        <f t="shared" si="74"/>
        <v>0.797530864197531</v>
      </c>
      <c r="L640" s="61">
        <f t="shared" si="75"/>
        <v>10.7666666666667</v>
      </c>
      <c r="M640" s="36">
        <f t="shared" si="76"/>
        <v>82</v>
      </c>
      <c r="N640" s="58"/>
      <c r="O640" s="58"/>
      <c r="P640" s="58"/>
    </row>
    <row r="641" hidden="1" customHeight="1" outlineLevel="1" spans="1:16">
      <c r="N641" s="58"/>
      <c r="O641" s="58"/>
      <c r="P641" s="58"/>
    </row>
    <row r="642" hidden="1" customHeight="1" outlineLevel="1" collapsed="1" spans="1:16">
      <c r="A642" s="57" t="s">
        <v>52</v>
      </c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</row>
    <row r="643" hidden="1" customHeight="1" outlineLevel="2" spans="1:16">
      <c r="A643" s="24">
        <v>45699</v>
      </c>
      <c r="B643" s="24">
        <v>45703</v>
      </c>
      <c r="C643" s="22"/>
      <c r="D643" s="67">
        <f t="shared" ref="D643:D653" si="78">0.3*10</f>
        <v>3</v>
      </c>
      <c r="E643" s="46">
        <v>0.85</v>
      </c>
      <c r="F643" s="46">
        <v>0.58</v>
      </c>
      <c r="H643" s="68">
        <f t="shared" ref="H643:H656" si="79">D643+(E643/I643)+(F643/I643)</f>
        <v>3.143</v>
      </c>
      <c r="I643" s="47">
        <v>10</v>
      </c>
      <c r="J643" s="61">
        <v>15.5</v>
      </c>
      <c r="K643" s="48">
        <f t="shared" ref="K643:K656" si="80">(J643-H643)/J643</f>
        <v>0.797225806451613</v>
      </c>
      <c r="L643" s="61">
        <f t="shared" ref="L643:L656" si="81">J643-H643</f>
        <v>12.357</v>
      </c>
      <c r="M643" s="36">
        <f t="shared" ref="M643:M656" si="82">D643*I643+E643+F643</f>
        <v>31.43</v>
      </c>
    </row>
    <row r="644" hidden="1" customHeight="1" outlineLevel="2" spans="1:16">
      <c r="A644" s="24">
        <v>45711</v>
      </c>
      <c r="B644" s="24">
        <v>45716</v>
      </c>
      <c r="C644" s="22"/>
      <c r="D644" s="67">
        <f t="shared" si="78"/>
        <v>3</v>
      </c>
      <c r="E644" s="46">
        <v>0</v>
      </c>
      <c r="F644" s="46">
        <v>4</v>
      </c>
      <c r="H644" s="68">
        <f t="shared" si="79"/>
        <v>3.28571428571429</v>
      </c>
      <c r="I644" s="47">
        <v>14</v>
      </c>
      <c r="J644" s="61">
        <v>15.5</v>
      </c>
      <c r="K644" s="48">
        <f t="shared" si="80"/>
        <v>0.788018433179724</v>
      </c>
      <c r="L644" s="61">
        <f t="shared" si="81"/>
        <v>12.2142857142857</v>
      </c>
      <c r="M644" s="36">
        <f t="shared" si="82"/>
        <v>46</v>
      </c>
    </row>
    <row r="645" hidden="1" customHeight="1" outlineLevel="2" spans="1:16">
      <c r="A645" s="24">
        <v>45711</v>
      </c>
      <c r="B645" s="24">
        <v>45752</v>
      </c>
      <c r="C645" s="22"/>
      <c r="D645" s="67">
        <f t="shared" si="78"/>
        <v>3</v>
      </c>
      <c r="E645" s="46">
        <v>0</v>
      </c>
      <c r="F645" s="46">
        <v>0</v>
      </c>
      <c r="H645" s="68">
        <f t="shared" si="79"/>
        <v>3</v>
      </c>
      <c r="I645" s="47">
        <v>2</v>
      </c>
      <c r="J645" s="61">
        <v>15.5</v>
      </c>
      <c r="K645" s="48">
        <f t="shared" si="80"/>
        <v>0.806451612903226</v>
      </c>
      <c r="L645" s="61">
        <f t="shared" si="81"/>
        <v>12.5</v>
      </c>
      <c r="M645" s="36">
        <f t="shared" si="82"/>
        <v>6</v>
      </c>
    </row>
    <row r="646" hidden="1" customHeight="1" outlineLevel="2" spans="1:16">
      <c r="A646" s="24">
        <v>45785</v>
      </c>
      <c r="B646" s="24">
        <v>45787</v>
      </c>
      <c r="C646" s="22"/>
      <c r="D646" s="67">
        <f t="shared" si="78"/>
        <v>3</v>
      </c>
      <c r="E646" s="46">
        <v>0</v>
      </c>
      <c r="F646" s="46">
        <v>1</v>
      </c>
      <c r="H646" s="68">
        <f t="shared" si="79"/>
        <v>3.2</v>
      </c>
      <c r="I646" s="47">
        <v>5</v>
      </c>
      <c r="J646" s="61">
        <v>15.5</v>
      </c>
      <c r="K646" s="48">
        <f t="shared" si="80"/>
        <v>0.793548387096774</v>
      </c>
      <c r="L646" s="61">
        <f t="shared" si="81"/>
        <v>12.3</v>
      </c>
      <c r="M646" s="36">
        <f t="shared" si="82"/>
        <v>16</v>
      </c>
    </row>
    <row r="647" hidden="1" customHeight="1" outlineLevel="2" spans="1:16">
      <c r="A647" s="24">
        <v>45795</v>
      </c>
      <c r="B647" s="24">
        <v>45806</v>
      </c>
      <c r="C647" s="22"/>
      <c r="D647" s="67">
        <f t="shared" si="78"/>
        <v>3</v>
      </c>
      <c r="E647" s="46">
        <v>0</v>
      </c>
      <c r="F647" s="46">
        <v>1</v>
      </c>
      <c r="H647" s="68">
        <f t="shared" si="79"/>
        <v>3.14285714285714</v>
      </c>
      <c r="I647" s="47">
        <v>7</v>
      </c>
      <c r="J647" s="61">
        <v>15.5</v>
      </c>
      <c r="K647" s="48">
        <f t="shared" si="80"/>
        <v>0.797235023041475</v>
      </c>
      <c r="L647" s="61">
        <f t="shared" si="81"/>
        <v>12.3571428571429</v>
      </c>
      <c r="M647" s="36">
        <f t="shared" si="82"/>
        <v>22</v>
      </c>
    </row>
    <row r="648" hidden="1" customHeight="1" outlineLevel="2" spans="1:16">
      <c r="A648" s="24">
        <v>45795</v>
      </c>
      <c r="B648" s="24">
        <v>45832</v>
      </c>
      <c r="C648" s="22"/>
      <c r="D648" s="67">
        <f t="shared" si="78"/>
        <v>3</v>
      </c>
      <c r="E648" s="46">
        <v>0</v>
      </c>
      <c r="F648" s="46">
        <v>1</v>
      </c>
      <c r="H648" s="68">
        <f t="shared" si="79"/>
        <v>3.16666666666667</v>
      </c>
      <c r="I648" s="47">
        <v>6</v>
      </c>
      <c r="J648" s="61">
        <v>15.5</v>
      </c>
      <c r="K648" s="48">
        <f t="shared" si="80"/>
        <v>0.795698924731183</v>
      </c>
      <c r="L648" s="61">
        <f t="shared" si="81"/>
        <v>12.3333333333333</v>
      </c>
      <c r="M648" s="36">
        <f t="shared" si="82"/>
        <v>19</v>
      </c>
    </row>
    <row r="649" hidden="1" customHeight="1" outlineLevel="2" spans="1:16">
      <c r="A649" s="24">
        <v>45825</v>
      </c>
      <c r="B649" s="24">
        <v>45851</v>
      </c>
      <c r="C649" s="22"/>
      <c r="D649" s="67">
        <f t="shared" si="78"/>
        <v>3</v>
      </c>
      <c r="E649" s="46">
        <v>0</v>
      </c>
      <c r="F649" s="46">
        <v>2</v>
      </c>
      <c r="H649" s="68">
        <f t="shared" si="79"/>
        <v>3.5</v>
      </c>
      <c r="I649" s="47">
        <v>4</v>
      </c>
      <c r="J649" s="61">
        <v>15.5</v>
      </c>
      <c r="K649" s="48">
        <f t="shared" si="80"/>
        <v>0.774193548387097</v>
      </c>
      <c r="L649" s="61">
        <f t="shared" si="81"/>
        <v>12</v>
      </c>
      <c r="M649" s="36">
        <f t="shared" si="82"/>
        <v>14</v>
      </c>
    </row>
    <row r="650" hidden="1" customHeight="1" outlineLevel="2" spans="1:16">
      <c r="A650" s="24">
        <v>45825</v>
      </c>
      <c r="B650" s="24">
        <v>45861</v>
      </c>
      <c r="C650" s="22"/>
      <c r="D650" s="67">
        <f t="shared" si="78"/>
        <v>3</v>
      </c>
      <c r="E650" s="46">
        <v>0</v>
      </c>
      <c r="F650" s="46">
        <v>1</v>
      </c>
      <c r="H650" s="68">
        <f t="shared" si="79"/>
        <v>3.1</v>
      </c>
      <c r="I650" s="47">
        <v>10</v>
      </c>
      <c r="J650" s="61">
        <v>15.5</v>
      </c>
      <c r="K650" s="48">
        <f t="shared" si="80"/>
        <v>0.8</v>
      </c>
      <c r="L650" s="61">
        <f t="shared" si="81"/>
        <v>12.4</v>
      </c>
      <c r="M650" s="36">
        <f t="shared" si="82"/>
        <v>31</v>
      </c>
    </row>
    <row r="651" hidden="1" customHeight="1" outlineLevel="2" spans="1:16">
      <c r="A651" s="24">
        <v>45898</v>
      </c>
      <c r="B651" s="24">
        <v>45934</v>
      </c>
      <c r="C651" s="58"/>
      <c r="D651" s="67">
        <f t="shared" si="78"/>
        <v>3</v>
      </c>
      <c r="E651" s="46">
        <v>0</v>
      </c>
      <c r="F651" s="46">
        <v>2</v>
      </c>
      <c r="H651" s="68">
        <f t="shared" si="79"/>
        <v>3.4</v>
      </c>
      <c r="I651" s="47">
        <v>5</v>
      </c>
      <c r="J651" s="61">
        <v>15.5</v>
      </c>
      <c r="K651" s="48">
        <f t="shared" si="80"/>
        <v>0.780645161290323</v>
      </c>
      <c r="L651" s="61">
        <f t="shared" si="81"/>
        <v>12.1</v>
      </c>
      <c r="M651" s="36">
        <f t="shared" si="82"/>
        <v>17</v>
      </c>
      <c r="N651" s="58"/>
      <c r="O651" s="58"/>
      <c r="P651" s="58"/>
    </row>
    <row r="652" hidden="1" customHeight="1" outlineLevel="2" spans="1:16">
      <c r="A652" s="24">
        <v>45945</v>
      </c>
      <c r="B652" s="24">
        <v>45948</v>
      </c>
      <c r="C652" s="58"/>
      <c r="D652" s="67">
        <f t="shared" si="78"/>
        <v>3</v>
      </c>
      <c r="E652" s="46">
        <v>0</v>
      </c>
      <c r="F652" s="46">
        <v>1</v>
      </c>
      <c r="H652" s="68">
        <f t="shared" si="79"/>
        <v>3.1</v>
      </c>
      <c r="I652" s="47">
        <v>10</v>
      </c>
      <c r="J652" s="61">
        <v>15.5</v>
      </c>
      <c r="K652" s="48">
        <f t="shared" si="80"/>
        <v>0.8</v>
      </c>
      <c r="L652" s="61">
        <f t="shared" si="81"/>
        <v>12.4</v>
      </c>
      <c r="M652" s="36">
        <f t="shared" si="82"/>
        <v>31</v>
      </c>
      <c r="N652" s="58"/>
      <c r="O652" s="58"/>
      <c r="P652" s="58"/>
    </row>
    <row r="653" hidden="1" customHeight="1" outlineLevel="2" spans="1:16">
      <c r="A653" s="24">
        <v>46005</v>
      </c>
      <c r="B653" s="24">
        <v>46007</v>
      </c>
      <c r="C653" s="58"/>
      <c r="D653" s="67">
        <f t="shared" si="78"/>
        <v>3</v>
      </c>
      <c r="E653" s="46">
        <v>0</v>
      </c>
      <c r="F653" s="46">
        <v>1</v>
      </c>
      <c r="H653" s="68">
        <f t="shared" si="79"/>
        <v>3.2</v>
      </c>
      <c r="I653" s="47">
        <v>5</v>
      </c>
      <c r="J653" s="61">
        <v>15.5</v>
      </c>
      <c r="K653" s="48">
        <f t="shared" si="80"/>
        <v>0.793548387096774</v>
      </c>
      <c r="L653" s="61">
        <f t="shared" si="81"/>
        <v>12.3</v>
      </c>
      <c r="M653" s="36">
        <f t="shared" si="82"/>
        <v>16</v>
      </c>
      <c r="N653" s="58"/>
      <c r="O653" s="58"/>
      <c r="P653" s="58"/>
    </row>
    <row r="654" hidden="1" customHeight="1" outlineLevel="2" spans="1:16">
      <c r="A654" s="24">
        <v>46057</v>
      </c>
      <c r="B654" s="24">
        <v>46059</v>
      </c>
      <c r="C654" s="58"/>
      <c r="D654" s="67">
        <f t="shared" ref="D654:D656" si="83">0.3*10+0.2</f>
        <v>3.2</v>
      </c>
      <c r="E654" s="46">
        <v>0</v>
      </c>
      <c r="H654" s="68">
        <f t="shared" si="79"/>
        <v>3.2</v>
      </c>
      <c r="I654" s="47">
        <v>20</v>
      </c>
      <c r="J654" s="61">
        <v>15.5</v>
      </c>
      <c r="K654" s="48">
        <f t="shared" si="80"/>
        <v>0.793548387096774</v>
      </c>
      <c r="L654" s="61">
        <f t="shared" si="81"/>
        <v>12.3</v>
      </c>
      <c r="M654" s="36">
        <f t="shared" si="82"/>
        <v>64</v>
      </c>
      <c r="N654" s="58"/>
      <c r="O654" s="58"/>
      <c r="P654" s="58"/>
    </row>
    <row r="655" hidden="1" customHeight="1" outlineLevel="1" collapsed="1" spans="1:16">
      <c r="A655" s="24">
        <v>46122</v>
      </c>
      <c r="B655" s="24">
        <v>46125</v>
      </c>
      <c r="C655" s="58"/>
      <c r="D655" s="67">
        <f t="shared" si="83"/>
        <v>3.2</v>
      </c>
      <c r="E655" s="46">
        <v>2</v>
      </c>
      <c r="F655" s="46">
        <v>0</v>
      </c>
      <c r="H655" s="68">
        <f t="shared" si="79"/>
        <v>3.4</v>
      </c>
      <c r="I655" s="47">
        <v>10</v>
      </c>
      <c r="J655" s="61">
        <v>15.5</v>
      </c>
      <c r="K655" s="48">
        <f t="shared" si="80"/>
        <v>0.780645161290323</v>
      </c>
      <c r="L655" s="61">
        <f t="shared" si="81"/>
        <v>12.1</v>
      </c>
      <c r="M655" s="36">
        <f t="shared" si="82"/>
        <v>34</v>
      </c>
      <c r="N655" s="58"/>
      <c r="O655" s="58"/>
      <c r="P655" s="58"/>
    </row>
    <row r="656" hidden="1" customHeight="1" outlineLevel="1" spans="1:16">
      <c r="A656" s="24">
        <v>46209</v>
      </c>
      <c r="B656" s="24">
        <v>46211</v>
      </c>
      <c r="C656" s="58"/>
      <c r="D656" s="67">
        <f t="shared" si="83"/>
        <v>3.2</v>
      </c>
      <c r="E656" s="46">
        <v>1</v>
      </c>
      <c r="F656" s="46">
        <v>0</v>
      </c>
      <c r="H656" s="68">
        <f t="shared" si="79"/>
        <v>3.34285714285714</v>
      </c>
      <c r="I656" s="47">
        <v>7</v>
      </c>
      <c r="J656" s="61">
        <v>15.5</v>
      </c>
      <c r="K656" s="48">
        <f t="shared" si="80"/>
        <v>0.784331797235023</v>
      </c>
      <c r="L656" s="61">
        <f t="shared" si="81"/>
        <v>12.1571428571429</v>
      </c>
      <c r="M656" s="36">
        <f t="shared" si="82"/>
        <v>23.4</v>
      </c>
      <c r="N656" s="58"/>
      <c r="O656" s="58"/>
      <c r="P656" s="58"/>
    </row>
    <row r="657" hidden="1" customHeight="1" outlineLevel="1" spans="1:22">
      <c r="A657" s="57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</row>
    <row r="658" hidden="1" customHeight="1" outlineLevel="1" collapsed="1" spans="1:22">
      <c r="A658" s="57" t="s">
        <v>53</v>
      </c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</row>
    <row r="659" hidden="1" customHeight="1" outlineLevel="2" spans="1:22">
      <c r="A659" s="24">
        <v>45699</v>
      </c>
      <c r="B659" s="24">
        <v>45703</v>
      </c>
      <c r="C659" s="22"/>
      <c r="D659" s="22">
        <f t="shared" ref="D659:D670" si="84">0.4*10</f>
        <v>4</v>
      </c>
      <c r="E659" s="46">
        <v>0.85</v>
      </c>
      <c r="F659" s="46">
        <v>0.58</v>
      </c>
      <c r="H659" s="68">
        <f t="shared" ref="H659:H675" si="85">D659+(E659/I659)+(F659/I659)</f>
        <v>4.143</v>
      </c>
      <c r="I659" s="47">
        <v>10</v>
      </c>
      <c r="J659" s="61">
        <v>17.5</v>
      </c>
      <c r="K659" s="48">
        <f t="shared" ref="K659:K675" si="86">(J659-H659)/J659</f>
        <v>0.763257142857143</v>
      </c>
      <c r="L659" s="61">
        <f t="shared" ref="L659:L675" si="87">J659-H659</f>
        <v>13.357</v>
      </c>
      <c r="M659" s="36">
        <f t="shared" ref="M659:M675" si="88">D659*I659+E659+F659</f>
        <v>41.43</v>
      </c>
    </row>
    <row r="660" hidden="1" customHeight="1" outlineLevel="2" spans="1:22">
      <c r="A660" s="24">
        <v>45711</v>
      </c>
      <c r="B660" s="24">
        <v>45714</v>
      </c>
      <c r="C660" s="22"/>
      <c r="D660" s="22">
        <f t="shared" si="84"/>
        <v>4</v>
      </c>
      <c r="E660" s="46">
        <v>0</v>
      </c>
      <c r="F660" s="46">
        <v>1</v>
      </c>
      <c r="H660" s="68">
        <f t="shared" si="85"/>
        <v>4.05</v>
      </c>
      <c r="I660" s="47">
        <v>20</v>
      </c>
      <c r="J660" s="61">
        <v>17.5</v>
      </c>
      <c r="K660" s="48">
        <f t="shared" si="86"/>
        <v>0.768571428571429</v>
      </c>
      <c r="L660" s="61">
        <f t="shared" si="87"/>
        <v>13.45</v>
      </c>
      <c r="M660" s="36">
        <f t="shared" si="88"/>
        <v>81</v>
      </c>
    </row>
    <row r="661" hidden="1" customHeight="1" outlineLevel="2" spans="1:22">
      <c r="A661" s="24">
        <v>45711</v>
      </c>
      <c r="B661" s="24">
        <v>45748</v>
      </c>
      <c r="C661" s="22"/>
      <c r="D661" s="22">
        <f t="shared" si="84"/>
        <v>4</v>
      </c>
      <c r="E661" s="46">
        <v>0</v>
      </c>
      <c r="F661" s="46">
        <v>3</v>
      </c>
      <c r="H661" s="68">
        <f t="shared" si="85"/>
        <v>4.5</v>
      </c>
      <c r="I661" s="47">
        <v>6</v>
      </c>
      <c r="J661" s="61">
        <v>17.5</v>
      </c>
      <c r="K661" s="48">
        <f t="shared" si="86"/>
        <v>0.742857142857143</v>
      </c>
      <c r="L661" s="61">
        <f t="shared" si="87"/>
        <v>13</v>
      </c>
      <c r="M661" s="36">
        <f t="shared" si="88"/>
        <v>27</v>
      </c>
    </row>
    <row r="662" hidden="1" customHeight="1" outlineLevel="2" spans="1:22">
      <c r="A662" s="24">
        <v>45747</v>
      </c>
      <c r="B662" s="24">
        <v>45750</v>
      </c>
      <c r="C662" s="22"/>
      <c r="D662" s="22">
        <f t="shared" si="84"/>
        <v>4</v>
      </c>
      <c r="E662" s="46">
        <v>1</v>
      </c>
      <c r="F662" s="46">
        <v>1</v>
      </c>
      <c r="H662" s="68">
        <f t="shared" si="85"/>
        <v>4.1</v>
      </c>
      <c r="I662" s="47">
        <v>20</v>
      </c>
      <c r="J662" s="61">
        <v>17.5</v>
      </c>
      <c r="K662" s="48">
        <f t="shared" si="86"/>
        <v>0.765714285714286</v>
      </c>
      <c r="L662" s="61">
        <f t="shared" si="87"/>
        <v>13.4</v>
      </c>
      <c r="M662" s="36">
        <f t="shared" si="88"/>
        <v>82</v>
      </c>
    </row>
    <row r="663" hidden="1" customHeight="1" outlineLevel="2" spans="1:22">
      <c r="A663" s="24">
        <v>45821</v>
      </c>
      <c r="B663" s="24">
        <v>45824</v>
      </c>
      <c r="C663" s="22"/>
      <c r="D663" s="22">
        <f t="shared" si="84"/>
        <v>4</v>
      </c>
      <c r="E663" s="46">
        <v>0</v>
      </c>
      <c r="F663" s="46">
        <v>1</v>
      </c>
      <c r="H663" s="68">
        <f t="shared" si="85"/>
        <v>4.1</v>
      </c>
      <c r="I663" s="47">
        <v>10</v>
      </c>
      <c r="J663" s="61">
        <v>17.5</v>
      </c>
      <c r="K663" s="48">
        <f t="shared" si="86"/>
        <v>0.765714285714286</v>
      </c>
      <c r="L663" s="61">
        <f t="shared" si="87"/>
        <v>13.4</v>
      </c>
      <c r="M663" s="36">
        <f t="shared" si="88"/>
        <v>41</v>
      </c>
    </row>
    <row r="664" hidden="1" customHeight="1" outlineLevel="2" spans="1:22">
      <c r="A664" s="24">
        <v>45876</v>
      </c>
      <c r="B664" s="24">
        <v>45879</v>
      </c>
      <c r="C664" s="22"/>
      <c r="D664" s="22">
        <f t="shared" si="84"/>
        <v>4</v>
      </c>
      <c r="E664" s="46">
        <v>0</v>
      </c>
      <c r="F664" s="46">
        <v>1</v>
      </c>
      <c r="H664" s="68">
        <f t="shared" si="85"/>
        <v>4.1</v>
      </c>
      <c r="I664" s="47">
        <v>10</v>
      </c>
      <c r="J664" s="61">
        <v>17.5</v>
      </c>
      <c r="K664" s="48">
        <f t="shared" si="86"/>
        <v>0.765714285714286</v>
      </c>
      <c r="L664" s="61">
        <f t="shared" si="87"/>
        <v>13.4</v>
      </c>
      <c r="M664" s="36">
        <f t="shared" si="88"/>
        <v>41</v>
      </c>
    </row>
    <row r="665" hidden="1" customHeight="1" outlineLevel="2" spans="1:22">
      <c r="A665" s="24">
        <v>45888</v>
      </c>
      <c r="B665" s="24">
        <v>45891</v>
      </c>
      <c r="C665" s="58"/>
      <c r="D665" s="22">
        <f t="shared" si="84"/>
        <v>4</v>
      </c>
      <c r="E665" s="46">
        <v>0</v>
      </c>
      <c r="F665" s="46">
        <v>2</v>
      </c>
      <c r="H665" s="68">
        <f t="shared" si="85"/>
        <v>4.2</v>
      </c>
      <c r="I665" s="47">
        <v>10</v>
      </c>
      <c r="J665" s="61">
        <v>17.5</v>
      </c>
      <c r="K665" s="48">
        <f t="shared" si="86"/>
        <v>0.76</v>
      </c>
      <c r="L665" s="61">
        <f t="shared" si="87"/>
        <v>13.3</v>
      </c>
      <c r="M665" s="36">
        <f t="shared" si="88"/>
        <v>42</v>
      </c>
      <c r="N665" s="58"/>
      <c r="O665" s="58"/>
      <c r="P665" s="58"/>
    </row>
    <row r="666" hidden="1" customHeight="1" outlineLevel="2" spans="1:22">
      <c r="A666" s="24">
        <v>45934</v>
      </c>
      <c r="B666" s="24">
        <v>45936</v>
      </c>
      <c r="C666" s="58"/>
      <c r="D666" s="22">
        <f t="shared" si="84"/>
        <v>4</v>
      </c>
      <c r="E666" s="46">
        <v>1.5</v>
      </c>
      <c r="F666" s="46">
        <v>1</v>
      </c>
      <c r="H666" s="68">
        <f t="shared" si="85"/>
        <v>4.25</v>
      </c>
      <c r="I666" s="47">
        <v>10</v>
      </c>
      <c r="J666" s="61">
        <v>17.5</v>
      </c>
      <c r="K666" s="48">
        <f t="shared" si="86"/>
        <v>0.757142857142857</v>
      </c>
      <c r="L666" s="61">
        <f t="shared" si="87"/>
        <v>13.25</v>
      </c>
      <c r="M666" s="36">
        <f t="shared" si="88"/>
        <v>42.5</v>
      </c>
      <c r="N666" s="58"/>
      <c r="O666" s="58"/>
      <c r="P666" s="58"/>
    </row>
    <row r="667" s="45" customFormat="1" hidden="1" customHeight="1" outlineLevel="2" spans="1:22">
      <c r="A667" s="24">
        <v>45945</v>
      </c>
      <c r="B667" s="24">
        <v>45989</v>
      </c>
      <c r="C667" s="69"/>
      <c r="D667" s="22">
        <f t="shared" si="84"/>
        <v>4</v>
      </c>
      <c r="E667" s="22">
        <v>0</v>
      </c>
      <c r="F667" s="22">
        <v>2</v>
      </c>
      <c r="G667" s="22"/>
      <c r="H667" s="70">
        <f t="shared" si="85"/>
        <v>4.66666666666667</v>
      </c>
      <c r="I667" s="26">
        <v>3</v>
      </c>
      <c r="J667" s="26">
        <v>17.5</v>
      </c>
      <c r="K667" s="48">
        <f t="shared" si="86"/>
        <v>0.733333333333333</v>
      </c>
      <c r="L667" s="26">
        <f t="shared" si="87"/>
        <v>12.8333333333333</v>
      </c>
      <c r="M667" s="26">
        <f t="shared" si="88"/>
        <v>14</v>
      </c>
      <c r="N667" s="69"/>
      <c r="O667" s="69"/>
      <c r="P667" s="69"/>
      <c r="R667" s="71"/>
      <c r="U667" s="72"/>
      <c r="V667" s="73"/>
    </row>
    <row r="668" s="45" customFormat="1" hidden="1" customHeight="1" outlineLevel="2" spans="1:22">
      <c r="A668" s="24">
        <v>45994</v>
      </c>
      <c r="B668" s="24">
        <v>45996</v>
      </c>
      <c r="C668" s="58"/>
      <c r="D668" s="22">
        <f t="shared" si="84"/>
        <v>4</v>
      </c>
      <c r="E668" s="22">
        <v>0</v>
      </c>
      <c r="F668" s="22">
        <v>1</v>
      </c>
      <c r="G668" s="22"/>
      <c r="H668" s="26">
        <f t="shared" si="85"/>
        <v>4.14285714285714</v>
      </c>
      <c r="I668" s="26">
        <v>7</v>
      </c>
      <c r="J668" s="26">
        <v>17.5</v>
      </c>
      <c r="K668" s="48">
        <f t="shared" si="86"/>
        <v>0.763265306122449</v>
      </c>
      <c r="L668" s="26">
        <f t="shared" si="87"/>
        <v>13.3571428571429</v>
      </c>
      <c r="M668" s="26">
        <f t="shared" si="88"/>
        <v>29</v>
      </c>
      <c r="N668" s="58"/>
      <c r="O668" s="58"/>
      <c r="P668" s="69"/>
      <c r="R668" s="71"/>
      <c r="U668" s="72"/>
      <c r="V668" s="73"/>
    </row>
    <row r="669" s="1" customFormat="1" hidden="1" customHeight="1" outlineLevel="2" spans="1:22">
      <c r="A669" s="24">
        <v>46005</v>
      </c>
      <c r="B669" s="24">
        <v>46021</v>
      </c>
      <c r="C669" s="58"/>
      <c r="D669" s="22">
        <f t="shared" si="84"/>
        <v>4</v>
      </c>
      <c r="E669" s="22">
        <v>0</v>
      </c>
      <c r="F669" s="22">
        <v>1</v>
      </c>
      <c r="G669" s="22"/>
      <c r="H669" s="26">
        <f t="shared" si="85"/>
        <v>4.2</v>
      </c>
      <c r="I669" s="47">
        <v>5</v>
      </c>
      <c r="J669" s="26">
        <v>17.5</v>
      </c>
      <c r="K669" s="48">
        <f t="shared" si="86"/>
        <v>0.76</v>
      </c>
      <c r="L669" s="26">
        <f t="shared" si="87"/>
        <v>13.3</v>
      </c>
      <c r="M669" s="26">
        <f t="shared" si="88"/>
        <v>21</v>
      </c>
      <c r="N669" s="58"/>
      <c r="O669" s="58"/>
      <c r="P669" s="58"/>
      <c r="R669" s="16"/>
      <c r="U669" s="33"/>
      <c r="V669" s="14"/>
    </row>
    <row r="670" s="1" customFormat="1" hidden="1" customHeight="1" outlineLevel="2" spans="1:22">
      <c r="A670" s="24">
        <v>46023</v>
      </c>
      <c r="B670" s="24">
        <v>46034</v>
      </c>
      <c r="C670" s="58"/>
      <c r="D670" s="22">
        <f t="shared" si="84"/>
        <v>4</v>
      </c>
      <c r="E670" s="22">
        <v>0</v>
      </c>
      <c r="F670" s="26">
        <v>1</v>
      </c>
      <c r="G670" s="26"/>
      <c r="H670" s="26">
        <f t="shared" si="85"/>
        <v>4.16666666666667</v>
      </c>
      <c r="I670" s="47">
        <v>6</v>
      </c>
      <c r="J670" s="26">
        <v>17.5</v>
      </c>
      <c r="K670" s="48">
        <f t="shared" si="86"/>
        <v>0.761904761904762</v>
      </c>
      <c r="L670" s="26">
        <f t="shared" si="87"/>
        <v>13.3333333333333</v>
      </c>
      <c r="M670" s="26">
        <f t="shared" si="88"/>
        <v>25</v>
      </c>
      <c r="N670" s="58"/>
      <c r="O670" s="58"/>
      <c r="P670" s="58"/>
      <c r="R670" s="16"/>
      <c r="U670" s="33"/>
      <c r="V670" s="14"/>
    </row>
    <row r="671" s="1" customFormat="1" hidden="1" customHeight="1" outlineLevel="2" spans="1:22">
      <c r="A671" s="24">
        <v>46057</v>
      </c>
      <c r="B671" s="24">
        <v>46059</v>
      </c>
      <c r="C671" s="58"/>
      <c r="D671" s="22">
        <f t="shared" ref="D671:D675" si="89">0.4*10+0.2</f>
        <v>4.2</v>
      </c>
      <c r="E671" s="22">
        <v>0</v>
      </c>
      <c r="F671" s="26"/>
      <c r="G671" s="26"/>
      <c r="H671" s="26">
        <f t="shared" si="85"/>
        <v>4.2</v>
      </c>
      <c r="I671" s="47">
        <v>12</v>
      </c>
      <c r="J671" s="26">
        <v>17.5</v>
      </c>
      <c r="K671" s="48">
        <f t="shared" si="86"/>
        <v>0.76</v>
      </c>
      <c r="L671" s="26">
        <f t="shared" si="87"/>
        <v>13.3</v>
      </c>
      <c r="M671" s="26">
        <f t="shared" si="88"/>
        <v>50.4</v>
      </c>
      <c r="N671" s="58"/>
      <c r="O671" s="58"/>
      <c r="P671" s="58"/>
      <c r="R671" s="16"/>
      <c r="U671" s="33"/>
      <c r="V671" s="14"/>
    </row>
    <row r="672" s="1" customFormat="1" hidden="1" customHeight="1" outlineLevel="2" collapsed="1" spans="1:22">
      <c r="A672" s="24">
        <v>46122</v>
      </c>
      <c r="B672" s="24">
        <v>46125</v>
      </c>
      <c r="C672" s="58"/>
      <c r="D672" s="22">
        <f t="shared" si="89"/>
        <v>4.2</v>
      </c>
      <c r="E672" s="22">
        <v>0</v>
      </c>
      <c r="F672" s="26">
        <v>0</v>
      </c>
      <c r="G672" s="26"/>
      <c r="H672" s="26">
        <f t="shared" si="85"/>
        <v>4.2</v>
      </c>
      <c r="I672" s="47">
        <v>2</v>
      </c>
      <c r="J672" s="26">
        <v>17.5</v>
      </c>
      <c r="K672" s="48">
        <f t="shared" si="86"/>
        <v>0.76</v>
      </c>
      <c r="L672" s="26">
        <f t="shared" si="87"/>
        <v>13.3</v>
      </c>
      <c r="M672" s="26">
        <f t="shared" si="88"/>
        <v>8.4</v>
      </c>
      <c r="N672" s="58"/>
      <c r="O672" s="58"/>
      <c r="P672" s="58"/>
      <c r="R672" s="16"/>
      <c r="U672" s="33"/>
      <c r="V672" s="14"/>
    </row>
    <row r="673" s="1" customFormat="1" hidden="1" customHeight="1" outlineLevel="2" collapsed="1" spans="1:22">
      <c r="A673" s="24">
        <v>46172</v>
      </c>
      <c r="B673" s="24">
        <v>46176</v>
      </c>
      <c r="C673" s="58"/>
      <c r="D673" s="22">
        <f t="shared" si="89"/>
        <v>4.2</v>
      </c>
      <c r="E673" s="22">
        <v>0</v>
      </c>
      <c r="F673" s="26">
        <v>2</v>
      </c>
      <c r="G673" s="26"/>
      <c r="H673" s="26">
        <f t="shared" si="85"/>
        <v>4.30526315789474</v>
      </c>
      <c r="I673" s="47">
        <v>19</v>
      </c>
      <c r="J673" s="26">
        <v>17.5</v>
      </c>
      <c r="K673" s="48">
        <f t="shared" si="86"/>
        <v>0.753984962406015</v>
      </c>
      <c r="L673" s="26">
        <f t="shared" si="87"/>
        <v>13.1947368421053</v>
      </c>
      <c r="M673" s="26">
        <f t="shared" si="88"/>
        <v>81.8</v>
      </c>
      <c r="N673" s="58"/>
      <c r="O673" s="58"/>
      <c r="P673" s="58"/>
      <c r="R673" s="16"/>
      <c r="U673" s="33"/>
      <c r="V673" s="14"/>
    </row>
    <row r="674" s="1" customFormat="1" hidden="1" customHeight="1" outlineLevel="1" collapsed="1" spans="1:22">
      <c r="A674" s="24">
        <v>46209</v>
      </c>
      <c r="B674" s="74">
        <v>46244</v>
      </c>
      <c r="C674" s="58"/>
      <c r="D674" s="22">
        <f t="shared" si="89"/>
        <v>4.2</v>
      </c>
      <c r="E674" s="22">
        <v>0</v>
      </c>
      <c r="F674" s="26">
        <v>2</v>
      </c>
      <c r="G674" s="26"/>
      <c r="H674" s="26">
        <f t="shared" si="85"/>
        <v>4.4</v>
      </c>
      <c r="I674" s="47">
        <v>10</v>
      </c>
      <c r="J674" s="26">
        <v>17.5</v>
      </c>
      <c r="K674" s="48">
        <f t="shared" si="86"/>
        <v>0.748571428571429</v>
      </c>
      <c r="L674" s="26">
        <f t="shared" si="87"/>
        <v>13.1</v>
      </c>
      <c r="M674" s="26">
        <f t="shared" si="88"/>
        <v>44</v>
      </c>
      <c r="N674" s="58"/>
      <c r="O674" s="58"/>
      <c r="P674" s="58"/>
      <c r="R674" s="16"/>
      <c r="U674" s="33"/>
      <c r="V674" s="14"/>
    </row>
    <row r="675" s="1" customFormat="1" hidden="1" customHeight="1" outlineLevel="1" collapsed="1" spans="1:22">
      <c r="A675" s="24">
        <v>46284</v>
      </c>
      <c r="D675" s="22">
        <f t="shared" si="89"/>
        <v>4.2</v>
      </c>
      <c r="E675" s="22">
        <v>0</v>
      </c>
      <c r="F675" s="26"/>
      <c r="G675" s="26"/>
      <c r="H675" s="26">
        <f t="shared" si="85"/>
        <v>4.2</v>
      </c>
      <c r="I675" s="47">
        <v>10</v>
      </c>
      <c r="J675" s="26">
        <v>17.5</v>
      </c>
      <c r="K675" s="48">
        <f t="shared" si="86"/>
        <v>0.76</v>
      </c>
      <c r="L675" s="26">
        <f t="shared" si="87"/>
        <v>13.3</v>
      </c>
      <c r="M675" s="26">
        <f t="shared" si="88"/>
        <v>42</v>
      </c>
      <c r="N675" s="58"/>
      <c r="O675" s="58"/>
      <c r="P675" s="58"/>
      <c r="R675" s="16"/>
      <c r="U675" s="33"/>
      <c r="V675" s="14"/>
    </row>
    <row r="676" s="1" customFormat="1" hidden="1" customHeight="1" outlineLevel="1" spans="1:22">
      <c r="A676" s="57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R676" s="16"/>
      <c r="U676" s="33"/>
      <c r="V676" s="14"/>
    </row>
    <row r="677" hidden="1" customHeight="1" outlineLevel="1" collapsed="1" spans="1:22">
      <c r="A677" s="57" t="s">
        <v>54</v>
      </c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</row>
    <row r="678" hidden="1" customHeight="1" outlineLevel="2" spans="1:22">
      <c r="A678" s="24">
        <v>45699</v>
      </c>
      <c r="B678" s="24">
        <v>45703</v>
      </c>
      <c r="C678" s="22"/>
      <c r="D678" s="67">
        <f t="shared" ref="D678:D691" si="90">0.45*10</f>
        <v>4.5</v>
      </c>
      <c r="E678" s="46">
        <v>0.85</v>
      </c>
      <c r="F678" s="46">
        <v>0.58</v>
      </c>
      <c r="H678" s="68">
        <f t="shared" ref="H678:H699" si="91">D678+(E678/I678)+(F678/I678)</f>
        <v>4.643</v>
      </c>
      <c r="I678" s="47">
        <v>10</v>
      </c>
      <c r="J678" s="61">
        <v>19.5</v>
      </c>
      <c r="K678" s="48">
        <f t="shared" ref="K678:K699" si="92">(J678-H678)/J678</f>
        <v>0.761897435897436</v>
      </c>
      <c r="L678" s="61">
        <f t="shared" ref="L678:L699" si="93">J678-H678</f>
        <v>14.857</v>
      </c>
      <c r="M678" s="36">
        <f t="shared" ref="M678:M699" si="94">D678*I678+E678+F678</f>
        <v>46.43</v>
      </c>
    </row>
    <row r="679" hidden="1" customHeight="1" outlineLevel="2" spans="1:22">
      <c r="A679" s="24">
        <v>45717</v>
      </c>
      <c r="B679" s="24">
        <v>45720</v>
      </c>
      <c r="C679" s="22"/>
      <c r="D679" s="67">
        <f t="shared" si="90"/>
        <v>4.5</v>
      </c>
      <c r="E679" s="46">
        <v>2</v>
      </c>
      <c r="F679" s="46">
        <v>2</v>
      </c>
      <c r="H679" s="68">
        <f t="shared" si="91"/>
        <v>4.73529411764706</v>
      </c>
      <c r="I679" s="47">
        <v>17</v>
      </c>
      <c r="J679" s="61">
        <v>19.5</v>
      </c>
      <c r="K679" s="48">
        <f t="shared" si="92"/>
        <v>0.757164404223228</v>
      </c>
      <c r="L679" s="61">
        <f t="shared" si="93"/>
        <v>14.7647058823529</v>
      </c>
      <c r="M679" s="36">
        <f t="shared" si="94"/>
        <v>80.5</v>
      </c>
    </row>
    <row r="680" hidden="1" customHeight="1" outlineLevel="2" spans="1:22">
      <c r="A680" s="24">
        <v>45717</v>
      </c>
      <c r="B680" s="24">
        <v>45744</v>
      </c>
      <c r="C680" s="22"/>
      <c r="D680" s="67">
        <f t="shared" si="90"/>
        <v>4.5</v>
      </c>
      <c r="E680" s="46">
        <v>2</v>
      </c>
      <c r="F680" s="46">
        <v>0</v>
      </c>
      <c r="H680" s="68">
        <f t="shared" si="91"/>
        <v>5.5</v>
      </c>
      <c r="I680" s="47">
        <v>2</v>
      </c>
      <c r="J680" s="61">
        <v>19.5</v>
      </c>
      <c r="K680" s="48">
        <f t="shared" si="92"/>
        <v>0.717948717948718</v>
      </c>
      <c r="L680" s="61">
        <f t="shared" si="93"/>
        <v>14</v>
      </c>
      <c r="M680" s="36">
        <f t="shared" si="94"/>
        <v>11</v>
      </c>
    </row>
    <row r="681" hidden="1" customHeight="1" outlineLevel="2" spans="1:22">
      <c r="A681" s="24">
        <v>45747</v>
      </c>
      <c r="B681" s="24">
        <v>45751</v>
      </c>
      <c r="C681" s="22"/>
      <c r="D681" s="67">
        <f t="shared" si="90"/>
        <v>4.5</v>
      </c>
      <c r="E681" s="46">
        <v>1</v>
      </c>
      <c r="F681" s="46">
        <v>1</v>
      </c>
      <c r="H681" s="68">
        <f t="shared" si="91"/>
        <v>4.7</v>
      </c>
      <c r="I681" s="47">
        <v>10</v>
      </c>
      <c r="J681" s="61">
        <v>17.5</v>
      </c>
      <c r="K681" s="48">
        <f t="shared" si="92"/>
        <v>0.731428571428571</v>
      </c>
      <c r="L681" s="61">
        <f t="shared" si="93"/>
        <v>12.8</v>
      </c>
      <c r="M681" s="36">
        <f t="shared" si="94"/>
        <v>47</v>
      </c>
    </row>
    <row r="682" hidden="1" customHeight="1" outlineLevel="2" spans="1:22">
      <c r="A682" s="24">
        <v>45747</v>
      </c>
      <c r="B682" s="24">
        <v>45763</v>
      </c>
      <c r="C682" s="22"/>
      <c r="D682" s="67">
        <f t="shared" si="90"/>
        <v>4.5</v>
      </c>
      <c r="E682" s="46">
        <v>1</v>
      </c>
      <c r="F682" s="46">
        <v>3</v>
      </c>
      <c r="H682" s="68">
        <f t="shared" si="91"/>
        <v>4.94444444444444</v>
      </c>
      <c r="I682" s="47">
        <v>9</v>
      </c>
      <c r="J682" s="61">
        <v>17.5</v>
      </c>
      <c r="K682" s="48">
        <f t="shared" si="92"/>
        <v>0.717460317460318</v>
      </c>
      <c r="L682" s="61">
        <f t="shared" si="93"/>
        <v>12.5555555555556</v>
      </c>
      <c r="M682" s="36">
        <f t="shared" si="94"/>
        <v>44.5</v>
      </c>
    </row>
    <row r="683" hidden="1" customHeight="1" outlineLevel="2" spans="1:22">
      <c r="A683" s="24">
        <v>45747</v>
      </c>
      <c r="B683" s="24">
        <v>45781</v>
      </c>
      <c r="C683" s="22"/>
      <c r="D683" s="67">
        <f t="shared" si="90"/>
        <v>4.5</v>
      </c>
      <c r="E683" s="46">
        <v>0</v>
      </c>
      <c r="F683" s="46">
        <v>1</v>
      </c>
      <c r="H683" s="68">
        <f t="shared" si="91"/>
        <v>5.5</v>
      </c>
      <c r="I683" s="47">
        <v>1</v>
      </c>
      <c r="J683" s="61">
        <v>17.5</v>
      </c>
      <c r="K683" s="48">
        <f t="shared" si="92"/>
        <v>0.685714285714286</v>
      </c>
      <c r="L683" s="61">
        <f t="shared" si="93"/>
        <v>12</v>
      </c>
      <c r="M683" s="36">
        <f t="shared" si="94"/>
        <v>5.5</v>
      </c>
    </row>
    <row r="684" hidden="1" customHeight="1" outlineLevel="2" spans="1:22">
      <c r="A684" s="24">
        <v>45785</v>
      </c>
      <c r="B684" s="24">
        <v>45796</v>
      </c>
      <c r="C684" s="22"/>
      <c r="D684" s="67">
        <f t="shared" si="90"/>
        <v>4.5</v>
      </c>
      <c r="E684" s="46">
        <v>0</v>
      </c>
      <c r="F684" s="46">
        <v>2</v>
      </c>
      <c r="H684" s="68">
        <f t="shared" si="91"/>
        <v>4.65384615384615</v>
      </c>
      <c r="I684" s="47">
        <v>13</v>
      </c>
      <c r="J684" s="61">
        <v>17.5</v>
      </c>
      <c r="K684" s="48">
        <f t="shared" si="92"/>
        <v>0.734065934065934</v>
      </c>
      <c r="L684" s="61">
        <f t="shared" si="93"/>
        <v>12.8461538461538</v>
      </c>
      <c r="M684" s="36">
        <f t="shared" si="94"/>
        <v>60.5</v>
      </c>
      <c r="Q684" s="13" t="s">
        <v>55</v>
      </c>
    </row>
    <row r="685" hidden="1" customHeight="1" outlineLevel="2" spans="1:22">
      <c r="A685" s="24">
        <v>45821</v>
      </c>
      <c r="B685" s="24">
        <v>45825</v>
      </c>
      <c r="C685" s="22"/>
      <c r="D685" s="67">
        <f t="shared" si="90"/>
        <v>4.5</v>
      </c>
      <c r="E685" s="46">
        <v>0</v>
      </c>
      <c r="F685" s="46">
        <v>1</v>
      </c>
      <c r="H685" s="68">
        <f t="shared" si="91"/>
        <v>4.61111111111111</v>
      </c>
      <c r="I685" s="47">
        <v>9</v>
      </c>
      <c r="J685" s="61">
        <v>17.5</v>
      </c>
      <c r="K685" s="48">
        <f t="shared" si="92"/>
        <v>0.736507936507937</v>
      </c>
      <c r="L685" s="61">
        <f t="shared" si="93"/>
        <v>12.8888888888889</v>
      </c>
      <c r="M685" s="36">
        <f t="shared" si="94"/>
        <v>41.5</v>
      </c>
    </row>
    <row r="686" hidden="1" customHeight="1" outlineLevel="2" spans="1:22">
      <c r="A686" s="24">
        <v>45825</v>
      </c>
      <c r="B686" s="24">
        <v>45851</v>
      </c>
      <c r="C686" s="22"/>
      <c r="D686" s="67">
        <f t="shared" si="90"/>
        <v>4.5</v>
      </c>
      <c r="E686" s="46">
        <v>0</v>
      </c>
      <c r="F686" s="46">
        <v>2</v>
      </c>
      <c r="H686" s="68">
        <f t="shared" si="91"/>
        <v>4.9</v>
      </c>
      <c r="I686" s="47">
        <v>5</v>
      </c>
      <c r="J686" s="61">
        <v>17.5</v>
      </c>
      <c r="K686" s="48">
        <f t="shared" si="92"/>
        <v>0.72</v>
      </c>
      <c r="L686" s="61">
        <f t="shared" si="93"/>
        <v>12.6</v>
      </c>
      <c r="M686" s="36">
        <f t="shared" si="94"/>
        <v>24.5</v>
      </c>
    </row>
    <row r="687" hidden="1" customHeight="1" outlineLevel="2" spans="1:22">
      <c r="A687" s="24">
        <v>45825</v>
      </c>
      <c r="B687" s="24">
        <v>45861</v>
      </c>
      <c r="C687" s="22"/>
      <c r="D687" s="67">
        <f t="shared" si="90"/>
        <v>4.5</v>
      </c>
      <c r="E687" s="46">
        <v>0</v>
      </c>
      <c r="F687" s="46">
        <v>1</v>
      </c>
      <c r="H687" s="68">
        <f t="shared" si="91"/>
        <v>4.66666666666667</v>
      </c>
      <c r="I687" s="47">
        <v>6</v>
      </c>
      <c r="J687" s="61">
        <v>17.5</v>
      </c>
      <c r="K687" s="48">
        <f t="shared" si="92"/>
        <v>0.733333333333333</v>
      </c>
      <c r="L687" s="61">
        <f t="shared" si="93"/>
        <v>12.8333333333333</v>
      </c>
      <c r="M687" s="36">
        <f t="shared" si="94"/>
        <v>28</v>
      </c>
    </row>
    <row r="688" hidden="1" customHeight="1" outlineLevel="2" spans="1:22">
      <c r="A688" s="24">
        <v>45876</v>
      </c>
      <c r="B688" s="24">
        <v>45879</v>
      </c>
      <c r="D688" s="67">
        <f t="shared" si="90"/>
        <v>4.5</v>
      </c>
      <c r="E688" s="46">
        <v>0</v>
      </c>
      <c r="F688" s="46">
        <v>2</v>
      </c>
      <c r="H688" s="68">
        <f t="shared" si="91"/>
        <v>4.78571428571429</v>
      </c>
      <c r="I688" s="47">
        <v>7</v>
      </c>
      <c r="J688" s="61">
        <v>17.5</v>
      </c>
      <c r="K688" s="48">
        <f t="shared" si="92"/>
        <v>0.726530612244898</v>
      </c>
      <c r="L688" s="61">
        <f t="shared" si="93"/>
        <v>12.7142857142857</v>
      </c>
      <c r="M688" s="36">
        <f t="shared" si="94"/>
        <v>33.5</v>
      </c>
    </row>
    <row r="689" hidden="1" customHeight="1" outlineLevel="2" spans="1:17">
      <c r="A689" s="24">
        <v>45876</v>
      </c>
      <c r="B689" s="24">
        <v>45898</v>
      </c>
      <c r="D689" s="67">
        <f t="shared" si="90"/>
        <v>4.5</v>
      </c>
      <c r="E689" s="46">
        <v>0</v>
      </c>
      <c r="F689" s="46">
        <v>1</v>
      </c>
      <c r="H689" s="68">
        <f t="shared" si="91"/>
        <v>4.83333333333333</v>
      </c>
      <c r="I689" s="47">
        <v>3</v>
      </c>
      <c r="J689" s="61">
        <v>17.5</v>
      </c>
      <c r="K689" s="48">
        <f t="shared" si="92"/>
        <v>0.723809523809524</v>
      </c>
      <c r="L689" s="61">
        <f t="shared" si="93"/>
        <v>12.6666666666667</v>
      </c>
      <c r="M689" s="36">
        <f t="shared" si="94"/>
        <v>14.5</v>
      </c>
    </row>
    <row r="690" hidden="1" customHeight="1" outlineLevel="2" spans="1:17">
      <c r="A690" s="24">
        <v>45934</v>
      </c>
      <c r="B690" s="24">
        <v>45936</v>
      </c>
      <c r="D690" s="67">
        <f t="shared" si="90"/>
        <v>4.5</v>
      </c>
      <c r="E690" s="46">
        <v>1.5</v>
      </c>
      <c r="F690" s="46">
        <v>1</v>
      </c>
      <c r="H690" s="68">
        <f t="shared" si="91"/>
        <v>4.75</v>
      </c>
      <c r="I690" s="47">
        <v>10</v>
      </c>
      <c r="J690" s="61">
        <v>17.5</v>
      </c>
      <c r="K690" s="48">
        <f t="shared" si="92"/>
        <v>0.728571428571429</v>
      </c>
      <c r="L690" s="61">
        <f t="shared" si="93"/>
        <v>12.75</v>
      </c>
      <c r="M690" s="36">
        <f t="shared" si="94"/>
        <v>47.5</v>
      </c>
      <c r="Q690" s="1"/>
    </row>
    <row r="691" hidden="1" customHeight="1" outlineLevel="2" spans="1:17">
      <c r="A691" s="24">
        <v>45945</v>
      </c>
      <c r="B691" s="24">
        <v>45948</v>
      </c>
      <c r="D691" s="67">
        <f t="shared" si="90"/>
        <v>4.5</v>
      </c>
      <c r="E691" s="46">
        <v>0</v>
      </c>
      <c r="F691" s="46">
        <v>1</v>
      </c>
      <c r="H691" s="68">
        <f t="shared" si="91"/>
        <v>4.6</v>
      </c>
      <c r="I691" s="47">
        <v>10</v>
      </c>
      <c r="J691" s="61">
        <v>17.5</v>
      </c>
      <c r="K691" s="48">
        <f t="shared" si="92"/>
        <v>0.737142857142857</v>
      </c>
      <c r="L691" s="61">
        <f t="shared" si="93"/>
        <v>12.9</v>
      </c>
      <c r="M691" s="36">
        <f t="shared" si="94"/>
        <v>46</v>
      </c>
      <c r="Q691" s="1"/>
    </row>
    <row r="692" hidden="1" customHeight="1" outlineLevel="2" spans="1:17">
      <c r="A692" s="24">
        <v>45945</v>
      </c>
      <c r="B692" s="24">
        <v>45989</v>
      </c>
      <c r="D692" s="67">
        <f t="shared" ref="D692:D695" si="95">0.4*10</f>
        <v>4</v>
      </c>
      <c r="E692" s="46">
        <v>0</v>
      </c>
      <c r="F692" s="46">
        <v>1</v>
      </c>
      <c r="H692" s="68">
        <f t="shared" si="91"/>
        <v>4.5</v>
      </c>
      <c r="I692" s="47">
        <v>2</v>
      </c>
      <c r="J692" s="61">
        <v>17.5</v>
      </c>
      <c r="K692" s="48">
        <f t="shared" si="92"/>
        <v>0.742857142857143</v>
      </c>
      <c r="L692" s="61">
        <f t="shared" si="93"/>
        <v>13</v>
      </c>
      <c r="M692" s="36">
        <f t="shared" si="94"/>
        <v>9</v>
      </c>
      <c r="Q692" s="1"/>
    </row>
    <row r="693" hidden="1" customHeight="1" outlineLevel="2" spans="1:17">
      <c r="A693" s="24">
        <v>45994</v>
      </c>
      <c r="B693" s="24">
        <v>45996</v>
      </c>
      <c r="D693" s="67">
        <f t="shared" si="95"/>
        <v>4</v>
      </c>
      <c r="E693" s="46">
        <v>0</v>
      </c>
      <c r="F693" s="46">
        <v>1</v>
      </c>
      <c r="H693" s="68">
        <f t="shared" si="91"/>
        <v>4.125</v>
      </c>
      <c r="I693" s="47">
        <v>8</v>
      </c>
      <c r="J693" s="61">
        <v>17.5</v>
      </c>
      <c r="K693" s="48">
        <f t="shared" si="92"/>
        <v>0.764285714285714</v>
      </c>
      <c r="L693" s="61">
        <f t="shared" si="93"/>
        <v>13.375</v>
      </c>
      <c r="M693" s="36">
        <f t="shared" si="94"/>
        <v>33</v>
      </c>
      <c r="Q693" s="1"/>
    </row>
    <row r="694" hidden="1" customHeight="1" outlineLevel="2" spans="1:17">
      <c r="A694" s="24">
        <v>46005</v>
      </c>
      <c r="B694" s="24">
        <v>46007</v>
      </c>
      <c r="D694" s="67">
        <f t="shared" si="95"/>
        <v>4</v>
      </c>
      <c r="E694" s="46">
        <v>0</v>
      </c>
      <c r="F694" s="46">
        <v>1</v>
      </c>
      <c r="H694" s="68">
        <f t="shared" si="91"/>
        <v>4.2</v>
      </c>
      <c r="I694" s="47">
        <v>5</v>
      </c>
      <c r="J694" s="61">
        <v>17.5</v>
      </c>
      <c r="K694" s="48">
        <f t="shared" si="92"/>
        <v>0.76</v>
      </c>
      <c r="L694" s="61">
        <f t="shared" si="93"/>
        <v>13.3</v>
      </c>
      <c r="M694" s="36">
        <f t="shared" si="94"/>
        <v>21</v>
      </c>
      <c r="Q694" s="1"/>
    </row>
    <row r="695" hidden="1" customHeight="1" outlineLevel="2" spans="1:17">
      <c r="A695" s="24">
        <v>46023</v>
      </c>
      <c r="B695" s="24">
        <v>46034</v>
      </c>
      <c r="D695" s="22">
        <f t="shared" si="95"/>
        <v>4</v>
      </c>
      <c r="E695" s="22">
        <v>0</v>
      </c>
      <c r="F695" s="26">
        <v>1</v>
      </c>
      <c r="G695" s="26"/>
      <c r="H695" s="26">
        <f t="shared" si="91"/>
        <v>4.25</v>
      </c>
      <c r="I695" s="47">
        <v>4</v>
      </c>
      <c r="J695" s="26">
        <v>17.5</v>
      </c>
      <c r="K695" s="48">
        <f t="shared" si="92"/>
        <v>0.757142857142857</v>
      </c>
      <c r="L695" s="26">
        <f t="shared" si="93"/>
        <v>13.25</v>
      </c>
      <c r="M695" s="26">
        <f t="shared" si="94"/>
        <v>17</v>
      </c>
      <c r="Q695" s="1"/>
    </row>
    <row r="696" hidden="1" customHeight="1" outlineLevel="2" spans="1:17">
      <c r="A696" s="24">
        <v>46057</v>
      </c>
      <c r="B696" s="24">
        <v>46059</v>
      </c>
      <c r="D696" s="22">
        <f t="shared" ref="D696:D699" si="96">0.4*10+0.2</f>
        <v>4.2</v>
      </c>
      <c r="E696" s="22">
        <v>0</v>
      </c>
      <c r="F696" s="26">
        <v>1</v>
      </c>
      <c r="G696" s="26"/>
      <c r="H696" s="26">
        <f t="shared" si="91"/>
        <v>4.25555555555556</v>
      </c>
      <c r="I696" s="47">
        <v>18</v>
      </c>
      <c r="J696" s="26">
        <v>17.5</v>
      </c>
      <c r="K696" s="48">
        <f t="shared" si="92"/>
        <v>0.756825396825397</v>
      </c>
      <c r="L696" s="26">
        <f t="shared" si="93"/>
        <v>13.2444444444444</v>
      </c>
      <c r="M696" s="26">
        <f t="shared" si="94"/>
        <v>76.6</v>
      </c>
      <c r="Q696" s="1"/>
    </row>
    <row r="697" hidden="1" customHeight="1" outlineLevel="2" spans="1:17">
      <c r="A697" s="24">
        <v>46122</v>
      </c>
      <c r="B697" s="24">
        <v>46125</v>
      </c>
      <c r="D697" s="22">
        <f t="shared" si="96"/>
        <v>4.2</v>
      </c>
      <c r="E697" s="22">
        <v>0</v>
      </c>
      <c r="F697" s="26">
        <v>0</v>
      </c>
      <c r="G697" s="26"/>
      <c r="H697" s="26">
        <f t="shared" si="91"/>
        <v>4.2</v>
      </c>
      <c r="I697" s="47">
        <v>3</v>
      </c>
      <c r="J697" s="26">
        <v>17.5</v>
      </c>
      <c r="K697" s="48">
        <f t="shared" si="92"/>
        <v>0.76</v>
      </c>
      <c r="L697" s="26">
        <f t="shared" si="93"/>
        <v>13.3</v>
      </c>
      <c r="M697" s="26">
        <f t="shared" si="94"/>
        <v>12.6</v>
      </c>
      <c r="Q697" s="1"/>
    </row>
    <row r="698" hidden="1" customHeight="1" outlineLevel="1" spans="1:17">
      <c r="A698" s="24">
        <v>46172</v>
      </c>
      <c r="B698" s="24">
        <v>46176</v>
      </c>
      <c r="D698" s="22">
        <f t="shared" si="96"/>
        <v>4.2</v>
      </c>
      <c r="E698" s="22">
        <v>0</v>
      </c>
      <c r="F698" s="26">
        <v>2</v>
      </c>
      <c r="G698" s="26"/>
      <c r="H698" s="26">
        <f t="shared" si="91"/>
        <v>4.38181818181818</v>
      </c>
      <c r="I698" s="47">
        <v>11</v>
      </c>
      <c r="J698" s="26">
        <v>17.5</v>
      </c>
      <c r="K698" s="48">
        <f t="shared" si="92"/>
        <v>0.74961038961039</v>
      </c>
      <c r="L698" s="26">
        <f t="shared" si="93"/>
        <v>13.1181818181818</v>
      </c>
      <c r="M698" s="26">
        <f t="shared" si="94"/>
        <v>48.2</v>
      </c>
      <c r="Q698" s="1"/>
    </row>
    <row r="699" hidden="1" customHeight="1" outlineLevel="1" spans="1:17">
      <c r="A699" s="24">
        <v>46209</v>
      </c>
      <c r="B699" s="24">
        <v>46211</v>
      </c>
      <c r="D699" s="22">
        <f t="shared" si="96"/>
        <v>4.2</v>
      </c>
      <c r="E699" s="22">
        <v>1</v>
      </c>
      <c r="F699" s="26">
        <v>2</v>
      </c>
      <c r="G699" s="26"/>
      <c r="H699" s="26">
        <f t="shared" si="91"/>
        <v>4.5</v>
      </c>
      <c r="I699" s="47">
        <v>10</v>
      </c>
      <c r="J699" s="26">
        <v>17.5</v>
      </c>
      <c r="K699" s="48">
        <f t="shared" si="92"/>
        <v>0.742857142857143</v>
      </c>
      <c r="L699" s="26">
        <f t="shared" si="93"/>
        <v>13</v>
      </c>
      <c r="M699" s="26">
        <f t="shared" si="94"/>
        <v>45</v>
      </c>
      <c r="Q699" s="1"/>
    </row>
    <row r="700" hidden="1" customHeight="1" outlineLevel="1" spans="1:17">
      <c r="Q700" s="1"/>
    </row>
    <row r="701" customHeight="1" spans="1:17">
      <c r="Q701" s="1"/>
    </row>
    <row r="702" customHeight="1" spans="1:17">
      <c r="Q702" s="1"/>
    </row>
    <row r="703" customHeight="1" collapsed="1" spans="1:17">
      <c r="A703" s="18" t="s">
        <v>56</v>
      </c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 t="str">
        <f>_xlfn.DISPIMG("ID_A948A2F20139495FAEF6AF7EA8E722FC",1)</f>
        <v>=DISPIMG("ID_A948A2F20139495FAEF6AF7EA8E722FC",1)</v>
      </c>
      <c r="P703" s="15"/>
      <c r="Q703" s="3" t="s">
        <v>57</v>
      </c>
    </row>
    <row r="704" hidden="1" customHeight="1" outlineLevel="1" collapsed="1" spans="1:17">
      <c r="A704" s="26" t="s">
        <v>58</v>
      </c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3"/>
    </row>
    <row r="705" hidden="1" customHeight="1" outlineLevel="2" spans="1:17">
      <c r="A705" s="64">
        <v>45707</v>
      </c>
      <c r="B705" s="24">
        <v>45712</v>
      </c>
      <c r="D705" s="14">
        <f t="shared" ref="D705:D722" si="97">0.31*20</f>
        <v>6.2</v>
      </c>
      <c r="E705" s="14">
        <v>0</v>
      </c>
      <c r="F705" s="46">
        <v>1</v>
      </c>
      <c r="H705" s="60">
        <f t="shared" ref="H705:H722" si="98">D705+(E705/I705)+(F705/I705)</f>
        <v>6.3</v>
      </c>
      <c r="I705" s="47">
        <v>10</v>
      </c>
      <c r="J705" s="14">
        <v>17.5</v>
      </c>
      <c r="K705" s="48">
        <f t="shared" ref="K705:K722" si="99">(J705-H705)/J705</f>
        <v>0.64</v>
      </c>
      <c r="L705" s="61">
        <f t="shared" ref="L705:L722" si="100">J705-H705</f>
        <v>11.2</v>
      </c>
      <c r="M705" s="46">
        <f t="shared" ref="M705:M722" si="101">D705*I705+E705+F705</f>
        <v>63</v>
      </c>
    </row>
    <row r="706" hidden="1" customHeight="1" outlineLevel="2" spans="1:17">
      <c r="A706" s="64">
        <v>45718</v>
      </c>
      <c r="B706" s="24">
        <v>45722</v>
      </c>
      <c r="D706" s="14">
        <f t="shared" si="97"/>
        <v>6.2</v>
      </c>
      <c r="E706" s="14">
        <v>0</v>
      </c>
      <c r="F706" s="46">
        <v>2</v>
      </c>
      <c r="H706" s="60">
        <f t="shared" si="98"/>
        <v>6.33333333333333</v>
      </c>
      <c r="I706" s="47">
        <v>15</v>
      </c>
      <c r="J706" s="14">
        <v>17.5</v>
      </c>
      <c r="K706" s="48">
        <f t="shared" si="99"/>
        <v>0.638095238095238</v>
      </c>
      <c r="L706" s="61">
        <f t="shared" si="100"/>
        <v>11.1666666666667</v>
      </c>
      <c r="M706" s="46">
        <f t="shared" si="101"/>
        <v>95</v>
      </c>
      <c r="Q706" s="3"/>
    </row>
    <row r="707" hidden="1" customHeight="1" outlineLevel="2" spans="1:17">
      <c r="A707" s="64">
        <v>45726</v>
      </c>
      <c r="B707" s="24">
        <v>45730</v>
      </c>
      <c r="D707" s="14">
        <f t="shared" si="97"/>
        <v>6.2</v>
      </c>
      <c r="E707" s="14">
        <v>0</v>
      </c>
      <c r="F707" s="46">
        <v>2</v>
      </c>
      <c r="H707" s="60">
        <f t="shared" si="98"/>
        <v>6.4</v>
      </c>
      <c r="I707" s="47">
        <v>10</v>
      </c>
      <c r="J707" s="14">
        <v>17.5</v>
      </c>
      <c r="K707" s="48">
        <f t="shared" si="99"/>
        <v>0.634285714285714</v>
      </c>
      <c r="L707" s="61">
        <f t="shared" si="100"/>
        <v>11.1</v>
      </c>
      <c r="M707" s="46">
        <f t="shared" si="101"/>
        <v>64</v>
      </c>
      <c r="Q707" s="3"/>
    </row>
    <row r="708" hidden="1" customHeight="1" outlineLevel="2" spans="1:17">
      <c r="A708" s="64">
        <v>45730</v>
      </c>
      <c r="B708" s="24">
        <v>45732</v>
      </c>
      <c r="D708" s="14">
        <f t="shared" si="97"/>
        <v>6.2</v>
      </c>
      <c r="E708" s="14">
        <v>0</v>
      </c>
      <c r="F708" s="46">
        <v>1</v>
      </c>
      <c r="H708" s="60">
        <f t="shared" si="98"/>
        <v>6.25</v>
      </c>
      <c r="I708" s="47">
        <v>20</v>
      </c>
      <c r="J708" s="14">
        <v>17.5</v>
      </c>
      <c r="K708" s="48">
        <f t="shared" si="99"/>
        <v>0.642857142857143</v>
      </c>
      <c r="L708" s="61">
        <f t="shared" si="100"/>
        <v>11.25</v>
      </c>
      <c r="M708" s="46">
        <f t="shared" si="101"/>
        <v>125</v>
      </c>
      <c r="Q708" s="3"/>
    </row>
    <row r="709" hidden="1" customHeight="1" outlineLevel="2" spans="1:17">
      <c r="A709" s="64">
        <v>45748</v>
      </c>
      <c r="B709" s="24">
        <v>45751</v>
      </c>
      <c r="D709" s="14">
        <f t="shared" si="97"/>
        <v>6.2</v>
      </c>
      <c r="E709" s="14">
        <v>0</v>
      </c>
      <c r="F709" s="46">
        <v>1</v>
      </c>
      <c r="H709" s="60">
        <f t="shared" si="98"/>
        <v>6.29090909090909</v>
      </c>
      <c r="I709" s="47">
        <v>11</v>
      </c>
      <c r="J709" s="14">
        <v>17.5</v>
      </c>
      <c r="K709" s="48">
        <f t="shared" si="99"/>
        <v>0.64051948051948</v>
      </c>
      <c r="L709" s="61">
        <f t="shared" si="100"/>
        <v>11.2090909090909</v>
      </c>
      <c r="M709" s="46">
        <f t="shared" si="101"/>
        <v>69.2</v>
      </c>
      <c r="Q709" s="3"/>
    </row>
    <row r="710" hidden="1" customHeight="1" outlineLevel="2" spans="1:17">
      <c r="A710" s="64">
        <v>45755</v>
      </c>
      <c r="B710" s="24">
        <v>45759</v>
      </c>
      <c r="D710" s="14">
        <f t="shared" si="97"/>
        <v>6.2</v>
      </c>
      <c r="E710" s="14">
        <v>4</v>
      </c>
      <c r="F710" s="46">
        <v>3</v>
      </c>
      <c r="H710" s="60">
        <f t="shared" si="98"/>
        <v>6.58888888888889</v>
      </c>
      <c r="I710" s="47">
        <v>18</v>
      </c>
      <c r="J710" s="14">
        <v>17.5</v>
      </c>
      <c r="K710" s="48">
        <f t="shared" si="99"/>
        <v>0.623492063492064</v>
      </c>
      <c r="L710" s="61">
        <f t="shared" si="100"/>
        <v>10.9111111111111</v>
      </c>
      <c r="M710" s="46">
        <f t="shared" si="101"/>
        <v>118.6</v>
      </c>
      <c r="Q710" s="3"/>
    </row>
    <row r="711" hidden="1" customHeight="1" outlineLevel="2" spans="1:17">
      <c r="A711" s="64">
        <v>45755</v>
      </c>
      <c r="B711" s="24">
        <v>45770</v>
      </c>
      <c r="D711" s="14">
        <f t="shared" si="97"/>
        <v>6.2</v>
      </c>
      <c r="E711" s="14">
        <v>1</v>
      </c>
      <c r="F711" s="46">
        <v>0</v>
      </c>
      <c r="H711" s="60">
        <f t="shared" si="98"/>
        <v>6.7</v>
      </c>
      <c r="I711" s="47">
        <v>2</v>
      </c>
      <c r="J711" s="14">
        <v>17.5</v>
      </c>
      <c r="K711" s="48">
        <f t="shared" si="99"/>
        <v>0.617142857142857</v>
      </c>
      <c r="L711" s="61">
        <f t="shared" si="100"/>
        <v>10.8</v>
      </c>
      <c r="M711" s="46">
        <f t="shared" si="101"/>
        <v>13.4</v>
      </c>
      <c r="Q711" s="3"/>
    </row>
    <row r="712" hidden="1" customHeight="1" outlineLevel="2" spans="1:17">
      <c r="A712" s="64">
        <v>45766</v>
      </c>
      <c r="B712" s="24">
        <v>45770</v>
      </c>
      <c r="D712" s="14">
        <f t="shared" si="97"/>
        <v>6.2</v>
      </c>
      <c r="E712" s="14">
        <v>1</v>
      </c>
      <c r="F712" s="46">
        <v>3</v>
      </c>
      <c r="H712" s="60">
        <f t="shared" si="98"/>
        <v>6.48571428571429</v>
      </c>
      <c r="I712" s="47">
        <v>14</v>
      </c>
      <c r="J712" s="14">
        <v>17.5</v>
      </c>
      <c r="K712" s="48">
        <f t="shared" si="99"/>
        <v>0.629387755102041</v>
      </c>
      <c r="L712" s="61">
        <f t="shared" si="100"/>
        <v>11.0142857142857</v>
      </c>
      <c r="M712" s="46">
        <f t="shared" si="101"/>
        <v>90.8</v>
      </c>
      <c r="Q712" s="3"/>
    </row>
    <row r="713" hidden="1" customHeight="1" outlineLevel="2" spans="1:17">
      <c r="A713" s="64">
        <v>45806</v>
      </c>
      <c r="B713" s="24">
        <v>45809</v>
      </c>
      <c r="D713" s="14">
        <f t="shared" si="97"/>
        <v>6.2</v>
      </c>
      <c r="E713" s="14">
        <v>0</v>
      </c>
      <c r="F713" s="46">
        <v>2</v>
      </c>
      <c r="H713" s="60">
        <f t="shared" si="98"/>
        <v>6.45</v>
      </c>
      <c r="I713" s="47">
        <v>8</v>
      </c>
      <c r="J713" s="14">
        <v>17.5</v>
      </c>
      <c r="K713" s="48">
        <f t="shared" si="99"/>
        <v>0.631428571428571</v>
      </c>
      <c r="L713" s="61">
        <f t="shared" si="100"/>
        <v>11.05</v>
      </c>
      <c r="M713" s="46">
        <f t="shared" si="101"/>
        <v>51.6</v>
      </c>
      <c r="Q713" s="3"/>
    </row>
    <row r="714" hidden="1" customHeight="1" outlineLevel="2" spans="1:17">
      <c r="A714" s="64">
        <v>45806</v>
      </c>
      <c r="B714" s="24">
        <v>45821</v>
      </c>
      <c r="D714" s="14">
        <f t="shared" si="97"/>
        <v>6.2</v>
      </c>
      <c r="E714" s="14">
        <v>0</v>
      </c>
      <c r="F714" s="46">
        <v>1</v>
      </c>
      <c r="H714" s="60">
        <f t="shared" si="98"/>
        <v>6.7</v>
      </c>
      <c r="I714" s="47">
        <v>2</v>
      </c>
      <c r="J714" s="14">
        <v>17.5</v>
      </c>
      <c r="K714" s="48">
        <f t="shared" si="99"/>
        <v>0.617142857142857</v>
      </c>
      <c r="L714" s="61">
        <f t="shared" si="100"/>
        <v>10.8</v>
      </c>
      <c r="M714" s="46">
        <f t="shared" si="101"/>
        <v>13.4</v>
      </c>
      <c r="Q714" s="3"/>
    </row>
    <row r="715" hidden="1" customHeight="1" outlineLevel="2" spans="1:17">
      <c r="A715" s="64">
        <v>45820</v>
      </c>
      <c r="B715" s="24">
        <v>45824</v>
      </c>
      <c r="D715" s="14">
        <f t="shared" si="97"/>
        <v>6.2</v>
      </c>
      <c r="E715" s="14">
        <v>0</v>
      </c>
      <c r="F715" s="46">
        <v>1</v>
      </c>
      <c r="H715" s="60">
        <f t="shared" si="98"/>
        <v>6.7</v>
      </c>
      <c r="I715" s="47">
        <v>2</v>
      </c>
      <c r="J715" s="14">
        <v>17.5</v>
      </c>
      <c r="K715" s="48">
        <f t="shared" si="99"/>
        <v>0.617142857142857</v>
      </c>
      <c r="L715" s="61">
        <f t="shared" si="100"/>
        <v>10.8</v>
      </c>
      <c r="M715" s="46">
        <f t="shared" si="101"/>
        <v>13.4</v>
      </c>
      <c r="Q715" s="3"/>
    </row>
    <row r="716" hidden="1" customHeight="1" outlineLevel="2" spans="1:17">
      <c r="A716" s="64">
        <v>45840</v>
      </c>
      <c r="B716" s="24">
        <v>45843</v>
      </c>
      <c r="D716" s="14">
        <f t="shared" si="97"/>
        <v>6.2</v>
      </c>
      <c r="E716" s="14">
        <v>0</v>
      </c>
      <c r="F716" s="46">
        <v>1</v>
      </c>
      <c r="H716" s="60">
        <f t="shared" si="98"/>
        <v>6.34285714285714</v>
      </c>
      <c r="I716" s="47">
        <v>7</v>
      </c>
      <c r="J716" s="14">
        <v>17.5</v>
      </c>
      <c r="K716" s="48">
        <f t="shared" si="99"/>
        <v>0.637551020408163</v>
      </c>
      <c r="L716" s="61">
        <f t="shared" si="100"/>
        <v>11.1571428571429</v>
      </c>
      <c r="M716" s="46">
        <f t="shared" si="101"/>
        <v>44.4</v>
      </c>
      <c r="Q716" s="3"/>
    </row>
    <row r="717" hidden="1" customHeight="1" outlineLevel="2" spans="1:17">
      <c r="A717" s="64">
        <v>45861</v>
      </c>
      <c r="B717" s="24">
        <v>45864</v>
      </c>
      <c r="D717" s="14">
        <f t="shared" si="97"/>
        <v>6.2</v>
      </c>
      <c r="E717" s="14">
        <v>0</v>
      </c>
      <c r="F717" s="46">
        <v>1</v>
      </c>
      <c r="H717" s="60">
        <f t="shared" si="98"/>
        <v>6.4</v>
      </c>
      <c r="I717" s="47">
        <v>5</v>
      </c>
      <c r="J717" s="14">
        <v>17.5</v>
      </c>
      <c r="K717" s="48">
        <f t="shared" si="99"/>
        <v>0.634285714285714</v>
      </c>
      <c r="L717" s="61">
        <f t="shared" si="100"/>
        <v>11.1</v>
      </c>
      <c r="M717" s="46">
        <f t="shared" si="101"/>
        <v>32</v>
      </c>
      <c r="Q717" s="3"/>
    </row>
    <row r="718" hidden="1" customHeight="1" outlineLevel="2" spans="1:17">
      <c r="A718" s="64">
        <v>45870</v>
      </c>
      <c r="B718" s="24">
        <v>45872</v>
      </c>
      <c r="D718" s="14">
        <f t="shared" si="97"/>
        <v>6.2</v>
      </c>
      <c r="E718" s="14">
        <v>0</v>
      </c>
      <c r="F718" s="46">
        <v>1</v>
      </c>
      <c r="H718" s="60">
        <f t="shared" si="98"/>
        <v>6.3</v>
      </c>
      <c r="I718" s="47">
        <v>10</v>
      </c>
      <c r="J718" s="14">
        <v>17.5</v>
      </c>
      <c r="K718" s="48">
        <f t="shared" si="99"/>
        <v>0.64</v>
      </c>
      <c r="L718" s="61">
        <f t="shared" si="100"/>
        <v>11.2</v>
      </c>
      <c r="M718" s="46">
        <f t="shared" si="101"/>
        <v>63</v>
      </c>
      <c r="Q718" s="3"/>
    </row>
    <row r="719" hidden="1" customHeight="1" outlineLevel="2" collapsed="1" spans="1:17">
      <c r="A719" s="40">
        <v>45883</v>
      </c>
      <c r="B719" s="40">
        <v>45886</v>
      </c>
      <c r="C719" s="40"/>
      <c r="D719" s="14">
        <f t="shared" si="97"/>
        <v>6.2</v>
      </c>
      <c r="E719" s="14">
        <v>0</v>
      </c>
      <c r="F719" s="46">
        <v>1</v>
      </c>
      <c r="H719" s="60">
        <f t="shared" si="98"/>
        <v>6.3</v>
      </c>
      <c r="I719" s="47">
        <v>10</v>
      </c>
      <c r="J719" s="14">
        <v>17.5</v>
      </c>
      <c r="K719" s="48">
        <f t="shared" si="99"/>
        <v>0.64</v>
      </c>
      <c r="L719" s="61">
        <f t="shared" si="100"/>
        <v>11.2</v>
      </c>
      <c r="M719" s="46">
        <f t="shared" si="101"/>
        <v>63</v>
      </c>
      <c r="N719" s="40"/>
      <c r="O719" s="40"/>
      <c r="P719" s="40"/>
      <c r="Q719" s="3"/>
    </row>
    <row r="720" hidden="1" customHeight="1" outlineLevel="2" spans="1:17">
      <c r="A720" s="40">
        <v>45890</v>
      </c>
      <c r="B720" s="40">
        <v>45894</v>
      </c>
      <c r="C720" s="40"/>
      <c r="D720" s="14">
        <f t="shared" si="97"/>
        <v>6.2</v>
      </c>
      <c r="E720" s="14">
        <v>0</v>
      </c>
      <c r="F720" s="46">
        <v>2</v>
      </c>
      <c r="H720" s="60">
        <f t="shared" si="98"/>
        <v>6.4</v>
      </c>
      <c r="I720" s="47">
        <v>10</v>
      </c>
      <c r="J720" s="14">
        <v>17.5</v>
      </c>
      <c r="K720" s="48">
        <f t="shared" si="99"/>
        <v>0.634285714285714</v>
      </c>
      <c r="L720" s="61">
        <f t="shared" si="100"/>
        <v>11.1</v>
      </c>
      <c r="M720" s="46">
        <f t="shared" si="101"/>
        <v>64</v>
      </c>
      <c r="N720" s="40"/>
      <c r="O720" s="40"/>
      <c r="P720" s="40"/>
      <c r="Q720" s="3"/>
    </row>
    <row r="721" hidden="1" customHeight="1" outlineLevel="2" spans="1:17">
      <c r="A721" s="40">
        <v>45908</v>
      </c>
      <c r="B721" s="40">
        <v>45918</v>
      </c>
      <c r="C721" s="40"/>
      <c r="D721" s="14">
        <f t="shared" si="97"/>
        <v>6.2</v>
      </c>
      <c r="E721" s="14">
        <v>0</v>
      </c>
      <c r="F721" s="46">
        <v>1</v>
      </c>
      <c r="H721" s="60">
        <f t="shared" si="98"/>
        <v>6.4</v>
      </c>
      <c r="I721" s="47">
        <v>5</v>
      </c>
      <c r="J721" s="14">
        <v>17.5</v>
      </c>
      <c r="K721" s="48">
        <f t="shared" si="99"/>
        <v>0.634285714285714</v>
      </c>
      <c r="L721" s="61">
        <f t="shared" si="100"/>
        <v>11.1</v>
      </c>
      <c r="M721" s="46">
        <f t="shared" si="101"/>
        <v>32</v>
      </c>
      <c r="N721" s="40"/>
      <c r="O721" s="40"/>
      <c r="P721" s="40"/>
      <c r="Q721" s="3"/>
    </row>
    <row r="722" hidden="1" customHeight="1" outlineLevel="1" spans="1:17">
      <c r="A722" s="40">
        <v>45920</v>
      </c>
      <c r="B722" s="40">
        <v>45967</v>
      </c>
      <c r="C722" s="40"/>
      <c r="D722" s="14">
        <f t="shared" si="97"/>
        <v>6.2</v>
      </c>
      <c r="E722" s="14">
        <v>0</v>
      </c>
      <c r="F722" s="46">
        <v>1</v>
      </c>
      <c r="H722" s="60">
        <f t="shared" si="98"/>
        <v>6.36666666666667</v>
      </c>
      <c r="I722" s="47">
        <v>6</v>
      </c>
      <c r="J722" s="14">
        <v>17.5</v>
      </c>
      <c r="K722" s="48">
        <f t="shared" si="99"/>
        <v>0.636190476190476</v>
      </c>
      <c r="L722" s="61">
        <f t="shared" si="100"/>
        <v>11.1333333333333</v>
      </c>
      <c r="M722" s="46">
        <f t="shared" si="101"/>
        <v>38.2</v>
      </c>
      <c r="N722" s="40"/>
      <c r="O722" s="40"/>
      <c r="P722" s="40"/>
      <c r="Q722" s="3"/>
    </row>
    <row r="723" hidden="1" customHeight="1" outlineLevel="1" collapsed="1" spans="1:17">
      <c r="A723" s="40" t="s">
        <v>59</v>
      </c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3"/>
    </row>
    <row r="724" hidden="1" customHeight="1" outlineLevel="2" spans="1:17">
      <c r="A724" s="64">
        <v>45718</v>
      </c>
      <c r="B724" s="24">
        <v>45722</v>
      </c>
      <c r="D724" s="14">
        <f t="shared" ref="D724:D737" si="102">0.45*20</f>
        <v>9</v>
      </c>
      <c r="E724" s="14">
        <v>0</v>
      </c>
      <c r="F724" s="46">
        <v>1</v>
      </c>
      <c r="H724" s="60">
        <f t="shared" ref="H724:H737" si="103">D724+(E724/I724)+(F724/I724)</f>
        <v>9.2</v>
      </c>
      <c r="I724" s="47">
        <v>5</v>
      </c>
      <c r="J724" s="14">
        <v>22.5</v>
      </c>
      <c r="K724" s="48">
        <f t="shared" ref="K724:K737" si="104">(J724-H724)/J724</f>
        <v>0.591111111111111</v>
      </c>
      <c r="L724" s="61">
        <f t="shared" ref="L724:L737" si="105">J724-H724</f>
        <v>13.3</v>
      </c>
      <c r="M724" s="46">
        <f t="shared" ref="M724:M737" si="106">D724*I724+E724+F724</f>
        <v>46</v>
      </c>
      <c r="Q724" s="3"/>
    </row>
    <row r="725" hidden="1" customHeight="1" outlineLevel="2" spans="1:17">
      <c r="A725" s="64">
        <v>45727</v>
      </c>
      <c r="B725" s="24">
        <v>45730</v>
      </c>
      <c r="D725" s="14">
        <f t="shared" si="102"/>
        <v>9</v>
      </c>
      <c r="E725" s="14">
        <v>0</v>
      </c>
      <c r="F725" s="46">
        <v>2</v>
      </c>
      <c r="H725" s="60">
        <f t="shared" si="103"/>
        <v>9.4</v>
      </c>
      <c r="I725" s="47">
        <v>5</v>
      </c>
      <c r="J725" s="14">
        <v>22.5</v>
      </c>
      <c r="K725" s="48">
        <f t="shared" si="104"/>
        <v>0.582222222222222</v>
      </c>
      <c r="L725" s="61">
        <f t="shared" si="105"/>
        <v>13.1</v>
      </c>
      <c r="M725" s="46">
        <f t="shared" si="106"/>
        <v>47</v>
      </c>
      <c r="Q725" s="3"/>
    </row>
    <row r="726" hidden="1" customHeight="1" outlineLevel="2" spans="1:17">
      <c r="A726" s="64">
        <v>45730</v>
      </c>
      <c r="B726" s="24">
        <v>45732</v>
      </c>
      <c r="D726" s="14">
        <f t="shared" si="102"/>
        <v>9</v>
      </c>
      <c r="E726" s="14">
        <v>0</v>
      </c>
      <c r="F726" s="46">
        <v>1</v>
      </c>
      <c r="H726" s="60">
        <f t="shared" si="103"/>
        <v>9.2</v>
      </c>
      <c r="I726" s="47">
        <v>5</v>
      </c>
      <c r="J726" s="14">
        <v>22.5</v>
      </c>
      <c r="K726" s="48">
        <f t="shared" si="104"/>
        <v>0.591111111111111</v>
      </c>
      <c r="L726" s="61">
        <f t="shared" si="105"/>
        <v>13.3</v>
      </c>
      <c r="M726" s="46">
        <f t="shared" si="106"/>
        <v>46</v>
      </c>
      <c r="Q726" s="3"/>
    </row>
    <row r="727" hidden="1" customHeight="1" outlineLevel="2" spans="1:17">
      <c r="A727" s="64">
        <v>45748</v>
      </c>
      <c r="B727" s="24">
        <v>45751</v>
      </c>
      <c r="D727" s="14">
        <f t="shared" si="102"/>
        <v>9</v>
      </c>
      <c r="E727" s="14">
        <v>0</v>
      </c>
      <c r="F727" s="46">
        <v>1</v>
      </c>
      <c r="H727" s="60">
        <f t="shared" si="103"/>
        <v>9.16666666666667</v>
      </c>
      <c r="I727" s="47">
        <v>6</v>
      </c>
      <c r="J727" s="14">
        <v>22.5</v>
      </c>
      <c r="K727" s="48">
        <f t="shared" si="104"/>
        <v>0.592592592592593</v>
      </c>
      <c r="L727" s="61">
        <f t="shared" si="105"/>
        <v>13.3333333333333</v>
      </c>
      <c r="M727" s="46">
        <f t="shared" si="106"/>
        <v>55</v>
      </c>
      <c r="Q727" s="3"/>
    </row>
    <row r="728" hidden="1" customHeight="1" outlineLevel="2" spans="1:17">
      <c r="A728" s="64">
        <v>45766</v>
      </c>
      <c r="B728" s="24">
        <v>45770</v>
      </c>
      <c r="D728" s="14">
        <f t="shared" si="102"/>
        <v>9</v>
      </c>
      <c r="E728" s="14">
        <v>0</v>
      </c>
      <c r="F728" s="46">
        <v>1</v>
      </c>
      <c r="H728" s="60">
        <f t="shared" si="103"/>
        <v>9.25</v>
      </c>
      <c r="I728" s="47">
        <v>4</v>
      </c>
      <c r="J728" s="14">
        <v>22.5</v>
      </c>
      <c r="K728" s="48">
        <f t="shared" si="104"/>
        <v>0.588888888888889</v>
      </c>
      <c r="L728" s="61">
        <f t="shared" si="105"/>
        <v>13.25</v>
      </c>
      <c r="M728" s="46">
        <f t="shared" si="106"/>
        <v>37</v>
      </c>
      <c r="Q728" s="3"/>
    </row>
    <row r="729" hidden="1" customHeight="1" outlineLevel="2" spans="1:17">
      <c r="A729" s="64">
        <v>45806</v>
      </c>
      <c r="B729" s="24">
        <v>45809</v>
      </c>
      <c r="D729" s="14">
        <f t="shared" si="102"/>
        <v>9</v>
      </c>
      <c r="E729" s="14">
        <v>0</v>
      </c>
      <c r="F729" s="46">
        <v>1</v>
      </c>
      <c r="H729" s="60">
        <f t="shared" si="103"/>
        <v>9.25</v>
      </c>
      <c r="I729" s="47">
        <v>4</v>
      </c>
      <c r="J729" s="14">
        <v>22.5</v>
      </c>
      <c r="K729" s="48">
        <f t="shared" si="104"/>
        <v>0.588888888888889</v>
      </c>
      <c r="L729" s="61">
        <f t="shared" si="105"/>
        <v>13.25</v>
      </c>
      <c r="M729" s="46">
        <f t="shared" si="106"/>
        <v>37</v>
      </c>
      <c r="Q729" s="3"/>
    </row>
    <row r="730" hidden="1" customHeight="1" outlineLevel="2" spans="1:17">
      <c r="A730" s="64">
        <v>45766</v>
      </c>
      <c r="B730" s="24">
        <v>45821</v>
      </c>
      <c r="D730" s="14">
        <f t="shared" si="102"/>
        <v>9</v>
      </c>
      <c r="E730" s="14">
        <v>0</v>
      </c>
      <c r="F730" s="46">
        <v>1</v>
      </c>
      <c r="H730" s="60">
        <f t="shared" si="103"/>
        <v>9.5</v>
      </c>
      <c r="I730" s="47">
        <v>2</v>
      </c>
      <c r="J730" s="14">
        <v>22.5</v>
      </c>
      <c r="K730" s="48">
        <f t="shared" si="104"/>
        <v>0.577777777777778</v>
      </c>
      <c r="L730" s="61">
        <f t="shared" si="105"/>
        <v>13</v>
      </c>
      <c r="M730" s="46">
        <f t="shared" si="106"/>
        <v>19</v>
      </c>
      <c r="Q730" s="3"/>
    </row>
    <row r="731" hidden="1" customHeight="1" outlineLevel="2" spans="1:17">
      <c r="A731" s="64">
        <v>45820</v>
      </c>
      <c r="B731" s="24">
        <v>45825</v>
      </c>
      <c r="D731" s="14">
        <f t="shared" si="102"/>
        <v>9</v>
      </c>
      <c r="E731" s="14">
        <v>0</v>
      </c>
      <c r="F731" s="46">
        <v>2</v>
      </c>
      <c r="H731" s="60">
        <f t="shared" si="103"/>
        <v>10</v>
      </c>
      <c r="I731" s="47">
        <v>2</v>
      </c>
      <c r="J731" s="14">
        <v>22.5</v>
      </c>
      <c r="K731" s="48">
        <f t="shared" si="104"/>
        <v>0.555555555555556</v>
      </c>
      <c r="L731" s="61">
        <f t="shared" si="105"/>
        <v>12.5</v>
      </c>
      <c r="M731" s="46">
        <f t="shared" si="106"/>
        <v>20</v>
      </c>
      <c r="Q731" s="3"/>
    </row>
    <row r="732" hidden="1" customHeight="1" outlineLevel="2" spans="1:17">
      <c r="A732" s="64">
        <v>45840</v>
      </c>
      <c r="B732" s="24">
        <v>45843</v>
      </c>
      <c r="D732" s="14">
        <f t="shared" si="102"/>
        <v>9</v>
      </c>
      <c r="E732" s="14">
        <v>0</v>
      </c>
      <c r="F732" s="46">
        <v>1</v>
      </c>
      <c r="H732" s="60">
        <f t="shared" si="103"/>
        <v>9.14285714285714</v>
      </c>
      <c r="I732" s="47">
        <v>7</v>
      </c>
      <c r="J732" s="14">
        <v>22.5</v>
      </c>
      <c r="K732" s="48">
        <f t="shared" si="104"/>
        <v>0.593650793650794</v>
      </c>
      <c r="L732" s="61">
        <f t="shared" si="105"/>
        <v>13.3571428571429</v>
      </c>
      <c r="M732" s="46">
        <f t="shared" si="106"/>
        <v>64</v>
      </c>
      <c r="Q732" s="3"/>
    </row>
    <row r="733" hidden="1" customHeight="1" outlineLevel="2" spans="1:17">
      <c r="A733" s="64">
        <v>45861</v>
      </c>
      <c r="B733" s="24">
        <v>45864</v>
      </c>
      <c r="D733" s="14">
        <f t="shared" si="102"/>
        <v>9</v>
      </c>
      <c r="E733" s="14">
        <v>0</v>
      </c>
      <c r="F733" s="46">
        <v>1</v>
      </c>
      <c r="H733" s="60">
        <f t="shared" si="103"/>
        <v>9.14285714285714</v>
      </c>
      <c r="I733" s="47">
        <v>7</v>
      </c>
      <c r="J733" s="14">
        <v>22.5</v>
      </c>
      <c r="K733" s="48">
        <f t="shared" si="104"/>
        <v>0.593650793650794</v>
      </c>
      <c r="L733" s="61">
        <f t="shared" si="105"/>
        <v>13.3571428571429</v>
      </c>
      <c r="M733" s="46">
        <f t="shared" si="106"/>
        <v>64</v>
      </c>
      <c r="Q733" s="3"/>
    </row>
    <row r="734" hidden="1" customHeight="1" outlineLevel="2" collapsed="1" spans="1:17">
      <c r="A734" s="40">
        <v>45883</v>
      </c>
      <c r="B734" s="40">
        <v>45886</v>
      </c>
      <c r="C734" s="40"/>
      <c r="D734" s="14">
        <f t="shared" si="102"/>
        <v>9</v>
      </c>
      <c r="E734" s="14">
        <v>0</v>
      </c>
      <c r="F734" s="46">
        <v>1</v>
      </c>
      <c r="H734" s="60">
        <f t="shared" si="103"/>
        <v>9.125</v>
      </c>
      <c r="I734" s="47">
        <v>8</v>
      </c>
      <c r="J734" s="14">
        <v>22.5</v>
      </c>
      <c r="K734" s="48">
        <f t="shared" si="104"/>
        <v>0.594444444444444</v>
      </c>
      <c r="L734" s="61">
        <f t="shared" si="105"/>
        <v>13.375</v>
      </c>
      <c r="M734" s="46">
        <f t="shared" si="106"/>
        <v>73</v>
      </c>
      <c r="N734" s="40"/>
      <c r="O734" s="40"/>
      <c r="P734" s="40"/>
      <c r="Q734" s="3"/>
    </row>
    <row r="735" hidden="1" customHeight="1" outlineLevel="2" spans="1:17">
      <c r="A735" s="40">
        <v>45890</v>
      </c>
      <c r="B735" s="40">
        <v>45894</v>
      </c>
      <c r="C735" s="40"/>
      <c r="D735" s="14">
        <f t="shared" si="102"/>
        <v>9</v>
      </c>
      <c r="E735" s="14">
        <v>0</v>
      </c>
      <c r="F735" s="46">
        <v>1</v>
      </c>
      <c r="H735" s="60">
        <f t="shared" si="103"/>
        <v>9.25</v>
      </c>
      <c r="I735" s="47">
        <v>4</v>
      </c>
      <c r="J735" s="14">
        <v>22.5</v>
      </c>
      <c r="K735" s="48">
        <f t="shared" si="104"/>
        <v>0.588888888888889</v>
      </c>
      <c r="L735" s="61">
        <f t="shared" si="105"/>
        <v>13.25</v>
      </c>
      <c r="M735" s="46">
        <f t="shared" si="106"/>
        <v>37</v>
      </c>
      <c r="N735" s="40"/>
      <c r="O735" s="40"/>
      <c r="P735" s="40"/>
      <c r="Q735" s="3"/>
    </row>
    <row r="736" hidden="1" customHeight="1" outlineLevel="2" spans="1:17">
      <c r="A736" s="40">
        <v>45908</v>
      </c>
      <c r="B736" s="40">
        <v>45920</v>
      </c>
      <c r="C736" s="40"/>
      <c r="D736" s="14">
        <f t="shared" si="102"/>
        <v>9</v>
      </c>
      <c r="E736" s="14">
        <v>0</v>
      </c>
      <c r="F736" s="46">
        <v>2</v>
      </c>
      <c r="H736" s="60">
        <f t="shared" si="103"/>
        <v>9.66666666666667</v>
      </c>
      <c r="I736" s="47">
        <v>3</v>
      </c>
      <c r="J736" s="14">
        <v>22.5</v>
      </c>
      <c r="K736" s="48">
        <f t="shared" si="104"/>
        <v>0.57037037037037</v>
      </c>
      <c r="L736" s="61">
        <f t="shared" si="105"/>
        <v>12.8333333333333</v>
      </c>
      <c r="M736" s="46">
        <f t="shared" si="106"/>
        <v>29</v>
      </c>
      <c r="N736" s="40"/>
      <c r="O736" s="40"/>
      <c r="P736" s="40"/>
      <c r="Q736" s="3"/>
    </row>
    <row r="737" hidden="1" customHeight="1" outlineLevel="1" spans="1:17">
      <c r="A737" s="40">
        <v>45920</v>
      </c>
      <c r="B737" s="40">
        <v>45967</v>
      </c>
      <c r="C737" s="40"/>
      <c r="D737" s="14">
        <f t="shared" si="102"/>
        <v>9</v>
      </c>
      <c r="E737" s="14">
        <v>0</v>
      </c>
      <c r="F737" s="46">
        <v>1</v>
      </c>
      <c r="H737" s="60">
        <f t="shared" si="103"/>
        <v>9.5</v>
      </c>
      <c r="I737" s="47">
        <v>2</v>
      </c>
      <c r="J737" s="14">
        <v>22.5</v>
      </c>
      <c r="K737" s="48">
        <f t="shared" si="104"/>
        <v>0.577777777777778</v>
      </c>
      <c r="L737" s="61">
        <f t="shared" si="105"/>
        <v>13</v>
      </c>
      <c r="M737" s="46">
        <f t="shared" si="106"/>
        <v>19</v>
      </c>
      <c r="N737" s="40"/>
      <c r="O737" s="40"/>
      <c r="P737" s="40"/>
      <c r="Q737" s="3"/>
    </row>
    <row r="738" hidden="1" customHeight="1" outlineLevel="1" collapsed="1" spans="1:17">
      <c r="A738" s="40" t="s">
        <v>60</v>
      </c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3"/>
    </row>
    <row r="739" hidden="1" customHeight="1" outlineLevel="2" spans="1:17">
      <c r="A739" s="64">
        <v>45718</v>
      </c>
      <c r="B739" s="24">
        <v>45722</v>
      </c>
      <c r="D739" s="14">
        <f t="shared" ref="D739:D750" si="107">0.65*20</f>
        <v>13</v>
      </c>
      <c r="E739" s="14">
        <v>0</v>
      </c>
      <c r="F739" s="46">
        <v>1</v>
      </c>
      <c r="H739" s="60">
        <f t="shared" ref="H739:H750" si="108">D739+(E739/I739)+(F739/I739)</f>
        <v>13.2</v>
      </c>
      <c r="I739" s="47">
        <v>5</v>
      </c>
      <c r="J739" s="14">
        <v>32.3</v>
      </c>
      <c r="K739" s="48">
        <f t="shared" ref="K739:K750" si="109">(J739-H739)/J739</f>
        <v>0.591331269349845</v>
      </c>
      <c r="L739" s="61">
        <f t="shared" ref="L739:L750" si="110">J739-H739</f>
        <v>19.1</v>
      </c>
      <c r="M739" s="46">
        <f t="shared" ref="M739:M750" si="111">D739*I739+E739+F739</f>
        <v>66</v>
      </c>
      <c r="Q739" s="3"/>
    </row>
    <row r="740" hidden="1" customHeight="1" outlineLevel="2" spans="1:17">
      <c r="A740" s="64">
        <v>45730</v>
      </c>
      <c r="B740" s="24">
        <v>45732</v>
      </c>
      <c r="D740" s="14">
        <f t="shared" si="107"/>
        <v>13</v>
      </c>
      <c r="E740" s="14">
        <v>0</v>
      </c>
      <c r="F740" s="46">
        <v>1</v>
      </c>
      <c r="H740" s="60">
        <f t="shared" si="108"/>
        <v>13.2</v>
      </c>
      <c r="I740" s="47">
        <v>5</v>
      </c>
      <c r="J740" s="14">
        <v>32.3</v>
      </c>
      <c r="K740" s="48">
        <f t="shared" si="109"/>
        <v>0.591331269349845</v>
      </c>
      <c r="L740" s="61">
        <f t="shared" si="110"/>
        <v>19.1</v>
      </c>
      <c r="M740" s="46">
        <f t="shared" si="111"/>
        <v>66</v>
      </c>
      <c r="Q740" s="3"/>
    </row>
    <row r="741" hidden="1" customHeight="1" outlineLevel="2" spans="1:17">
      <c r="A741" s="64">
        <v>45748</v>
      </c>
      <c r="B741" s="24">
        <v>45751</v>
      </c>
      <c r="D741" s="14">
        <f t="shared" si="107"/>
        <v>13</v>
      </c>
      <c r="E741" s="14">
        <v>0</v>
      </c>
      <c r="F741" s="46">
        <v>1</v>
      </c>
      <c r="H741" s="60">
        <f t="shared" si="108"/>
        <v>13.1666666666667</v>
      </c>
      <c r="I741" s="47">
        <v>6</v>
      </c>
      <c r="J741" s="14">
        <v>32.3</v>
      </c>
      <c r="K741" s="48">
        <f t="shared" si="109"/>
        <v>0.592363261093911</v>
      </c>
      <c r="L741" s="61">
        <f t="shared" si="110"/>
        <v>19.1333333333333</v>
      </c>
      <c r="M741" s="46">
        <f t="shared" si="111"/>
        <v>79</v>
      </c>
      <c r="Q741" s="3"/>
    </row>
    <row r="742" hidden="1" customHeight="1" outlineLevel="2" spans="1:17">
      <c r="A742" s="64">
        <v>45766</v>
      </c>
      <c r="B742" s="24">
        <v>45770</v>
      </c>
      <c r="D742" s="14">
        <f t="shared" si="107"/>
        <v>13</v>
      </c>
      <c r="E742" s="14">
        <v>0</v>
      </c>
      <c r="F742" s="46">
        <v>1</v>
      </c>
      <c r="H742" s="60">
        <f t="shared" si="108"/>
        <v>13.1666666666667</v>
      </c>
      <c r="I742" s="47">
        <v>6</v>
      </c>
      <c r="J742" s="14">
        <v>32.3</v>
      </c>
      <c r="K742" s="48">
        <f t="shared" si="109"/>
        <v>0.592363261093911</v>
      </c>
      <c r="L742" s="61">
        <f t="shared" si="110"/>
        <v>19.1333333333333</v>
      </c>
      <c r="M742" s="46">
        <f t="shared" si="111"/>
        <v>79</v>
      </c>
      <c r="Q742" s="3"/>
    </row>
    <row r="743" hidden="1" customHeight="1" outlineLevel="2" spans="1:17">
      <c r="A743" s="64">
        <v>45806</v>
      </c>
      <c r="B743" s="24">
        <v>45809</v>
      </c>
      <c r="D743" s="14">
        <f t="shared" si="107"/>
        <v>13</v>
      </c>
      <c r="E743" s="14">
        <v>0</v>
      </c>
      <c r="F743" s="46">
        <v>1</v>
      </c>
      <c r="H743" s="60">
        <f t="shared" si="108"/>
        <v>13.5</v>
      </c>
      <c r="I743" s="47">
        <v>2</v>
      </c>
      <c r="J743" s="14">
        <v>32.3</v>
      </c>
      <c r="K743" s="48">
        <f t="shared" si="109"/>
        <v>0.582043343653251</v>
      </c>
      <c r="L743" s="61">
        <f t="shared" si="110"/>
        <v>18.8</v>
      </c>
      <c r="M743" s="46">
        <f t="shared" si="111"/>
        <v>27</v>
      </c>
      <c r="Q743" s="3"/>
    </row>
    <row r="744" hidden="1" customHeight="1" outlineLevel="2" spans="1:17">
      <c r="A744" s="64">
        <v>45820</v>
      </c>
      <c r="B744" s="24">
        <v>45824</v>
      </c>
      <c r="D744" s="14">
        <f t="shared" si="107"/>
        <v>13</v>
      </c>
      <c r="E744" s="14">
        <v>0</v>
      </c>
      <c r="F744" s="46">
        <v>1</v>
      </c>
      <c r="H744" s="60">
        <f t="shared" si="108"/>
        <v>13.25</v>
      </c>
      <c r="I744" s="47">
        <v>4</v>
      </c>
      <c r="J744" s="14">
        <v>32.3</v>
      </c>
      <c r="K744" s="48">
        <f t="shared" si="109"/>
        <v>0.589783281733746</v>
      </c>
      <c r="L744" s="61">
        <f t="shared" si="110"/>
        <v>19.05</v>
      </c>
      <c r="M744" s="46">
        <f t="shared" si="111"/>
        <v>53</v>
      </c>
      <c r="Q744" s="3"/>
    </row>
    <row r="745" hidden="1" customHeight="1" outlineLevel="2" spans="1:17">
      <c r="A745" s="64">
        <v>45840</v>
      </c>
      <c r="B745" s="24">
        <v>45843</v>
      </c>
      <c r="D745" s="14">
        <f t="shared" si="107"/>
        <v>13</v>
      </c>
      <c r="E745" s="14">
        <v>0</v>
      </c>
      <c r="F745" s="46">
        <v>1</v>
      </c>
      <c r="H745" s="60">
        <f t="shared" si="108"/>
        <v>13.1428571428571</v>
      </c>
      <c r="I745" s="47">
        <v>7</v>
      </c>
      <c r="J745" s="14">
        <v>32.3</v>
      </c>
      <c r="K745" s="48">
        <f t="shared" si="109"/>
        <v>0.593100398053958</v>
      </c>
      <c r="L745" s="61">
        <f t="shared" si="110"/>
        <v>19.1571428571429</v>
      </c>
      <c r="M745" s="46">
        <f t="shared" si="111"/>
        <v>92</v>
      </c>
      <c r="Q745" s="3"/>
    </row>
    <row r="746" hidden="1" customHeight="1" outlineLevel="2" spans="1:17">
      <c r="A746" s="64">
        <v>45861</v>
      </c>
      <c r="B746" s="24">
        <v>45864</v>
      </c>
      <c r="D746" s="14">
        <f t="shared" si="107"/>
        <v>13</v>
      </c>
      <c r="E746" s="14">
        <v>0</v>
      </c>
      <c r="F746" s="46">
        <v>1</v>
      </c>
      <c r="H746" s="60">
        <f t="shared" si="108"/>
        <v>13.3333333333333</v>
      </c>
      <c r="I746" s="47">
        <v>3</v>
      </c>
      <c r="J746" s="14">
        <v>32.3</v>
      </c>
      <c r="K746" s="48">
        <f t="shared" si="109"/>
        <v>0.587203302373581</v>
      </c>
      <c r="L746" s="61">
        <f t="shared" si="110"/>
        <v>18.9666666666667</v>
      </c>
      <c r="M746" s="46">
        <f t="shared" si="111"/>
        <v>40</v>
      </c>
      <c r="Q746" s="3"/>
    </row>
    <row r="747" hidden="1" customHeight="1" outlineLevel="2" spans="1:17">
      <c r="A747" s="64">
        <v>45870</v>
      </c>
      <c r="B747" s="24">
        <v>45872</v>
      </c>
      <c r="D747" s="14">
        <f t="shared" si="107"/>
        <v>13</v>
      </c>
      <c r="E747" s="14">
        <v>0</v>
      </c>
      <c r="F747" s="46">
        <v>1</v>
      </c>
      <c r="H747" s="60">
        <f t="shared" si="108"/>
        <v>13.125</v>
      </c>
      <c r="I747" s="47">
        <v>8</v>
      </c>
      <c r="J747" s="14">
        <v>32.3</v>
      </c>
      <c r="K747" s="48">
        <f t="shared" si="109"/>
        <v>0.593653250773994</v>
      </c>
      <c r="L747" s="61">
        <f t="shared" si="110"/>
        <v>19.175</v>
      </c>
      <c r="M747" s="46">
        <f t="shared" si="111"/>
        <v>105</v>
      </c>
      <c r="Q747" s="3"/>
    </row>
    <row r="748" hidden="1" customHeight="1" outlineLevel="2" spans="1:17">
      <c r="A748" s="40">
        <v>45883</v>
      </c>
      <c r="B748" s="40">
        <v>45886</v>
      </c>
      <c r="D748" s="14">
        <f t="shared" si="107"/>
        <v>13</v>
      </c>
      <c r="E748" s="14">
        <v>0</v>
      </c>
      <c r="F748" s="46">
        <v>1</v>
      </c>
      <c r="H748" s="60">
        <f t="shared" si="108"/>
        <v>13.1428571428571</v>
      </c>
      <c r="I748" s="47">
        <v>7</v>
      </c>
      <c r="J748" s="14">
        <v>32.3</v>
      </c>
      <c r="K748" s="48">
        <f t="shared" si="109"/>
        <v>0.593100398053958</v>
      </c>
      <c r="L748" s="61">
        <f t="shared" si="110"/>
        <v>19.1571428571429</v>
      </c>
      <c r="M748" s="46">
        <f t="shared" si="111"/>
        <v>92</v>
      </c>
      <c r="Q748" s="3"/>
    </row>
    <row r="749" hidden="1" customHeight="1" outlineLevel="2" spans="1:17">
      <c r="A749" s="40">
        <v>45908</v>
      </c>
      <c r="B749" s="40">
        <v>45918</v>
      </c>
      <c r="D749" s="14">
        <f t="shared" si="107"/>
        <v>13</v>
      </c>
      <c r="E749" s="14">
        <v>0</v>
      </c>
      <c r="F749" s="46">
        <v>1</v>
      </c>
      <c r="H749" s="60">
        <f t="shared" si="108"/>
        <v>13.5</v>
      </c>
      <c r="I749" s="47">
        <v>2</v>
      </c>
      <c r="J749" s="14">
        <v>32.3</v>
      </c>
      <c r="K749" s="48">
        <f t="shared" si="109"/>
        <v>0.582043343653251</v>
      </c>
      <c r="L749" s="61">
        <f t="shared" si="110"/>
        <v>18.8</v>
      </c>
      <c r="M749" s="46">
        <f t="shared" si="111"/>
        <v>27</v>
      </c>
      <c r="Q749" s="3"/>
    </row>
    <row r="750" hidden="1" customHeight="1" outlineLevel="1" spans="1:17">
      <c r="A750" s="40">
        <v>45920</v>
      </c>
      <c r="B750" s="24"/>
      <c r="D750" s="14">
        <f t="shared" si="107"/>
        <v>13</v>
      </c>
      <c r="E750" s="14">
        <v>0</v>
      </c>
      <c r="H750" s="60">
        <f t="shared" si="108"/>
        <v>13</v>
      </c>
      <c r="I750" s="47">
        <v>2</v>
      </c>
      <c r="J750" s="14">
        <v>32.3</v>
      </c>
      <c r="K750" s="48">
        <f t="shared" si="109"/>
        <v>0.597523219814242</v>
      </c>
      <c r="L750" s="61">
        <f t="shared" si="110"/>
        <v>19.3</v>
      </c>
      <c r="M750" s="46">
        <f t="shared" si="111"/>
        <v>26</v>
      </c>
      <c r="Q750" s="3"/>
    </row>
    <row r="751" hidden="1" customHeight="1" outlineLevel="1" spans="1:17">
      <c r="A751" s="64"/>
      <c r="B751" s="24"/>
      <c r="H751" s="60"/>
      <c r="L751" s="61"/>
      <c r="Q751" s="3"/>
    </row>
    <row r="752" customHeight="1" spans="1:17">
      <c r="B752" s="24"/>
      <c r="Q752" s="1"/>
    </row>
    <row r="753" customHeight="1" spans="1:17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5"/>
      <c r="Q753" s="22"/>
    </row>
    <row r="754" customHeight="1" collapsed="1" spans="1:17">
      <c r="A754" s="18" t="s">
        <v>61</v>
      </c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 t="str">
        <f>_xlfn.DISPIMG("ID_6496FD904BC44F6DBB446327A0F7D54B",1)</f>
        <v>=DISPIMG("ID_6496FD904BC44F6DBB446327A0F7D54B",1)</v>
      </c>
      <c r="P754" s="15"/>
      <c r="Q754" s="22" t="s">
        <v>62</v>
      </c>
    </row>
    <row r="755" hidden="1" customHeight="1" outlineLevel="1" collapsed="1" spans="1:17">
      <c r="A755" s="18" t="s">
        <v>63</v>
      </c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3"/>
    </row>
    <row r="756" hidden="1" customHeight="1" outlineLevel="2" spans="1:17">
      <c r="A756" s="64">
        <v>45740</v>
      </c>
      <c r="B756" s="24">
        <v>45744</v>
      </c>
      <c r="D756" s="14">
        <f t="shared" ref="D756:D769" si="112">0.84*20</f>
        <v>16.8</v>
      </c>
      <c r="E756" s="14">
        <v>0</v>
      </c>
      <c r="F756" s="46">
        <v>1</v>
      </c>
      <c r="H756" s="60">
        <f t="shared" ref="H756:H776" si="113">D756+(E756/I756)+(F756/I756)</f>
        <v>17.1333333333333</v>
      </c>
      <c r="I756" s="47">
        <v>3</v>
      </c>
      <c r="J756" s="14">
        <v>42</v>
      </c>
      <c r="K756" s="48">
        <f t="shared" ref="K756:K776" si="114">(J756-H756)/J756</f>
        <v>0.592063492063492</v>
      </c>
      <c r="L756" s="61">
        <f t="shared" ref="L756:L776" si="115">J756-H756</f>
        <v>24.8666666666667</v>
      </c>
      <c r="M756" s="46">
        <f t="shared" ref="M756:M776" si="116">D756*I756+E756+F756</f>
        <v>51.4</v>
      </c>
      <c r="N756" s="15"/>
      <c r="O756" s="15"/>
      <c r="P756" s="15"/>
      <c r="Q756" s="3"/>
    </row>
    <row r="757" hidden="1" customHeight="1" outlineLevel="2" spans="1:17">
      <c r="A757" s="64">
        <v>45767</v>
      </c>
      <c r="B757" s="24">
        <v>45771</v>
      </c>
      <c r="D757" s="14">
        <f t="shared" si="112"/>
        <v>16.8</v>
      </c>
      <c r="E757" s="14">
        <v>0</v>
      </c>
      <c r="F757" s="46">
        <v>1</v>
      </c>
      <c r="H757" s="60">
        <f t="shared" si="113"/>
        <v>17</v>
      </c>
      <c r="I757" s="47">
        <v>5</v>
      </c>
      <c r="J757" s="14">
        <v>42</v>
      </c>
      <c r="K757" s="48">
        <f t="shared" si="114"/>
        <v>0.595238095238095</v>
      </c>
      <c r="L757" s="61">
        <f t="shared" si="115"/>
        <v>25</v>
      </c>
      <c r="M757" s="46">
        <f t="shared" si="116"/>
        <v>85</v>
      </c>
      <c r="N757" s="15"/>
      <c r="O757" s="15"/>
      <c r="P757" s="15"/>
      <c r="Q757" s="3"/>
    </row>
    <row r="758" hidden="1" customHeight="1" outlineLevel="2" spans="1:17">
      <c r="A758" s="64">
        <v>45785</v>
      </c>
      <c r="B758" s="24">
        <v>45789</v>
      </c>
      <c r="D758" s="14">
        <f t="shared" si="112"/>
        <v>16.8</v>
      </c>
      <c r="E758" s="14">
        <v>0</v>
      </c>
      <c r="F758" s="46">
        <v>1</v>
      </c>
      <c r="H758" s="60">
        <f t="shared" si="113"/>
        <v>17</v>
      </c>
      <c r="I758" s="47">
        <v>5</v>
      </c>
      <c r="J758" s="14">
        <v>42</v>
      </c>
      <c r="K758" s="48">
        <f t="shared" si="114"/>
        <v>0.595238095238095</v>
      </c>
      <c r="L758" s="61">
        <f t="shared" si="115"/>
        <v>25</v>
      </c>
      <c r="M758" s="46">
        <f t="shared" si="116"/>
        <v>85</v>
      </c>
      <c r="N758" s="15"/>
      <c r="O758" s="15"/>
      <c r="P758" s="15"/>
      <c r="Q758" s="3"/>
    </row>
    <row r="759" hidden="1" customHeight="1" outlineLevel="2" spans="1:17">
      <c r="A759" s="64">
        <v>45798</v>
      </c>
      <c r="B759" s="24">
        <v>45801</v>
      </c>
      <c r="D759" s="14">
        <f t="shared" si="112"/>
        <v>16.8</v>
      </c>
      <c r="E759" s="14">
        <v>0</v>
      </c>
      <c r="F759" s="46">
        <v>1</v>
      </c>
      <c r="H759" s="60">
        <f t="shared" si="113"/>
        <v>17</v>
      </c>
      <c r="I759" s="47">
        <v>5</v>
      </c>
      <c r="J759" s="14">
        <v>42</v>
      </c>
      <c r="K759" s="48">
        <f t="shared" si="114"/>
        <v>0.595238095238095</v>
      </c>
      <c r="L759" s="61">
        <f t="shared" si="115"/>
        <v>25</v>
      </c>
      <c r="M759" s="46">
        <f t="shared" si="116"/>
        <v>85</v>
      </c>
      <c r="N759" s="15"/>
      <c r="O759" s="15"/>
      <c r="P759" s="15"/>
      <c r="Q759" s="3"/>
    </row>
    <row r="760" hidden="1" customHeight="1" outlineLevel="2" spans="1:17">
      <c r="A760" s="64">
        <v>45812</v>
      </c>
      <c r="B760" s="24">
        <v>45815</v>
      </c>
      <c r="D760" s="14">
        <f t="shared" si="112"/>
        <v>16.8</v>
      </c>
      <c r="E760" s="14">
        <v>0</v>
      </c>
      <c r="F760" s="46">
        <v>1</v>
      </c>
      <c r="H760" s="60">
        <f t="shared" si="113"/>
        <v>16.9666666666667</v>
      </c>
      <c r="I760" s="47">
        <v>6</v>
      </c>
      <c r="J760" s="14">
        <v>42</v>
      </c>
      <c r="K760" s="48">
        <f t="shared" si="114"/>
        <v>0.596031746031746</v>
      </c>
      <c r="L760" s="61">
        <f t="shared" si="115"/>
        <v>25.0333333333333</v>
      </c>
      <c r="M760" s="46">
        <f t="shared" si="116"/>
        <v>101.8</v>
      </c>
      <c r="N760" s="15"/>
      <c r="O760" s="15"/>
      <c r="P760" s="15"/>
      <c r="Q760" s="3"/>
    </row>
    <row r="761" hidden="1" customHeight="1" outlineLevel="2" spans="1:17">
      <c r="A761" s="64">
        <v>45820</v>
      </c>
      <c r="B761" s="24">
        <v>45823</v>
      </c>
      <c r="D761" s="14">
        <f t="shared" si="112"/>
        <v>16.8</v>
      </c>
      <c r="E761" s="14">
        <v>0</v>
      </c>
      <c r="F761" s="46">
        <v>1</v>
      </c>
      <c r="H761" s="60">
        <f t="shared" si="113"/>
        <v>16.9666666666667</v>
      </c>
      <c r="I761" s="47">
        <v>6</v>
      </c>
      <c r="J761" s="14">
        <v>42</v>
      </c>
      <c r="K761" s="48">
        <f t="shared" si="114"/>
        <v>0.596031746031746</v>
      </c>
      <c r="L761" s="61">
        <f t="shared" si="115"/>
        <v>25.0333333333333</v>
      </c>
      <c r="M761" s="46">
        <f t="shared" si="116"/>
        <v>101.8</v>
      </c>
      <c r="N761" s="15"/>
      <c r="O761" s="15"/>
      <c r="P761" s="15"/>
      <c r="Q761" s="3"/>
    </row>
    <row r="762" hidden="1" customHeight="1" outlineLevel="2" spans="1:17">
      <c r="A762" s="64">
        <v>45829</v>
      </c>
      <c r="B762" s="24">
        <v>45842</v>
      </c>
      <c r="D762" s="14">
        <f t="shared" si="112"/>
        <v>16.8</v>
      </c>
      <c r="E762" s="14">
        <v>0</v>
      </c>
      <c r="F762" s="46">
        <v>2</v>
      </c>
      <c r="H762" s="60">
        <f t="shared" si="113"/>
        <v>17.8</v>
      </c>
      <c r="I762" s="47">
        <v>2</v>
      </c>
      <c r="J762" s="14">
        <v>42</v>
      </c>
      <c r="K762" s="48">
        <f t="shared" si="114"/>
        <v>0.576190476190476</v>
      </c>
      <c r="L762" s="61">
        <f t="shared" si="115"/>
        <v>24.2</v>
      </c>
      <c r="M762" s="46">
        <f t="shared" si="116"/>
        <v>35.6</v>
      </c>
      <c r="N762" s="15"/>
      <c r="O762" s="15"/>
      <c r="P762" s="15"/>
      <c r="Q762" s="3"/>
    </row>
    <row r="763" hidden="1" customHeight="1" outlineLevel="2" spans="1:17">
      <c r="A763" s="64">
        <v>45849</v>
      </c>
      <c r="B763" s="24">
        <v>45857</v>
      </c>
      <c r="D763" s="14">
        <f t="shared" si="112"/>
        <v>16.8</v>
      </c>
      <c r="E763" s="14">
        <v>0</v>
      </c>
      <c r="F763" s="46">
        <v>2</v>
      </c>
      <c r="H763" s="60">
        <f t="shared" si="113"/>
        <v>17.1333333333333</v>
      </c>
      <c r="I763" s="47">
        <v>6</v>
      </c>
      <c r="J763" s="14">
        <v>42</v>
      </c>
      <c r="K763" s="48">
        <f t="shared" si="114"/>
        <v>0.592063492063492</v>
      </c>
      <c r="L763" s="61">
        <f t="shared" si="115"/>
        <v>24.8666666666667</v>
      </c>
      <c r="M763" s="46">
        <f t="shared" si="116"/>
        <v>102.8</v>
      </c>
      <c r="N763" s="15"/>
      <c r="O763" s="15"/>
      <c r="P763" s="15"/>
      <c r="Q763" s="3"/>
    </row>
    <row r="764" hidden="1" customHeight="1" outlineLevel="2" spans="1:17">
      <c r="A764" s="64">
        <v>45864</v>
      </c>
      <c r="B764" s="24">
        <v>45870</v>
      </c>
      <c r="D764" s="14">
        <f t="shared" si="112"/>
        <v>16.8</v>
      </c>
      <c r="E764" s="14">
        <v>0</v>
      </c>
      <c r="F764" s="46">
        <v>1</v>
      </c>
      <c r="H764" s="60">
        <f t="shared" si="113"/>
        <v>17.1333333333333</v>
      </c>
      <c r="I764" s="47">
        <v>3</v>
      </c>
      <c r="J764" s="14">
        <v>42</v>
      </c>
      <c r="K764" s="48">
        <f t="shared" si="114"/>
        <v>0.592063492063492</v>
      </c>
      <c r="L764" s="61">
        <f t="shared" si="115"/>
        <v>24.8666666666667</v>
      </c>
      <c r="M764" s="46">
        <f t="shared" si="116"/>
        <v>51.4</v>
      </c>
      <c r="N764" s="15"/>
      <c r="O764" s="15"/>
      <c r="P764" s="15"/>
      <c r="Q764" s="3"/>
    </row>
    <row r="765" hidden="1" customHeight="1" outlineLevel="2" spans="1:17">
      <c r="A765" s="40">
        <v>45871</v>
      </c>
      <c r="B765" s="40">
        <v>45877</v>
      </c>
      <c r="C765" s="18"/>
      <c r="D765" s="14">
        <f t="shared" si="112"/>
        <v>16.8</v>
      </c>
      <c r="E765" s="14">
        <v>0</v>
      </c>
      <c r="F765" s="46">
        <v>1</v>
      </c>
      <c r="H765" s="60">
        <f t="shared" si="113"/>
        <v>16.8666666666667</v>
      </c>
      <c r="I765" s="47">
        <v>15</v>
      </c>
      <c r="J765" s="14">
        <v>42</v>
      </c>
      <c r="K765" s="48">
        <f t="shared" si="114"/>
        <v>0.598412698412698</v>
      </c>
      <c r="L765" s="61">
        <f t="shared" si="115"/>
        <v>25.1333333333333</v>
      </c>
      <c r="M765" s="46">
        <f t="shared" si="116"/>
        <v>253</v>
      </c>
      <c r="N765" s="18"/>
      <c r="O765" s="18"/>
      <c r="P765" s="18"/>
      <c r="Q765" s="3"/>
    </row>
    <row r="766" hidden="1" customHeight="1" outlineLevel="2" spans="1:17">
      <c r="A766" s="40">
        <v>45871</v>
      </c>
      <c r="B766" s="40">
        <v>45904</v>
      </c>
      <c r="C766" s="18"/>
      <c r="D766" s="14">
        <f t="shared" si="112"/>
        <v>16.8</v>
      </c>
      <c r="E766" s="14">
        <v>0</v>
      </c>
      <c r="F766" s="46">
        <v>2</v>
      </c>
      <c r="H766" s="60">
        <f t="shared" si="113"/>
        <v>17.8</v>
      </c>
      <c r="I766" s="47">
        <v>2</v>
      </c>
      <c r="J766" s="14">
        <v>42</v>
      </c>
      <c r="K766" s="48">
        <f t="shared" si="114"/>
        <v>0.576190476190476</v>
      </c>
      <c r="L766" s="61">
        <f t="shared" si="115"/>
        <v>24.2</v>
      </c>
      <c r="M766" s="46">
        <f t="shared" si="116"/>
        <v>35.6</v>
      </c>
      <c r="N766" s="18"/>
      <c r="O766" s="18"/>
      <c r="P766" s="18"/>
      <c r="Q766" s="3"/>
    </row>
    <row r="767" hidden="1" customHeight="1" outlineLevel="2" spans="1:17">
      <c r="A767" s="40">
        <v>45908</v>
      </c>
      <c r="B767" s="40">
        <v>45912</v>
      </c>
      <c r="C767" s="18"/>
      <c r="D767" s="14">
        <f t="shared" si="112"/>
        <v>16.8</v>
      </c>
      <c r="E767" s="14">
        <v>0</v>
      </c>
      <c r="F767" s="46">
        <v>2</v>
      </c>
      <c r="H767" s="60">
        <f t="shared" si="113"/>
        <v>17.8</v>
      </c>
      <c r="I767" s="47">
        <v>2</v>
      </c>
      <c r="J767" s="14">
        <v>42</v>
      </c>
      <c r="K767" s="48">
        <f t="shared" si="114"/>
        <v>0.576190476190476</v>
      </c>
      <c r="L767" s="61">
        <f t="shared" si="115"/>
        <v>24.2</v>
      </c>
      <c r="M767" s="46">
        <f t="shared" si="116"/>
        <v>35.6</v>
      </c>
      <c r="N767" s="18"/>
      <c r="O767" s="18"/>
      <c r="P767" s="18"/>
      <c r="Q767" s="3"/>
    </row>
    <row r="768" hidden="1" customHeight="1" outlineLevel="2" spans="1:17">
      <c r="A768" s="40">
        <v>45914</v>
      </c>
      <c r="B768" s="40">
        <v>45925</v>
      </c>
      <c r="C768" s="18"/>
      <c r="D768" s="14">
        <f t="shared" si="112"/>
        <v>16.8</v>
      </c>
      <c r="E768" s="14">
        <v>0</v>
      </c>
      <c r="F768" s="46">
        <v>1</v>
      </c>
      <c r="H768" s="60">
        <f t="shared" si="113"/>
        <v>17.1333333333333</v>
      </c>
      <c r="I768" s="47">
        <v>3</v>
      </c>
      <c r="J768" s="14">
        <v>42</v>
      </c>
      <c r="K768" s="48">
        <f t="shared" si="114"/>
        <v>0.592063492063492</v>
      </c>
      <c r="L768" s="61">
        <f t="shared" si="115"/>
        <v>24.8666666666667</v>
      </c>
      <c r="M768" s="46">
        <f t="shared" si="116"/>
        <v>51.4</v>
      </c>
      <c r="N768" s="18"/>
      <c r="O768" s="18"/>
      <c r="P768" s="18"/>
      <c r="Q768" s="3"/>
    </row>
    <row r="769" hidden="1" customHeight="1" outlineLevel="2" spans="1:17">
      <c r="A769" s="40">
        <v>45925</v>
      </c>
      <c r="B769" s="40">
        <v>45938</v>
      </c>
      <c r="C769" s="18"/>
      <c r="D769" s="14">
        <f t="shared" si="112"/>
        <v>16.8</v>
      </c>
      <c r="E769" s="14">
        <v>0</v>
      </c>
      <c r="F769" s="46">
        <v>1</v>
      </c>
      <c r="H769" s="60">
        <f t="shared" si="113"/>
        <v>17.3</v>
      </c>
      <c r="I769" s="47">
        <v>2</v>
      </c>
      <c r="J769" s="14">
        <v>42</v>
      </c>
      <c r="K769" s="48">
        <f t="shared" si="114"/>
        <v>0.588095238095238</v>
      </c>
      <c r="L769" s="61">
        <f t="shared" si="115"/>
        <v>24.7</v>
      </c>
      <c r="M769" s="46">
        <f t="shared" si="116"/>
        <v>34.6</v>
      </c>
      <c r="N769" s="18"/>
      <c r="O769" s="18"/>
      <c r="P769" s="18"/>
      <c r="Q769" s="3"/>
    </row>
    <row r="770" hidden="1" customHeight="1" outlineLevel="2" spans="1:17">
      <c r="A770" s="40">
        <v>45938</v>
      </c>
      <c r="B770" s="40">
        <v>45942</v>
      </c>
      <c r="C770" s="18"/>
      <c r="D770" s="14">
        <f t="shared" ref="D770:D773" si="117">0.92*20</f>
        <v>18.4</v>
      </c>
      <c r="E770" s="14">
        <v>0</v>
      </c>
      <c r="F770" s="46">
        <v>1</v>
      </c>
      <c r="H770" s="60">
        <f t="shared" si="113"/>
        <v>18.7333333333333</v>
      </c>
      <c r="I770" s="47">
        <v>3</v>
      </c>
      <c r="J770" s="14">
        <v>42</v>
      </c>
      <c r="K770" s="48">
        <f t="shared" si="114"/>
        <v>0.553968253968254</v>
      </c>
      <c r="L770" s="61">
        <f t="shared" si="115"/>
        <v>23.2666666666667</v>
      </c>
      <c r="M770" s="46">
        <f t="shared" si="116"/>
        <v>56.2</v>
      </c>
      <c r="N770" s="18"/>
      <c r="O770" s="18"/>
      <c r="P770" s="18"/>
      <c r="Q770" s="3"/>
    </row>
    <row r="771" hidden="1" customHeight="1" outlineLevel="2" spans="1:17">
      <c r="A771" s="40">
        <v>45952</v>
      </c>
      <c r="B771" s="40">
        <v>45963</v>
      </c>
      <c r="C771" s="18"/>
      <c r="D771" s="14">
        <f t="shared" si="117"/>
        <v>18.4</v>
      </c>
      <c r="E771" s="14">
        <v>0</v>
      </c>
      <c r="F771" s="46">
        <v>1</v>
      </c>
      <c r="H771" s="60">
        <f t="shared" si="113"/>
        <v>18.9</v>
      </c>
      <c r="I771" s="47">
        <v>2</v>
      </c>
      <c r="J771" s="14">
        <v>42</v>
      </c>
      <c r="K771" s="48">
        <f t="shared" si="114"/>
        <v>0.55</v>
      </c>
      <c r="L771" s="61">
        <f t="shared" si="115"/>
        <v>23.1</v>
      </c>
      <c r="M771" s="46">
        <f t="shared" si="116"/>
        <v>37.8</v>
      </c>
      <c r="N771" s="18"/>
      <c r="O771" s="18"/>
      <c r="P771" s="18"/>
      <c r="Q771" s="3"/>
    </row>
    <row r="772" hidden="1" customHeight="1" outlineLevel="2" spans="1:17">
      <c r="A772" s="40">
        <v>45972</v>
      </c>
      <c r="B772" s="40">
        <v>45975</v>
      </c>
      <c r="C772" s="75"/>
      <c r="D772" s="14">
        <f t="shared" si="117"/>
        <v>18.4</v>
      </c>
      <c r="E772" s="14">
        <v>0</v>
      </c>
      <c r="F772" s="46">
        <v>1</v>
      </c>
      <c r="H772" s="60">
        <f t="shared" si="113"/>
        <v>18.7333333333333</v>
      </c>
      <c r="I772" s="47">
        <v>3</v>
      </c>
      <c r="J772" s="14">
        <v>42</v>
      </c>
      <c r="K772" s="48">
        <f t="shared" si="114"/>
        <v>0.553968253968254</v>
      </c>
      <c r="L772" s="61">
        <f t="shared" si="115"/>
        <v>23.2666666666667</v>
      </c>
      <c r="M772" s="46">
        <f t="shared" si="116"/>
        <v>56.2</v>
      </c>
      <c r="N772" s="75"/>
      <c r="O772" s="75"/>
      <c r="P772" s="75"/>
      <c r="Q772" s="3"/>
    </row>
    <row r="773" hidden="1" customHeight="1" outlineLevel="2" spans="1:17">
      <c r="A773" s="24">
        <v>45978</v>
      </c>
      <c r="B773" s="24">
        <v>45984</v>
      </c>
      <c r="C773" s="75"/>
      <c r="D773" s="14">
        <f t="shared" si="117"/>
        <v>18.4</v>
      </c>
      <c r="E773" s="14">
        <v>0</v>
      </c>
      <c r="F773" s="46">
        <v>1</v>
      </c>
      <c r="H773" s="60">
        <f t="shared" si="113"/>
        <v>19.4</v>
      </c>
      <c r="I773" s="47">
        <v>1</v>
      </c>
      <c r="J773" s="14">
        <v>42</v>
      </c>
      <c r="K773" s="48">
        <f t="shared" si="114"/>
        <v>0.538095238095238</v>
      </c>
      <c r="L773" s="61">
        <f t="shared" si="115"/>
        <v>22.6</v>
      </c>
      <c r="M773" s="46">
        <f t="shared" si="116"/>
        <v>19.4</v>
      </c>
      <c r="N773" s="75"/>
      <c r="O773" s="75"/>
      <c r="P773" s="75"/>
      <c r="Q773" s="3"/>
    </row>
    <row r="774" hidden="1" customHeight="1" outlineLevel="2" collapsed="1" spans="1:17">
      <c r="A774" s="24">
        <v>45989</v>
      </c>
      <c r="B774" s="40">
        <v>46004</v>
      </c>
      <c r="C774" s="75"/>
      <c r="D774" s="14">
        <f t="shared" ref="D774:D776" si="118">1.04*20</f>
        <v>20.8</v>
      </c>
      <c r="E774" s="14">
        <v>0</v>
      </c>
      <c r="F774" s="46">
        <v>1</v>
      </c>
      <c r="H774" s="60">
        <f t="shared" si="113"/>
        <v>21.3</v>
      </c>
      <c r="I774" s="47">
        <v>2</v>
      </c>
      <c r="J774" s="14">
        <v>42</v>
      </c>
      <c r="K774" s="48">
        <f t="shared" si="114"/>
        <v>0.492857142857143</v>
      </c>
      <c r="L774" s="61">
        <f t="shared" si="115"/>
        <v>20.7</v>
      </c>
      <c r="M774" s="46">
        <f t="shared" si="116"/>
        <v>42.6</v>
      </c>
      <c r="N774" s="75"/>
      <c r="O774" s="75"/>
      <c r="P774" s="75"/>
      <c r="Q774" s="3"/>
    </row>
    <row r="775" hidden="1" customHeight="1" outlineLevel="1" collapsed="1" spans="1:17">
      <c r="A775" s="24">
        <v>46005</v>
      </c>
      <c r="B775" s="24">
        <v>46009</v>
      </c>
      <c r="C775" s="75"/>
      <c r="D775" s="14">
        <f t="shared" si="118"/>
        <v>20.8</v>
      </c>
      <c r="E775" s="14">
        <v>0</v>
      </c>
      <c r="F775" s="46">
        <v>1</v>
      </c>
      <c r="H775" s="60">
        <f t="shared" si="113"/>
        <v>21.3</v>
      </c>
      <c r="I775" s="47">
        <v>2</v>
      </c>
      <c r="J775" s="14">
        <v>42</v>
      </c>
      <c r="K775" s="48">
        <f t="shared" si="114"/>
        <v>0.492857142857143</v>
      </c>
      <c r="L775" s="61">
        <f t="shared" si="115"/>
        <v>20.7</v>
      </c>
      <c r="M775" s="46">
        <f t="shared" si="116"/>
        <v>42.6</v>
      </c>
      <c r="N775" s="75"/>
      <c r="O775" s="75"/>
      <c r="P775" s="75"/>
      <c r="Q775" s="3"/>
    </row>
    <row r="776" hidden="1" customHeight="1" outlineLevel="1" collapsed="1" spans="1:17">
      <c r="A776" s="24">
        <v>46037</v>
      </c>
      <c r="B776" s="24">
        <v>46040</v>
      </c>
      <c r="C776" s="75"/>
      <c r="D776" s="14">
        <f t="shared" si="118"/>
        <v>20.8</v>
      </c>
      <c r="E776" s="14">
        <v>0</v>
      </c>
      <c r="F776" s="46">
        <v>1</v>
      </c>
      <c r="H776" s="60">
        <f t="shared" si="113"/>
        <v>21.1333333333333</v>
      </c>
      <c r="I776" s="47">
        <v>3</v>
      </c>
      <c r="J776" s="14">
        <v>42</v>
      </c>
      <c r="K776" s="48">
        <f t="shared" si="114"/>
        <v>0.496825396825397</v>
      </c>
      <c r="L776" s="61">
        <f t="shared" si="115"/>
        <v>20.8666666666667</v>
      </c>
      <c r="M776" s="46">
        <f t="shared" si="116"/>
        <v>63.4</v>
      </c>
      <c r="N776" s="75"/>
      <c r="O776" s="75"/>
      <c r="P776" s="75"/>
      <c r="Q776" s="3"/>
    </row>
    <row r="777" hidden="1" customHeight="1" outlineLevel="1" collapsed="1" spans="1:17">
      <c r="A777" s="75" t="s">
        <v>64</v>
      </c>
      <c r="B777" s="75"/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3"/>
    </row>
    <row r="778" hidden="1" customHeight="1" outlineLevel="2" spans="1:17">
      <c r="A778" s="40">
        <v>45871</v>
      </c>
      <c r="B778" s="40">
        <v>45877</v>
      </c>
      <c r="D778" s="14">
        <f>0.87*20</f>
        <v>17.4</v>
      </c>
      <c r="E778" s="14">
        <v>0</v>
      </c>
      <c r="F778" s="46">
        <v>1</v>
      </c>
      <c r="H778" s="60">
        <f t="shared" ref="H778:H789" si="119">D778+(E778/I778)+(F778/I778)</f>
        <v>17.7333333333333</v>
      </c>
      <c r="I778" s="47">
        <v>3</v>
      </c>
      <c r="J778" s="14">
        <v>44</v>
      </c>
      <c r="K778" s="48">
        <f t="shared" ref="K778:K789" si="120">(J778-H778)/J778</f>
        <v>0.596969696969697</v>
      </c>
      <c r="L778" s="61">
        <f t="shared" ref="L778:L789" si="121">J778-H778</f>
        <v>26.2666666666667</v>
      </c>
      <c r="M778" s="46">
        <f t="shared" ref="M778:M789" si="122">D778*I778+E778+F778</f>
        <v>53.2</v>
      </c>
      <c r="N778" s="18"/>
      <c r="O778" s="18"/>
      <c r="P778" s="18"/>
      <c r="Q778" s="3"/>
    </row>
    <row r="779" hidden="1" customHeight="1" outlineLevel="2" spans="1:17">
      <c r="A779" s="24">
        <v>45869</v>
      </c>
      <c r="B779" s="40">
        <v>45883</v>
      </c>
      <c r="C779" s="18"/>
      <c r="D779" s="14">
        <f t="shared" ref="D779:D787" si="123">0.94*20</f>
        <v>18.8</v>
      </c>
      <c r="E779" s="14">
        <v>0</v>
      </c>
      <c r="F779" s="46">
        <v>1</v>
      </c>
      <c r="H779" s="60">
        <f t="shared" si="119"/>
        <v>19.8</v>
      </c>
      <c r="I779" s="47">
        <v>1</v>
      </c>
      <c r="J779" s="14">
        <v>44</v>
      </c>
      <c r="K779" s="48">
        <f t="shared" si="120"/>
        <v>0.55</v>
      </c>
      <c r="L779" s="61">
        <f t="shared" si="121"/>
        <v>24.2</v>
      </c>
      <c r="M779" s="46">
        <f t="shared" si="122"/>
        <v>19.8</v>
      </c>
      <c r="N779" s="18"/>
      <c r="O779" s="18"/>
      <c r="P779" s="18"/>
      <c r="Q779" s="3"/>
    </row>
    <row r="780" hidden="1" customHeight="1" outlineLevel="2" spans="1:17">
      <c r="A780" s="40">
        <v>45880</v>
      </c>
      <c r="B780" s="40">
        <v>45885</v>
      </c>
      <c r="C780" s="18"/>
      <c r="D780" s="14">
        <f t="shared" si="123"/>
        <v>18.8</v>
      </c>
      <c r="E780" s="14">
        <v>0</v>
      </c>
      <c r="F780" s="46">
        <v>1</v>
      </c>
      <c r="H780" s="60">
        <f t="shared" si="119"/>
        <v>19.3</v>
      </c>
      <c r="I780" s="47">
        <v>2</v>
      </c>
      <c r="J780" s="14">
        <v>44</v>
      </c>
      <c r="K780" s="48">
        <f t="shared" si="120"/>
        <v>0.561363636363636</v>
      </c>
      <c r="L780" s="61">
        <f t="shared" si="121"/>
        <v>24.7</v>
      </c>
      <c r="M780" s="46">
        <f t="shared" si="122"/>
        <v>38.6</v>
      </c>
      <c r="N780" s="18"/>
      <c r="O780" s="18"/>
      <c r="P780" s="18"/>
      <c r="Q780" s="3"/>
    </row>
    <row r="781" hidden="1" customHeight="1" outlineLevel="2" spans="1:17">
      <c r="A781" s="40">
        <v>45890</v>
      </c>
      <c r="B781" s="40">
        <v>45895</v>
      </c>
      <c r="C781" s="18"/>
      <c r="D781" s="14">
        <f t="shared" si="123"/>
        <v>18.8</v>
      </c>
      <c r="E781" s="14">
        <v>0</v>
      </c>
      <c r="F781" s="46">
        <v>1</v>
      </c>
      <c r="H781" s="60">
        <f t="shared" si="119"/>
        <v>19.05</v>
      </c>
      <c r="I781" s="47">
        <v>4</v>
      </c>
      <c r="J781" s="14">
        <v>44</v>
      </c>
      <c r="K781" s="48">
        <f t="shared" si="120"/>
        <v>0.567045454545455</v>
      </c>
      <c r="L781" s="61">
        <f t="shared" si="121"/>
        <v>24.95</v>
      </c>
      <c r="M781" s="46">
        <f t="shared" si="122"/>
        <v>76.2</v>
      </c>
      <c r="N781" s="18"/>
      <c r="O781" s="18"/>
      <c r="P781" s="18"/>
      <c r="Q781" s="3"/>
    </row>
    <row r="782" hidden="1" customHeight="1" outlineLevel="2" spans="1:17">
      <c r="A782" s="40">
        <v>45904</v>
      </c>
      <c r="B782" s="40">
        <v>45907</v>
      </c>
      <c r="C782" s="18"/>
      <c r="D782" s="14">
        <f t="shared" si="123"/>
        <v>18.8</v>
      </c>
      <c r="E782" s="14">
        <v>0</v>
      </c>
      <c r="F782" s="46">
        <v>1</v>
      </c>
      <c r="H782" s="60">
        <f t="shared" si="119"/>
        <v>19.05</v>
      </c>
      <c r="I782" s="47">
        <v>4</v>
      </c>
      <c r="J782" s="14">
        <v>44</v>
      </c>
      <c r="K782" s="48">
        <f t="shared" si="120"/>
        <v>0.567045454545455</v>
      </c>
      <c r="L782" s="61">
        <f t="shared" si="121"/>
        <v>24.95</v>
      </c>
      <c r="M782" s="46">
        <f t="shared" si="122"/>
        <v>76.2</v>
      </c>
      <c r="N782" s="18"/>
      <c r="O782" s="18"/>
      <c r="P782" s="18"/>
      <c r="Q782" s="3"/>
    </row>
    <row r="783" hidden="1" customHeight="1" outlineLevel="2" spans="1:17">
      <c r="A783" s="40">
        <v>45920</v>
      </c>
      <c r="B783" s="40">
        <v>45925</v>
      </c>
      <c r="C783" s="18"/>
      <c r="D783" s="14">
        <f t="shared" si="123"/>
        <v>18.8</v>
      </c>
      <c r="E783" s="14">
        <v>0</v>
      </c>
      <c r="F783" s="46">
        <v>1</v>
      </c>
      <c r="H783" s="60">
        <f t="shared" si="119"/>
        <v>19.1333333333333</v>
      </c>
      <c r="I783" s="47">
        <v>3</v>
      </c>
      <c r="J783" s="14">
        <v>44</v>
      </c>
      <c r="K783" s="48">
        <f t="shared" si="120"/>
        <v>0.565151515151515</v>
      </c>
      <c r="L783" s="61">
        <f t="shared" si="121"/>
        <v>24.8666666666667</v>
      </c>
      <c r="M783" s="46">
        <f t="shared" si="122"/>
        <v>57.4</v>
      </c>
      <c r="N783" s="18"/>
      <c r="O783" s="18"/>
      <c r="P783" s="18"/>
      <c r="Q783" s="3"/>
    </row>
    <row r="784" hidden="1" customHeight="1" outlineLevel="2" spans="1:17">
      <c r="A784" s="40">
        <v>45925</v>
      </c>
      <c r="B784" s="40">
        <v>45929</v>
      </c>
      <c r="C784" s="18"/>
      <c r="D784" s="14">
        <f t="shared" si="123"/>
        <v>18.8</v>
      </c>
      <c r="E784" s="14">
        <v>0</v>
      </c>
      <c r="F784" s="46">
        <v>1</v>
      </c>
      <c r="H784" s="60">
        <f t="shared" si="119"/>
        <v>19.3</v>
      </c>
      <c r="I784" s="47">
        <v>2</v>
      </c>
      <c r="J784" s="14">
        <v>44</v>
      </c>
      <c r="K784" s="48">
        <f t="shared" si="120"/>
        <v>0.561363636363636</v>
      </c>
      <c r="L784" s="61">
        <f t="shared" si="121"/>
        <v>24.7</v>
      </c>
      <c r="M784" s="46">
        <f t="shared" si="122"/>
        <v>38.6</v>
      </c>
      <c r="N784" s="18"/>
      <c r="O784" s="18"/>
      <c r="P784" s="18"/>
      <c r="Q784" s="3"/>
    </row>
    <row r="785" hidden="1" customHeight="1" outlineLevel="2" spans="1:17">
      <c r="A785" s="40">
        <v>45952</v>
      </c>
      <c r="B785" s="40">
        <v>45963</v>
      </c>
      <c r="C785" s="18"/>
      <c r="D785" s="14">
        <f t="shared" si="123"/>
        <v>18.8</v>
      </c>
      <c r="E785" s="14">
        <v>0</v>
      </c>
      <c r="F785" s="46">
        <v>1</v>
      </c>
      <c r="H785" s="60">
        <f t="shared" si="119"/>
        <v>19.3</v>
      </c>
      <c r="I785" s="47">
        <v>2</v>
      </c>
      <c r="J785" s="14">
        <v>44</v>
      </c>
      <c r="K785" s="48">
        <f t="shared" si="120"/>
        <v>0.561363636363636</v>
      </c>
      <c r="L785" s="61">
        <f t="shared" si="121"/>
        <v>24.7</v>
      </c>
      <c r="M785" s="46">
        <f t="shared" si="122"/>
        <v>38.6</v>
      </c>
      <c r="N785" s="18"/>
      <c r="O785" s="18"/>
      <c r="P785" s="18"/>
      <c r="Q785" s="3"/>
    </row>
    <row r="786" hidden="1" customHeight="1" outlineLevel="2" spans="1:17">
      <c r="A786" s="40">
        <v>45962</v>
      </c>
      <c r="B786" s="40">
        <v>45968</v>
      </c>
      <c r="C786" s="18"/>
      <c r="D786" s="14">
        <f t="shared" si="123"/>
        <v>18.8</v>
      </c>
      <c r="E786" s="14">
        <v>0</v>
      </c>
      <c r="F786" s="46">
        <v>1</v>
      </c>
      <c r="H786" s="60">
        <f t="shared" si="119"/>
        <v>19.3</v>
      </c>
      <c r="I786" s="47">
        <v>2</v>
      </c>
      <c r="J786" s="14">
        <v>44</v>
      </c>
      <c r="K786" s="48">
        <f t="shared" si="120"/>
        <v>0.561363636363636</v>
      </c>
      <c r="L786" s="61">
        <f t="shared" si="121"/>
        <v>24.7</v>
      </c>
      <c r="M786" s="46">
        <f t="shared" si="122"/>
        <v>38.6</v>
      </c>
      <c r="N786" s="18"/>
      <c r="O786" s="18"/>
      <c r="P786" s="18"/>
      <c r="Q786" s="3"/>
    </row>
    <row r="787" hidden="1" customHeight="1" outlineLevel="2" collapsed="1" spans="1:17">
      <c r="A787" s="40">
        <v>45972</v>
      </c>
      <c r="B787" s="40">
        <v>45975</v>
      </c>
      <c r="C787" s="18"/>
      <c r="D787" s="14">
        <f t="shared" si="123"/>
        <v>18.8</v>
      </c>
      <c r="E787" s="14">
        <v>0</v>
      </c>
      <c r="F787" s="46">
        <v>1</v>
      </c>
      <c r="H787" s="60">
        <f t="shared" si="119"/>
        <v>19.3</v>
      </c>
      <c r="I787" s="47">
        <v>2</v>
      </c>
      <c r="J787" s="14">
        <v>44</v>
      </c>
      <c r="K787" s="48">
        <f t="shared" si="120"/>
        <v>0.561363636363636</v>
      </c>
      <c r="L787" s="61">
        <f t="shared" si="121"/>
        <v>24.7</v>
      </c>
      <c r="M787" s="46">
        <f t="shared" si="122"/>
        <v>38.6</v>
      </c>
      <c r="N787" s="18"/>
      <c r="O787" s="18"/>
      <c r="P787" s="18"/>
      <c r="Q787" s="3"/>
    </row>
    <row r="788" hidden="1" customHeight="1" outlineLevel="2" spans="1:17">
      <c r="A788" s="40">
        <v>45980</v>
      </c>
      <c r="B788" s="40">
        <v>45984</v>
      </c>
      <c r="D788" s="14">
        <f>1.06*20</f>
        <v>21.2</v>
      </c>
      <c r="E788" s="14">
        <v>0</v>
      </c>
      <c r="F788" s="46">
        <v>1</v>
      </c>
      <c r="H788" s="60">
        <f t="shared" si="119"/>
        <v>21.7</v>
      </c>
      <c r="I788" s="47">
        <v>2</v>
      </c>
      <c r="J788" s="14">
        <v>44</v>
      </c>
      <c r="K788" s="48">
        <f t="shared" si="120"/>
        <v>0.506818181818182</v>
      </c>
      <c r="L788" s="61">
        <f t="shared" si="121"/>
        <v>22.3</v>
      </c>
      <c r="M788" s="46">
        <f t="shared" si="122"/>
        <v>43.4</v>
      </c>
      <c r="N788" s="18"/>
      <c r="O788" s="18"/>
      <c r="P788" s="18"/>
      <c r="Q788" s="3"/>
    </row>
    <row r="789" hidden="1" customHeight="1" outlineLevel="1" spans="1:17">
      <c r="A789" s="24">
        <v>45999</v>
      </c>
      <c r="B789" s="40">
        <v>46004</v>
      </c>
      <c r="C789" s="18"/>
      <c r="D789" s="14">
        <f>1.06*20</f>
        <v>21.2</v>
      </c>
      <c r="E789" s="14">
        <v>0</v>
      </c>
      <c r="F789" s="46">
        <v>1</v>
      </c>
      <c r="H789" s="60">
        <f t="shared" si="119"/>
        <v>21.7</v>
      </c>
      <c r="I789" s="47">
        <v>2</v>
      </c>
      <c r="J789" s="14">
        <v>44</v>
      </c>
      <c r="K789" s="48">
        <f t="shared" si="120"/>
        <v>0.506818181818182</v>
      </c>
      <c r="L789" s="61">
        <f t="shared" si="121"/>
        <v>22.3</v>
      </c>
      <c r="M789" s="46">
        <f t="shared" si="122"/>
        <v>43.4</v>
      </c>
      <c r="N789" s="18"/>
      <c r="O789" s="18"/>
      <c r="P789" s="18"/>
      <c r="Q789" s="3"/>
    </row>
    <row r="790" hidden="1" customHeight="1" outlineLevel="1" collapsed="1" spans="1:17">
      <c r="A790" s="18" t="s">
        <v>65</v>
      </c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3"/>
    </row>
    <row r="791" hidden="1" customHeight="1" outlineLevel="2" spans="1:17">
      <c r="A791" s="64">
        <v>45707</v>
      </c>
      <c r="B791" s="24">
        <v>45712</v>
      </c>
      <c r="D791" s="14">
        <f t="shared" ref="D791:D801" si="124">0.87*20</f>
        <v>17.4</v>
      </c>
      <c r="E791" s="14">
        <v>0</v>
      </c>
      <c r="F791" s="46">
        <v>1</v>
      </c>
      <c r="H791" s="60">
        <f t="shared" ref="H791:H813" si="125">D791+(E791/I791)+(F791/I791)</f>
        <v>17.525</v>
      </c>
      <c r="I791" s="47">
        <v>8</v>
      </c>
      <c r="J791" s="14">
        <v>46</v>
      </c>
      <c r="K791" s="48">
        <f t="shared" ref="K791:K813" si="126">(J791-H791)/J791</f>
        <v>0.619021739130435</v>
      </c>
      <c r="L791" s="61">
        <f t="shared" ref="L791:L813" si="127">J791-H791</f>
        <v>28.475</v>
      </c>
      <c r="M791" s="46">
        <f t="shared" ref="M791:M813" si="128">D791*I791+E791+F791</f>
        <v>140.2</v>
      </c>
      <c r="Q791" s="1"/>
    </row>
    <row r="792" hidden="1" customHeight="1" outlineLevel="2" spans="1:17">
      <c r="A792" s="64">
        <v>45726</v>
      </c>
      <c r="B792" s="24">
        <v>45730</v>
      </c>
      <c r="D792" s="14">
        <f t="shared" si="124"/>
        <v>17.4</v>
      </c>
      <c r="E792" s="14">
        <v>0</v>
      </c>
      <c r="F792" s="46">
        <v>2</v>
      </c>
      <c r="H792" s="60">
        <f t="shared" si="125"/>
        <v>17.6</v>
      </c>
      <c r="I792" s="47">
        <v>10</v>
      </c>
      <c r="J792" s="14">
        <v>46</v>
      </c>
      <c r="K792" s="48">
        <f t="shared" si="126"/>
        <v>0.617391304347826</v>
      </c>
      <c r="L792" s="61">
        <f t="shared" si="127"/>
        <v>28.4</v>
      </c>
      <c r="M792" s="46">
        <f t="shared" si="128"/>
        <v>176</v>
      </c>
      <c r="Q792" s="1"/>
    </row>
    <row r="793" hidden="1" customHeight="1" outlineLevel="2" spans="1:17">
      <c r="A793" s="64">
        <v>45740</v>
      </c>
      <c r="B793" s="24">
        <v>45744</v>
      </c>
      <c r="D793" s="14">
        <f t="shared" si="124"/>
        <v>17.4</v>
      </c>
      <c r="E793" s="14">
        <v>0</v>
      </c>
      <c r="F793" s="46">
        <v>1</v>
      </c>
      <c r="H793" s="60">
        <f t="shared" si="125"/>
        <v>17.5</v>
      </c>
      <c r="I793" s="47">
        <v>10</v>
      </c>
      <c r="J793" s="14">
        <v>46</v>
      </c>
      <c r="K793" s="48">
        <f t="shared" si="126"/>
        <v>0.619565217391304</v>
      </c>
      <c r="L793" s="61">
        <f t="shared" si="127"/>
        <v>28.5</v>
      </c>
      <c r="M793" s="46">
        <f t="shared" si="128"/>
        <v>175</v>
      </c>
      <c r="Q793" s="1"/>
    </row>
    <row r="794" hidden="1" customHeight="1" outlineLevel="2" spans="1:17">
      <c r="A794" s="64">
        <v>45748</v>
      </c>
      <c r="B794" s="24">
        <v>45751</v>
      </c>
      <c r="D794" s="14">
        <f t="shared" si="124"/>
        <v>17.4</v>
      </c>
      <c r="E794" s="14">
        <v>0</v>
      </c>
      <c r="F794" s="46">
        <v>1</v>
      </c>
      <c r="H794" s="60">
        <f t="shared" si="125"/>
        <v>17.6</v>
      </c>
      <c r="I794" s="47">
        <v>5</v>
      </c>
      <c r="J794" s="14">
        <v>46</v>
      </c>
      <c r="K794" s="48">
        <f t="shared" si="126"/>
        <v>0.617391304347826</v>
      </c>
      <c r="L794" s="61">
        <f t="shared" si="127"/>
        <v>28.4</v>
      </c>
      <c r="M794" s="46">
        <f t="shared" si="128"/>
        <v>88</v>
      </c>
      <c r="Q794" s="1"/>
    </row>
    <row r="795" hidden="1" customHeight="1" outlineLevel="2" spans="1:17">
      <c r="A795" s="64">
        <v>45767</v>
      </c>
      <c r="B795" s="24">
        <v>45771</v>
      </c>
      <c r="D795" s="14">
        <f t="shared" si="124"/>
        <v>17.4</v>
      </c>
      <c r="E795" s="14">
        <v>0</v>
      </c>
      <c r="F795" s="46">
        <v>1</v>
      </c>
      <c r="H795" s="60">
        <f t="shared" si="125"/>
        <v>17.6</v>
      </c>
      <c r="I795" s="47">
        <v>5</v>
      </c>
      <c r="J795" s="14">
        <v>46</v>
      </c>
      <c r="K795" s="48">
        <f t="shared" si="126"/>
        <v>0.617391304347826</v>
      </c>
      <c r="L795" s="61">
        <f t="shared" si="127"/>
        <v>28.4</v>
      </c>
      <c r="M795" s="46">
        <f t="shared" si="128"/>
        <v>88</v>
      </c>
      <c r="Q795" s="1"/>
    </row>
    <row r="796" hidden="1" customHeight="1" outlineLevel="2" spans="1:17">
      <c r="A796" s="64">
        <v>45785</v>
      </c>
      <c r="B796" s="24">
        <v>45789</v>
      </c>
      <c r="D796" s="14">
        <f t="shared" si="124"/>
        <v>17.4</v>
      </c>
      <c r="E796" s="14">
        <v>0</v>
      </c>
      <c r="F796" s="46">
        <v>1</v>
      </c>
      <c r="H796" s="60">
        <f t="shared" si="125"/>
        <v>17.5428571428571</v>
      </c>
      <c r="I796" s="47">
        <v>7</v>
      </c>
      <c r="J796" s="14">
        <v>46</v>
      </c>
      <c r="K796" s="48">
        <f t="shared" si="126"/>
        <v>0.618633540372671</v>
      </c>
      <c r="L796" s="61">
        <f t="shared" si="127"/>
        <v>28.4571428571429</v>
      </c>
      <c r="M796" s="46">
        <f t="shared" si="128"/>
        <v>122.8</v>
      </c>
      <c r="Q796" s="1"/>
    </row>
    <row r="797" hidden="1" customHeight="1" outlineLevel="2" spans="1:17">
      <c r="A797" s="64">
        <v>45798</v>
      </c>
      <c r="B797" s="24">
        <v>45801</v>
      </c>
      <c r="D797" s="14">
        <f t="shared" si="124"/>
        <v>17.4</v>
      </c>
      <c r="E797" s="14">
        <v>0</v>
      </c>
      <c r="F797" s="46">
        <v>1</v>
      </c>
      <c r="H797" s="60">
        <f t="shared" si="125"/>
        <v>17.5428571428571</v>
      </c>
      <c r="I797" s="47">
        <v>7</v>
      </c>
      <c r="J797" s="14">
        <v>46</v>
      </c>
      <c r="K797" s="48">
        <f t="shared" si="126"/>
        <v>0.618633540372671</v>
      </c>
      <c r="L797" s="61">
        <f t="shared" si="127"/>
        <v>28.4571428571429</v>
      </c>
      <c r="M797" s="46">
        <f t="shared" si="128"/>
        <v>122.8</v>
      </c>
      <c r="Q797" s="1"/>
    </row>
    <row r="798" hidden="1" customHeight="1" outlineLevel="2" spans="1:17">
      <c r="A798" s="64">
        <v>45812</v>
      </c>
      <c r="B798" s="24">
        <v>45815</v>
      </c>
      <c r="D798" s="14">
        <f t="shared" si="124"/>
        <v>17.4</v>
      </c>
      <c r="E798" s="14">
        <v>0</v>
      </c>
      <c r="F798" s="46">
        <v>1</v>
      </c>
      <c r="H798" s="60">
        <f t="shared" si="125"/>
        <v>17.65</v>
      </c>
      <c r="I798" s="47">
        <v>4</v>
      </c>
      <c r="J798" s="14">
        <v>46</v>
      </c>
      <c r="K798" s="48">
        <f t="shared" si="126"/>
        <v>0.616304347826087</v>
      </c>
      <c r="L798" s="61">
        <f t="shared" si="127"/>
        <v>28.35</v>
      </c>
      <c r="M798" s="46">
        <f t="shared" si="128"/>
        <v>70.6</v>
      </c>
      <c r="Q798" s="1"/>
    </row>
    <row r="799" hidden="1" customHeight="1" outlineLevel="2" spans="1:17">
      <c r="A799" s="64">
        <v>45820</v>
      </c>
      <c r="B799" s="24">
        <v>45823</v>
      </c>
      <c r="C799" s="75"/>
      <c r="D799" s="14">
        <f t="shared" si="124"/>
        <v>17.4</v>
      </c>
      <c r="E799" s="14">
        <v>0</v>
      </c>
      <c r="F799" s="46">
        <v>1</v>
      </c>
      <c r="H799" s="60">
        <f t="shared" si="125"/>
        <v>17.6</v>
      </c>
      <c r="I799" s="47">
        <v>5</v>
      </c>
      <c r="J799" s="14">
        <v>46</v>
      </c>
      <c r="K799" s="48">
        <f t="shared" si="126"/>
        <v>0.617391304347826</v>
      </c>
      <c r="L799" s="61">
        <f t="shared" si="127"/>
        <v>28.4</v>
      </c>
      <c r="M799" s="46">
        <f t="shared" si="128"/>
        <v>88</v>
      </c>
      <c r="N799" s="75"/>
      <c r="O799" s="75"/>
      <c r="P799" s="75"/>
      <c r="Q799" s="1"/>
    </row>
    <row r="800" hidden="1" customHeight="1" outlineLevel="2" spans="1:17">
      <c r="A800" s="64">
        <v>45829</v>
      </c>
      <c r="B800" s="24">
        <v>45848</v>
      </c>
      <c r="C800" s="75"/>
      <c r="D800" s="14">
        <f t="shared" si="124"/>
        <v>17.4</v>
      </c>
      <c r="E800" s="14">
        <v>0</v>
      </c>
      <c r="F800" s="46">
        <v>3</v>
      </c>
      <c r="H800" s="60">
        <f t="shared" si="125"/>
        <v>18.9</v>
      </c>
      <c r="I800" s="47">
        <v>2</v>
      </c>
      <c r="J800" s="14">
        <v>46</v>
      </c>
      <c r="K800" s="48">
        <f t="shared" si="126"/>
        <v>0.589130434782609</v>
      </c>
      <c r="L800" s="61">
        <f t="shared" si="127"/>
        <v>27.1</v>
      </c>
      <c r="M800" s="46">
        <f t="shared" si="128"/>
        <v>37.8</v>
      </c>
      <c r="N800" s="75"/>
      <c r="O800" s="75"/>
      <c r="P800" s="75"/>
      <c r="Q800" s="1"/>
    </row>
    <row r="801" hidden="1" customHeight="1" outlineLevel="2" spans="1:17">
      <c r="A801" s="64">
        <v>45849</v>
      </c>
      <c r="B801" s="24">
        <v>45857</v>
      </c>
      <c r="C801" s="75"/>
      <c r="D801" s="14">
        <f t="shared" si="124"/>
        <v>17.4</v>
      </c>
      <c r="E801" s="14">
        <v>0</v>
      </c>
      <c r="F801" s="46">
        <v>2</v>
      </c>
      <c r="H801" s="60">
        <f t="shared" si="125"/>
        <v>18.0666666666667</v>
      </c>
      <c r="I801" s="47">
        <v>3</v>
      </c>
      <c r="J801" s="14">
        <v>46</v>
      </c>
      <c r="K801" s="48">
        <f t="shared" si="126"/>
        <v>0.607246376811594</v>
      </c>
      <c r="L801" s="61">
        <f t="shared" si="127"/>
        <v>27.9333333333333</v>
      </c>
      <c r="M801" s="46">
        <f t="shared" si="128"/>
        <v>54.2</v>
      </c>
      <c r="N801" s="75"/>
      <c r="O801" s="75"/>
      <c r="P801" s="75"/>
      <c r="Q801" s="1"/>
    </row>
    <row r="802" hidden="1" customHeight="1" outlineLevel="2" spans="1:17">
      <c r="A802" s="64">
        <v>45859</v>
      </c>
      <c r="B802" s="24">
        <v>45864</v>
      </c>
      <c r="C802" s="75"/>
      <c r="D802" s="14">
        <f t="shared" ref="D802:D804" si="129">0.86*20</f>
        <v>17.2</v>
      </c>
      <c r="E802" s="14">
        <v>0</v>
      </c>
      <c r="F802" s="46">
        <v>1</v>
      </c>
      <c r="H802" s="60">
        <f t="shared" si="125"/>
        <v>17.45</v>
      </c>
      <c r="I802" s="47">
        <v>4</v>
      </c>
      <c r="J802" s="14">
        <v>46</v>
      </c>
      <c r="K802" s="48">
        <f t="shared" si="126"/>
        <v>0.620652173913044</v>
      </c>
      <c r="L802" s="61">
        <f t="shared" si="127"/>
        <v>28.55</v>
      </c>
      <c r="M802" s="46">
        <f t="shared" si="128"/>
        <v>69.8</v>
      </c>
      <c r="N802" s="75"/>
      <c r="O802" s="75"/>
      <c r="P802" s="75"/>
      <c r="Q802" s="1"/>
    </row>
    <row r="803" hidden="1" customHeight="1" outlineLevel="2" spans="1:17">
      <c r="A803" s="64">
        <v>45864</v>
      </c>
      <c r="B803" s="24">
        <v>45870</v>
      </c>
      <c r="C803" s="75"/>
      <c r="D803" s="14">
        <f t="shared" si="129"/>
        <v>17.2</v>
      </c>
      <c r="E803" s="14">
        <v>0</v>
      </c>
      <c r="F803" s="46">
        <v>1</v>
      </c>
      <c r="H803" s="60">
        <f t="shared" si="125"/>
        <v>17.325</v>
      </c>
      <c r="I803" s="47">
        <v>8</v>
      </c>
      <c r="J803" s="14">
        <v>46</v>
      </c>
      <c r="K803" s="48">
        <f t="shared" si="126"/>
        <v>0.623369565217391</v>
      </c>
      <c r="L803" s="61">
        <f t="shared" si="127"/>
        <v>28.675</v>
      </c>
      <c r="M803" s="46">
        <f t="shared" si="128"/>
        <v>138.6</v>
      </c>
      <c r="N803" s="75"/>
      <c r="O803" s="75"/>
      <c r="P803" s="75"/>
      <c r="Q803" s="1"/>
    </row>
    <row r="804" hidden="1" customHeight="1" outlineLevel="2" spans="1:17">
      <c r="A804" s="24">
        <v>45869</v>
      </c>
      <c r="B804" s="24">
        <v>45872</v>
      </c>
      <c r="C804" s="75"/>
      <c r="D804" s="14">
        <f t="shared" si="129"/>
        <v>17.2</v>
      </c>
      <c r="E804" s="14">
        <v>0</v>
      </c>
      <c r="F804" s="46">
        <v>2</v>
      </c>
      <c r="H804" s="60">
        <f t="shared" si="125"/>
        <v>17.6</v>
      </c>
      <c r="I804" s="47">
        <v>5</v>
      </c>
      <c r="J804" s="14">
        <v>46</v>
      </c>
      <c r="K804" s="48">
        <f t="shared" si="126"/>
        <v>0.617391304347826</v>
      </c>
      <c r="L804" s="61">
        <f t="shared" si="127"/>
        <v>28.4</v>
      </c>
      <c r="M804" s="46">
        <f t="shared" si="128"/>
        <v>88</v>
      </c>
      <c r="N804" s="75"/>
      <c r="O804" s="75"/>
      <c r="P804" s="75"/>
      <c r="Q804" s="1"/>
    </row>
    <row r="805" hidden="1" customHeight="1" outlineLevel="2" spans="1:17">
      <c r="A805" s="24">
        <v>45869</v>
      </c>
      <c r="B805" s="40">
        <v>45883</v>
      </c>
      <c r="C805" s="75"/>
      <c r="D805" s="14">
        <f t="shared" ref="D805:D810" si="130">0.94*20</f>
        <v>18.8</v>
      </c>
      <c r="E805" s="14">
        <v>0</v>
      </c>
      <c r="F805" s="46">
        <v>1</v>
      </c>
      <c r="H805" s="60">
        <f t="shared" si="125"/>
        <v>19.1333333333333</v>
      </c>
      <c r="I805" s="47">
        <v>3</v>
      </c>
      <c r="J805" s="14">
        <v>46</v>
      </c>
      <c r="K805" s="48">
        <f t="shared" si="126"/>
        <v>0.584057971014493</v>
      </c>
      <c r="L805" s="61">
        <f t="shared" si="127"/>
        <v>26.8666666666667</v>
      </c>
      <c r="M805" s="46">
        <f t="shared" si="128"/>
        <v>57.4</v>
      </c>
      <c r="N805" s="75"/>
      <c r="O805" s="75"/>
      <c r="P805" s="75"/>
      <c r="Q805" s="1"/>
    </row>
    <row r="806" hidden="1" customHeight="1" outlineLevel="2" spans="1:17">
      <c r="A806" s="40">
        <v>45880</v>
      </c>
      <c r="B806" s="40">
        <v>45885</v>
      </c>
      <c r="C806" s="75"/>
      <c r="D806" s="14">
        <f t="shared" si="130"/>
        <v>18.8</v>
      </c>
      <c r="E806" s="14">
        <v>0</v>
      </c>
      <c r="F806" s="46">
        <v>1</v>
      </c>
      <c r="H806" s="60">
        <f t="shared" si="125"/>
        <v>18.925</v>
      </c>
      <c r="I806" s="47">
        <v>8</v>
      </c>
      <c r="J806" s="14">
        <v>46</v>
      </c>
      <c r="K806" s="48">
        <f t="shared" si="126"/>
        <v>0.588586956521739</v>
      </c>
      <c r="L806" s="61">
        <f t="shared" si="127"/>
        <v>27.075</v>
      </c>
      <c r="M806" s="46">
        <f t="shared" si="128"/>
        <v>151.4</v>
      </c>
      <c r="N806" s="75"/>
      <c r="O806" s="75"/>
      <c r="P806" s="75"/>
      <c r="Q806" s="1"/>
    </row>
    <row r="807" hidden="1" customHeight="1" outlineLevel="2" spans="1:17">
      <c r="A807" s="40">
        <v>45890</v>
      </c>
      <c r="B807" s="40">
        <v>45895</v>
      </c>
      <c r="C807" s="75"/>
      <c r="D807" s="14">
        <f t="shared" si="130"/>
        <v>18.8</v>
      </c>
      <c r="E807" s="14">
        <v>0</v>
      </c>
      <c r="F807" s="46">
        <v>1</v>
      </c>
      <c r="H807" s="60">
        <f t="shared" si="125"/>
        <v>19.3</v>
      </c>
      <c r="I807" s="47">
        <v>2</v>
      </c>
      <c r="J807" s="14">
        <v>46</v>
      </c>
      <c r="K807" s="48">
        <f t="shared" si="126"/>
        <v>0.580434782608696</v>
      </c>
      <c r="L807" s="61">
        <f t="shared" si="127"/>
        <v>26.7</v>
      </c>
      <c r="M807" s="46">
        <f t="shared" si="128"/>
        <v>38.6</v>
      </c>
      <c r="N807" s="75"/>
      <c r="O807" s="75"/>
      <c r="P807" s="75"/>
      <c r="Q807" s="1"/>
    </row>
    <row r="808" hidden="1" customHeight="1" outlineLevel="2" spans="1:17">
      <c r="A808" s="40">
        <v>45897</v>
      </c>
      <c r="B808" s="40">
        <v>45900</v>
      </c>
      <c r="C808" s="75"/>
      <c r="D808" s="14">
        <f t="shared" si="130"/>
        <v>18.8</v>
      </c>
      <c r="E808" s="14">
        <v>0</v>
      </c>
      <c r="F808" s="46">
        <v>2</v>
      </c>
      <c r="H808" s="60">
        <f t="shared" si="125"/>
        <v>19.3</v>
      </c>
      <c r="I808" s="47">
        <v>4</v>
      </c>
      <c r="J808" s="14">
        <v>46</v>
      </c>
      <c r="K808" s="48">
        <f t="shared" si="126"/>
        <v>0.580434782608696</v>
      </c>
      <c r="L808" s="61">
        <f t="shared" si="127"/>
        <v>26.7</v>
      </c>
      <c r="M808" s="46">
        <f t="shared" si="128"/>
        <v>77.2</v>
      </c>
      <c r="N808" s="75"/>
      <c r="O808" s="75"/>
      <c r="P808" s="75"/>
      <c r="Q808" s="1"/>
    </row>
    <row r="809" hidden="1" customHeight="1" outlineLevel="2" spans="1:17">
      <c r="A809" s="40">
        <v>45962</v>
      </c>
      <c r="B809" s="40">
        <v>45968</v>
      </c>
      <c r="C809" s="75"/>
      <c r="D809" s="14">
        <f t="shared" si="130"/>
        <v>18.8</v>
      </c>
      <c r="E809" s="14">
        <v>0</v>
      </c>
      <c r="F809" s="46">
        <v>1</v>
      </c>
      <c r="H809" s="60">
        <f t="shared" si="125"/>
        <v>19.3</v>
      </c>
      <c r="I809" s="47">
        <v>2</v>
      </c>
      <c r="J809" s="14">
        <v>46</v>
      </c>
      <c r="K809" s="48">
        <f t="shared" si="126"/>
        <v>0.580434782608696</v>
      </c>
      <c r="L809" s="61">
        <f t="shared" si="127"/>
        <v>26.7</v>
      </c>
      <c r="M809" s="46">
        <f t="shared" si="128"/>
        <v>38.6</v>
      </c>
      <c r="N809" s="75"/>
      <c r="O809" s="75"/>
      <c r="P809" s="75"/>
      <c r="Q809" s="1"/>
    </row>
    <row r="810" hidden="1" customHeight="1" outlineLevel="2" spans="1:17">
      <c r="A810" s="40">
        <v>45972</v>
      </c>
      <c r="B810" s="40">
        <v>45975</v>
      </c>
      <c r="C810" s="75"/>
      <c r="D810" s="14">
        <f t="shared" si="130"/>
        <v>18.8</v>
      </c>
      <c r="E810" s="14">
        <v>0</v>
      </c>
      <c r="F810" s="46">
        <v>1</v>
      </c>
      <c r="H810" s="60">
        <f t="shared" si="125"/>
        <v>19.3</v>
      </c>
      <c r="I810" s="47">
        <v>2</v>
      </c>
      <c r="J810" s="14">
        <v>46</v>
      </c>
      <c r="K810" s="48">
        <f t="shared" si="126"/>
        <v>0.580434782608696</v>
      </c>
      <c r="L810" s="61">
        <f t="shared" si="127"/>
        <v>26.7</v>
      </c>
      <c r="M810" s="46">
        <f t="shared" si="128"/>
        <v>38.6</v>
      </c>
      <c r="N810" s="75"/>
      <c r="O810" s="75"/>
      <c r="P810" s="75"/>
      <c r="Q810" s="1"/>
    </row>
    <row r="811" hidden="1" customHeight="1" outlineLevel="2" collapsed="1" spans="1:17">
      <c r="A811" s="40">
        <v>45980</v>
      </c>
      <c r="B811" s="40">
        <v>45984</v>
      </c>
      <c r="C811" s="75"/>
      <c r="D811" s="14">
        <f t="shared" ref="D811:D813" si="131">1.06*20</f>
        <v>21.2</v>
      </c>
      <c r="E811" s="14">
        <v>0</v>
      </c>
      <c r="F811" s="46">
        <v>1</v>
      </c>
      <c r="H811" s="60">
        <f t="shared" si="125"/>
        <v>21.7</v>
      </c>
      <c r="I811" s="47">
        <v>2</v>
      </c>
      <c r="J811" s="14">
        <v>46</v>
      </c>
      <c r="K811" s="48">
        <f t="shared" si="126"/>
        <v>0.528260869565217</v>
      </c>
      <c r="L811" s="61">
        <f t="shared" si="127"/>
        <v>24.3</v>
      </c>
      <c r="M811" s="46">
        <f t="shared" si="128"/>
        <v>43.4</v>
      </c>
      <c r="N811" s="75"/>
      <c r="O811" s="75"/>
      <c r="P811" s="75"/>
      <c r="Q811" s="1"/>
    </row>
    <row r="812" hidden="1" customHeight="1" outlineLevel="2" collapsed="1" spans="1:17">
      <c r="A812" s="40">
        <v>45987</v>
      </c>
      <c r="B812" s="40">
        <v>45990</v>
      </c>
      <c r="C812" s="75"/>
      <c r="D812" s="14">
        <f t="shared" si="131"/>
        <v>21.2</v>
      </c>
      <c r="E812" s="14">
        <v>0</v>
      </c>
      <c r="F812" s="46">
        <v>1</v>
      </c>
      <c r="H812" s="60">
        <f t="shared" si="125"/>
        <v>21.7</v>
      </c>
      <c r="I812" s="47">
        <v>2</v>
      </c>
      <c r="J812" s="14">
        <v>46</v>
      </c>
      <c r="K812" s="48">
        <f t="shared" si="126"/>
        <v>0.528260869565217</v>
      </c>
      <c r="L812" s="61">
        <f t="shared" si="127"/>
        <v>24.3</v>
      </c>
      <c r="M812" s="46">
        <f t="shared" si="128"/>
        <v>43.4</v>
      </c>
      <c r="N812" s="75"/>
      <c r="O812" s="75"/>
      <c r="P812" s="75"/>
      <c r="Q812" s="1"/>
    </row>
    <row r="813" hidden="1" customHeight="1" outlineLevel="1" collapsed="1" spans="1:17">
      <c r="A813" s="24">
        <v>45999</v>
      </c>
      <c r="B813" s="40">
        <v>46004</v>
      </c>
      <c r="C813" s="75"/>
      <c r="D813" s="14">
        <f t="shared" si="131"/>
        <v>21.2</v>
      </c>
      <c r="E813" s="14">
        <v>0</v>
      </c>
      <c r="F813" s="46">
        <v>1</v>
      </c>
      <c r="H813" s="60">
        <f t="shared" si="125"/>
        <v>21.7</v>
      </c>
      <c r="I813" s="47">
        <v>2</v>
      </c>
      <c r="J813" s="14">
        <v>46</v>
      </c>
      <c r="K813" s="48">
        <f t="shared" si="126"/>
        <v>0.528260869565217</v>
      </c>
      <c r="L813" s="61">
        <f t="shared" si="127"/>
        <v>24.3</v>
      </c>
      <c r="M813" s="46">
        <f t="shared" si="128"/>
        <v>43.4</v>
      </c>
      <c r="N813" s="75"/>
      <c r="O813" s="75"/>
      <c r="P813" s="75"/>
      <c r="Q813" s="1"/>
    </row>
    <row r="814" hidden="1" customHeight="1" outlineLevel="1" collapsed="1" spans="1:17">
      <c r="A814" s="24"/>
      <c r="B814" s="40"/>
      <c r="C814" s="75"/>
      <c r="H814" s="60"/>
      <c r="L814" s="61"/>
      <c r="N814" s="75"/>
      <c r="O814" s="75"/>
      <c r="P814" s="75"/>
      <c r="Q814" s="1"/>
    </row>
    <row r="815" hidden="1" customHeight="1" outlineLevel="1" collapsed="1" spans="1:17">
      <c r="A815" s="75" t="s">
        <v>66</v>
      </c>
      <c r="B815" s="75"/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1"/>
    </row>
    <row r="816" hidden="1" customHeight="1" outlineLevel="2" spans="1:17">
      <c r="A816" s="64">
        <v>45740</v>
      </c>
      <c r="B816" s="24">
        <v>45744</v>
      </c>
      <c r="D816" s="14">
        <f t="shared" ref="D816:D823" si="132">0.93*20</f>
        <v>18.6</v>
      </c>
      <c r="E816" s="14">
        <v>0</v>
      </c>
      <c r="F816" s="46">
        <v>1</v>
      </c>
      <c r="H816" s="60">
        <f t="shared" ref="H816:H827" si="133">D816+(E816/I816)+(F816/I816)</f>
        <v>18.9333333333333</v>
      </c>
      <c r="I816" s="47">
        <v>3</v>
      </c>
      <c r="J816" s="14">
        <v>48</v>
      </c>
      <c r="K816" s="48">
        <f t="shared" ref="K816:K827" si="134">(J816-H816)/J816</f>
        <v>0.605555555555556</v>
      </c>
      <c r="L816" s="61">
        <f t="shared" ref="L816:L827" si="135">J816-H816</f>
        <v>29.0666666666667</v>
      </c>
      <c r="M816" s="46">
        <f t="shared" ref="M816:M827" si="136">D816*I816+E816+F816</f>
        <v>56.8</v>
      </c>
      <c r="Q816" s="1"/>
    </row>
    <row r="817" hidden="1" customHeight="1" outlineLevel="2" spans="1:17">
      <c r="A817" s="64">
        <v>45767</v>
      </c>
      <c r="B817" s="24">
        <v>45771</v>
      </c>
      <c r="D817" s="14">
        <f t="shared" si="132"/>
        <v>18.6</v>
      </c>
      <c r="E817" s="14">
        <v>0</v>
      </c>
      <c r="F817" s="46">
        <v>1</v>
      </c>
      <c r="H817" s="60">
        <f t="shared" si="133"/>
        <v>19.1</v>
      </c>
      <c r="I817" s="47">
        <v>2</v>
      </c>
      <c r="J817" s="14">
        <v>48</v>
      </c>
      <c r="K817" s="48">
        <f t="shared" si="134"/>
        <v>0.602083333333333</v>
      </c>
      <c r="L817" s="61">
        <f t="shared" si="135"/>
        <v>28.9</v>
      </c>
      <c r="M817" s="46">
        <f t="shared" si="136"/>
        <v>38.2</v>
      </c>
      <c r="Q817" s="1"/>
    </row>
    <row r="818" hidden="1" customHeight="1" outlineLevel="2" spans="1:17">
      <c r="A818" s="64">
        <v>45798</v>
      </c>
      <c r="B818" s="24">
        <v>45801</v>
      </c>
      <c r="D818" s="14">
        <f t="shared" si="132"/>
        <v>18.6</v>
      </c>
      <c r="E818" s="14">
        <v>0</v>
      </c>
      <c r="F818" s="46">
        <v>1</v>
      </c>
      <c r="H818" s="60">
        <f t="shared" si="133"/>
        <v>18.9333333333333</v>
      </c>
      <c r="I818" s="47">
        <v>3</v>
      </c>
      <c r="J818" s="14">
        <v>48</v>
      </c>
      <c r="K818" s="48">
        <f t="shared" si="134"/>
        <v>0.605555555555556</v>
      </c>
      <c r="L818" s="61">
        <f t="shared" si="135"/>
        <v>29.0666666666667</v>
      </c>
      <c r="M818" s="46">
        <f t="shared" si="136"/>
        <v>56.8</v>
      </c>
      <c r="Q818" s="1"/>
    </row>
    <row r="819" hidden="1" customHeight="1" outlineLevel="2" spans="1:17">
      <c r="A819" s="64">
        <v>45812</v>
      </c>
      <c r="B819" s="24">
        <v>45815</v>
      </c>
      <c r="D819" s="14">
        <f t="shared" si="132"/>
        <v>18.6</v>
      </c>
      <c r="E819" s="14">
        <v>0</v>
      </c>
      <c r="F819" s="46">
        <v>1</v>
      </c>
      <c r="H819" s="60">
        <f t="shared" si="133"/>
        <v>18.85</v>
      </c>
      <c r="I819" s="47">
        <v>4</v>
      </c>
      <c r="J819" s="14">
        <v>48</v>
      </c>
      <c r="K819" s="48">
        <f t="shared" si="134"/>
        <v>0.607291666666667</v>
      </c>
      <c r="L819" s="61">
        <f t="shared" si="135"/>
        <v>29.15</v>
      </c>
      <c r="M819" s="46">
        <f t="shared" si="136"/>
        <v>75.4</v>
      </c>
      <c r="Q819" s="1"/>
    </row>
    <row r="820" hidden="1" customHeight="1" outlineLevel="2" spans="1:17">
      <c r="A820" s="64">
        <v>45829</v>
      </c>
      <c r="B820" s="24">
        <v>45833</v>
      </c>
      <c r="D820" s="14">
        <f t="shared" si="132"/>
        <v>18.6</v>
      </c>
      <c r="E820" s="14">
        <v>0</v>
      </c>
      <c r="F820" s="46">
        <v>1</v>
      </c>
      <c r="H820" s="60">
        <f t="shared" si="133"/>
        <v>18.8</v>
      </c>
      <c r="I820" s="47">
        <v>5</v>
      </c>
      <c r="J820" s="14">
        <v>48</v>
      </c>
      <c r="K820" s="48">
        <f t="shared" si="134"/>
        <v>0.608333333333333</v>
      </c>
      <c r="L820" s="61">
        <f t="shared" si="135"/>
        <v>29.2</v>
      </c>
      <c r="M820" s="46">
        <f t="shared" si="136"/>
        <v>94</v>
      </c>
      <c r="Q820" s="1"/>
    </row>
    <row r="821" hidden="1" customHeight="1" outlineLevel="2" spans="1:17">
      <c r="A821" s="64">
        <v>45859</v>
      </c>
      <c r="B821" s="24">
        <v>45864</v>
      </c>
      <c r="D821" s="14">
        <f t="shared" si="132"/>
        <v>18.6</v>
      </c>
      <c r="E821" s="14">
        <v>0</v>
      </c>
      <c r="F821" s="46">
        <v>1</v>
      </c>
      <c r="H821" s="60">
        <f t="shared" si="133"/>
        <v>18.9333333333333</v>
      </c>
      <c r="I821" s="47">
        <v>3</v>
      </c>
      <c r="J821" s="14">
        <v>48</v>
      </c>
      <c r="K821" s="48">
        <f t="shared" si="134"/>
        <v>0.605555555555556</v>
      </c>
      <c r="L821" s="61">
        <f t="shared" si="135"/>
        <v>29.0666666666667</v>
      </c>
      <c r="M821" s="46">
        <f t="shared" si="136"/>
        <v>56.8</v>
      </c>
      <c r="Q821" s="1"/>
    </row>
    <row r="822" hidden="1" customHeight="1" outlineLevel="2" spans="1:17">
      <c r="A822" s="64">
        <v>45864</v>
      </c>
      <c r="B822" s="24">
        <v>45870</v>
      </c>
      <c r="D822" s="14">
        <f t="shared" si="132"/>
        <v>18.6</v>
      </c>
      <c r="E822" s="14">
        <v>0</v>
      </c>
      <c r="F822" s="46">
        <v>1</v>
      </c>
      <c r="H822" s="60">
        <f t="shared" si="133"/>
        <v>18.8</v>
      </c>
      <c r="I822" s="47">
        <v>5</v>
      </c>
      <c r="J822" s="14">
        <v>48</v>
      </c>
      <c r="K822" s="48">
        <f t="shared" si="134"/>
        <v>0.608333333333333</v>
      </c>
      <c r="L822" s="61">
        <f t="shared" si="135"/>
        <v>29.2</v>
      </c>
      <c r="M822" s="46">
        <f t="shared" si="136"/>
        <v>94</v>
      </c>
      <c r="Q822" s="1"/>
    </row>
    <row r="823" hidden="1" customHeight="1" outlineLevel="2" spans="1:17">
      <c r="A823" s="40">
        <v>45871</v>
      </c>
      <c r="B823" s="40">
        <v>45877</v>
      </c>
      <c r="D823" s="14">
        <f t="shared" si="132"/>
        <v>18.6</v>
      </c>
      <c r="E823" s="14">
        <v>0</v>
      </c>
      <c r="F823" s="46">
        <v>1</v>
      </c>
      <c r="H823" s="60">
        <f t="shared" si="133"/>
        <v>18.85</v>
      </c>
      <c r="I823" s="47">
        <v>4</v>
      </c>
      <c r="J823" s="14">
        <v>48</v>
      </c>
      <c r="K823" s="48">
        <f t="shared" si="134"/>
        <v>0.607291666666667</v>
      </c>
      <c r="L823" s="61">
        <f t="shared" si="135"/>
        <v>29.15</v>
      </c>
      <c r="M823" s="46">
        <f t="shared" si="136"/>
        <v>75.4</v>
      </c>
      <c r="Q823" s="1"/>
    </row>
    <row r="824" hidden="1" customHeight="1" outlineLevel="2" collapsed="1" spans="1:17">
      <c r="A824" s="40">
        <v>45880</v>
      </c>
      <c r="B824" s="40">
        <v>45885</v>
      </c>
      <c r="C824" s="40"/>
      <c r="D824" s="14">
        <f>1.01*20</f>
        <v>20.2</v>
      </c>
      <c r="E824" s="14">
        <v>0</v>
      </c>
      <c r="F824" s="46">
        <v>1</v>
      </c>
      <c r="H824" s="60">
        <f t="shared" si="133"/>
        <v>20.3666666666667</v>
      </c>
      <c r="I824" s="47">
        <v>6</v>
      </c>
      <c r="J824" s="14">
        <v>48</v>
      </c>
      <c r="K824" s="48">
        <f t="shared" si="134"/>
        <v>0.575694444444444</v>
      </c>
      <c r="L824" s="61">
        <f t="shared" si="135"/>
        <v>27.6333333333333</v>
      </c>
      <c r="M824" s="46">
        <f t="shared" si="136"/>
        <v>122.2</v>
      </c>
      <c r="N824" s="40"/>
      <c r="O824" s="40"/>
      <c r="P824" s="40"/>
      <c r="Q824" s="1"/>
    </row>
    <row r="825" hidden="1" customHeight="1" outlineLevel="2" spans="1:17">
      <c r="A825" s="40">
        <v>45883</v>
      </c>
      <c r="B825" s="40">
        <v>45942</v>
      </c>
      <c r="C825" s="40"/>
      <c r="D825" s="14">
        <f>1.01*20</f>
        <v>20.2</v>
      </c>
      <c r="E825" s="14">
        <v>0</v>
      </c>
      <c r="F825" s="46">
        <v>1</v>
      </c>
      <c r="H825" s="60">
        <f t="shared" si="133"/>
        <v>20.5333333333333</v>
      </c>
      <c r="I825" s="47">
        <v>3</v>
      </c>
      <c r="J825" s="14">
        <v>48</v>
      </c>
      <c r="K825" s="48">
        <f t="shared" si="134"/>
        <v>0.572222222222222</v>
      </c>
      <c r="L825" s="61">
        <f t="shared" si="135"/>
        <v>27.4666666666667</v>
      </c>
      <c r="M825" s="46">
        <f t="shared" si="136"/>
        <v>61.6</v>
      </c>
      <c r="N825" s="40"/>
      <c r="O825" s="40"/>
      <c r="P825" s="40"/>
      <c r="Q825" s="1"/>
    </row>
    <row r="826" hidden="1" customHeight="1" outlineLevel="1" spans="1:17">
      <c r="A826" s="40">
        <v>45987</v>
      </c>
      <c r="B826" s="40">
        <v>45990</v>
      </c>
      <c r="C826" s="40"/>
      <c r="D826" s="14">
        <f>1.14*20</f>
        <v>22.8</v>
      </c>
      <c r="E826" s="14">
        <v>0</v>
      </c>
      <c r="F826" s="46">
        <v>1</v>
      </c>
      <c r="H826" s="60">
        <f t="shared" si="133"/>
        <v>23.3</v>
      </c>
      <c r="I826" s="47">
        <v>2</v>
      </c>
      <c r="J826" s="14">
        <v>48</v>
      </c>
      <c r="K826" s="48">
        <f t="shared" si="134"/>
        <v>0.514583333333333</v>
      </c>
      <c r="L826" s="61">
        <f t="shared" si="135"/>
        <v>24.7</v>
      </c>
      <c r="M826" s="46">
        <f t="shared" si="136"/>
        <v>46.6</v>
      </c>
      <c r="N826" s="40"/>
      <c r="O826" s="40"/>
      <c r="P826" s="40"/>
      <c r="Q826" s="1"/>
    </row>
    <row r="827" hidden="1" customHeight="1" outlineLevel="1" spans="1:17">
      <c r="A827" s="24">
        <v>46037</v>
      </c>
      <c r="B827" s="24">
        <v>46040</v>
      </c>
      <c r="C827" s="40"/>
      <c r="D827" s="14">
        <f>1.14*20</f>
        <v>22.8</v>
      </c>
      <c r="E827" s="14">
        <v>0</v>
      </c>
      <c r="F827" s="46">
        <v>1</v>
      </c>
      <c r="H827" s="60">
        <f t="shared" si="133"/>
        <v>23.3</v>
      </c>
      <c r="I827" s="47">
        <v>2</v>
      </c>
      <c r="J827" s="14">
        <v>48</v>
      </c>
      <c r="K827" s="48">
        <f t="shared" si="134"/>
        <v>0.514583333333333</v>
      </c>
      <c r="L827" s="61">
        <f t="shared" si="135"/>
        <v>24.7</v>
      </c>
      <c r="M827" s="46">
        <f t="shared" si="136"/>
        <v>46.6</v>
      </c>
      <c r="N827" s="40"/>
      <c r="O827" s="40"/>
      <c r="P827" s="40"/>
      <c r="Q827" s="1"/>
    </row>
    <row r="828" hidden="1" customHeight="1" outlineLevel="1" collapsed="1" spans="1:17">
      <c r="A828" s="40" t="s">
        <v>60</v>
      </c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1"/>
    </row>
    <row r="829" hidden="1" customHeight="1" outlineLevel="2" spans="1:17">
      <c r="A829" s="64">
        <v>45849</v>
      </c>
      <c r="B829" s="24">
        <v>45857</v>
      </c>
      <c r="D829" s="14">
        <f t="shared" ref="D829:D831" si="137">1*20</f>
        <v>20</v>
      </c>
      <c r="E829" s="14">
        <v>0</v>
      </c>
      <c r="F829" s="46">
        <v>2</v>
      </c>
      <c r="H829" s="60">
        <f t="shared" ref="H829:H838" si="138">D829+(E829/I829)+(F829/I829)</f>
        <v>20.6666666666667</v>
      </c>
      <c r="I829" s="47">
        <v>3</v>
      </c>
      <c r="J829" s="14">
        <v>50</v>
      </c>
      <c r="K829" s="48">
        <f t="shared" ref="K829:K838" si="139">(J829-H829)/J829</f>
        <v>0.586666666666667</v>
      </c>
      <c r="L829" s="61">
        <f t="shared" ref="L829:L838" si="140">J829-H829</f>
        <v>29.3333333333333</v>
      </c>
      <c r="M829" s="46">
        <f t="shared" ref="M829:M838" si="141">D829*I829+E829+F829</f>
        <v>62</v>
      </c>
      <c r="Q829" s="1"/>
    </row>
    <row r="830" hidden="1" customHeight="1" outlineLevel="2" spans="1:17">
      <c r="A830" s="64">
        <v>45864</v>
      </c>
      <c r="B830" s="24">
        <v>45870</v>
      </c>
      <c r="D830" s="14">
        <f t="shared" si="137"/>
        <v>20</v>
      </c>
      <c r="E830" s="14">
        <v>0</v>
      </c>
      <c r="F830" s="46">
        <v>1</v>
      </c>
      <c r="H830" s="60">
        <f t="shared" si="138"/>
        <v>20.1428571428571</v>
      </c>
      <c r="I830" s="47">
        <v>7</v>
      </c>
      <c r="J830" s="14">
        <v>50</v>
      </c>
      <c r="K830" s="48">
        <f t="shared" si="139"/>
        <v>0.597142857142857</v>
      </c>
      <c r="L830" s="61">
        <f t="shared" si="140"/>
        <v>29.8571428571429</v>
      </c>
      <c r="M830" s="46">
        <f t="shared" si="141"/>
        <v>141</v>
      </c>
      <c r="Q830" s="1"/>
    </row>
    <row r="831" hidden="1" customHeight="1" outlineLevel="2" spans="1:17">
      <c r="A831" s="64">
        <v>45864</v>
      </c>
      <c r="B831" s="24">
        <v>45898</v>
      </c>
      <c r="D831" s="14">
        <f t="shared" si="137"/>
        <v>20</v>
      </c>
      <c r="E831" s="14">
        <v>0</v>
      </c>
      <c r="F831" s="46">
        <v>1</v>
      </c>
      <c r="H831" s="60">
        <f t="shared" si="138"/>
        <v>21</v>
      </c>
      <c r="I831" s="47">
        <v>1</v>
      </c>
      <c r="J831" s="14">
        <v>50</v>
      </c>
      <c r="K831" s="48">
        <f t="shared" si="139"/>
        <v>0.58</v>
      </c>
      <c r="L831" s="61">
        <f t="shared" si="140"/>
        <v>29</v>
      </c>
      <c r="M831" s="46">
        <f t="shared" si="141"/>
        <v>21</v>
      </c>
      <c r="Q831" s="1"/>
    </row>
    <row r="832" hidden="1" customHeight="1" outlineLevel="2" spans="1:17">
      <c r="A832" s="40">
        <v>45904</v>
      </c>
      <c r="B832" s="40">
        <v>45907</v>
      </c>
      <c r="D832" s="14">
        <f t="shared" ref="D832:D835" si="142">1.08*20</f>
        <v>21.6</v>
      </c>
      <c r="E832" s="14">
        <v>0</v>
      </c>
      <c r="F832" s="46">
        <v>1</v>
      </c>
      <c r="H832" s="60">
        <f t="shared" si="138"/>
        <v>21.85</v>
      </c>
      <c r="I832" s="47">
        <v>4</v>
      </c>
      <c r="J832" s="14">
        <v>50</v>
      </c>
      <c r="K832" s="48">
        <f t="shared" si="139"/>
        <v>0.563</v>
      </c>
      <c r="L832" s="61">
        <f t="shared" si="140"/>
        <v>28.15</v>
      </c>
      <c r="M832" s="46">
        <f t="shared" si="141"/>
        <v>87.4</v>
      </c>
      <c r="Q832" s="1"/>
    </row>
    <row r="833" hidden="1" customHeight="1" outlineLevel="2" spans="1:17">
      <c r="A833" s="40">
        <v>45925</v>
      </c>
      <c r="B833" s="40">
        <v>45929</v>
      </c>
      <c r="D833" s="14">
        <f t="shared" si="142"/>
        <v>21.6</v>
      </c>
      <c r="E833" s="14">
        <v>0</v>
      </c>
      <c r="F833" s="46">
        <v>1</v>
      </c>
      <c r="H833" s="60">
        <f t="shared" si="138"/>
        <v>22.1</v>
      </c>
      <c r="I833" s="47">
        <v>2</v>
      </c>
      <c r="J833" s="14">
        <v>50</v>
      </c>
      <c r="K833" s="48">
        <f t="shared" si="139"/>
        <v>0.558</v>
      </c>
      <c r="L833" s="61">
        <f t="shared" si="140"/>
        <v>27.9</v>
      </c>
      <c r="M833" s="46">
        <f t="shared" si="141"/>
        <v>44.2</v>
      </c>
      <c r="Q833" s="1"/>
    </row>
    <row r="834" hidden="1" customHeight="1" outlineLevel="2" spans="1:17">
      <c r="A834" s="40">
        <v>45930</v>
      </c>
      <c r="B834" s="40">
        <v>45938</v>
      </c>
      <c r="D834" s="14">
        <f t="shared" si="142"/>
        <v>21.6</v>
      </c>
      <c r="E834" s="14">
        <v>0</v>
      </c>
      <c r="F834" s="46">
        <v>1</v>
      </c>
      <c r="H834" s="60">
        <f t="shared" si="138"/>
        <v>22.1</v>
      </c>
      <c r="I834" s="47">
        <v>2</v>
      </c>
      <c r="J834" s="14">
        <v>50</v>
      </c>
      <c r="K834" s="48">
        <f t="shared" si="139"/>
        <v>0.558</v>
      </c>
      <c r="L834" s="61">
        <f t="shared" si="140"/>
        <v>27.9</v>
      </c>
      <c r="M834" s="46">
        <f t="shared" si="141"/>
        <v>44.2</v>
      </c>
      <c r="Q834" s="1"/>
    </row>
    <row r="835" hidden="1" customHeight="1" outlineLevel="2" spans="1:17">
      <c r="A835" s="40">
        <v>45972</v>
      </c>
      <c r="B835" s="40">
        <v>45975</v>
      </c>
      <c r="D835" s="14">
        <f t="shared" si="142"/>
        <v>21.6</v>
      </c>
      <c r="E835" s="14">
        <v>0</v>
      </c>
      <c r="F835" s="46">
        <v>1</v>
      </c>
      <c r="H835" s="60">
        <f t="shared" si="138"/>
        <v>22.1</v>
      </c>
      <c r="I835" s="47">
        <v>2</v>
      </c>
      <c r="J835" s="14">
        <v>50</v>
      </c>
      <c r="K835" s="48">
        <f t="shared" si="139"/>
        <v>0.558</v>
      </c>
      <c r="L835" s="61">
        <f t="shared" si="140"/>
        <v>27.9</v>
      </c>
      <c r="M835" s="46">
        <f t="shared" si="141"/>
        <v>44.2</v>
      </c>
      <c r="Q835" s="1"/>
    </row>
    <row r="836" hidden="1" customHeight="1" outlineLevel="2" spans="1:17">
      <c r="A836" s="40">
        <v>45987</v>
      </c>
      <c r="B836" s="40">
        <v>45990</v>
      </c>
      <c r="D836" s="14">
        <f t="shared" ref="D836:D838" si="143">1.22*20</f>
        <v>24.4</v>
      </c>
      <c r="E836" s="14">
        <v>0</v>
      </c>
      <c r="F836" s="46">
        <v>1</v>
      </c>
      <c r="H836" s="60">
        <f t="shared" si="138"/>
        <v>24.9</v>
      </c>
      <c r="I836" s="47">
        <v>2</v>
      </c>
      <c r="J836" s="14">
        <v>50</v>
      </c>
      <c r="K836" s="48">
        <f t="shared" si="139"/>
        <v>0.502</v>
      </c>
      <c r="L836" s="61">
        <f t="shared" si="140"/>
        <v>25.1</v>
      </c>
      <c r="M836" s="46">
        <f t="shared" si="141"/>
        <v>49.8</v>
      </c>
      <c r="Q836" s="1"/>
    </row>
    <row r="837" hidden="1" customHeight="1" outlineLevel="1" spans="1:17">
      <c r="A837" s="40">
        <v>46005</v>
      </c>
      <c r="B837" s="24">
        <v>46009</v>
      </c>
      <c r="D837" s="14">
        <f t="shared" si="143"/>
        <v>24.4</v>
      </c>
      <c r="E837" s="14">
        <v>0</v>
      </c>
      <c r="F837" s="46">
        <v>1</v>
      </c>
      <c r="H837" s="60">
        <f t="shared" si="138"/>
        <v>24.9</v>
      </c>
      <c r="I837" s="47">
        <v>2</v>
      </c>
      <c r="J837" s="14">
        <v>50</v>
      </c>
      <c r="K837" s="48">
        <f t="shared" si="139"/>
        <v>0.502</v>
      </c>
      <c r="L837" s="61">
        <f t="shared" si="140"/>
        <v>25.1</v>
      </c>
      <c r="M837" s="46">
        <f t="shared" si="141"/>
        <v>49.8</v>
      </c>
      <c r="Q837" s="1"/>
    </row>
    <row r="838" hidden="1" customHeight="1" outlineLevel="1" spans="1:17">
      <c r="A838" s="24">
        <v>46037</v>
      </c>
      <c r="B838" s="24">
        <v>46040</v>
      </c>
      <c r="D838" s="14">
        <f t="shared" si="143"/>
        <v>24.4</v>
      </c>
      <c r="E838" s="14">
        <v>0</v>
      </c>
      <c r="F838" s="46">
        <v>1</v>
      </c>
      <c r="H838" s="60">
        <f t="shared" si="138"/>
        <v>24.9</v>
      </c>
      <c r="I838" s="47">
        <v>2</v>
      </c>
      <c r="J838" s="14">
        <v>50</v>
      </c>
      <c r="K838" s="48">
        <f t="shared" si="139"/>
        <v>0.502</v>
      </c>
      <c r="L838" s="61">
        <f t="shared" si="140"/>
        <v>25.1</v>
      </c>
      <c r="M838" s="46">
        <f t="shared" si="141"/>
        <v>49.8</v>
      </c>
      <c r="Q838" s="1"/>
    </row>
    <row r="839" hidden="1" customHeight="1" outlineLevel="1" spans="1:17">
      <c r="A839" s="40"/>
      <c r="B839" s="24"/>
      <c r="H839" s="60"/>
      <c r="L839" s="61"/>
      <c r="Q839" s="1"/>
    </row>
    <row r="840" hidden="1" customHeight="1" outlineLevel="1" spans="1:17">
      <c r="Q840" s="1"/>
    </row>
    <row r="841" customHeight="1" spans="1:17">
      <c r="A841" s="64"/>
      <c r="B841" s="24"/>
      <c r="H841" s="60"/>
      <c r="L841" s="61"/>
      <c r="Q841" s="1"/>
    </row>
    <row r="842" customHeight="1" spans="1:17">
      <c r="A842" s="64"/>
      <c r="B842" s="24"/>
      <c r="H842" s="60"/>
      <c r="L842" s="61"/>
      <c r="Q842" s="1"/>
    </row>
    <row r="843" customHeight="1" collapsed="1" spans="1:17">
      <c r="A843" s="57" t="s">
        <v>67</v>
      </c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17" t="str">
        <f>_xlfn.DISPIMG("ID_4CF93B507BA2419FAF1D2E0A3DE7E343",1)</f>
        <v>=DISPIMG("ID_4CF93B507BA2419FAF1D2E0A3DE7E343",1)</v>
      </c>
      <c r="P843" s="38">
        <v>63420196363</v>
      </c>
      <c r="Q843" s="1"/>
    </row>
    <row r="844" hidden="1" customHeight="1" outlineLevel="1" spans="1:17">
      <c r="A844" s="24">
        <v>45869</v>
      </c>
      <c r="B844" s="24">
        <v>45874</v>
      </c>
      <c r="D844" s="14">
        <f t="shared" ref="D844:D851" si="144">0.87*20</f>
        <v>17.4</v>
      </c>
      <c r="E844" s="14">
        <v>0</v>
      </c>
      <c r="F844" s="46">
        <v>1</v>
      </c>
      <c r="H844" s="60">
        <f t="shared" ref="H844:H891" si="145">D844+(E844/I844)+(F844/I844)</f>
        <v>17.7333333333333</v>
      </c>
      <c r="I844" s="47">
        <v>3</v>
      </c>
      <c r="J844" s="62">
        <v>33.63</v>
      </c>
      <c r="K844" s="48">
        <f t="shared" ref="K844:K891" si="146">(J844-H844)/J844</f>
        <v>0.472693032015066</v>
      </c>
      <c r="L844" s="61">
        <f t="shared" ref="L844:L891" si="147">J844-H844</f>
        <v>15.8966666666667</v>
      </c>
      <c r="M844" s="46">
        <f t="shared" ref="M844:M891" si="148">D844*I844+E844+F844</f>
        <v>53.2</v>
      </c>
      <c r="Q844" s="1"/>
    </row>
    <row r="845" hidden="1" customHeight="1" outlineLevel="1" spans="1:17">
      <c r="A845" s="40">
        <v>45880</v>
      </c>
      <c r="B845" s="40">
        <v>45885</v>
      </c>
      <c r="D845" s="14">
        <f t="shared" si="144"/>
        <v>17.4</v>
      </c>
      <c r="E845" s="14">
        <v>0</v>
      </c>
      <c r="F845" s="46">
        <v>1</v>
      </c>
      <c r="H845" s="60">
        <f t="shared" si="145"/>
        <v>17.6</v>
      </c>
      <c r="I845" s="47">
        <v>5</v>
      </c>
      <c r="J845" s="62">
        <v>33.63</v>
      </c>
      <c r="K845" s="48">
        <f t="shared" si="146"/>
        <v>0.476657746060066</v>
      </c>
      <c r="L845" s="61">
        <f t="shared" si="147"/>
        <v>16.03</v>
      </c>
      <c r="M845" s="46">
        <f t="shared" si="148"/>
        <v>88</v>
      </c>
      <c r="Q845" s="1"/>
    </row>
    <row r="846" hidden="1" customHeight="1" outlineLevel="1" spans="1:17">
      <c r="A846" s="40">
        <v>45897</v>
      </c>
      <c r="B846" s="40">
        <v>45900</v>
      </c>
      <c r="D846" s="14">
        <f t="shared" si="144"/>
        <v>17.4</v>
      </c>
      <c r="E846" s="14">
        <v>0</v>
      </c>
      <c r="F846" s="46">
        <v>2</v>
      </c>
      <c r="H846" s="60">
        <f t="shared" si="145"/>
        <v>17.9</v>
      </c>
      <c r="I846" s="47">
        <v>4</v>
      </c>
      <c r="J846" s="62">
        <v>33.63</v>
      </c>
      <c r="K846" s="48">
        <f t="shared" si="146"/>
        <v>0.467737139458817</v>
      </c>
      <c r="L846" s="61">
        <f t="shared" si="147"/>
        <v>15.73</v>
      </c>
      <c r="M846" s="46">
        <f t="shared" si="148"/>
        <v>71.6</v>
      </c>
      <c r="Q846" s="1"/>
    </row>
    <row r="847" hidden="1" customHeight="1" outlineLevel="1" spans="1:17">
      <c r="A847" s="40">
        <v>45904</v>
      </c>
      <c r="B847" s="40">
        <v>45908</v>
      </c>
      <c r="C847" s="57"/>
      <c r="D847" s="14">
        <f t="shared" si="144"/>
        <v>17.4</v>
      </c>
      <c r="E847" s="14">
        <v>0</v>
      </c>
      <c r="F847" s="46">
        <v>2</v>
      </c>
      <c r="H847" s="60">
        <f t="shared" si="145"/>
        <v>17.9</v>
      </c>
      <c r="I847" s="47">
        <v>4</v>
      </c>
      <c r="J847" s="62">
        <v>33.63</v>
      </c>
      <c r="K847" s="48">
        <f t="shared" si="146"/>
        <v>0.467737139458817</v>
      </c>
      <c r="L847" s="61">
        <f t="shared" si="147"/>
        <v>15.73</v>
      </c>
      <c r="M847" s="46">
        <f t="shared" si="148"/>
        <v>71.6</v>
      </c>
      <c r="N847" s="57"/>
      <c r="O847" s="57"/>
      <c r="P847" s="57"/>
      <c r="Q847" s="1"/>
    </row>
    <row r="848" hidden="1" customHeight="1" outlineLevel="1" spans="1:17">
      <c r="A848" s="40">
        <v>45908</v>
      </c>
      <c r="B848" s="40">
        <v>45913</v>
      </c>
      <c r="C848" s="57"/>
      <c r="D848" s="14">
        <f t="shared" si="144"/>
        <v>17.4</v>
      </c>
      <c r="E848" s="14">
        <v>0</v>
      </c>
      <c r="F848" s="46">
        <v>2</v>
      </c>
      <c r="H848" s="60">
        <f t="shared" si="145"/>
        <v>18.0666666666667</v>
      </c>
      <c r="I848" s="47">
        <v>3</v>
      </c>
      <c r="J848" s="62">
        <v>33.63</v>
      </c>
      <c r="K848" s="48">
        <f t="shared" si="146"/>
        <v>0.462781246902567</v>
      </c>
      <c r="L848" s="61">
        <f t="shared" si="147"/>
        <v>15.5633333333333</v>
      </c>
      <c r="M848" s="46">
        <f t="shared" si="148"/>
        <v>54.2</v>
      </c>
      <c r="N848" s="57"/>
      <c r="O848" s="57"/>
      <c r="P848" s="57"/>
      <c r="Q848" s="1"/>
    </row>
    <row r="849" hidden="1" customHeight="1" outlineLevel="1" spans="1:17">
      <c r="A849" s="40">
        <v>45914</v>
      </c>
      <c r="B849" s="40">
        <v>45918</v>
      </c>
      <c r="C849" s="57"/>
      <c r="D849" s="14">
        <f t="shared" si="144"/>
        <v>17.4</v>
      </c>
      <c r="E849" s="14">
        <v>0</v>
      </c>
      <c r="F849" s="46">
        <v>2</v>
      </c>
      <c r="H849" s="60">
        <f t="shared" si="145"/>
        <v>17.7333333333333</v>
      </c>
      <c r="I849" s="47">
        <v>6</v>
      </c>
      <c r="J849" s="62">
        <v>33.63</v>
      </c>
      <c r="K849" s="48">
        <f t="shared" si="146"/>
        <v>0.472693032015066</v>
      </c>
      <c r="L849" s="61">
        <f t="shared" si="147"/>
        <v>15.8966666666667</v>
      </c>
      <c r="M849" s="46">
        <f t="shared" si="148"/>
        <v>106.4</v>
      </c>
      <c r="N849" s="57"/>
      <c r="O849" s="57"/>
      <c r="P849" s="57"/>
      <c r="Q849" s="1"/>
    </row>
    <row r="850" hidden="1" customHeight="1" outlineLevel="1" spans="1:17">
      <c r="A850" s="40">
        <v>45920</v>
      </c>
      <c r="B850" s="40">
        <v>45925</v>
      </c>
      <c r="C850" s="57"/>
      <c r="D850" s="14">
        <f t="shared" si="144"/>
        <v>17.4</v>
      </c>
      <c r="E850" s="14">
        <v>0</v>
      </c>
      <c r="F850" s="46">
        <v>1</v>
      </c>
      <c r="H850" s="60">
        <f t="shared" si="145"/>
        <v>17.7333333333333</v>
      </c>
      <c r="I850" s="47">
        <v>3</v>
      </c>
      <c r="J850" s="62">
        <v>33.63</v>
      </c>
      <c r="K850" s="48">
        <f t="shared" si="146"/>
        <v>0.472693032015066</v>
      </c>
      <c r="L850" s="61">
        <f t="shared" si="147"/>
        <v>15.8966666666667</v>
      </c>
      <c r="M850" s="46">
        <f t="shared" si="148"/>
        <v>53.2</v>
      </c>
      <c r="N850" s="57"/>
      <c r="O850" s="57"/>
      <c r="P850" s="57"/>
      <c r="Q850" s="1"/>
    </row>
    <row r="851" hidden="1" customHeight="1" outlineLevel="1" spans="1:17">
      <c r="A851" s="40">
        <v>45925</v>
      </c>
      <c r="B851" s="40">
        <v>45929</v>
      </c>
      <c r="C851" s="57"/>
      <c r="D851" s="14">
        <f t="shared" si="144"/>
        <v>17.4</v>
      </c>
      <c r="E851" s="14">
        <v>0</v>
      </c>
      <c r="F851" s="46">
        <v>1</v>
      </c>
      <c r="H851" s="60">
        <f t="shared" si="145"/>
        <v>17.7333333333333</v>
      </c>
      <c r="I851" s="47">
        <v>3</v>
      </c>
      <c r="J851" s="62">
        <v>33.63</v>
      </c>
      <c r="K851" s="48">
        <f t="shared" si="146"/>
        <v>0.472693032015066</v>
      </c>
      <c r="L851" s="61">
        <f t="shared" si="147"/>
        <v>15.8966666666667</v>
      </c>
      <c r="M851" s="46">
        <f t="shared" si="148"/>
        <v>53.2</v>
      </c>
      <c r="N851" s="57"/>
      <c r="O851" s="57"/>
      <c r="P851" s="57"/>
      <c r="Q851" s="1"/>
    </row>
    <row r="852" hidden="1" customHeight="1" outlineLevel="1" spans="1:17">
      <c r="A852" s="40">
        <v>45930</v>
      </c>
      <c r="B852" s="40">
        <v>45934</v>
      </c>
      <c r="C852" s="57"/>
      <c r="D852" s="14">
        <f t="shared" ref="D852:D860" si="149">0.94*20</f>
        <v>18.8</v>
      </c>
      <c r="E852" s="14">
        <v>0</v>
      </c>
      <c r="F852" s="46">
        <v>2</v>
      </c>
      <c r="H852" s="60">
        <f t="shared" si="145"/>
        <v>19.05</v>
      </c>
      <c r="I852" s="47">
        <v>8</v>
      </c>
      <c r="J852" s="62">
        <v>33.63</v>
      </c>
      <c r="K852" s="48">
        <f t="shared" si="146"/>
        <v>0.433541480820696</v>
      </c>
      <c r="L852" s="61">
        <f t="shared" si="147"/>
        <v>14.58</v>
      </c>
      <c r="M852" s="46">
        <f t="shared" si="148"/>
        <v>152.4</v>
      </c>
      <c r="N852" s="57"/>
      <c r="O852" s="57"/>
      <c r="P852" s="57"/>
      <c r="Q852" s="1"/>
    </row>
    <row r="853" hidden="1" customHeight="1" outlineLevel="1" spans="1:17">
      <c r="A853" s="40">
        <v>45938</v>
      </c>
      <c r="B853" s="40">
        <v>45942</v>
      </c>
      <c r="C853" s="57"/>
      <c r="D853" s="14">
        <f t="shared" si="149"/>
        <v>18.8</v>
      </c>
      <c r="E853" s="14">
        <v>0</v>
      </c>
      <c r="F853" s="46">
        <v>2</v>
      </c>
      <c r="H853" s="60">
        <f t="shared" si="145"/>
        <v>19.4666666666667</v>
      </c>
      <c r="I853" s="47">
        <v>3</v>
      </c>
      <c r="J853" s="62">
        <v>33.63</v>
      </c>
      <c r="K853" s="48">
        <f t="shared" si="146"/>
        <v>0.421151749430072</v>
      </c>
      <c r="L853" s="61">
        <f t="shared" si="147"/>
        <v>14.1633333333333</v>
      </c>
      <c r="M853" s="46">
        <f t="shared" si="148"/>
        <v>58.4</v>
      </c>
      <c r="N853" s="57"/>
      <c r="O853" s="57"/>
      <c r="P853" s="57"/>
      <c r="Q853" s="1"/>
    </row>
    <row r="854" hidden="1" customHeight="1" outlineLevel="1" spans="1:17">
      <c r="A854" s="40">
        <v>45942</v>
      </c>
      <c r="B854" s="40">
        <v>45946</v>
      </c>
      <c r="C854" s="57"/>
      <c r="D854" s="14">
        <f t="shared" si="149"/>
        <v>18.8</v>
      </c>
      <c r="E854" s="14">
        <v>0</v>
      </c>
      <c r="F854" s="46">
        <v>2</v>
      </c>
      <c r="H854" s="60">
        <f t="shared" si="145"/>
        <v>19.2</v>
      </c>
      <c r="I854" s="47">
        <v>5</v>
      </c>
      <c r="J854" s="62">
        <v>33.63</v>
      </c>
      <c r="K854" s="48">
        <f t="shared" si="146"/>
        <v>0.429081177520072</v>
      </c>
      <c r="L854" s="61">
        <f t="shared" si="147"/>
        <v>14.43</v>
      </c>
      <c r="M854" s="46">
        <f t="shared" si="148"/>
        <v>96</v>
      </c>
      <c r="N854" s="57"/>
      <c r="O854" s="57"/>
      <c r="P854" s="57"/>
      <c r="Q854" s="1"/>
    </row>
    <row r="855" hidden="1" customHeight="1" outlineLevel="1" spans="1:17">
      <c r="A855" s="40">
        <v>45942</v>
      </c>
      <c r="B855" s="40">
        <v>45953</v>
      </c>
      <c r="C855" s="57"/>
      <c r="D855" s="14">
        <f t="shared" si="149"/>
        <v>18.8</v>
      </c>
      <c r="E855" s="14">
        <v>0</v>
      </c>
      <c r="F855" s="46">
        <v>2</v>
      </c>
      <c r="H855" s="60">
        <f t="shared" si="145"/>
        <v>19.2</v>
      </c>
      <c r="I855" s="47">
        <v>5</v>
      </c>
      <c r="J855" s="62">
        <v>33.63</v>
      </c>
      <c r="K855" s="48">
        <f t="shared" si="146"/>
        <v>0.429081177520072</v>
      </c>
      <c r="L855" s="61">
        <f t="shared" si="147"/>
        <v>14.43</v>
      </c>
      <c r="M855" s="46">
        <f t="shared" si="148"/>
        <v>96</v>
      </c>
      <c r="N855" s="57"/>
      <c r="O855" s="57"/>
      <c r="P855" s="57"/>
      <c r="Q855" s="1"/>
    </row>
    <row r="856" hidden="1" customHeight="1" outlineLevel="1" spans="1:17">
      <c r="A856" s="40">
        <v>45952</v>
      </c>
      <c r="B856" s="40">
        <v>45957</v>
      </c>
      <c r="C856" s="57"/>
      <c r="D856" s="14">
        <f t="shared" si="149"/>
        <v>18.8</v>
      </c>
      <c r="E856" s="14">
        <v>0</v>
      </c>
      <c r="F856" s="46">
        <v>1</v>
      </c>
      <c r="H856" s="60">
        <f t="shared" si="145"/>
        <v>18.9666666666667</v>
      </c>
      <c r="I856" s="47">
        <v>6</v>
      </c>
      <c r="J856" s="62">
        <v>33.63</v>
      </c>
      <c r="K856" s="48">
        <f t="shared" si="146"/>
        <v>0.436019427098821</v>
      </c>
      <c r="L856" s="61">
        <f t="shared" si="147"/>
        <v>14.6633333333333</v>
      </c>
      <c r="M856" s="46">
        <f t="shared" si="148"/>
        <v>113.8</v>
      </c>
      <c r="N856" s="57"/>
      <c r="O856" s="57"/>
      <c r="P856" s="57"/>
      <c r="Q856" s="1"/>
    </row>
    <row r="857" hidden="1" customHeight="1" outlineLevel="1" spans="1:17">
      <c r="A857" s="40">
        <v>45952</v>
      </c>
      <c r="B857" s="40">
        <v>45963</v>
      </c>
      <c r="C857" s="57"/>
      <c r="D857" s="14">
        <f t="shared" si="149"/>
        <v>18.8</v>
      </c>
      <c r="E857" s="14">
        <v>0</v>
      </c>
      <c r="F857" s="46">
        <v>2</v>
      </c>
      <c r="H857" s="60">
        <f t="shared" si="145"/>
        <v>19.8</v>
      </c>
      <c r="I857" s="47">
        <v>2</v>
      </c>
      <c r="J857" s="62">
        <v>33.63</v>
      </c>
      <c r="K857" s="48">
        <f t="shared" si="146"/>
        <v>0.411239964317574</v>
      </c>
      <c r="L857" s="61">
        <f t="shared" si="147"/>
        <v>13.83</v>
      </c>
      <c r="M857" s="46">
        <f t="shared" si="148"/>
        <v>39.6</v>
      </c>
      <c r="N857" s="57"/>
      <c r="O857" s="57"/>
      <c r="P857" s="57"/>
      <c r="Q857" s="1"/>
    </row>
    <row r="858" hidden="1" customHeight="1" outlineLevel="1" spans="1:17">
      <c r="A858" s="40">
        <v>45962</v>
      </c>
      <c r="B858" s="40">
        <v>45968</v>
      </c>
      <c r="C858" s="57"/>
      <c r="D858" s="14">
        <f t="shared" si="149"/>
        <v>18.8</v>
      </c>
      <c r="E858" s="14">
        <v>0</v>
      </c>
      <c r="F858" s="46">
        <v>2</v>
      </c>
      <c r="H858" s="60">
        <f t="shared" si="145"/>
        <v>19.1333333333333</v>
      </c>
      <c r="I858" s="47">
        <v>6</v>
      </c>
      <c r="J858" s="62">
        <v>33.63</v>
      </c>
      <c r="K858" s="48">
        <f t="shared" si="146"/>
        <v>0.431063534542571</v>
      </c>
      <c r="L858" s="61">
        <f t="shared" si="147"/>
        <v>14.4966666666667</v>
      </c>
      <c r="M858" s="46">
        <f t="shared" si="148"/>
        <v>114.8</v>
      </c>
      <c r="N858" s="57"/>
      <c r="O858" s="57"/>
      <c r="P858" s="57"/>
      <c r="Q858" s="1"/>
    </row>
    <row r="859" hidden="1" customHeight="1" outlineLevel="1" spans="1:17">
      <c r="A859" s="40">
        <v>45972</v>
      </c>
      <c r="B859" s="40">
        <v>45975</v>
      </c>
      <c r="C859" s="57"/>
      <c r="D859" s="14">
        <f t="shared" si="149"/>
        <v>18.8</v>
      </c>
      <c r="E859" s="14">
        <v>0</v>
      </c>
      <c r="F859" s="46">
        <v>2</v>
      </c>
      <c r="H859" s="60">
        <f t="shared" si="145"/>
        <v>19.05</v>
      </c>
      <c r="I859" s="47">
        <v>8</v>
      </c>
      <c r="J859" s="62">
        <v>33.63</v>
      </c>
      <c r="K859" s="48">
        <f t="shared" si="146"/>
        <v>0.433541480820696</v>
      </c>
      <c r="L859" s="61">
        <f t="shared" si="147"/>
        <v>14.58</v>
      </c>
      <c r="M859" s="46">
        <f t="shared" si="148"/>
        <v>152.4</v>
      </c>
      <c r="N859" s="57"/>
      <c r="O859" s="57"/>
      <c r="P859" s="57"/>
      <c r="Q859" s="1"/>
    </row>
    <row r="860" hidden="1" customHeight="1" outlineLevel="1" spans="1:17">
      <c r="A860" s="40">
        <v>45978</v>
      </c>
      <c r="B860" s="40">
        <v>45982</v>
      </c>
      <c r="C860" s="57"/>
      <c r="D860" s="14">
        <f t="shared" si="149"/>
        <v>18.8</v>
      </c>
      <c r="E860" s="14">
        <v>0</v>
      </c>
      <c r="F860" s="46">
        <v>2</v>
      </c>
      <c r="H860" s="60">
        <f t="shared" si="145"/>
        <v>19</v>
      </c>
      <c r="I860" s="47">
        <v>10</v>
      </c>
      <c r="J860" s="62">
        <v>33.63</v>
      </c>
      <c r="K860" s="48">
        <f t="shared" si="146"/>
        <v>0.435028248587571</v>
      </c>
      <c r="L860" s="61">
        <f t="shared" si="147"/>
        <v>14.63</v>
      </c>
      <c r="M860" s="46">
        <f t="shared" si="148"/>
        <v>190</v>
      </c>
      <c r="N860" s="57"/>
      <c r="O860" s="57"/>
      <c r="P860" s="57"/>
      <c r="Q860" s="1"/>
    </row>
    <row r="861" hidden="1" customHeight="1" outlineLevel="1" spans="1:17">
      <c r="A861" s="40">
        <v>45980</v>
      </c>
      <c r="B861" s="40">
        <v>45984</v>
      </c>
      <c r="C861" s="57"/>
      <c r="D861" s="14">
        <f t="shared" ref="D861:D883" si="150">1.06*20</f>
        <v>21.2</v>
      </c>
      <c r="E861" s="14">
        <v>0</v>
      </c>
      <c r="F861" s="46">
        <v>2</v>
      </c>
      <c r="H861" s="60">
        <f t="shared" si="145"/>
        <v>21.5333333333333</v>
      </c>
      <c r="I861" s="47">
        <v>6</v>
      </c>
      <c r="J861" s="62">
        <v>33.63</v>
      </c>
      <c r="K861" s="48">
        <f t="shared" si="146"/>
        <v>0.35969868173258</v>
      </c>
      <c r="L861" s="61">
        <f t="shared" si="147"/>
        <v>12.0966666666667</v>
      </c>
      <c r="M861" s="46">
        <f t="shared" si="148"/>
        <v>129.2</v>
      </c>
      <c r="N861" s="57"/>
      <c r="O861" s="57"/>
      <c r="P861" s="57"/>
      <c r="Q861" s="1"/>
    </row>
    <row r="862" hidden="1" customHeight="1" outlineLevel="1" spans="1:17">
      <c r="A862" s="40">
        <v>45987</v>
      </c>
      <c r="B862" s="40">
        <v>45990</v>
      </c>
      <c r="C862" s="57"/>
      <c r="D862" s="14">
        <f t="shared" si="150"/>
        <v>21.2</v>
      </c>
      <c r="E862" s="14">
        <v>0</v>
      </c>
      <c r="F862" s="46">
        <v>2</v>
      </c>
      <c r="H862" s="60">
        <f t="shared" si="145"/>
        <v>21.8666666666667</v>
      </c>
      <c r="I862" s="47">
        <v>3</v>
      </c>
      <c r="J862" s="62">
        <v>33.63</v>
      </c>
      <c r="K862" s="48">
        <f t="shared" si="146"/>
        <v>0.349786896620081</v>
      </c>
      <c r="L862" s="61">
        <f t="shared" si="147"/>
        <v>11.7633333333333</v>
      </c>
      <c r="M862" s="46">
        <f t="shared" si="148"/>
        <v>65.6</v>
      </c>
      <c r="N862" s="57"/>
      <c r="O862" s="57"/>
      <c r="P862" s="57"/>
      <c r="Q862" s="1"/>
    </row>
    <row r="863" hidden="1" customHeight="1" outlineLevel="1" spans="1:17">
      <c r="A863" s="24">
        <v>45989</v>
      </c>
      <c r="B863" s="40">
        <v>45992</v>
      </c>
      <c r="C863" s="57"/>
      <c r="D863" s="14">
        <f t="shared" si="150"/>
        <v>21.2</v>
      </c>
      <c r="E863" s="14">
        <v>0</v>
      </c>
      <c r="F863" s="46">
        <v>2</v>
      </c>
      <c r="H863" s="60">
        <f t="shared" si="145"/>
        <v>21.45</v>
      </c>
      <c r="I863" s="47">
        <v>8</v>
      </c>
      <c r="J863" s="62">
        <v>33.63</v>
      </c>
      <c r="K863" s="48">
        <f t="shared" si="146"/>
        <v>0.362176628010705</v>
      </c>
      <c r="L863" s="61">
        <f t="shared" si="147"/>
        <v>12.18</v>
      </c>
      <c r="M863" s="46">
        <f t="shared" si="148"/>
        <v>171.6</v>
      </c>
    </row>
    <row r="864" hidden="1" customHeight="1" outlineLevel="1" spans="1:17">
      <c r="A864" s="24">
        <v>45991</v>
      </c>
      <c r="B864" s="40">
        <v>45996</v>
      </c>
      <c r="C864" s="57"/>
      <c r="D864" s="14">
        <f t="shared" si="150"/>
        <v>21.2</v>
      </c>
      <c r="E864" s="14">
        <v>0</v>
      </c>
      <c r="F864" s="46">
        <v>2</v>
      </c>
      <c r="H864" s="60">
        <f t="shared" si="145"/>
        <v>21.5333333333333</v>
      </c>
      <c r="I864" s="47">
        <v>6</v>
      </c>
      <c r="J864" s="62">
        <v>33.63</v>
      </c>
      <c r="K864" s="48">
        <f t="shared" si="146"/>
        <v>0.35969868173258</v>
      </c>
      <c r="L864" s="61">
        <f t="shared" si="147"/>
        <v>12.0966666666667</v>
      </c>
      <c r="M864" s="46">
        <f t="shared" si="148"/>
        <v>129.2</v>
      </c>
    </row>
    <row r="865" hidden="1" customHeight="1" outlineLevel="1" spans="1:17">
      <c r="A865" s="24">
        <v>45991</v>
      </c>
      <c r="B865" s="40">
        <v>45999</v>
      </c>
      <c r="C865" s="57"/>
      <c r="D865" s="14">
        <f t="shared" si="150"/>
        <v>21.2</v>
      </c>
      <c r="E865" s="14">
        <v>0</v>
      </c>
      <c r="F865" s="46">
        <v>2</v>
      </c>
      <c r="H865" s="60">
        <f t="shared" si="145"/>
        <v>21.7</v>
      </c>
      <c r="I865" s="47">
        <v>4</v>
      </c>
      <c r="J865" s="62">
        <v>33.63</v>
      </c>
      <c r="K865" s="48">
        <f t="shared" si="146"/>
        <v>0.354742789176331</v>
      </c>
      <c r="L865" s="61">
        <f t="shared" si="147"/>
        <v>11.93</v>
      </c>
      <c r="M865" s="46">
        <f t="shared" si="148"/>
        <v>86.8</v>
      </c>
    </row>
    <row r="866" hidden="1" customHeight="1" outlineLevel="1" spans="1:17">
      <c r="A866" s="24">
        <v>45999</v>
      </c>
      <c r="B866" s="40">
        <v>46003</v>
      </c>
      <c r="C866" s="57"/>
      <c r="D866" s="14">
        <f t="shared" si="150"/>
        <v>21.2</v>
      </c>
      <c r="E866" s="14">
        <v>0</v>
      </c>
      <c r="F866" s="46">
        <v>2</v>
      </c>
      <c r="H866" s="60">
        <f t="shared" si="145"/>
        <v>21.5333333333333</v>
      </c>
      <c r="I866" s="47">
        <v>6</v>
      </c>
      <c r="J866" s="62">
        <v>33.63</v>
      </c>
      <c r="K866" s="48">
        <f t="shared" si="146"/>
        <v>0.35969868173258</v>
      </c>
      <c r="L866" s="61">
        <f t="shared" si="147"/>
        <v>12.0966666666667</v>
      </c>
      <c r="M866" s="46">
        <f t="shared" si="148"/>
        <v>129.2</v>
      </c>
    </row>
    <row r="867" hidden="1" customHeight="1" outlineLevel="1" spans="1:17">
      <c r="A867" s="24">
        <v>46005</v>
      </c>
      <c r="B867" s="40">
        <v>46009</v>
      </c>
      <c r="C867" s="57"/>
      <c r="D867" s="14">
        <f t="shared" si="150"/>
        <v>21.2</v>
      </c>
      <c r="E867" s="14">
        <v>0</v>
      </c>
      <c r="F867" s="46">
        <v>2</v>
      </c>
      <c r="H867" s="60">
        <f t="shared" si="145"/>
        <v>21.45</v>
      </c>
      <c r="I867" s="47">
        <v>8</v>
      </c>
      <c r="J867" s="62">
        <v>33.63</v>
      </c>
      <c r="K867" s="48">
        <f t="shared" si="146"/>
        <v>0.362176628010705</v>
      </c>
      <c r="L867" s="61">
        <f t="shared" si="147"/>
        <v>12.18</v>
      </c>
      <c r="M867" s="46">
        <f t="shared" si="148"/>
        <v>171.6</v>
      </c>
    </row>
    <row r="868" hidden="1" customHeight="1" outlineLevel="1" spans="1:17">
      <c r="A868" s="24">
        <v>46013</v>
      </c>
      <c r="B868" s="24">
        <v>46017</v>
      </c>
      <c r="D868" s="14">
        <f t="shared" si="150"/>
        <v>21.2</v>
      </c>
      <c r="E868" s="14">
        <v>0</v>
      </c>
      <c r="F868" s="46">
        <v>2</v>
      </c>
      <c r="H868" s="60">
        <f t="shared" si="145"/>
        <v>21.4</v>
      </c>
      <c r="I868" s="47">
        <v>10</v>
      </c>
      <c r="J868" s="62">
        <v>33.63</v>
      </c>
      <c r="K868" s="48">
        <f t="shared" si="146"/>
        <v>0.36366339577758</v>
      </c>
      <c r="L868" s="61">
        <f t="shared" si="147"/>
        <v>12.23</v>
      </c>
      <c r="M868" s="46">
        <f t="shared" si="148"/>
        <v>214</v>
      </c>
    </row>
    <row r="869" hidden="1" customHeight="1" outlineLevel="1" spans="1:17">
      <c r="A869" s="24">
        <v>46025</v>
      </c>
      <c r="B869" s="24">
        <v>46030</v>
      </c>
      <c r="D869" s="14">
        <f t="shared" si="150"/>
        <v>21.2</v>
      </c>
      <c r="E869" s="14">
        <v>0</v>
      </c>
      <c r="F869" s="46">
        <v>2</v>
      </c>
      <c r="H869" s="60">
        <f t="shared" si="145"/>
        <v>21.4</v>
      </c>
      <c r="I869" s="47">
        <v>10</v>
      </c>
      <c r="J869" s="62">
        <v>33.63</v>
      </c>
      <c r="K869" s="48">
        <f t="shared" si="146"/>
        <v>0.36366339577758</v>
      </c>
      <c r="L869" s="61">
        <f t="shared" si="147"/>
        <v>12.23</v>
      </c>
      <c r="M869" s="46">
        <f t="shared" si="148"/>
        <v>214</v>
      </c>
    </row>
    <row r="870" hidden="1" customHeight="1" outlineLevel="1" spans="1:17">
      <c r="A870" s="24">
        <v>46037</v>
      </c>
      <c r="B870" s="24">
        <v>46037</v>
      </c>
      <c r="C870" s="50"/>
      <c r="D870" s="14">
        <f t="shared" si="150"/>
        <v>21.2</v>
      </c>
      <c r="E870" s="14">
        <v>0</v>
      </c>
      <c r="F870" s="46">
        <v>2</v>
      </c>
      <c r="H870" s="60">
        <f t="shared" si="145"/>
        <v>21.7</v>
      </c>
      <c r="I870" s="47">
        <v>4</v>
      </c>
      <c r="J870" s="62">
        <v>33.63</v>
      </c>
      <c r="K870" s="48">
        <f t="shared" si="146"/>
        <v>0.354742789176331</v>
      </c>
      <c r="L870" s="61">
        <f t="shared" si="147"/>
        <v>11.93</v>
      </c>
      <c r="M870" s="46">
        <f t="shared" si="148"/>
        <v>86.8</v>
      </c>
      <c r="N870" s="50"/>
      <c r="O870" s="26"/>
      <c r="P870" s="14"/>
      <c r="Q870" s="13"/>
    </row>
    <row r="871" hidden="1" customHeight="1" outlineLevel="1" spans="1:17">
      <c r="A871" s="24">
        <v>46042</v>
      </c>
      <c r="B871" s="40">
        <v>46046</v>
      </c>
      <c r="C871" s="50"/>
      <c r="D871" s="14">
        <f t="shared" si="150"/>
        <v>21.2</v>
      </c>
      <c r="E871" s="14">
        <v>0</v>
      </c>
      <c r="F871" s="46">
        <v>2</v>
      </c>
      <c r="H871" s="60">
        <f t="shared" si="145"/>
        <v>21.4</v>
      </c>
      <c r="I871" s="47">
        <v>10</v>
      </c>
      <c r="J871" s="62">
        <v>33.63</v>
      </c>
      <c r="K871" s="48">
        <f t="shared" si="146"/>
        <v>0.36366339577758</v>
      </c>
      <c r="L871" s="61">
        <f t="shared" si="147"/>
        <v>12.23</v>
      </c>
      <c r="M871" s="46">
        <f t="shared" si="148"/>
        <v>214</v>
      </c>
      <c r="N871" s="50"/>
      <c r="O871" s="26"/>
      <c r="P871" s="14"/>
      <c r="Q871" s="13"/>
    </row>
    <row r="872" hidden="1" customHeight="1" outlineLevel="1" spans="1:17">
      <c r="A872" s="24">
        <v>46045</v>
      </c>
      <c r="B872" s="24">
        <v>46048</v>
      </c>
      <c r="C872" s="50"/>
      <c r="D872" s="14">
        <f t="shared" si="150"/>
        <v>21.2</v>
      </c>
      <c r="E872" s="14">
        <v>0</v>
      </c>
      <c r="F872" s="46">
        <v>2</v>
      </c>
      <c r="H872" s="60">
        <f t="shared" si="145"/>
        <v>21.4</v>
      </c>
      <c r="I872" s="47">
        <v>10</v>
      </c>
      <c r="J872" s="62">
        <v>33.63</v>
      </c>
      <c r="K872" s="48">
        <f t="shared" si="146"/>
        <v>0.36366339577758</v>
      </c>
      <c r="L872" s="61">
        <f t="shared" si="147"/>
        <v>12.23</v>
      </c>
      <c r="M872" s="46">
        <f t="shared" si="148"/>
        <v>214</v>
      </c>
      <c r="N872" s="50"/>
      <c r="O872" s="26"/>
      <c r="P872" s="14"/>
      <c r="Q872" s="13"/>
    </row>
    <row r="873" hidden="1" customHeight="1" outlineLevel="1" spans="1:17">
      <c r="A873" s="24">
        <v>46049</v>
      </c>
      <c r="B873" s="24">
        <v>46053</v>
      </c>
      <c r="C873" s="50"/>
      <c r="D873" s="14">
        <f t="shared" si="150"/>
        <v>21.2</v>
      </c>
      <c r="E873" s="14">
        <v>0</v>
      </c>
      <c r="F873" s="46">
        <v>2</v>
      </c>
      <c r="H873" s="60">
        <f t="shared" si="145"/>
        <v>21.4</v>
      </c>
      <c r="I873" s="47">
        <v>10</v>
      </c>
      <c r="J873" s="62">
        <v>33.63</v>
      </c>
      <c r="K873" s="48">
        <f t="shared" si="146"/>
        <v>0.36366339577758</v>
      </c>
      <c r="L873" s="61">
        <f t="shared" si="147"/>
        <v>12.23</v>
      </c>
      <c r="M873" s="46">
        <f t="shared" si="148"/>
        <v>214</v>
      </c>
      <c r="N873" s="50"/>
      <c r="O873" s="26"/>
      <c r="P873" s="14"/>
      <c r="Q873" s="13"/>
    </row>
    <row r="874" hidden="1" customHeight="1" outlineLevel="1" spans="1:17">
      <c r="A874" s="24">
        <v>46055</v>
      </c>
      <c r="B874" s="24">
        <v>46059</v>
      </c>
      <c r="C874" s="50"/>
      <c r="D874" s="14">
        <f t="shared" si="150"/>
        <v>21.2</v>
      </c>
      <c r="E874" s="14">
        <v>0</v>
      </c>
      <c r="F874" s="46">
        <v>2</v>
      </c>
      <c r="H874" s="60">
        <f t="shared" si="145"/>
        <v>21.4</v>
      </c>
      <c r="I874" s="47">
        <v>10</v>
      </c>
      <c r="J874" s="62">
        <v>33.63</v>
      </c>
      <c r="K874" s="48">
        <f t="shared" si="146"/>
        <v>0.36366339577758</v>
      </c>
      <c r="L874" s="61">
        <f t="shared" si="147"/>
        <v>12.23</v>
      </c>
      <c r="M874" s="46">
        <f t="shared" si="148"/>
        <v>214</v>
      </c>
      <c r="N874" s="50"/>
      <c r="O874" s="26"/>
      <c r="P874" s="14"/>
      <c r="Q874" s="13"/>
    </row>
    <row r="875" hidden="1" customHeight="1" outlineLevel="1" spans="1:17">
      <c r="A875" s="24">
        <v>46060</v>
      </c>
      <c r="B875" s="24">
        <v>46075</v>
      </c>
      <c r="C875" s="50"/>
      <c r="D875" s="14">
        <f t="shared" si="150"/>
        <v>21.2</v>
      </c>
      <c r="E875" s="14">
        <v>0</v>
      </c>
      <c r="F875" s="46">
        <v>2</v>
      </c>
      <c r="H875" s="60">
        <f t="shared" si="145"/>
        <v>21.4</v>
      </c>
      <c r="I875" s="47">
        <v>10</v>
      </c>
      <c r="J875" s="62">
        <v>33.63</v>
      </c>
      <c r="K875" s="48">
        <f t="shared" si="146"/>
        <v>0.36366339577758</v>
      </c>
      <c r="L875" s="61">
        <f t="shared" si="147"/>
        <v>12.23</v>
      </c>
      <c r="M875" s="46">
        <f t="shared" si="148"/>
        <v>214</v>
      </c>
      <c r="N875" s="50"/>
      <c r="O875" s="26"/>
      <c r="P875" s="14"/>
      <c r="Q875" s="13"/>
    </row>
    <row r="876" hidden="1" customHeight="1" outlineLevel="1" spans="1:17">
      <c r="A876" s="24">
        <v>46060</v>
      </c>
      <c r="B876" s="24">
        <v>46076</v>
      </c>
      <c r="C876" s="50"/>
      <c r="D876" s="14">
        <f t="shared" si="150"/>
        <v>21.2</v>
      </c>
      <c r="E876" s="14">
        <v>0</v>
      </c>
      <c r="F876" s="46">
        <v>2</v>
      </c>
      <c r="H876" s="60">
        <f t="shared" si="145"/>
        <v>21.4</v>
      </c>
      <c r="I876" s="47">
        <v>10</v>
      </c>
      <c r="J876" s="62">
        <v>33.63</v>
      </c>
      <c r="K876" s="48">
        <f t="shared" si="146"/>
        <v>0.36366339577758</v>
      </c>
      <c r="L876" s="61">
        <f t="shared" si="147"/>
        <v>12.23</v>
      </c>
      <c r="M876" s="46">
        <f t="shared" si="148"/>
        <v>214</v>
      </c>
      <c r="N876" s="50"/>
      <c r="O876" s="26"/>
      <c r="P876" s="14"/>
      <c r="Q876" s="13"/>
    </row>
    <row r="877" hidden="1" customHeight="1" outlineLevel="1" spans="1:17">
      <c r="A877" s="24">
        <v>46083</v>
      </c>
      <c r="B877" s="24">
        <v>46087</v>
      </c>
      <c r="C877" s="50"/>
      <c r="D877" s="14">
        <f t="shared" si="150"/>
        <v>21.2</v>
      </c>
      <c r="E877" s="14">
        <v>0</v>
      </c>
      <c r="F877" s="46">
        <v>2</v>
      </c>
      <c r="H877" s="60">
        <f t="shared" si="145"/>
        <v>21.4</v>
      </c>
      <c r="I877" s="47">
        <v>10</v>
      </c>
      <c r="J877" s="62">
        <v>33.63</v>
      </c>
      <c r="K877" s="48">
        <f t="shared" si="146"/>
        <v>0.36366339577758</v>
      </c>
      <c r="L877" s="61">
        <f t="shared" si="147"/>
        <v>12.23</v>
      </c>
      <c r="M877" s="46">
        <f t="shared" si="148"/>
        <v>214</v>
      </c>
      <c r="N877" s="50"/>
      <c r="O877" s="26"/>
      <c r="P877" s="14"/>
      <c r="Q877" s="13"/>
    </row>
    <row r="878" hidden="1" customHeight="1" outlineLevel="1" spans="1:17">
      <c r="A878" s="24">
        <v>46091</v>
      </c>
      <c r="B878" s="24">
        <v>46098</v>
      </c>
      <c r="C878" s="50"/>
      <c r="D878" s="14">
        <f t="shared" si="150"/>
        <v>21.2</v>
      </c>
      <c r="E878" s="14">
        <v>0</v>
      </c>
      <c r="F878" s="46">
        <v>2</v>
      </c>
      <c r="H878" s="60">
        <f t="shared" si="145"/>
        <v>21.4</v>
      </c>
      <c r="I878" s="47">
        <v>10</v>
      </c>
      <c r="J878" s="62">
        <v>33.63</v>
      </c>
      <c r="K878" s="48">
        <f t="shared" si="146"/>
        <v>0.36366339577758</v>
      </c>
      <c r="L878" s="61">
        <f t="shared" si="147"/>
        <v>12.23</v>
      </c>
      <c r="M878" s="46">
        <f t="shared" si="148"/>
        <v>214</v>
      </c>
      <c r="N878" s="50"/>
      <c r="O878" s="26"/>
      <c r="P878" s="14"/>
      <c r="Q878" s="13"/>
    </row>
    <row r="879" hidden="1" customHeight="1" outlineLevel="1" spans="1:17">
      <c r="A879" s="24">
        <v>46106</v>
      </c>
      <c r="B879" s="24">
        <v>46110</v>
      </c>
      <c r="C879" s="50"/>
      <c r="D879" s="14">
        <f t="shared" si="150"/>
        <v>21.2</v>
      </c>
      <c r="E879" s="14">
        <v>0</v>
      </c>
      <c r="F879" s="46">
        <v>2</v>
      </c>
      <c r="H879" s="60">
        <f t="shared" si="145"/>
        <v>21.4</v>
      </c>
      <c r="I879" s="47">
        <v>10</v>
      </c>
      <c r="J879" s="62">
        <v>33.63</v>
      </c>
      <c r="K879" s="48">
        <f t="shared" si="146"/>
        <v>0.36366339577758</v>
      </c>
      <c r="L879" s="61">
        <f t="shared" si="147"/>
        <v>12.23</v>
      </c>
      <c r="M879" s="46">
        <f t="shared" si="148"/>
        <v>214</v>
      </c>
      <c r="N879" s="50"/>
      <c r="O879" s="26"/>
      <c r="P879" s="14"/>
      <c r="Q879" s="13"/>
    </row>
    <row r="880" hidden="1" customHeight="1" outlineLevel="1" spans="1:17">
      <c r="A880" s="24">
        <v>46117</v>
      </c>
      <c r="B880" s="24">
        <v>46121</v>
      </c>
      <c r="C880" s="50"/>
      <c r="D880" s="14">
        <f t="shared" si="150"/>
        <v>21.2</v>
      </c>
      <c r="E880" s="14">
        <v>0</v>
      </c>
      <c r="F880" s="46">
        <v>2</v>
      </c>
      <c r="H880" s="60">
        <f t="shared" si="145"/>
        <v>21.4</v>
      </c>
      <c r="I880" s="47">
        <v>10</v>
      </c>
      <c r="J880" s="62">
        <v>33.63</v>
      </c>
      <c r="K880" s="48">
        <f t="shared" si="146"/>
        <v>0.36366339577758</v>
      </c>
      <c r="L880" s="61">
        <f t="shared" si="147"/>
        <v>12.23</v>
      </c>
      <c r="M880" s="46">
        <f t="shared" si="148"/>
        <v>214</v>
      </c>
      <c r="N880" s="50"/>
      <c r="O880" s="26"/>
      <c r="P880" s="14"/>
      <c r="Q880" s="13"/>
    </row>
    <row r="881" hidden="1" customHeight="1" outlineLevel="1" spans="1:17">
      <c r="A881" s="24">
        <v>46122</v>
      </c>
      <c r="B881" s="24">
        <v>46128</v>
      </c>
      <c r="C881" s="50"/>
      <c r="D881" s="14">
        <f t="shared" si="150"/>
        <v>21.2</v>
      </c>
      <c r="E881" s="14">
        <v>0</v>
      </c>
      <c r="F881" s="46">
        <v>2</v>
      </c>
      <c r="H881" s="60">
        <f t="shared" si="145"/>
        <v>21.4</v>
      </c>
      <c r="I881" s="47">
        <v>10</v>
      </c>
      <c r="J881" s="62">
        <v>33.63</v>
      </c>
      <c r="K881" s="48">
        <f t="shared" si="146"/>
        <v>0.36366339577758</v>
      </c>
      <c r="L881" s="61">
        <f t="shared" si="147"/>
        <v>12.23</v>
      </c>
      <c r="M881" s="46">
        <f t="shared" si="148"/>
        <v>214</v>
      </c>
      <c r="N881" s="50"/>
      <c r="O881" s="26"/>
      <c r="P881" s="14"/>
      <c r="Q881" s="13"/>
    </row>
    <row r="882" hidden="1" customHeight="1" outlineLevel="1" spans="1:17">
      <c r="A882" s="24">
        <v>46150</v>
      </c>
      <c r="B882" s="24">
        <v>46154</v>
      </c>
      <c r="C882" s="50"/>
      <c r="D882" s="14">
        <f t="shared" si="150"/>
        <v>21.2</v>
      </c>
      <c r="E882" s="14">
        <v>0</v>
      </c>
      <c r="F882" s="46">
        <v>2</v>
      </c>
      <c r="H882" s="60">
        <f t="shared" si="145"/>
        <v>21.4</v>
      </c>
      <c r="I882" s="47">
        <v>10</v>
      </c>
      <c r="J882" s="62">
        <v>33.63</v>
      </c>
      <c r="K882" s="48">
        <f t="shared" si="146"/>
        <v>0.36366339577758</v>
      </c>
      <c r="L882" s="61">
        <f t="shared" si="147"/>
        <v>12.23</v>
      </c>
      <c r="M882" s="46">
        <f t="shared" si="148"/>
        <v>214</v>
      </c>
      <c r="N882" s="50"/>
      <c r="O882" s="26"/>
      <c r="P882" s="14"/>
      <c r="Q882" s="13"/>
    </row>
    <row r="883" hidden="1" customHeight="1" outlineLevel="1" spans="1:17">
      <c r="A883" s="24">
        <v>46156</v>
      </c>
      <c r="B883" s="24">
        <v>46160</v>
      </c>
      <c r="C883" s="50"/>
      <c r="D883" s="14">
        <f t="shared" si="150"/>
        <v>21.2</v>
      </c>
      <c r="E883" s="14">
        <v>0</v>
      </c>
      <c r="F883" s="46">
        <v>2</v>
      </c>
      <c r="H883" s="60">
        <f t="shared" si="145"/>
        <v>21.4</v>
      </c>
      <c r="I883" s="47">
        <v>10</v>
      </c>
      <c r="J883" s="62">
        <v>33.63</v>
      </c>
      <c r="K883" s="48">
        <f t="shared" si="146"/>
        <v>0.36366339577758</v>
      </c>
      <c r="L883" s="61">
        <f t="shared" si="147"/>
        <v>12.23</v>
      </c>
      <c r="M883" s="46">
        <f t="shared" si="148"/>
        <v>214</v>
      </c>
      <c r="N883" s="50"/>
      <c r="O883" s="26"/>
      <c r="P883" s="14"/>
      <c r="Q883" s="13"/>
    </row>
    <row r="884" hidden="1" customHeight="1" outlineLevel="1" spans="1:17">
      <c r="A884" s="24">
        <v>46174</v>
      </c>
      <c r="B884" s="24">
        <v>46178</v>
      </c>
      <c r="C884" s="75"/>
      <c r="D884" s="14">
        <f t="shared" ref="D884:D887" si="151">0.8*20</f>
        <v>16</v>
      </c>
      <c r="E884" s="14">
        <v>0</v>
      </c>
      <c r="F884" s="46">
        <v>2</v>
      </c>
      <c r="G884" s="46">
        <v>3.5</v>
      </c>
      <c r="H884" s="60">
        <f t="shared" si="145"/>
        <v>16.1538461538462</v>
      </c>
      <c r="I884" s="47">
        <v>13</v>
      </c>
      <c r="J884" s="62">
        <v>33.63</v>
      </c>
      <c r="K884" s="48">
        <f t="shared" si="146"/>
        <v>0.519659644548137</v>
      </c>
      <c r="L884" s="61">
        <f t="shared" si="147"/>
        <v>17.4761538461538</v>
      </c>
      <c r="M884" s="46">
        <f t="shared" si="148"/>
        <v>210</v>
      </c>
      <c r="N884" s="50"/>
      <c r="O884" s="26"/>
      <c r="P884" s="14"/>
      <c r="Q884" s="13" t="s">
        <v>68</v>
      </c>
    </row>
    <row r="885" hidden="1" customHeight="1" outlineLevel="1" spans="1:17">
      <c r="A885" s="24">
        <v>46188</v>
      </c>
      <c r="B885" s="24">
        <v>46191</v>
      </c>
      <c r="C885" s="75"/>
      <c r="D885" s="14">
        <f t="shared" si="151"/>
        <v>16</v>
      </c>
      <c r="E885" s="14">
        <v>0</v>
      </c>
      <c r="F885" s="46">
        <v>2</v>
      </c>
      <c r="H885" s="60">
        <f t="shared" si="145"/>
        <v>16.1538461538462</v>
      </c>
      <c r="I885" s="47">
        <v>13</v>
      </c>
      <c r="J885" s="62">
        <v>33.63</v>
      </c>
      <c r="K885" s="48">
        <f t="shared" si="146"/>
        <v>0.519659644548137</v>
      </c>
      <c r="L885" s="61">
        <f t="shared" si="147"/>
        <v>17.4761538461538</v>
      </c>
      <c r="M885" s="46">
        <f t="shared" si="148"/>
        <v>210</v>
      </c>
      <c r="N885" s="50"/>
      <c r="O885" s="26"/>
      <c r="P885" s="14"/>
      <c r="Q885" s="13"/>
    </row>
    <row r="886" hidden="1" customHeight="1" outlineLevel="1" spans="1:17">
      <c r="A886" s="24">
        <v>46198</v>
      </c>
      <c r="B886" s="24">
        <v>46200</v>
      </c>
      <c r="C886" s="50"/>
      <c r="D886" s="14">
        <f t="shared" si="151"/>
        <v>16</v>
      </c>
      <c r="E886" s="14">
        <v>0</v>
      </c>
      <c r="F886" s="46">
        <v>2</v>
      </c>
      <c r="H886" s="60">
        <f t="shared" si="145"/>
        <v>16.1538461538462</v>
      </c>
      <c r="I886" s="47">
        <v>13</v>
      </c>
      <c r="J886" s="62">
        <v>33.63</v>
      </c>
      <c r="K886" s="48">
        <f t="shared" si="146"/>
        <v>0.519659644548137</v>
      </c>
      <c r="L886" s="61">
        <f t="shared" si="147"/>
        <v>17.4761538461538</v>
      </c>
      <c r="M886" s="46">
        <f t="shared" si="148"/>
        <v>210</v>
      </c>
      <c r="N886" s="50"/>
      <c r="O886" s="26"/>
      <c r="P886" s="14"/>
      <c r="Q886" s="13"/>
    </row>
    <row r="887" hidden="1" customHeight="1" outlineLevel="1" spans="1:17">
      <c r="A887" s="24">
        <v>46209</v>
      </c>
      <c r="B887" s="24">
        <v>46214</v>
      </c>
      <c r="C887" s="50"/>
      <c r="D887" s="14">
        <f t="shared" si="151"/>
        <v>16</v>
      </c>
      <c r="E887" s="14">
        <v>0</v>
      </c>
      <c r="F887" s="46">
        <v>3</v>
      </c>
      <c r="H887" s="60">
        <f t="shared" si="145"/>
        <v>16.2307692307692</v>
      </c>
      <c r="I887" s="47">
        <v>13</v>
      </c>
      <c r="J887" s="62">
        <v>33.63</v>
      </c>
      <c r="K887" s="48">
        <f t="shared" si="146"/>
        <v>0.517372309522176</v>
      </c>
      <c r="L887" s="61">
        <f t="shared" si="147"/>
        <v>17.3992307692308</v>
      </c>
      <c r="M887" s="46">
        <f t="shared" si="148"/>
        <v>211</v>
      </c>
      <c r="N887" s="50"/>
      <c r="O887" s="26"/>
      <c r="P887" s="14"/>
      <c r="Q887" s="13"/>
    </row>
    <row r="888" customHeight="1" spans="1:17">
      <c r="A888" s="24">
        <v>46218</v>
      </c>
      <c r="B888" s="24">
        <v>46221</v>
      </c>
      <c r="C888" s="50"/>
      <c r="D888" s="14">
        <f t="shared" ref="D888:D891" si="152">0.76*20</f>
        <v>15.2</v>
      </c>
      <c r="E888" s="14">
        <v>0</v>
      </c>
      <c r="F888" s="46">
        <v>3</v>
      </c>
      <c r="H888" s="60">
        <f t="shared" si="145"/>
        <v>15.4142857142857</v>
      </c>
      <c r="I888" s="47">
        <v>14</v>
      </c>
      <c r="J888" s="62">
        <v>33.63</v>
      </c>
      <c r="K888" s="48">
        <f t="shared" si="146"/>
        <v>0.541650737012022</v>
      </c>
      <c r="L888" s="61">
        <f t="shared" si="147"/>
        <v>18.2157142857143</v>
      </c>
      <c r="M888" s="46">
        <f t="shared" si="148"/>
        <v>215.8</v>
      </c>
      <c r="N888" s="50"/>
      <c r="O888" s="26"/>
      <c r="P888" s="14"/>
      <c r="Q888" s="13" t="s">
        <v>68</v>
      </c>
    </row>
    <row r="889" customHeight="1" spans="1:17">
      <c r="A889" s="24">
        <v>46242</v>
      </c>
      <c r="B889" s="24">
        <v>46247</v>
      </c>
      <c r="C889" s="50"/>
      <c r="D889" s="14">
        <f t="shared" si="152"/>
        <v>15.2</v>
      </c>
      <c r="E889" s="14">
        <v>0</v>
      </c>
      <c r="F889" s="46">
        <v>2</v>
      </c>
      <c r="H889" s="60">
        <f t="shared" si="145"/>
        <v>15.3428571428571</v>
      </c>
      <c r="I889" s="47">
        <v>14</v>
      </c>
      <c r="J889" s="62">
        <v>33.63</v>
      </c>
      <c r="K889" s="48">
        <f t="shared" si="146"/>
        <v>0.5437746909647</v>
      </c>
      <c r="L889" s="61">
        <f t="shared" si="147"/>
        <v>18.2871428571429</v>
      </c>
      <c r="M889" s="46">
        <f t="shared" si="148"/>
        <v>214.8</v>
      </c>
      <c r="N889" s="50"/>
      <c r="O889" s="26"/>
      <c r="P889" s="14"/>
      <c r="Q889" s="13"/>
    </row>
    <row r="890" customHeight="1" spans="1:17">
      <c r="A890" s="24">
        <v>46276</v>
      </c>
      <c r="B890" s="24">
        <v>46282</v>
      </c>
      <c r="C890" s="50"/>
      <c r="D890" s="14">
        <f t="shared" si="152"/>
        <v>15.2</v>
      </c>
      <c r="E890" s="14">
        <v>0</v>
      </c>
      <c r="F890" s="46">
        <v>2</v>
      </c>
      <c r="H890" s="60">
        <f t="shared" si="145"/>
        <v>15.3666666666667</v>
      </c>
      <c r="I890" s="47">
        <v>12</v>
      </c>
      <c r="J890" s="62">
        <v>33.63</v>
      </c>
      <c r="K890" s="48">
        <f t="shared" si="146"/>
        <v>0.543066706313807</v>
      </c>
      <c r="L890" s="61">
        <f t="shared" si="147"/>
        <v>18.2633333333333</v>
      </c>
      <c r="M890" s="46">
        <f t="shared" si="148"/>
        <v>184.4</v>
      </c>
      <c r="N890" s="50"/>
      <c r="O890" s="26"/>
      <c r="P890" s="14"/>
      <c r="Q890" s="13"/>
    </row>
    <row r="891" customHeight="1" spans="1:17">
      <c r="A891" s="24">
        <v>46276</v>
      </c>
      <c r="B891" s="24"/>
      <c r="C891" s="50"/>
      <c r="D891" s="14">
        <f t="shared" si="152"/>
        <v>15.2</v>
      </c>
      <c r="E891" s="14">
        <v>0</v>
      </c>
      <c r="H891" s="60">
        <f t="shared" si="145"/>
        <v>15.2</v>
      </c>
      <c r="I891" s="47">
        <v>1</v>
      </c>
      <c r="J891" s="62">
        <v>33.63</v>
      </c>
      <c r="K891" s="48">
        <f t="shared" si="146"/>
        <v>0.548022598870057</v>
      </c>
      <c r="L891" s="61">
        <f t="shared" si="147"/>
        <v>18.43</v>
      </c>
      <c r="M891" s="46">
        <f t="shared" si="148"/>
        <v>15.2</v>
      </c>
      <c r="N891" s="50"/>
      <c r="O891" s="26"/>
      <c r="P891" s="14"/>
      <c r="Q891" s="13"/>
    </row>
    <row r="892" customHeight="1" spans="1:17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26"/>
      <c r="P892" s="14"/>
      <c r="Q892" s="13"/>
    </row>
    <row r="893" customHeight="1" spans="1:17">
      <c r="A893" s="50" t="s">
        <v>69</v>
      </c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26" t="str">
        <f>_xlfn.DISPIMG("ID_3AAB81197BEB4625B255FDD86B9C3392",1)</f>
        <v>=DISPIMG("ID_3AAB81197BEB4625B255FDD86B9C3392",1)</v>
      </c>
      <c r="P893" s="14"/>
      <c r="Q893" s="13" t="s">
        <v>70</v>
      </c>
    </row>
    <row r="894" customHeight="1" spans="1:17">
      <c r="A894" s="59">
        <v>45897</v>
      </c>
      <c r="B894" s="33">
        <v>45900</v>
      </c>
      <c r="D894" s="14">
        <v>10.5</v>
      </c>
      <c r="E894" s="14">
        <v>6</v>
      </c>
      <c r="F894" s="46">
        <v>2</v>
      </c>
      <c r="H894" s="60">
        <f t="shared" ref="H894:H901" si="153">D894+(E894/I894)+(F894/I894)</f>
        <v>11.3</v>
      </c>
      <c r="I894" s="47">
        <v>10</v>
      </c>
      <c r="J894" s="14">
        <v>20</v>
      </c>
      <c r="K894" s="48">
        <f t="shared" ref="K894:K901" si="154">(J894-H894)/J894</f>
        <v>0.435</v>
      </c>
      <c r="L894" s="61">
        <f t="shared" ref="L894:L901" si="155">J894-H894</f>
        <v>8.7</v>
      </c>
      <c r="M894" s="46">
        <f t="shared" ref="M894:M901" si="156">D894*I894+E894+F894</f>
        <v>113</v>
      </c>
    </row>
    <row r="895" customHeight="1" spans="1:17">
      <c r="A895" s="59">
        <v>45915</v>
      </c>
      <c r="B895" s="33">
        <v>45917</v>
      </c>
      <c r="C895" s="1"/>
      <c r="D895" s="14">
        <v>10.5</v>
      </c>
      <c r="E895" s="14">
        <v>3</v>
      </c>
      <c r="F895" s="46">
        <v>2</v>
      </c>
      <c r="H895" s="60">
        <f t="shared" si="153"/>
        <v>10.8333333333333</v>
      </c>
      <c r="I895" s="47">
        <v>15</v>
      </c>
      <c r="J895" s="14">
        <v>20</v>
      </c>
      <c r="K895" s="48">
        <f t="shared" si="154"/>
        <v>0.458333333333333</v>
      </c>
      <c r="L895" s="61">
        <f t="shared" si="155"/>
        <v>9.16666666666667</v>
      </c>
      <c r="M895" s="46">
        <f t="shared" si="156"/>
        <v>162.5</v>
      </c>
    </row>
    <row r="896" customHeight="1" spans="1:17">
      <c r="A896" s="26"/>
      <c r="B896" s="14"/>
      <c r="C896" s="14"/>
      <c r="F896" s="14"/>
      <c r="G896" s="14"/>
      <c r="H896" s="14"/>
      <c r="I896" s="14"/>
      <c r="K896" s="14"/>
      <c r="M896" s="14"/>
      <c r="N896" s="14"/>
    </row>
    <row r="897" customHeight="1" spans="1:15">
      <c r="M897" s="1"/>
    </row>
    <row r="898" customHeight="1" collapsed="1" spans="1:15">
      <c r="A898" s="18" t="s">
        <v>71</v>
      </c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26" t="str">
        <f>_xlfn.DISPIMG("ID_B3C4C400A90247AB9B669579B8229933",1)</f>
        <v>=DISPIMG("ID_B3C4C400A90247AB9B669579B8229933",1)</v>
      </c>
    </row>
    <row r="899" hidden="1" customHeight="1" outlineLevel="2" spans="1:15">
      <c r="A899" s="40">
        <v>45915</v>
      </c>
      <c r="B899" s="33">
        <v>45917</v>
      </c>
      <c r="C899" s="14"/>
      <c r="D899" s="14">
        <v>7.8</v>
      </c>
      <c r="E899" s="14">
        <v>2</v>
      </c>
      <c r="F899" s="46">
        <v>2</v>
      </c>
      <c r="H899" s="60">
        <f t="shared" si="153"/>
        <v>8.6</v>
      </c>
      <c r="I899" s="47">
        <v>5</v>
      </c>
      <c r="J899" s="14">
        <v>15.12</v>
      </c>
      <c r="K899" s="48">
        <f t="shared" si="154"/>
        <v>0.431216931216931</v>
      </c>
      <c r="L899" s="61">
        <f t="shared" si="155"/>
        <v>6.52</v>
      </c>
      <c r="M899" s="46">
        <f t="shared" si="156"/>
        <v>43</v>
      </c>
      <c r="N899" s="14"/>
    </row>
    <row r="900" hidden="1" customHeight="1" outlineLevel="2" spans="1:15">
      <c r="A900" s="40">
        <v>45938</v>
      </c>
      <c r="B900" s="33">
        <v>46015</v>
      </c>
      <c r="C900" s="14"/>
      <c r="D900" s="14">
        <v>7.8</v>
      </c>
      <c r="E900" s="14">
        <v>1</v>
      </c>
      <c r="F900" s="46">
        <v>2</v>
      </c>
      <c r="H900" s="60">
        <f t="shared" si="153"/>
        <v>8.8</v>
      </c>
      <c r="I900" s="47">
        <v>3</v>
      </c>
      <c r="J900" s="14">
        <v>15.12</v>
      </c>
      <c r="K900" s="48">
        <f t="shared" si="154"/>
        <v>0.417989417989418</v>
      </c>
      <c r="L900" s="61">
        <f t="shared" si="155"/>
        <v>6.32</v>
      </c>
      <c r="M900" s="46">
        <f t="shared" si="156"/>
        <v>26.4</v>
      </c>
      <c r="N900" s="14"/>
    </row>
    <row r="901" customHeight="1" spans="1:15">
      <c r="A901" s="40">
        <v>45938</v>
      </c>
      <c r="B901" s="33">
        <v>46077</v>
      </c>
      <c r="C901" s="14"/>
      <c r="D901" s="14">
        <v>7.8</v>
      </c>
      <c r="E901" s="14">
        <v>1</v>
      </c>
      <c r="F901" s="46">
        <v>2</v>
      </c>
      <c r="H901" s="60">
        <f t="shared" si="153"/>
        <v>9.3</v>
      </c>
      <c r="I901" s="47">
        <v>2</v>
      </c>
      <c r="J901" s="14">
        <v>15.12</v>
      </c>
      <c r="K901" s="48">
        <f t="shared" si="154"/>
        <v>0.384920634920635</v>
      </c>
      <c r="L901" s="61">
        <f t="shared" si="155"/>
        <v>5.82</v>
      </c>
      <c r="M901" s="46">
        <f t="shared" si="156"/>
        <v>18.6</v>
      </c>
      <c r="N901" s="14"/>
    </row>
    <row r="902" customHeight="1" spans="1:15">
      <c r="A902" s="50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46"/>
    </row>
    <row r="903" customHeight="1" collapsed="1" spans="1:15">
      <c r="A903" s="18" t="s">
        <v>72</v>
      </c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46" t="str">
        <f>_xlfn.DISPIMG("ID_A42A779FF43F4FEFA1C63539BB9F33C1",1)</f>
        <v>=DISPIMG("ID_A42A779FF43F4FEFA1C63539BB9F33C1",1)</v>
      </c>
    </row>
    <row r="904" hidden="1" customHeight="1" outlineLevel="1" spans="1:15">
      <c r="A904" s="24">
        <v>45911</v>
      </c>
      <c r="B904" s="24">
        <v>45913</v>
      </c>
      <c r="D904" s="14">
        <v>10.3</v>
      </c>
      <c r="E904" s="14">
        <v>2.5</v>
      </c>
      <c r="F904" s="46">
        <v>2</v>
      </c>
      <c r="H904" s="60">
        <f t="shared" ref="H904:H921" si="157">D904+(E904/I904)+(F904/I904)</f>
        <v>11.425</v>
      </c>
      <c r="I904" s="47">
        <v>4</v>
      </c>
      <c r="J904" s="14">
        <v>28</v>
      </c>
      <c r="K904" s="48">
        <f t="shared" ref="K904:K921" si="158">(J904-H904)/J904</f>
        <v>0.591964285714286</v>
      </c>
      <c r="L904" s="61">
        <f t="shared" ref="L904:L921" si="159">J904-H904</f>
        <v>16.575</v>
      </c>
      <c r="M904" s="46">
        <f t="shared" ref="M904:M921" si="160">D904*I904+E904+F904</f>
        <v>45.7</v>
      </c>
    </row>
    <row r="905" hidden="1" customHeight="1" outlineLevel="1" spans="1:15">
      <c r="A905" s="24">
        <v>45925</v>
      </c>
      <c r="B905" s="24">
        <v>45929</v>
      </c>
      <c r="D905" s="14">
        <v>10.3</v>
      </c>
      <c r="E905" s="14">
        <v>2.5</v>
      </c>
      <c r="F905" s="46">
        <v>1</v>
      </c>
      <c r="H905" s="60">
        <f t="shared" si="157"/>
        <v>10.7375</v>
      </c>
      <c r="I905" s="47">
        <v>8</v>
      </c>
      <c r="J905" s="14">
        <v>28</v>
      </c>
      <c r="K905" s="48">
        <f t="shared" si="158"/>
        <v>0.616517857142857</v>
      </c>
      <c r="L905" s="61">
        <f t="shared" si="159"/>
        <v>17.2625</v>
      </c>
      <c r="M905" s="46">
        <f t="shared" si="160"/>
        <v>85.9</v>
      </c>
    </row>
    <row r="906" hidden="1" customHeight="1" outlineLevel="1" spans="1:15">
      <c r="A906" s="40">
        <v>45938</v>
      </c>
      <c r="B906" s="24">
        <v>45941</v>
      </c>
      <c r="D906" s="14">
        <v>10.3</v>
      </c>
      <c r="E906" s="14">
        <v>1.5</v>
      </c>
      <c r="F906" s="46">
        <v>2</v>
      </c>
      <c r="H906" s="60">
        <f t="shared" si="157"/>
        <v>10.8</v>
      </c>
      <c r="I906" s="47">
        <v>7</v>
      </c>
      <c r="J906" s="14">
        <v>28</v>
      </c>
      <c r="K906" s="48">
        <f t="shared" si="158"/>
        <v>0.614285714285714</v>
      </c>
      <c r="L906" s="61">
        <f t="shared" si="159"/>
        <v>17.2</v>
      </c>
      <c r="M906" s="46">
        <f t="shared" si="160"/>
        <v>75.6</v>
      </c>
    </row>
    <row r="907" hidden="1" customHeight="1" outlineLevel="1" spans="1:15">
      <c r="A907" s="40">
        <v>45947</v>
      </c>
      <c r="B907" s="40">
        <v>45948</v>
      </c>
      <c r="C907" s="76"/>
      <c r="D907" s="14">
        <v>10.3</v>
      </c>
      <c r="E907" s="14">
        <v>0</v>
      </c>
      <c r="F907" s="46">
        <v>2</v>
      </c>
      <c r="H907" s="60">
        <f t="shared" si="157"/>
        <v>10.55</v>
      </c>
      <c r="I907" s="47">
        <v>8</v>
      </c>
      <c r="J907" s="14">
        <v>28</v>
      </c>
      <c r="K907" s="48">
        <f t="shared" si="158"/>
        <v>0.623214285714286</v>
      </c>
      <c r="L907" s="61">
        <f t="shared" si="159"/>
        <v>17.45</v>
      </c>
      <c r="M907" s="46">
        <f t="shared" si="160"/>
        <v>84.4</v>
      </c>
      <c r="N907" s="76"/>
      <c r="O907" s="46"/>
    </row>
    <row r="908" hidden="1" customHeight="1" outlineLevel="1" spans="1:15">
      <c r="A908" s="24">
        <v>45958</v>
      </c>
      <c r="B908" s="24">
        <v>45961</v>
      </c>
      <c r="C908" s="76"/>
      <c r="D908" s="14">
        <v>10.3</v>
      </c>
      <c r="E908" s="14">
        <v>0</v>
      </c>
      <c r="F908" s="46">
        <v>2</v>
      </c>
      <c r="H908" s="60">
        <f t="shared" si="157"/>
        <v>10.7</v>
      </c>
      <c r="I908" s="47">
        <v>5</v>
      </c>
      <c r="J908" s="14">
        <v>28</v>
      </c>
      <c r="K908" s="48">
        <f t="shared" si="158"/>
        <v>0.617857142857143</v>
      </c>
      <c r="L908" s="61">
        <f t="shared" si="159"/>
        <v>17.3</v>
      </c>
      <c r="M908" s="46">
        <f t="shared" si="160"/>
        <v>53.5</v>
      </c>
      <c r="N908" s="76"/>
      <c r="O908" s="46"/>
    </row>
    <row r="909" hidden="1" customHeight="1" outlineLevel="1" spans="1:15">
      <c r="A909" s="24">
        <v>45961</v>
      </c>
      <c r="B909" s="24">
        <v>45963</v>
      </c>
      <c r="C909" s="76"/>
      <c r="D909" s="14">
        <v>10.3</v>
      </c>
      <c r="E909" s="14">
        <v>0</v>
      </c>
      <c r="F909" s="46">
        <v>2</v>
      </c>
      <c r="H909" s="60">
        <f t="shared" si="157"/>
        <v>10.6333333333333</v>
      </c>
      <c r="I909" s="47">
        <v>6</v>
      </c>
      <c r="J909" s="14">
        <v>28</v>
      </c>
      <c r="K909" s="48">
        <f t="shared" si="158"/>
        <v>0.620238095238095</v>
      </c>
      <c r="L909" s="61">
        <f t="shared" si="159"/>
        <v>17.3666666666667</v>
      </c>
      <c r="M909" s="46">
        <f t="shared" si="160"/>
        <v>63.8</v>
      </c>
      <c r="N909" s="76"/>
      <c r="O909" s="46"/>
    </row>
    <row r="910" hidden="1" customHeight="1" outlineLevel="1" spans="1:15">
      <c r="A910" s="24">
        <v>45963</v>
      </c>
      <c r="B910" s="24">
        <v>45965</v>
      </c>
      <c r="C910" s="76"/>
      <c r="D910" s="14">
        <v>10.3</v>
      </c>
      <c r="E910" s="14">
        <v>0</v>
      </c>
      <c r="F910" s="46">
        <v>2</v>
      </c>
      <c r="H910" s="60">
        <f t="shared" si="157"/>
        <v>10.5857142857143</v>
      </c>
      <c r="I910" s="47">
        <v>7</v>
      </c>
      <c r="J910" s="14">
        <v>28</v>
      </c>
      <c r="K910" s="48">
        <f t="shared" si="158"/>
        <v>0.621938775510204</v>
      </c>
      <c r="L910" s="61">
        <f t="shared" si="159"/>
        <v>17.4142857142857</v>
      </c>
      <c r="M910" s="46">
        <f t="shared" si="160"/>
        <v>74.1</v>
      </c>
      <c r="N910" s="76"/>
      <c r="O910" s="46"/>
    </row>
    <row r="911" hidden="1" customHeight="1" outlineLevel="1" spans="1:15">
      <c r="A911" s="40">
        <v>45965</v>
      </c>
      <c r="B911" s="40">
        <v>45967</v>
      </c>
      <c r="C911" s="76"/>
      <c r="D911" s="14">
        <v>10.3</v>
      </c>
      <c r="E911" s="14">
        <v>0</v>
      </c>
      <c r="F911" s="46">
        <v>1</v>
      </c>
      <c r="H911" s="60">
        <f t="shared" si="157"/>
        <v>10.35</v>
      </c>
      <c r="I911" s="47">
        <v>20</v>
      </c>
      <c r="J911" s="14">
        <v>28</v>
      </c>
      <c r="K911" s="48">
        <f t="shared" si="158"/>
        <v>0.630357142857143</v>
      </c>
      <c r="L911" s="61">
        <f t="shared" si="159"/>
        <v>17.65</v>
      </c>
      <c r="M911" s="46">
        <f t="shared" si="160"/>
        <v>207</v>
      </c>
      <c r="N911" s="76"/>
      <c r="O911" s="46"/>
    </row>
    <row r="912" hidden="1" customHeight="1" outlineLevel="1" spans="1:15">
      <c r="A912" s="40">
        <v>45979</v>
      </c>
      <c r="B912" s="40">
        <v>45981</v>
      </c>
      <c r="C912" s="76"/>
      <c r="D912" s="14">
        <v>10.3</v>
      </c>
      <c r="E912" s="14">
        <v>0</v>
      </c>
      <c r="F912" s="46">
        <v>3</v>
      </c>
      <c r="H912" s="60">
        <f t="shared" si="157"/>
        <v>10.45</v>
      </c>
      <c r="I912" s="47">
        <v>20</v>
      </c>
      <c r="J912" s="14">
        <v>28</v>
      </c>
      <c r="K912" s="48">
        <f t="shared" si="158"/>
        <v>0.626785714285714</v>
      </c>
      <c r="L912" s="61">
        <f t="shared" si="159"/>
        <v>17.55</v>
      </c>
      <c r="M912" s="46">
        <f t="shared" si="160"/>
        <v>209</v>
      </c>
      <c r="N912" s="76"/>
      <c r="O912" s="46"/>
    </row>
    <row r="913" hidden="1" customHeight="1" outlineLevel="1" spans="1:17">
      <c r="A913" s="40">
        <v>45982</v>
      </c>
      <c r="B913" s="40">
        <v>45984</v>
      </c>
      <c r="C913" s="76"/>
      <c r="D913" s="14">
        <v>9.8</v>
      </c>
      <c r="E913" s="14">
        <v>0</v>
      </c>
      <c r="F913" s="46">
        <v>3</v>
      </c>
      <c r="H913" s="60">
        <f t="shared" si="157"/>
        <v>9.95</v>
      </c>
      <c r="I913" s="47">
        <v>20</v>
      </c>
      <c r="J913" s="14">
        <v>28</v>
      </c>
      <c r="K913" s="48">
        <f t="shared" si="158"/>
        <v>0.644642857142857</v>
      </c>
      <c r="L913" s="61">
        <f t="shared" si="159"/>
        <v>18.05</v>
      </c>
      <c r="M913" s="46">
        <f t="shared" si="160"/>
        <v>199</v>
      </c>
      <c r="N913" s="76"/>
      <c r="O913" s="46"/>
      <c r="Q913" s="13" t="s">
        <v>73</v>
      </c>
    </row>
    <row r="914" hidden="1" customHeight="1" outlineLevel="1" spans="1:17">
      <c r="A914" s="40">
        <v>45982</v>
      </c>
      <c r="B914" s="40">
        <v>45991</v>
      </c>
      <c r="C914" s="76"/>
      <c r="D914" s="14">
        <v>9.8</v>
      </c>
      <c r="E914" s="14">
        <v>0</v>
      </c>
      <c r="F914" s="46">
        <v>4</v>
      </c>
      <c r="H914" s="60">
        <f t="shared" si="157"/>
        <v>9.96666666666667</v>
      </c>
      <c r="I914" s="47">
        <v>24</v>
      </c>
      <c r="J914" s="14">
        <v>28</v>
      </c>
      <c r="K914" s="48">
        <f t="shared" si="158"/>
        <v>0.644047619047619</v>
      </c>
      <c r="L914" s="61">
        <f t="shared" si="159"/>
        <v>18.0333333333333</v>
      </c>
      <c r="M914" s="46">
        <f t="shared" si="160"/>
        <v>239.2</v>
      </c>
      <c r="N914" s="76"/>
      <c r="O914" s="46"/>
    </row>
    <row r="915" hidden="1" customHeight="1" outlineLevel="1" spans="1:17">
      <c r="A915" s="40">
        <v>45993</v>
      </c>
      <c r="B915" s="40">
        <v>45995</v>
      </c>
      <c r="C915" s="76"/>
      <c r="D915" s="14">
        <v>9.8</v>
      </c>
      <c r="E915" s="14">
        <v>0</v>
      </c>
      <c r="F915" s="46">
        <v>5</v>
      </c>
      <c r="H915" s="60">
        <f t="shared" si="157"/>
        <v>9.92820512820513</v>
      </c>
      <c r="I915" s="47">
        <v>39</v>
      </c>
      <c r="J915" s="14">
        <v>28</v>
      </c>
      <c r="K915" s="48">
        <f t="shared" si="158"/>
        <v>0.645421245421245</v>
      </c>
      <c r="L915" s="61">
        <f t="shared" si="159"/>
        <v>18.0717948717949</v>
      </c>
      <c r="M915" s="46">
        <f t="shared" si="160"/>
        <v>387.2</v>
      </c>
      <c r="N915" s="76"/>
      <c r="O915" s="46"/>
    </row>
    <row r="916" hidden="1" customHeight="1" outlineLevel="1" spans="1:17">
      <c r="A916" s="40">
        <v>46014</v>
      </c>
      <c r="B916" s="40">
        <v>46016</v>
      </c>
      <c r="C916" s="76"/>
      <c r="D916" s="14">
        <v>9.8</v>
      </c>
      <c r="E916" s="14">
        <v>0</v>
      </c>
      <c r="F916" s="46">
        <v>3</v>
      </c>
      <c r="H916" s="60">
        <f t="shared" si="157"/>
        <v>10</v>
      </c>
      <c r="I916" s="47">
        <v>15</v>
      </c>
      <c r="J916" s="14">
        <v>28</v>
      </c>
      <c r="K916" s="48">
        <f t="shared" si="158"/>
        <v>0.642857142857143</v>
      </c>
      <c r="L916" s="61">
        <f t="shared" si="159"/>
        <v>18</v>
      </c>
      <c r="M916" s="46">
        <f t="shared" si="160"/>
        <v>150</v>
      </c>
      <c r="N916" s="76"/>
      <c r="O916" s="46"/>
    </row>
    <row r="917" hidden="1" customHeight="1" outlineLevel="1" spans="1:17">
      <c r="A917" s="40">
        <v>46035</v>
      </c>
      <c r="B917" s="40">
        <v>46039</v>
      </c>
      <c r="C917" s="76"/>
      <c r="D917" s="14">
        <v>9.8</v>
      </c>
      <c r="E917" s="14">
        <v>0</v>
      </c>
      <c r="F917" s="46">
        <v>2</v>
      </c>
      <c r="H917" s="60">
        <f t="shared" si="157"/>
        <v>10.0222222222222</v>
      </c>
      <c r="I917" s="47">
        <v>9</v>
      </c>
      <c r="J917" s="14">
        <v>28</v>
      </c>
      <c r="K917" s="48">
        <f t="shared" si="158"/>
        <v>0.642063492063492</v>
      </c>
      <c r="L917" s="61">
        <f t="shared" si="159"/>
        <v>17.9777777777778</v>
      </c>
      <c r="M917" s="46">
        <f t="shared" si="160"/>
        <v>90.2</v>
      </c>
      <c r="N917" s="76"/>
      <c r="O917" s="46"/>
    </row>
    <row r="918" hidden="1" customHeight="1" outlineLevel="1" spans="1:17">
      <c r="A918" s="40">
        <v>46041</v>
      </c>
      <c r="B918" s="40">
        <v>46043</v>
      </c>
      <c r="C918" s="15"/>
      <c r="D918" s="14">
        <v>9.8</v>
      </c>
      <c r="E918" s="14">
        <v>0</v>
      </c>
      <c r="F918" s="46">
        <v>2</v>
      </c>
      <c r="H918" s="60">
        <f t="shared" si="157"/>
        <v>9.90526315789474</v>
      </c>
      <c r="I918" s="47">
        <v>19</v>
      </c>
      <c r="J918" s="14">
        <v>28</v>
      </c>
      <c r="K918" s="48">
        <f t="shared" si="158"/>
        <v>0.646240601503759</v>
      </c>
      <c r="L918" s="61">
        <f t="shared" si="159"/>
        <v>18.0947368421053</v>
      </c>
      <c r="M918" s="46">
        <f t="shared" si="160"/>
        <v>188.2</v>
      </c>
      <c r="N918" s="15"/>
      <c r="O918" s="46"/>
    </row>
    <row r="919" hidden="1" customHeight="1" outlineLevel="1" spans="1:17">
      <c r="A919" s="40">
        <v>46057</v>
      </c>
      <c r="B919" s="40">
        <v>46062</v>
      </c>
      <c r="C919" s="15"/>
      <c r="D919" s="14">
        <v>9.8</v>
      </c>
      <c r="E919" s="14">
        <v>0</v>
      </c>
      <c r="F919" s="46">
        <v>4</v>
      </c>
      <c r="H919" s="60">
        <f t="shared" si="157"/>
        <v>9.96</v>
      </c>
      <c r="I919" s="47">
        <v>25</v>
      </c>
      <c r="J919" s="14">
        <v>28</v>
      </c>
      <c r="K919" s="48">
        <f t="shared" si="158"/>
        <v>0.644285714285714</v>
      </c>
      <c r="L919" s="61">
        <f t="shared" si="159"/>
        <v>18.04</v>
      </c>
      <c r="M919" s="46">
        <f t="shared" si="160"/>
        <v>249</v>
      </c>
      <c r="N919" s="15"/>
      <c r="O919" s="46"/>
    </row>
    <row r="920" customHeight="1" spans="1:17">
      <c r="A920" s="40">
        <v>46107</v>
      </c>
      <c r="B920" s="40">
        <v>46109</v>
      </c>
      <c r="C920" s="15"/>
      <c r="D920" s="14">
        <v>9.8</v>
      </c>
      <c r="E920" s="14">
        <v>0</v>
      </c>
      <c r="F920" s="46">
        <v>2</v>
      </c>
      <c r="H920" s="60">
        <f t="shared" si="157"/>
        <v>9.93333333333333</v>
      </c>
      <c r="I920" s="47">
        <v>15</v>
      </c>
      <c r="J920" s="14">
        <v>28</v>
      </c>
      <c r="K920" s="48">
        <f t="shared" si="158"/>
        <v>0.645238095238095</v>
      </c>
      <c r="L920" s="61">
        <f t="shared" si="159"/>
        <v>18.0666666666667</v>
      </c>
      <c r="M920" s="46">
        <f t="shared" si="160"/>
        <v>149</v>
      </c>
      <c r="N920" s="15"/>
      <c r="O920" s="46"/>
    </row>
    <row r="921" customHeight="1" spans="1:17">
      <c r="A921" s="40">
        <v>46107</v>
      </c>
      <c r="B921" s="40">
        <v>46177</v>
      </c>
      <c r="C921" s="15"/>
      <c r="D921" s="14">
        <v>9.8</v>
      </c>
      <c r="E921" s="14">
        <v>0</v>
      </c>
      <c r="F921" s="46">
        <v>2</v>
      </c>
      <c r="H921" s="60">
        <f t="shared" si="157"/>
        <v>9.93333333333333</v>
      </c>
      <c r="I921" s="47">
        <v>15</v>
      </c>
      <c r="J921" s="14">
        <v>28</v>
      </c>
      <c r="K921" s="48">
        <f t="shared" si="158"/>
        <v>0.645238095238095</v>
      </c>
      <c r="L921" s="61">
        <f t="shared" si="159"/>
        <v>18.0666666666667</v>
      </c>
      <c r="M921" s="46">
        <f t="shared" si="160"/>
        <v>149</v>
      </c>
      <c r="N921" s="15"/>
      <c r="O921" s="46"/>
    </row>
    <row r="922" customHeight="1" spans="1:17">
      <c r="A922" s="18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46"/>
    </row>
    <row r="923" customHeight="1" collapsed="1" spans="1:17">
      <c r="A923" s="18" t="s">
        <v>74</v>
      </c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46" t="str">
        <f>_xlfn.DISPIMG("ID_A42A779FF43F4FEFA1C63539BB9F33C1",1)</f>
        <v>=DISPIMG("ID_A42A779FF43F4FEFA1C63539BB9F33C1",1)</v>
      </c>
    </row>
    <row r="924" hidden="1" customHeight="1" outlineLevel="1" spans="1:17">
      <c r="A924" s="24">
        <v>45911</v>
      </c>
      <c r="B924" s="24">
        <v>45913</v>
      </c>
      <c r="D924" s="14">
        <v>10.3</v>
      </c>
      <c r="E924" s="14">
        <v>2.5</v>
      </c>
      <c r="F924" s="46">
        <v>2</v>
      </c>
      <c r="H924" s="60">
        <f t="shared" ref="H924:H944" si="161">D924+(E924/I924)+(F924/I924)</f>
        <v>11.425</v>
      </c>
      <c r="I924" s="47">
        <v>4</v>
      </c>
      <c r="J924" s="14">
        <v>19.95</v>
      </c>
      <c r="K924" s="48">
        <f t="shared" ref="K924:K944" si="162">(J924-H924)/J924</f>
        <v>0.427318295739348</v>
      </c>
      <c r="L924" s="61">
        <f t="shared" ref="L924:L944" si="163">J924-H924</f>
        <v>8.525</v>
      </c>
      <c r="M924" s="46">
        <f t="shared" ref="M924:M944" si="164">D924*I924+E924+F924</f>
        <v>45.7</v>
      </c>
    </row>
    <row r="925" hidden="1" customHeight="1" outlineLevel="1" spans="1:17">
      <c r="A925" s="24">
        <v>45925</v>
      </c>
      <c r="B925" s="24">
        <v>45929</v>
      </c>
      <c r="D925" s="14">
        <v>10.3</v>
      </c>
      <c r="E925" s="14">
        <v>2.5</v>
      </c>
      <c r="F925" s="46">
        <v>1</v>
      </c>
      <c r="H925" s="60">
        <f t="shared" si="161"/>
        <v>11.175</v>
      </c>
      <c r="I925" s="47">
        <v>4</v>
      </c>
      <c r="J925" s="14">
        <v>19.95</v>
      </c>
      <c r="K925" s="48">
        <f t="shared" si="162"/>
        <v>0.43984962406015</v>
      </c>
      <c r="L925" s="61">
        <f t="shared" si="163"/>
        <v>8.775</v>
      </c>
      <c r="M925" s="46">
        <f t="shared" si="164"/>
        <v>44.7</v>
      </c>
    </row>
    <row r="926" hidden="1" customHeight="1" outlineLevel="1" spans="1:17">
      <c r="A926" s="40">
        <v>45938</v>
      </c>
      <c r="B926" s="24">
        <v>45941</v>
      </c>
      <c r="D926" s="14">
        <v>10.3</v>
      </c>
      <c r="E926" s="14">
        <v>1.5</v>
      </c>
      <c r="F926" s="46">
        <v>2</v>
      </c>
      <c r="H926" s="60">
        <f t="shared" si="161"/>
        <v>11</v>
      </c>
      <c r="I926" s="47">
        <v>5</v>
      </c>
      <c r="J926" s="14">
        <v>19.95</v>
      </c>
      <c r="K926" s="48">
        <f t="shared" si="162"/>
        <v>0.448621553884712</v>
      </c>
      <c r="L926" s="61">
        <f t="shared" si="163"/>
        <v>8.95</v>
      </c>
      <c r="M926" s="46">
        <f t="shared" si="164"/>
        <v>55</v>
      </c>
    </row>
    <row r="927" hidden="1" customHeight="1" outlineLevel="1" spans="1:17">
      <c r="A927" s="40">
        <v>45947</v>
      </c>
      <c r="B927" s="40">
        <v>45948</v>
      </c>
      <c r="D927" s="14">
        <v>10.3</v>
      </c>
      <c r="E927" s="14">
        <v>0</v>
      </c>
      <c r="F927" s="46">
        <v>2</v>
      </c>
      <c r="H927" s="60">
        <f t="shared" si="161"/>
        <v>10.5</v>
      </c>
      <c r="I927" s="47">
        <v>10</v>
      </c>
      <c r="J927" s="14">
        <v>19.95</v>
      </c>
      <c r="K927" s="48">
        <f t="shared" si="162"/>
        <v>0.473684210526316</v>
      </c>
      <c r="L927" s="61">
        <f t="shared" si="163"/>
        <v>9.45</v>
      </c>
      <c r="M927" s="46">
        <f t="shared" si="164"/>
        <v>105</v>
      </c>
    </row>
    <row r="928" hidden="1" customHeight="1" outlineLevel="1" spans="1:17">
      <c r="A928" s="40">
        <v>45947</v>
      </c>
      <c r="B928" s="24">
        <v>45956</v>
      </c>
      <c r="D928" s="14">
        <v>10.3</v>
      </c>
      <c r="E928" s="14">
        <v>0</v>
      </c>
      <c r="F928" s="46">
        <v>2</v>
      </c>
      <c r="H928" s="60">
        <f t="shared" si="161"/>
        <v>10.5857142857143</v>
      </c>
      <c r="I928" s="47">
        <v>7</v>
      </c>
      <c r="J928" s="14">
        <v>19.95</v>
      </c>
      <c r="K928" s="48">
        <f t="shared" si="162"/>
        <v>0.469387755102041</v>
      </c>
      <c r="L928" s="61">
        <f t="shared" si="163"/>
        <v>9.36428571428571</v>
      </c>
      <c r="M928" s="46">
        <f t="shared" si="164"/>
        <v>74.1</v>
      </c>
    </row>
    <row r="929" hidden="1" customHeight="1" outlineLevel="1" spans="1:17">
      <c r="A929" s="24">
        <v>45958</v>
      </c>
      <c r="B929" s="24">
        <v>45961</v>
      </c>
      <c r="D929" s="14">
        <v>10.3</v>
      </c>
      <c r="E929" s="14">
        <v>0</v>
      </c>
      <c r="F929" s="46">
        <v>2</v>
      </c>
      <c r="H929" s="60">
        <f t="shared" si="161"/>
        <v>10.7</v>
      </c>
      <c r="I929" s="47">
        <v>5</v>
      </c>
      <c r="J929" s="14">
        <v>19.95</v>
      </c>
      <c r="K929" s="48">
        <f t="shared" si="162"/>
        <v>0.463659147869674</v>
      </c>
      <c r="L929" s="61">
        <f t="shared" si="163"/>
        <v>9.25</v>
      </c>
      <c r="M929" s="46">
        <f t="shared" si="164"/>
        <v>53.5</v>
      </c>
    </row>
    <row r="930" hidden="1" customHeight="1" outlineLevel="1" spans="1:17">
      <c r="A930" s="24">
        <v>45961</v>
      </c>
      <c r="B930" s="24">
        <v>45963</v>
      </c>
      <c r="D930" s="14">
        <v>10.3</v>
      </c>
      <c r="E930" s="14">
        <v>0</v>
      </c>
      <c r="F930" s="46">
        <v>2</v>
      </c>
      <c r="H930" s="60">
        <f t="shared" si="161"/>
        <v>10.8</v>
      </c>
      <c r="I930" s="47">
        <v>4</v>
      </c>
      <c r="J930" s="14">
        <v>19.95</v>
      </c>
      <c r="K930" s="48">
        <f t="shared" si="162"/>
        <v>0.458646616541353</v>
      </c>
      <c r="L930" s="61">
        <f t="shared" si="163"/>
        <v>9.15</v>
      </c>
      <c r="M930" s="46">
        <f t="shared" si="164"/>
        <v>43.2</v>
      </c>
    </row>
    <row r="931" hidden="1" customHeight="1" outlineLevel="1" spans="1:17">
      <c r="A931" s="24">
        <v>45963</v>
      </c>
      <c r="B931" s="24">
        <v>45965</v>
      </c>
      <c r="D931" s="14">
        <v>10.3</v>
      </c>
      <c r="E931" s="14">
        <v>0</v>
      </c>
      <c r="F931" s="46">
        <v>2</v>
      </c>
      <c r="H931" s="60">
        <f t="shared" si="161"/>
        <v>10.55</v>
      </c>
      <c r="I931" s="47">
        <v>8</v>
      </c>
      <c r="J931" s="14">
        <v>19.95</v>
      </c>
      <c r="K931" s="48">
        <f t="shared" si="162"/>
        <v>0.471177944862155</v>
      </c>
      <c r="L931" s="61">
        <f t="shared" si="163"/>
        <v>9.4</v>
      </c>
      <c r="M931" s="46">
        <f t="shared" si="164"/>
        <v>84.4</v>
      </c>
    </row>
    <row r="932" hidden="1" customHeight="1" outlineLevel="1" spans="1:17">
      <c r="A932" s="40">
        <v>45965</v>
      </c>
      <c r="B932" s="40">
        <v>45967</v>
      </c>
      <c r="C932" s="14"/>
      <c r="D932" s="14">
        <v>10.3</v>
      </c>
      <c r="E932" s="14">
        <v>0</v>
      </c>
      <c r="F932" s="46">
        <v>1</v>
      </c>
      <c r="H932" s="60">
        <f t="shared" si="161"/>
        <v>10.4</v>
      </c>
      <c r="I932" s="47">
        <v>10</v>
      </c>
      <c r="J932" s="14">
        <v>19.95</v>
      </c>
      <c r="K932" s="48">
        <f t="shared" si="162"/>
        <v>0.478696741854637</v>
      </c>
      <c r="L932" s="61">
        <f t="shared" si="163"/>
        <v>9.55</v>
      </c>
      <c r="M932" s="46">
        <f t="shared" si="164"/>
        <v>104</v>
      </c>
      <c r="N932" s="14"/>
      <c r="O932" s="17"/>
      <c r="P932" s="17"/>
    </row>
    <row r="933" hidden="1" customHeight="1" outlineLevel="1" spans="1:17">
      <c r="A933" s="40">
        <v>45975</v>
      </c>
      <c r="B933" s="37">
        <v>45977</v>
      </c>
      <c r="C933" s="14"/>
      <c r="D933" s="14">
        <v>10.3</v>
      </c>
      <c r="E933" s="14">
        <v>0</v>
      </c>
      <c r="F933" s="46">
        <v>3</v>
      </c>
      <c r="H933" s="60">
        <f t="shared" si="161"/>
        <v>10.45</v>
      </c>
      <c r="I933" s="47">
        <v>20</v>
      </c>
      <c r="J933" s="14">
        <v>19.95</v>
      </c>
      <c r="K933" s="48">
        <f t="shared" si="162"/>
        <v>0.476190476190476</v>
      </c>
      <c r="L933" s="61">
        <f t="shared" si="163"/>
        <v>9.5</v>
      </c>
      <c r="M933" s="46">
        <f t="shared" si="164"/>
        <v>209</v>
      </c>
      <c r="N933" s="14"/>
      <c r="O933" s="17"/>
      <c r="P933" s="17"/>
    </row>
    <row r="934" hidden="1" customHeight="1" outlineLevel="1" spans="1:17">
      <c r="A934" s="40">
        <v>45982</v>
      </c>
      <c r="B934" s="40">
        <v>45991</v>
      </c>
      <c r="C934" s="14"/>
      <c r="D934" s="14">
        <v>9.8</v>
      </c>
      <c r="E934" s="14">
        <v>0</v>
      </c>
      <c r="F934" s="46">
        <v>2</v>
      </c>
      <c r="H934" s="60">
        <f t="shared" si="161"/>
        <v>10.1333333333333</v>
      </c>
      <c r="I934" s="47">
        <v>6</v>
      </c>
      <c r="J934" s="14">
        <v>19.95</v>
      </c>
      <c r="K934" s="48">
        <f t="shared" si="162"/>
        <v>0.492063492063492</v>
      </c>
      <c r="L934" s="61">
        <f t="shared" si="163"/>
        <v>9.81666666666666</v>
      </c>
      <c r="M934" s="46">
        <f t="shared" si="164"/>
        <v>60.8</v>
      </c>
      <c r="N934" s="14"/>
      <c r="O934" s="17"/>
      <c r="P934" s="17"/>
    </row>
    <row r="935" hidden="1" customHeight="1" outlineLevel="1" spans="1:17">
      <c r="A935" s="40">
        <v>45993</v>
      </c>
      <c r="B935" s="40">
        <v>46003</v>
      </c>
      <c r="C935" s="15"/>
      <c r="D935" s="14">
        <v>9.8</v>
      </c>
      <c r="E935" s="14">
        <v>0</v>
      </c>
      <c r="F935" s="46">
        <v>2</v>
      </c>
      <c r="H935" s="60">
        <f t="shared" si="161"/>
        <v>9.98181818181818</v>
      </c>
      <c r="I935" s="47">
        <v>11</v>
      </c>
      <c r="J935" s="14">
        <v>19.95</v>
      </c>
      <c r="K935" s="48">
        <f t="shared" si="162"/>
        <v>0.499658236500342</v>
      </c>
      <c r="L935" s="61">
        <f t="shared" si="163"/>
        <v>9.96818181818182</v>
      </c>
      <c r="M935" s="46">
        <f t="shared" si="164"/>
        <v>109.8</v>
      </c>
      <c r="N935" s="15"/>
      <c r="O935" s="17"/>
      <c r="P935" s="17"/>
      <c r="Q935" s="13"/>
    </row>
    <row r="936" hidden="1" customHeight="1" outlineLevel="1" spans="1:17">
      <c r="A936" s="40">
        <v>46006</v>
      </c>
      <c r="B936" s="24">
        <v>46007</v>
      </c>
      <c r="C936" s="15"/>
      <c r="D936" s="14">
        <v>9.8</v>
      </c>
      <c r="E936" s="14">
        <v>0</v>
      </c>
      <c r="F936" s="46">
        <v>2</v>
      </c>
      <c r="H936" s="60">
        <f t="shared" si="161"/>
        <v>9.93333333333333</v>
      </c>
      <c r="I936" s="47">
        <v>15</v>
      </c>
      <c r="J936" s="14">
        <v>19.95</v>
      </c>
      <c r="K936" s="48">
        <f t="shared" si="162"/>
        <v>0.502088554720134</v>
      </c>
      <c r="L936" s="61">
        <f t="shared" si="163"/>
        <v>10.0166666666667</v>
      </c>
      <c r="M936" s="46">
        <f t="shared" si="164"/>
        <v>149</v>
      </c>
      <c r="N936" s="15"/>
      <c r="O936" s="17"/>
      <c r="P936" s="17"/>
      <c r="Q936" s="13"/>
    </row>
    <row r="937" hidden="1" customHeight="1" outlineLevel="1" spans="1:17">
      <c r="A937" s="40">
        <v>46022</v>
      </c>
      <c r="B937" s="40">
        <v>46024</v>
      </c>
      <c r="C937" s="15"/>
      <c r="D937" s="14">
        <v>9.8</v>
      </c>
      <c r="E937" s="14">
        <v>0</v>
      </c>
      <c r="F937" s="46">
        <v>2</v>
      </c>
      <c r="H937" s="60">
        <f t="shared" si="161"/>
        <v>9.93333333333333</v>
      </c>
      <c r="I937" s="47">
        <v>15</v>
      </c>
      <c r="J937" s="14">
        <v>19.95</v>
      </c>
      <c r="K937" s="48">
        <f t="shared" si="162"/>
        <v>0.502088554720134</v>
      </c>
      <c r="L937" s="61">
        <f t="shared" si="163"/>
        <v>10.0166666666667</v>
      </c>
      <c r="M937" s="46">
        <f t="shared" si="164"/>
        <v>149</v>
      </c>
      <c r="N937" s="15"/>
      <c r="O937" s="17"/>
      <c r="P937" s="17"/>
      <c r="Q937" s="13"/>
    </row>
    <row r="938" hidden="1" customHeight="1" outlineLevel="1" spans="1:17">
      <c r="A938" s="40">
        <v>46022</v>
      </c>
      <c r="B938" s="40">
        <v>46024</v>
      </c>
      <c r="C938" s="15"/>
      <c r="D938" s="14">
        <v>9.8</v>
      </c>
      <c r="E938" s="14">
        <v>0</v>
      </c>
      <c r="F938" s="46">
        <v>2</v>
      </c>
      <c r="H938" s="60">
        <f t="shared" si="161"/>
        <v>10</v>
      </c>
      <c r="I938" s="47">
        <v>10</v>
      </c>
      <c r="J938" s="14">
        <v>19.95</v>
      </c>
      <c r="K938" s="48">
        <f t="shared" si="162"/>
        <v>0.49874686716792</v>
      </c>
      <c r="L938" s="61">
        <f t="shared" si="163"/>
        <v>9.95</v>
      </c>
      <c r="M938" s="46">
        <f t="shared" si="164"/>
        <v>100</v>
      </c>
      <c r="N938" s="15"/>
      <c r="O938" s="17"/>
      <c r="P938" s="17"/>
      <c r="Q938" s="13" t="s">
        <v>22</v>
      </c>
    </row>
    <row r="939" hidden="1" customHeight="1" outlineLevel="1" spans="1:17">
      <c r="A939" s="40">
        <v>46026</v>
      </c>
      <c r="B939" s="40">
        <v>46028</v>
      </c>
      <c r="C939" s="15"/>
      <c r="D939" s="14">
        <v>9.8</v>
      </c>
      <c r="E939" s="14">
        <v>0</v>
      </c>
      <c r="F939" s="46">
        <v>3</v>
      </c>
      <c r="H939" s="60">
        <f t="shared" si="161"/>
        <v>9.9</v>
      </c>
      <c r="I939" s="47">
        <v>30</v>
      </c>
      <c r="J939" s="14">
        <v>19.95</v>
      </c>
      <c r="K939" s="48">
        <f t="shared" si="162"/>
        <v>0.503759398496241</v>
      </c>
      <c r="L939" s="61">
        <f t="shared" si="163"/>
        <v>10.05</v>
      </c>
      <c r="M939" s="46">
        <f t="shared" si="164"/>
        <v>297</v>
      </c>
      <c r="N939" s="15"/>
      <c r="O939" s="17"/>
      <c r="P939" s="17"/>
      <c r="Q939" s="13"/>
    </row>
    <row r="940" hidden="1" customHeight="1" outlineLevel="1" spans="1:17">
      <c r="A940" s="40">
        <v>46035</v>
      </c>
      <c r="B940" s="40">
        <v>46038</v>
      </c>
      <c r="C940" s="15"/>
      <c r="D940" s="14">
        <v>9.8</v>
      </c>
      <c r="E940" s="14">
        <v>0</v>
      </c>
      <c r="F940" s="46">
        <v>2</v>
      </c>
      <c r="H940" s="60">
        <f t="shared" si="161"/>
        <v>9.98181818181818</v>
      </c>
      <c r="I940" s="47">
        <v>11</v>
      </c>
      <c r="J940" s="14">
        <v>19.95</v>
      </c>
      <c r="K940" s="48">
        <f t="shared" si="162"/>
        <v>0.499658236500342</v>
      </c>
      <c r="L940" s="61">
        <f t="shared" si="163"/>
        <v>9.96818181818182</v>
      </c>
      <c r="M940" s="46">
        <f t="shared" si="164"/>
        <v>109.8</v>
      </c>
      <c r="N940" s="15"/>
      <c r="O940" s="17"/>
      <c r="P940" s="17"/>
      <c r="Q940" s="13"/>
    </row>
    <row r="941" hidden="1" customHeight="1" outlineLevel="1" spans="1:17">
      <c r="A941" s="40">
        <v>46041</v>
      </c>
      <c r="B941" s="40">
        <v>46044</v>
      </c>
      <c r="C941" s="15"/>
      <c r="D941" s="14">
        <v>9.8</v>
      </c>
      <c r="E941" s="14">
        <v>0</v>
      </c>
      <c r="F941" s="46">
        <v>3</v>
      </c>
      <c r="H941" s="60">
        <f t="shared" si="161"/>
        <v>9.94285714285714</v>
      </c>
      <c r="I941" s="47">
        <v>21</v>
      </c>
      <c r="J941" s="14">
        <v>19.95</v>
      </c>
      <c r="K941" s="48">
        <f t="shared" si="162"/>
        <v>0.501611170784103</v>
      </c>
      <c r="L941" s="61">
        <f t="shared" si="163"/>
        <v>10.0071428571429</v>
      </c>
      <c r="M941" s="46">
        <f t="shared" si="164"/>
        <v>208.8</v>
      </c>
      <c r="N941" s="15"/>
      <c r="O941" s="17"/>
      <c r="P941" s="17"/>
      <c r="Q941" s="13"/>
    </row>
    <row r="942" hidden="1" customHeight="1" outlineLevel="1" spans="1:17">
      <c r="A942" s="40">
        <v>46057</v>
      </c>
      <c r="B942" s="40">
        <v>46061</v>
      </c>
      <c r="C942" s="15"/>
      <c r="D942" s="14">
        <v>9.5</v>
      </c>
      <c r="E942" s="14">
        <v>0</v>
      </c>
      <c r="F942" s="46">
        <v>5</v>
      </c>
      <c r="H942" s="60">
        <f t="shared" si="161"/>
        <v>9.64285714285714</v>
      </c>
      <c r="I942" s="47">
        <v>35</v>
      </c>
      <c r="J942" s="14">
        <v>19.95</v>
      </c>
      <c r="K942" s="48">
        <f t="shared" si="162"/>
        <v>0.516648764769066</v>
      </c>
      <c r="L942" s="61">
        <f t="shared" si="163"/>
        <v>10.3071428571429</v>
      </c>
      <c r="M942" s="46">
        <f t="shared" si="164"/>
        <v>337.5</v>
      </c>
      <c r="N942" s="15"/>
      <c r="O942" s="77" t="s">
        <v>75</v>
      </c>
      <c r="P942" s="17"/>
      <c r="Q942" s="13"/>
    </row>
    <row r="943" hidden="1" customHeight="1" outlineLevel="1" spans="1:17">
      <c r="A943" s="40">
        <v>46097</v>
      </c>
      <c r="B943" s="40">
        <v>46099</v>
      </c>
      <c r="C943" s="15"/>
      <c r="D943" s="14">
        <v>9.2</v>
      </c>
      <c r="E943" s="14">
        <v>0</v>
      </c>
      <c r="F943" s="46">
        <v>3</v>
      </c>
      <c r="H943" s="60">
        <f t="shared" si="161"/>
        <v>9.4</v>
      </c>
      <c r="I943" s="47">
        <v>15</v>
      </c>
      <c r="J943" s="14">
        <v>19.95</v>
      </c>
      <c r="K943" s="48">
        <f t="shared" si="162"/>
        <v>0.528822055137845</v>
      </c>
      <c r="L943" s="61">
        <f t="shared" si="163"/>
        <v>10.55</v>
      </c>
      <c r="M943" s="46">
        <f t="shared" si="164"/>
        <v>141</v>
      </c>
      <c r="N943" s="15"/>
      <c r="O943" s="77"/>
      <c r="P943" s="17"/>
      <c r="Q943" s="13"/>
    </row>
    <row r="944" hidden="1" customHeight="1" outlineLevel="1" spans="1:17">
      <c r="A944" s="40">
        <v>46097</v>
      </c>
      <c r="B944" s="40">
        <v>46108</v>
      </c>
      <c r="C944" s="15"/>
      <c r="D944" s="14">
        <v>9.2</v>
      </c>
      <c r="E944" s="14">
        <v>0</v>
      </c>
      <c r="F944" s="46">
        <v>3</v>
      </c>
      <c r="H944" s="60">
        <f t="shared" si="161"/>
        <v>9.4</v>
      </c>
      <c r="I944" s="47">
        <v>15</v>
      </c>
      <c r="J944" s="14">
        <v>19.95</v>
      </c>
      <c r="K944" s="48">
        <f t="shared" si="162"/>
        <v>0.528822055137845</v>
      </c>
      <c r="L944" s="61">
        <f t="shared" si="163"/>
        <v>10.55</v>
      </c>
      <c r="M944" s="46">
        <f t="shared" si="164"/>
        <v>141</v>
      </c>
      <c r="N944" s="15"/>
      <c r="O944" s="17"/>
      <c r="P944" s="17"/>
      <c r="Q944" s="13"/>
    </row>
    <row r="945" customHeight="1" spans="1:17">
      <c r="A945" s="40"/>
      <c r="B945" s="40"/>
      <c r="C945" s="15"/>
      <c r="H945" s="60"/>
      <c r="L945" s="61"/>
      <c r="N945" s="15"/>
      <c r="O945" s="17"/>
      <c r="P945" s="17"/>
      <c r="Q945" s="13"/>
    </row>
    <row r="946" customHeight="1" spans="1:17">
      <c r="A946" s="18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7"/>
      <c r="P946" s="17"/>
      <c r="Q946" s="13"/>
    </row>
    <row r="947" customHeight="1" collapsed="1" spans="1:17">
      <c r="A947" s="18" t="s">
        <v>76</v>
      </c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7" t="str">
        <f>_xlfn.DISPIMG("ID_C97B01602ADD4A49B810E1DC2A9AC414",1)</f>
        <v>=DISPIMG("ID_C97B01602ADD4A49B810E1DC2A9AC414",1)</v>
      </c>
      <c r="P947" s="17">
        <v>46609878438</v>
      </c>
      <c r="Q947" s="13" t="s">
        <v>77</v>
      </c>
    </row>
    <row r="948" hidden="1" customHeight="1" outlineLevel="1" spans="1:17">
      <c r="A948" s="40">
        <v>45891</v>
      </c>
      <c r="B948" s="37">
        <v>45893</v>
      </c>
      <c r="C948" s="14"/>
      <c r="D948" s="14">
        <v>7.7</v>
      </c>
      <c r="E948" s="14">
        <v>6</v>
      </c>
      <c r="F948" s="14">
        <v>2</v>
      </c>
      <c r="G948" s="14"/>
      <c r="H948" s="14">
        <v>8.5</v>
      </c>
      <c r="I948" s="14">
        <v>10</v>
      </c>
      <c r="J948" s="14">
        <v>17.4</v>
      </c>
      <c r="K948" s="48">
        <v>0.51</v>
      </c>
      <c r="L948" s="14">
        <v>8.9</v>
      </c>
      <c r="M948" s="14">
        <v>85</v>
      </c>
      <c r="N948" s="14"/>
      <c r="O948" s="17"/>
      <c r="P948" s="17"/>
      <c r="Q948" s="13" t="s">
        <v>78</v>
      </c>
    </row>
    <row r="949" hidden="1" customHeight="1" outlineLevel="1" spans="1:17">
      <c r="A949" s="24">
        <v>45958</v>
      </c>
      <c r="B949" s="24">
        <v>45986</v>
      </c>
      <c r="D949" s="14">
        <v>7</v>
      </c>
      <c r="E949" s="14">
        <v>0</v>
      </c>
      <c r="F949" s="46">
        <v>1</v>
      </c>
      <c r="H949" s="60">
        <f t="shared" ref="H949:H951" si="165">D949+(E949/I949)+(F949/I949)</f>
        <v>7.2</v>
      </c>
      <c r="I949" s="47">
        <v>5</v>
      </c>
      <c r="J949" s="14">
        <v>12.76</v>
      </c>
      <c r="K949" s="48">
        <f t="shared" ref="K949:K951" si="166">(J949-H949)/J949</f>
        <v>0.435736677115987</v>
      </c>
      <c r="L949" s="61">
        <f t="shared" ref="L949:L951" si="167">J949-H949</f>
        <v>5.56</v>
      </c>
      <c r="M949" s="46">
        <f t="shared" ref="M949:M951" si="168">D949*I949+E949+F949</f>
        <v>36</v>
      </c>
      <c r="Q949" s="13" t="s">
        <v>79</v>
      </c>
    </row>
    <row r="950" hidden="1" customHeight="1" outlineLevel="1" spans="1:17">
      <c r="A950" s="40">
        <v>45993</v>
      </c>
      <c r="B950" s="24">
        <v>45995</v>
      </c>
      <c r="D950" s="14">
        <v>7</v>
      </c>
      <c r="E950" s="14">
        <v>0</v>
      </c>
      <c r="F950" s="46">
        <v>2</v>
      </c>
      <c r="H950" s="60">
        <f t="shared" si="165"/>
        <v>7.25</v>
      </c>
      <c r="I950" s="47">
        <v>8</v>
      </c>
      <c r="J950" s="14">
        <v>12.76</v>
      </c>
      <c r="K950" s="48">
        <f t="shared" si="166"/>
        <v>0.431818181818182</v>
      </c>
      <c r="L950" s="61">
        <f t="shared" si="167"/>
        <v>5.51</v>
      </c>
      <c r="M950" s="46">
        <f t="shared" si="168"/>
        <v>58</v>
      </c>
    </row>
    <row r="951" customHeight="1" spans="1:17">
      <c r="A951" s="40">
        <v>46048</v>
      </c>
      <c r="B951" s="40">
        <v>46052</v>
      </c>
      <c r="D951" s="14">
        <v>7</v>
      </c>
      <c r="E951" s="14">
        <v>0</v>
      </c>
      <c r="F951" s="46">
        <v>3</v>
      </c>
      <c r="H951" s="60">
        <f t="shared" si="165"/>
        <v>7.3</v>
      </c>
      <c r="I951" s="47">
        <v>10</v>
      </c>
      <c r="J951" s="14">
        <v>12.76</v>
      </c>
      <c r="K951" s="48">
        <f t="shared" si="166"/>
        <v>0.427899686520376</v>
      </c>
      <c r="L951" s="61">
        <f t="shared" si="167"/>
        <v>5.46</v>
      </c>
      <c r="M951" s="46">
        <f t="shared" si="168"/>
        <v>73</v>
      </c>
    </row>
    <row r="952" customHeight="1" spans="1:17">
      <c r="A952" s="40"/>
      <c r="B952" s="40"/>
      <c r="F952" s="1"/>
      <c r="G952" s="1"/>
      <c r="H952" s="60"/>
      <c r="L952" s="61"/>
    </row>
    <row r="953" customHeight="1" spans="1:17">
      <c r="M953" s="1"/>
    </row>
    <row r="954" customHeight="1" spans="1:17">
      <c r="A954" s="64">
        <v>45709</v>
      </c>
      <c r="B954" s="24">
        <v>45713</v>
      </c>
      <c r="D954" s="14">
        <v>8.86</v>
      </c>
      <c r="E954" s="14">
        <v>0</v>
      </c>
      <c r="F954" s="46">
        <v>3</v>
      </c>
      <c r="H954" s="60">
        <f t="shared" ref="H954:H956" si="169">D954+(E954/I954)+(F954/I954)</f>
        <v>9.235</v>
      </c>
      <c r="I954" s="47">
        <v>8</v>
      </c>
      <c r="J954" s="14">
        <v>30.15</v>
      </c>
      <c r="K954" s="48">
        <f t="shared" ref="K954:K956" si="170">(J954-H954)/J954</f>
        <v>0.693698175787728</v>
      </c>
      <c r="L954" s="61">
        <f t="shared" ref="L954:L956" si="171">J954-H954</f>
        <v>20.915</v>
      </c>
      <c r="M954" s="46">
        <f t="shared" ref="M954:M956" si="172">D954*I954+E954+F954</f>
        <v>73.88</v>
      </c>
      <c r="O954" s="28" t="str">
        <f>_xlfn.DISPIMG("ID_C94D7705B28D42548BBE1762DFCFD6A3",1)</f>
        <v>=DISPIMG("ID_C94D7705B28D42548BBE1762DFCFD6A3",1)</v>
      </c>
      <c r="P954" s="33">
        <v>5891407012</v>
      </c>
      <c r="Q954" s="1"/>
    </row>
    <row r="955" customHeight="1" spans="1:17">
      <c r="A955" s="24">
        <v>46017</v>
      </c>
      <c r="B955" s="24">
        <v>46020</v>
      </c>
      <c r="D955" s="14">
        <v>7.1</v>
      </c>
      <c r="E955" s="14">
        <v>10</v>
      </c>
      <c r="F955" s="46">
        <v>5</v>
      </c>
      <c r="H955" s="60">
        <f t="shared" si="169"/>
        <v>9.6</v>
      </c>
      <c r="I955" s="47">
        <v>6</v>
      </c>
      <c r="J955" s="14">
        <v>28.64</v>
      </c>
      <c r="K955" s="48">
        <f t="shared" si="170"/>
        <v>0.664804469273743</v>
      </c>
      <c r="L955" s="61">
        <f t="shared" si="171"/>
        <v>19.04</v>
      </c>
      <c r="M955" s="46">
        <f t="shared" si="172"/>
        <v>57.6</v>
      </c>
    </row>
    <row r="956" customHeight="1" spans="1:17">
      <c r="A956" s="24">
        <v>46051</v>
      </c>
      <c r="B956" s="24">
        <v>46053</v>
      </c>
      <c r="D956" s="14">
        <v>7.1</v>
      </c>
      <c r="E956" s="14">
        <v>10</v>
      </c>
      <c r="F956" s="46">
        <v>2</v>
      </c>
      <c r="H956" s="60">
        <f t="shared" si="169"/>
        <v>8.81428571428571</v>
      </c>
      <c r="I956" s="47">
        <v>7</v>
      </c>
      <c r="J956" s="14">
        <v>28.64</v>
      </c>
      <c r="K956" s="48">
        <f t="shared" si="170"/>
        <v>0.692238627294493</v>
      </c>
      <c r="L956" s="61">
        <f t="shared" si="171"/>
        <v>19.8257142857143</v>
      </c>
      <c r="M956" s="46">
        <f t="shared" si="172"/>
        <v>61.7</v>
      </c>
    </row>
    <row r="957" customHeight="1" spans="1:17">
      <c r="M957" s="1"/>
    </row>
    <row r="958" customHeight="1" spans="1:17">
      <c r="M958" s="1"/>
    </row>
    <row r="959" customHeight="1" spans="1:17">
      <c r="M959" s="1"/>
    </row>
    <row r="960" customHeight="1" spans="1:17">
      <c r="M960" s="1"/>
    </row>
    <row r="961" customHeight="1" spans="1:17">
      <c r="M961" s="1"/>
    </row>
    <row r="962" customHeight="1" spans="1:17">
      <c r="M962" s="1"/>
    </row>
    <row r="963" customHeight="1" spans="1:17">
      <c r="M963" s="1"/>
    </row>
    <row r="964" customHeight="1" spans="1:17">
      <c r="M964" s="1"/>
    </row>
    <row r="965" customHeight="1" spans="1:17">
      <c r="M965" s="1"/>
    </row>
    <row r="966" customHeight="1" spans="1:17">
      <c r="M966" s="1"/>
    </row>
    <row r="967" customHeight="1" spans="1:17">
      <c r="M967" s="1"/>
    </row>
    <row r="968" customHeight="1" spans="1:17">
      <c r="M968" s="1"/>
    </row>
    <row r="969" customHeight="1" spans="1:17">
      <c r="M969" s="1"/>
    </row>
    <row r="970" customHeight="1" spans="1:17">
      <c r="M970" s="1"/>
    </row>
    <row r="971" customHeight="1" spans="1:17">
      <c r="M971" s="1"/>
    </row>
    <row r="972" customHeight="1" spans="1:17">
      <c r="M972" s="1"/>
    </row>
    <row r="973" customHeight="1" spans="1:17">
      <c r="M973" s="1"/>
    </row>
    <row r="975" s="14" customFormat="1" customHeight="1" spans="1:17">
      <c r="A975" s="78" t="s">
        <v>80</v>
      </c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</row>
    <row r="976" customHeight="1" spans="1:17">
      <c r="A976" s="24">
        <v>45601</v>
      </c>
      <c r="B976" s="24">
        <v>45603</v>
      </c>
      <c r="C976" s="28" t="str">
        <f>_xlfn.DISPIMG("ID_6BD7748CCB1B41738D25F319F14E06C7",1)</f>
        <v>=DISPIMG("ID_6BD7748CCB1B41738D25F319F14E06C7",1)</v>
      </c>
      <c r="D976" s="14">
        <f>0.98*2</f>
        <v>1.96</v>
      </c>
      <c r="E976" s="14">
        <v>7</v>
      </c>
      <c r="F976" s="46">
        <v>2</v>
      </c>
      <c r="H976" s="60">
        <f t="shared" ref="H976:H1015" si="173">D976+(E976/I976)+(F976/I976)</f>
        <v>2.56</v>
      </c>
      <c r="I976" s="47">
        <v>15</v>
      </c>
      <c r="J976" s="14">
        <v>2.74</v>
      </c>
      <c r="K976" s="48">
        <f t="shared" ref="K976:K1015" si="174">(J976-H976)/J976</f>
        <v>0.0656934306569344</v>
      </c>
      <c r="L976" s="61">
        <f t="shared" ref="L976:L1015" si="175">J976-H976</f>
        <v>0.18</v>
      </c>
      <c r="M976" s="46">
        <f t="shared" ref="M976:M1015" si="176">D976*I976+E976+F976</f>
        <v>38.4</v>
      </c>
    </row>
    <row r="977" customHeight="1" spans="1:22">
      <c r="A977" s="24">
        <v>45631</v>
      </c>
      <c r="B977" s="24">
        <v>45635</v>
      </c>
      <c r="C977" s="28" t="str">
        <f>_xlfn.DISPIMG("ID_2A3362ADDDBD4C639ED0DBA89ACA851D",1)</f>
        <v>=DISPIMG("ID_2A3362ADDDBD4C639ED0DBA89ACA851D",1)</v>
      </c>
      <c r="D977" s="80">
        <f>4.56*3</f>
        <v>13.68</v>
      </c>
      <c r="E977" s="14">
        <v>0</v>
      </c>
      <c r="F977" s="46">
        <v>4</v>
      </c>
      <c r="H977" s="60">
        <f t="shared" si="173"/>
        <v>14.48</v>
      </c>
      <c r="I977" s="47">
        <v>5</v>
      </c>
      <c r="J977" s="14">
        <v>20.63</v>
      </c>
      <c r="K977" s="48">
        <f t="shared" si="174"/>
        <v>0.298109549200194</v>
      </c>
      <c r="L977" s="61">
        <f t="shared" si="175"/>
        <v>6.15</v>
      </c>
      <c r="M977" s="46">
        <f t="shared" si="176"/>
        <v>72.4</v>
      </c>
    </row>
    <row r="978" customHeight="1" spans="1:22">
      <c r="A978" s="24">
        <v>45554</v>
      </c>
      <c r="B978" s="24">
        <v>45558</v>
      </c>
      <c r="C978" s="28" t="str">
        <f>_xlfn.DISPIMG("ID_FD8996EB6FF04A6F8869EDEC2EBBEC35",1)</f>
        <v>=DISPIMG("ID_FD8996EB6FF04A6F8869EDEC2EBBEC35",1)</v>
      </c>
      <c r="D978" s="14">
        <f>0.12*30</f>
        <v>3.6</v>
      </c>
      <c r="E978" s="14">
        <v>0</v>
      </c>
      <c r="F978" s="46">
        <v>2</v>
      </c>
      <c r="H978" s="60">
        <f t="shared" si="173"/>
        <v>3.73333333333333</v>
      </c>
      <c r="I978" s="47">
        <v>15</v>
      </c>
      <c r="J978" s="62">
        <v>3</v>
      </c>
      <c r="K978" s="48">
        <f t="shared" si="174"/>
        <v>-0.244444444444444</v>
      </c>
      <c r="L978" s="61">
        <f t="shared" si="175"/>
        <v>-0.733333333333333</v>
      </c>
      <c r="M978" s="46">
        <f t="shared" si="176"/>
        <v>56</v>
      </c>
      <c r="Q978" s="13" t="s">
        <v>81</v>
      </c>
    </row>
    <row r="979" customHeight="1" spans="1:22">
      <c r="A979" s="64">
        <v>45535</v>
      </c>
      <c r="B979" s="24">
        <v>45537</v>
      </c>
      <c r="C979" s="28" t="str">
        <f>_xlfn.DISPIMG("ID_6F4F67CD80C246E99FF63865C700B255",1)</f>
        <v>=DISPIMG("ID_6F4F67CD80C246E99FF63865C700B255",1)</v>
      </c>
      <c r="D979" s="14">
        <f>3.5*3</f>
        <v>10.5</v>
      </c>
      <c r="E979" s="14">
        <v>5</v>
      </c>
      <c r="F979" s="46">
        <v>2</v>
      </c>
      <c r="H979" s="60">
        <f t="shared" si="173"/>
        <v>11.6666666666667</v>
      </c>
      <c r="I979" s="47">
        <v>6</v>
      </c>
      <c r="J979" s="14">
        <v>12</v>
      </c>
      <c r="K979" s="48">
        <f t="shared" si="174"/>
        <v>0.0277777777777777</v>
      </c>
      <c r="L979" s="61">
        <f t="shared" si="175"/>
        <v>0.333333333333332</v>
      </c>
      <c r="M979" s="46">
        <f t="shared" si="176"/>
        <v>70</v>
      </c>
      <c r="O979" s="81" t="s">
        <v>82</v>
      </c>
      <c r="P979" s="81"/>
    </row>
    <row r="980" customHeight="1" spans="1:22">
      <c r="A980" s="24">
        <v>45563</v>
      </c>
      <c r="B980" s="24">
        <v>45567</v>
      </c>
      <c r="C980" s="28" t="str">
        <f>_xlfn.DISPIMG("ID_B70B3B7D02F447BCA996922EF6EEA15C",1)</f>
        <v>=DISPIMG("ID_B70B3B7D02F447BCA996922EF6EEA15C",1)</v>
      </c>
      <c r="D980" s="14">
        <f>0.48+0.48+0.9+0.215</f>
        <v>2.075</v>
      </c>
      <c r="E980" s="14">
        <v>5</v>
      </c>
      <c r="F980" s="46">
        <v>2</v>
      </c>
      <c r="H980" s="60">
        <f t="shared" si="173"/>
        <v>2.54166666666667</v>
      </c>
      <c r="I980" s="47">
        <v>15</v>
      </c>
      <c r="J980" s="62">
        <v>3</v>
      </c>
      <c r="K980" s="48">
        <f t="shared" si="174"/>
        <v>0.152777777777778</v>
      </c>
      <c r="L980" s="61">
        <f t="shared" si="175"/>
        <v>0.458333333333333</v>
      </c>
      <c r="M980" s="46">
        <f t="shared" si="176"/>
        <v>38.125</v>
      </c>
    </row>
    <row r="981" customHeight="1" spans="1:22">
      <c r="A981" s="33">
        <v>45570</v>
      </c>
      <c r="B981" s="33">
        <v>45572</v>
      </c>
      <c r="C981" s="14" t="str">
        <f>_xlfn.DISPIMG("ID_F7CDF90288DD4C1990058D513C5AF54B",1)</f>
        <v>=DISPIMG("ID_F7CDF90288DD4C1990058D513C5AF54B",1)</v>
      </c>
      <c r="D981" s="14">
        <f>0.79*12</f>
        <v>9.48</v>
      </c>
      <c r="E981" s="14">
        <v>0</v>
      </c>
      <c r="F981" s="46">
        <v>1</v>
      </c>
      <c r="G981" s="46"/>
      <c r="H981" s="60">
        <f t="shared" si="173"/>
        <v>9.58</v>
      </c>
      <c r="I981" s="47">
        <v>10</v>
      </c>
      <c r="J981" s="14">
        <v>13</v>
      </c>
      <c r="K981" s="48">
        <f t="shared" si="174"/>
        <v>0.263076923076923</v>
      </c>
      <c r="L981" s="61">
        <f t="shared" si="175"/>
        <v>3.42</v>
      </c>
      <c r="M981" s="46">
        <f t="shared" si="176"/>
        <v>95.8</v>
      </c>
    </row>
    <row r="982" s="28" customFormat="1" customHeight="1" collapsed="1" spans="1:22">
      <c r="A982" s="33">
        <v>45457</v>
      </c>
      <c r="B982" s="33"/>
      <c r="C982" s="14" t="str">
        <f>_xlfn.DISPIMG("ID_CD3728645B59476D8C4B93819ADC24F8",1)</f>
        <v>=DISPIMG("ID_CD3728645B59476D8C4B93819ADC24F8",1)</v>
      </c>
      <c r="D982" s="14">
        <v>6.5</v>
      </c>
      <c r="E982" s="14">
        <v>0</v>
      </c>
      <c r="F982" s="46">
        <v>4.59</v>
      </c>
      <c r="G982" s="46"/>
      <c r="H982" s="60">
        <f t="shared" si="173"/>
        <v>7.01</v>
      </c>
      <c r="I982" s="47">
        <v>9</v>
      </c>
      <c r="J982" s="14">
        <v>10</v>
      </c>
      <c r="K982" s="48">
        <f t="shared" si="174"/>
        <v>0.299</v>
      </c>
      <c r="L982" s="61">
        <f t="shared" si="175"/>
        <v>2.99</v>
      </c>
      <c r="M982" s="46">
        <f t="shared" si="176"/>
        <v>63.09</v>
      </c>
      <c r="N982" s="13"/>
      <c r="O982" s="33"/>
      <c r="P982" s="33"/>
      <c r="R982" s="16"/>
      <c r="U982" s="33"/>
      <c r="V982" s="14"/>
    </row>
    <row r="983" s="28" customFormat="1" hidden="1" customHeight="1" outlineLevel="1" spans="1:22">
      <c r="A983" s="33">
        <v>45478</v>
      </c>
      <c r="B983" s="33"/>
      <c r="C983" s="14"/>
      <c r="D983" s="14">
        <v>6.3</v>
      </c>
      <c r="E983" s="14">
        <v>0</v>
      </c>
      <c r="F983" s="46">
        <v>6.65</v>
      </c>
      <c r="G983" s="46"/>
      <c r="H983" s="60">
        <f t="shared" si="173"/>
        <v>6.90454545454545</v>
      </c>
      <c r="I983" s="47">
        <v>11</v>
      </c>
      <c r="J983" s="14">
        <v>10</v>
      </c>
      <c r="K983" s="48">
        <f t="shared" si="174"/>
        <v>0.309545454545455</v>
      </c>
      <c r="L983" s="61">
        <f t="shared" si="175"/>
        <v>3.09545454545455</v>
      </c>
      <c r="M983" s="46">
        <f t="shared" si="176"/>
        <v>75.95</v>
      </c>
      <c r="N983" s="13"/>
      <c r="O983" s="33"/>
      <c r="P983" s="33"/>
      <c r="R983" s="16"/>
      <c r="U983" s="33"/>
      <c r="V983" s="14"/>
    </row>
    <row r="984" s="28" customFormat="1" customHeight="1" spans="1:22">
      <c r="A984" s="33">
        <v>45457</v>
      </c>
      <c r="B984" s="33"/>
      <c r="C984" s="14" t="str">
        <f>_xlfn.DISPIMG("ID_19C99156BD9B4EDFB599AB630AA170ED",1)</f>
        <v>=DISPIMG("ID_19C99156BD9B4EDFB599AB630AA170ED",1)</v>
      </c>
      <c r="D984" s="14">
        <v>3.5</v>
      </c>
      <c r="E984" s="14">
        <v>3</v>
      </c>
      <c r="F984" s="46">
        <v>2</v>
      </c>
      <c r="G984" s="46"/>
      <c r="H984" s="60">
        <f t="shared" si="173"/>
        <v>3.75</v>
      </c>
      <c r="I984" s="47">
        <v>20</v>
      </c>
      <c r="J984" s="14">
        <v>8.89</v>
      </c>
      <c r="K984" s="48">
        <f t="shared" si="174"/>
        <v>0.578177727784027</v>
      </c>
      <c r="L984" s="61">
        <f t="shared" si="175"/>
        <v>5.14</v>
      </c>
      <c r="M984" s="46">
        <f t="shared" si="176"/>
        <v>75</v>
      </c>
      <c r="O984" s="33"/>
      <c r="P984" s="33"/>
      <c r="R984" s="16"/>
      <c r="U984" s="33"/>
      <c r="V984" s="14"/>
    </row>
    <row r="985" s="28" customFormat="1" customHeight="1" spans="1:22">
      <c r="A985" s="33">
        <v>45466</v>
      </c>
      <c r="B985" s="33"/>
      <c r="C985" s="14" t="str">
        <f>_xlfn.DISPIMG("ID_078E361A85494EC58A7C9F6399426A85",1)</f>
        <v>=DISPIMG("ID_078E361A85494EC58A7C9F6399426A85",1)</v>
      </c>
      <c r="D985" s="14">
        <v>2.65</v>
      </c>
      <c r="E985" s="14">
        <v>5</v>
      </c>
      <c r="F985" s="46">
        <v>2.22</v>
      </c>
      <c r="G985" s="46"/>
      <c r="H985" s="60">
        <f t="shared" si="173"/>
        <v>3.372</v>
      </c>
      <c r="I985" s="47">
        <v>10</v>
      </c>
      <c r="J985" s="14">
        <v>5</v>
      </c>
      <c r="K985" s="48">
        <f t="shared" si="174"/>
        <v>0.3256</v>
      </c>
      <c r="L985" s="61">
        <f t="shared" si="175"/>
        <v>1.628</v>
      </c>
      <c r="M985" s="46">
        <f t="shared" si="176"/>
        <v>33.72</v>
      </c>
      <c r="O985" s="33"/>
      <c r="P985" s="33"/>
      <c r="R985" s="16"/>
      <c r="U985" s="33"/>
      <c r="V985" s="14"/>
    </row>
    <row r="986" s="28" customFormat="1" customHeight="1" spans="1:22">
      <c r="A986" s="24">
        <v>45498</v>
      </c>
      <c r="B986" s="16"/>
      <c r="C986" s="28" t="str">
        <f>_xlfn.DISPIMG("ID_FE7122350893468C841D8285AF652966",1)</f>
        <v>=DISPIMG("ID_FE7122350893468C841D8285AF652966",1)</v>
      </c>
      <c r="D986" s="14">
        <v>2.3</v>
      </c>
      <c r="E986" s="14">
        <v>3.3</v>
      </c>
      <c r="F986" s="46">
        <v>0</v>
      </c>
      <c r="G986" s="46"/>
      <c r="H986" s="60">
        <f t="shared" si="173"/>
        <v>2.63</v>
      </c>
      <c r="I986" s="47">
        <v>10</v>
      </c>
      <c r="J986" s="14">
        <v>4.5</v>
      </c>
      <c r="K986" s="48">
        <f t="shared" si="174"/>
        <v>0.415555555555556</v>
      </c>
      <c r="L986" s="61">
        <f t="shared" si="175"/>
        <v>1.87</v>
      </c>
      <c r="M986" s="46">
        <f t="shared" si="176"/>
        <v>26.3</v>
      </c>
      <c r="O986" s="33"/>
      <c r="P986" s="33"/>
      <c r="R986" s="16"/>
      <c r="U986" s="33"/>
      <c r="V986" s="14"/>
    </row>
    <row r="987" s="28" customFormat="1" customHeight="1" spans="1:22">
      <c r="A987" s="24">
        <v>45498</v>
      </c>
      <c r="B987" s="16"/>
      <c r="C987" s="28" t="str">
        <f>_xlfn.DISPIMG("ID_FE7122350893468C841D8285AF652966",1)</f>
        <v>=DISPIMG("ID_FE7122350893468C841D8285AF652966",1)</v>
      </c>
      <c r="D987" s="14">
        <v>1.15</v>
      </c>
      <c r="E987" s="14">
        <v>3.3</v>
      </c>
      <c r="F987" s="46">
        <v>0</v>
      </c>
      <c r="G987" s="46"/>
      <c r="H987" s="60">
        <f t="shared" si="173"/>
        <v>1.48</v>
      </c>
      <c r="I987" s="47">
        <v>10</v>
      </c>
      <c r="J987" s="14">
        <v>1.6</v>
      </c>
      <c r="K987" s="48">
        <f t="shared" si="174"/>
        <v>0.0750000000000001</v>
      </c>
      <c r="L987" s="61">
        <f t="shared" si="175"/>
        <v>0.12</v>
      </c>
      <c r="M987" s="46">
        <f t="shared" si="176"/>
        <v>14.8</v>
      </c>
      <c r="O987" s="33"/>
      <c r="P987" s="33"/>
      <c r="R987" s="16"/>
      <c r="U987" s="33"/>
      <c r="V987" s="14"/>
    </row>
    <row r="988" s="28" customFormat="1" customHeight="1" spans="1:22">
      <c r="A988" s="24">
        <v>45522</v>
      </c>
      <c r="B988" s="24"/>
      <c r="C988" s="28" t="str">
        <f>_xlfn.DISPIMG("ID_7497143588444F198C779D5538435D18",1)</f>
        <v>=DISPIMG("ID_7497143588444F198C779D5538435D18",1)</v>
      </c>
      <c r="D988" s="14">
        <f>0.6*6</f>
        <v>3.6</v>
      </c>
      <c r="E988" s="14">
        <v>8</v>
      </c>
      <c r="F988" s="46">
        <v>2</v>
      </c>
      <c r="G988" s="46"/>
      <c r="H988" s="60">
        <f t="shared" si="173"/>
        <v>4.6</v>
      </c>
      <c r="I988" s="47">
        <v>10</v>
      </c>
      <c r="J988" s="14">
        <v>2.8</v>
      </c>
      <c r="K988" s="48">
        <f t="shared" si="174"/>
        <v>-0.642857142857143</v>
      </c>
      <c r="L988" s="61">
        <f t="shared" si="175"/>
        <v>-1.8</v>
      </c>
      <c r="M988" s="46">
        <f t="shared" si="176"/>
        <v>46</v>
      </c>
      <c r="O988" s="33"/>
      <c r="P988" s="33"/>
      <c r="Q988" s="13"/>
      <c r="R988" s="16"/>
      <c r="U988" s="33"/>
      <c r="V988" s="14"/>
    </row>
    <row r="989" s="28" customFormat="1" customHeight="1" collapsed="1" spans="1:22">
      <c r="A989" s="33">
        <v>45424</v>
      </c>
      <c r="B989" s="33"/>
      <c r="C989" s="14" t="str">
        <f>_xlfn.DISPIMG("ID_0155A3126FD741E7899809CF69DE096B",1)</f>
        <v>=DISPIMG("ID_0155A3126FD741E7899809CF69DE096B",1)</v>
      </c>
      <c r="D989" s="14">
        <v>9.5</v>
      </c>
      <c r="E989" s="14">
        <v>0</v>
      </c>
      <c r="F989" s="46">
        <v>2.73</v>
      </c>
      <c r="G989" s="46"/>
      <c r="H989" s="60">
        <f t="shared" si="173"/>
        <v>9.773</v>
      </c>
      <c r="I989" s="47">
        <v>10</v>
      </c>
      <c r="J989" s="14">
        <v>19</v>
      </c>
      <c r="K989" s="48">
        <f t="shared" si="174"/>
        <v>0.485631578947368</v>
      </c>
      <c r="L989" s="61">
        <f t="shared" si="175"/>
        <v>9.227</v>
      </c>
      <c r="M989" s="46">
        <f t="shared" si="176"/>
        <v>97.73</v>
      </c>
      <c r="O989" s="33"/>
      <c r="P989" s="33"/>
      <c r="R989" s="16"/>
      <c r="U989" s="33"/>
      <c r="V989" s="14"/>
    </row>
    <row r="990" hidden="1" customHeight="1" outlineLevel="1" spans="1:22">
      <c r="A990" s="33">
        <v>45449</v>
      </c>
      <c r="B990" s="33"/>
      <c r="C990" s="14"/>
      <c r="D990" s="14">
        <v>9.5</v>
      </c>
      <c r="E990" s="14">
        <v>0</v>
      </c>
      <c r="F990" s="46">
        <v>2.73</v>
      </c>
      <c r="H990" s="60">
        <f t="shared" si="173"/>
        <v>9.773</v>
      </c>
      <c r="I990" s="47">
        <v>10</v>
      </c>
      <c r="J990" s="14">
        <v>19</v>
      </c>
      <c r="K990" s="48">
        <f t="shared" si="174"/>
        <v>0.485631578947368</v>
      </c>
      <c r="L990" s="61">
        <f t="shared" si="175"/>
        <v>9.227</v>
      </c>
      <c r="M990" s="46">
        <f t="shared" si="176"/>
        <v>97.73</v>
      </c>
    </row>
    <row r="991" hidden="1" customHeight="1" outlineLevel="1" spans="1:22">
      <c r="A991" s="33">
        <v>45457</v>
      </c>
      <c r="B991" s="33"/>
      <c r="C991" s="14"/>
      <c r="D991" s="14">
        <v>9</v>
      </c>
      <c r="E991" s="14">
        <v>0</v>
      </c>
      <c r="F991" s="46">
        <v>2.73</v>
      </c>
      <c r="H991" s="60">
        <f t="shared" si="173"/>
        <v>9.273</v>
      </c>
      <c r="I991" s="47">
        <v>10</v>
      </c>
      <c r="J991" s="14">
        <v>19</v>
      </c>
      <c r="K991" s="48">
        <f t="shared" si="174"/>
        <v>0.511947368421053</v>
      </c>
      <c r="L991" s="61">
        <f t="shared" si="175"/>
        <v>9.727</v>
      </c>
      <c r="M991" s="46">
        <f t="shared" si="176"/>
        <v>92.73</v>
      </c>
    </row>
    <row r="992" hidden="1" customHeight="1" outlineLevel="1" spans="1:22">
      <c r="A992" s="33">
        <v>45462</v>
      </c>
      <c r="B992" s="33"/>
      <c r="C992" s="14"/>
      <c r="D992" s="14">
        <v>9</v>
      </c>
      <c r="E992" s="14">
        <v>0</v>
      </c>
      <c r="F992" s="46">
        <v>2.2</v>
      </c>
      <c r="H992" s="60">
        <f t="shared" si="173"/>
        <v>9.44</v>
      </c>
      <c r="I992" s="47">
        <v>5</v>
      </c>
      <c r="J992" s="14">
        <v>19</v>
      </c>
      <c r="K992" s="48">
        <f t="shared" si="174"/>
        <v>0.503157894736842</v>
      </c>
      <c r="L992" s="61">
        <f t="shared" si="175"/>
        <v>9.56</v>
      </c>
      <c r="M992" s="46">
        <f t="shared" si="176"/>
        <v>47.2</v>
      </c>
    </row>
    <row r="993" hidden="1" customHeight="1" outlineLevel="1" spans="1:22">
      <c r="A993" s="33">
        <v>45462</v>
      </c>
      <c r="B993" s="33">
        <v>45481</v>
      </c>
      <c r="C993" s="14"/>
      <c r="D993" s="14">
        <v>9</v>
      </c>
      <c r="E993" s="14">
        <v>0</v>
      </c>
      <c r="F993" s="46">
        <v>2.22</v>
      </c>
      <c r="H993" s="60">
        <f t="shared" si="173"/>
        <v>9.24666666666667</v>
      </c>
      <c r="I993" s="47">
        <v>9</v>
      </c>
      <c r="J993" s="14">
        <v>19</v>
      </c>
      <c r="K993" s="48">
        <f t="shared" si="174"/>
        <v>0.513333333333333</v>
      </c>
      <c r="L993" s="61">
        <f t="shared" si="175"/>
        <v>9.75333333333333</v>
      </c>
      <c r="M993" s="46">
        <f t="shared" si="176"/>
        <v>83.22</v>
      </c>
    </row>
    <row r="994" hidden="1" customHeight="1" outlineLevel="1" spans="1:22">
      <c r="A994" s="33">
        <v>45462</v>
      </c>
      <c r="B994" s="33">
        <v>45494</v>
      </c>
      <c r="C994" s="14"/>
      <c r="D994" s="14">
        <v>9</v>
      </c>
      <c r="E994" s="14">
        <v>0</v>
      </c>
      <c r="F994" s="46">
        <v>2.22</v>
      </c>
      <c r="H994" s="60">
        <f t="shared" si="173"/>
        <v>9.555</v>
      </c>
      <c r="I994" s="47">
        <v>4</v>
      </c>
      <c r="J994" s="14">
        <v>18</v>
      </c>
      <c r="K994" s="48">
        <f t="shared" si="174"/>
        <v>0.469166666666667</v>
      </c>
      <c r="L994" s="61">
        <f t="shared" si="175"/>
        <v>8.445</v>
      </c>
      <c r="M994" s="46">
        <f t="shared" si="176"/>
        <v>38.22</v>
      </c>
    </row>
    <row r="995" hidden="1" customHeight="1" outlineLevel="1" spans="1:22">
      <c r="A995" s="33">
        <v>45462</v>
      </c>
      <c r="B995" s="33">
        <v>45503</v>
      </c>
      <c r="C995" s="14"/>
      <c r="D995" s="14">
        <v>9</v>
      </c>
      <c r="E995" s="14">
        <v>0</v>
      </c>
      <c r="F995" s="46">
        <v>3.87</v>
      </c>
      <c r="H995" s="60">
        <f t="shared" si="173"/>
        <v>10.935</v>
      </c>
      <c r="I995" s="47">
        <v>2</v>
      </c>
      <c r="J995" s="14">
        <v>18</v>
      </c>
      <c r="K995" s="48">
        <f t="shared" si="174"/>
        <v>0.3925</v>
      </c>
      <c r="L995" s="61">
        <f t="shared" si="175"/>
        <v>7.065</v>
      </c>
      <c r="M995" s="46">
        <f t="shared" si="176"/>
        <v>21.87</v>
      </c>
    </row>
    <row r="996" hidden="1" customHeight="1" outlineLevel="1" spans="1:22">
      <c r="A996" s="33">
        <v>45528</v>
      </c>
      <c r="B996" s="33">
        <v>45530</v>
      </c>
      <c r="C996" s="14"/>
      <c r="D996" s="14">
        <v>9</v>
      </c>
      <c r="E996" s="14">
        <v>0</v>
      </c>
      <c r="F996" s="46">
        <v>2</v>
      </c>
      <c r="H996" s="60">
        <f t="shared" si="173"/>
        <v>9.4</v>
      </c>
      <c r="I996" s="47">
        <v>5</v>
      </c>
      <c r="J996" s="14">
        <v>13.9</v>
      </c>
      <c r="K996" s="48">
        <f t="shared" si="174"/>
        <v>0.323741007194245</v>
      </c>
      <c r="L996" s="61">
        <f t="shared" si="175"/>
        <v>4.5</v>
      </c>
      <c r="M996" s="46">
        <f t="shared" si="176"/>
        <v>47</v>
      </c>
    </row>
    <row r="997" customHeight="1" spans="1:22">
      <c r="A997" s="24">
        <v>45499</v>
      </c>
      <c r="B997" s="24">
        <v>45502</v>
      </c>
      <c r="C997" s="28" t="str">
        <f>_xlfn.DISPIMG("ID_C9D4BB79FD56471AB6AF21848E76FB37",1)</f>
        <v>=DISPIMG("ID_C9D4BB79FD56471AB6AF21848E76FB37",1)</v>
      </c>
      <c r="D997" s="14">
        <v>6.4</v>
      </c>
      <c r="E997" s="14">
        <v>2</v>
      </c>
      <c r="F997" s="46">
        <v>2</v>
      </c>
      <c r="H997" s="60">
        <f t="shared" si="173"/>
        <v>7.2</v>
      </c>
      <c r="I997" s="47">
        <v>5</v>
      </c>
      <c r="J997" s="14">
        <v>17.9</v>
      </c>
      <c r="K997" s="48">
        <f t="shared" si="174"/>
        <v>0.597765363128491</v>
      </c>
      <c r="L997" s="61">
        <f t="shared" si="175"/>
        <v>10.7</v>
      </c>
      <c r="M997" s="46">
        <f t="shared" si="176"/>
        <v>36</v>
      </c>
      <c r="Q997" s="13" t="s">
        <v>83</v>
      </c>
    </row>
    <row r="998" customHeight="1" spans="1:22">
      <c r="A998" s="24">
        <v>45549</v>
      </c>
      <c r="B998" s="24">
        <v>45558</v>
      </c>
      <c r="C998" s="28" t="str">
        <f>_xlfn.DISPIMG("ID_A5C25AC503314AB7B9E16D533ED5EBDE",1)</f>
        <v>=DISPIMG("ID_A5C25AC503314AB7B9E16D533ED5EBDE",1)</v>
      </c>
      <c r="D998" s="82">
        <f>0.26*12+0.077*15</f>
        <v>4.275</v>
      </c>
      <c r="E998" s="14">
        <v>3.8</v>
      </c>
      <c r="F998" s="46">
        <v>2</v>
      </c>
      <c r="H998" s="60">
        <f t="shared" si="173"/>
        <v>4.855</v>
      </c>
      <c r="I998" s="47">
        <v>10</v>
      </c>
      <c r="J998" s="14">
        <v>25.5</v>
      </c>
      <c r="K998" s="48">
        <f t="shared" si="174"/>
        <v>0.809607843137255</v>
      </c>
      <c r="L998" s="61">
        <f t="shared" si="175"/>
        <v>20.645</v>
      </c>
      <c r="M998" s="46">
        <f t="shared" si="176"/>
        <v>48.55</v>
      </c>
      <c r="Q998" s="83" t="s">
        <v>84</v>
      </c>
      <c r="R998" s="22" t="s">
        <v>85</v>
      </c>
    </row>
    <row r="999" s="28" customFormat="1" customHeight="1" collapsed="1" spans="1:22">
      <c r="A999" s="33">
        <v>45570</v>
      </c>
      <c r="B999" s="33">
        <v>45572</v>
      </c>
      <c r="C999" s="14" t="str">
        <f>_xlfn.DISPIMG("ID_0155A3126FD741E7899809CF69DE096B",1)</f>
        <v>=DISPIMG("ID_0155A3126FD741E7899809CF69DE096B",1)</v>
      </c>
      <c r="D999" s="14">
        <v>9</v>
      </c>
      <c r="E999" s="14">
        <v>0</v>
      </c>
      <c r="F999" s="46">
        <v>1</v>
      </c>
      <c r="G999" s="46"/>
      <c r="H999" s="60">
        <f t="shared" si="173"/>
        <v>9.1</v>
      </c>
      <c r="I999" s="47">
        <v>10</v>
      </c>
      <c r="J999" s="14">
        <v>24</v>
      </c>
      <c r="K999" s="48">
        <f t="shared" si="174"/>
        <v>0.620833333333333</v>
      </c>
      <c r="L999" s="61">
        <f t="shared" si="175"/>
        <v>14.9</v>
      </c>
      <c r="M999" s="46">
        <f t="shared" si="176"/>
        <v>91</v>
      </c>
      <c r="O999" s="33"/>
      <c r="P999" s="33"/>
      <c r="R999" s="16"/>
      <c r="U999" s="33"/>
      <c r="V999" s="14"/>
    </row>
    <row r="1000" s="28" customFormat="1" hidden="1" customHeight="1" outlineLevel="1" spans="1:22">
      <c r="A1000" s="33">
        <v>45579</v>
      </c>
      <c r="B1000" s="33">
        <v>45581</v>
      </c>
      <c r="C1000" s="14"/>
      <c r="D1000" s="14">
        <v>9</v>
      </c>
      <c r="E1000" s="14">
        <v>0</v>
      </c>
      <c r="F1000" s="46">
        <v>2</v>
      </c>
      <c r="G1000" s="46"/>
      <c r="H1000" s="60">
        <f t="shared" si="173"/>
        <v>9.2</v>
      </c>
      <c r="I1000" s="47">
        <v>10</v>
      </c>
      <c r="J1000" s="14">
        <v>20</v>
      </c>
      <c r="K1000" s="48">
        <f t="shared" si="174"/>
        <v>0.54</v>
      </c>
      <c r="L1000" s="61">
        <f t="shared" si="175"/>
        <v>10.8</v>
      </c>
      <c r="M1000" s="46">
        <f t="shared" si="176"/>
        <v>92</v>
      </c>
      <c r="O1000" s="33"/>
      <c r="P1000" s="33"/>
      <c r="R1000" s="16"/>
      <c r="U1000" s="33"/>
      <c r="V1000" s="14"/>
    </row>
    <row r="1001" s="28" customFormat="1" hidden="1" customHeight="1" outlineLevel="1" spans="1:22">
      <c r="A1001" s="33">
        <v>45586</v>
      </c>
      <c r="B1001" s="33">
        <v>45590</v>
      </c>
      <c r="C1001" s="14"/>
      <c r="D1001" s="14">
        <v>9</v>
      </c>
      <c r="E1001" s="14">
        <v>0</v>
      </c>
      <c r="F1001" s="46">
        <v>2</v>
      </c>
      <c r="G1001" s="46"/>
      <c r="H1001" s="60">
        <f t="shared" si="173"/>
        <v>9.2</v>
      </c>
      <c r="I1001" s="47">
        <v>10</v>
      </c>
      <c r="J1001" s="14">
        <v>13</v>
      </c>
      <c r="K1001" s="48">
        <f t="shared" si="174"/>
        <v>0.292307692307692</v>
      </c>
      <c r="L1001" s="61">
        <f t="shared" si="175"/>
        <v>3.8</v>
      </c>
      <c r="M1001" s="46">
        <f t="shared" si="176"/>
        <v>92</v>
      </c>
      <c r="O1001" s="33"/>
      <c r="P1001" s="33"/>
      <c r="R1001" s="16"/>
      <c r="U1001" s="33"/>
      <c r="V1001" s="14"/>
    </row>
    <row r="1002" customHeight="1" spans="1:22">
      <c r="A1002" s="24">
        <v>45602</v>
      </c>
      <c r="B1002" s="24">
        <v>45604</v>
      </c>
      <c r="C1002" s="28" t="str">
        <f>_xlfn.DISPIMG("ID_F18ED41D27AC45CDAC1A81EA79A1AF27",1)</f>
        <v>=DISPIMG("ID_F18ED41D27AC45CDAC1A81EA79A1AF27",1)</v>
      </c>
      <c r="D1002" s="14">
        <f>(0.39+0.45+0.65)*2</f>
        <v>2.98</v>
      </c>
      <c r="E1002" s="14">
        <v>5</v>
      </c>
      <c r="F1002" s="46">
        <v>2</v>
      </c>
      <c r="H1002" s="60">
        <f t="shared" si="173"/>
        <v>3.44666666666667</v>
      </c>
      <c r="I1002" s="47">
        <v>15</v>
      </c>
      <c r="J1002" s="14">
        <v>5.6</v>
      </c>
      <c r="K1002" s="48">
        <f t="shared" si="174"/>
        <v>0.384523809523809</v>
      </c>
      <c r="L1002" s="61">
        <f t="shared" si="175"/>
        <v>2.15333333333333</v>
      </c>
      <c r="M1002" s="46">
        <f t="shared" si="176"/>
        <v>51.7</v>
      </c>
    </row>
    <row r="1003" customHeight="1" spans="1:22">
      <c r="A1003" s="24">
        <v>45601</v>
      </c>
      <c r="B1003" s="24">
        <v>45604</v>
      </c>
      <c r="C1003" s="28" t="str">
        <f>_xlfn.DISPIMG("ID_0B3A8F5E8A7C418DBF49166FEE978FBB",1)</f>
        <v>=DISPIMG("ID_0B3A8F5E8A7C418DBF49166FEE978FBB",1)</v>
      </c>
      <c r="D1003" s="14">
        <f>2.2*5</f>
        <v>11</v>
      </c>
      <c r="E1003" s="14">
        <v>7</v>
      </c>
      <c r="F1003" s="46">
        <v>3</v>
      </c>
      <c r="H1003" s="60">
        <f t="shared" si="173"/>
        <v>12</v>
      </c>
      <c r="I1003" s="47">
        <v>10</v>
      </c>
      <c r="J1003" s="14">
        <v>14.7</v>
      </c>
      <c r="K1003" s="48">
        <f t="shared" si="174"/>
        <v>0.183673469387755</v>
      </c>
      <c r="L1003" s="61">
        <f t="shared" si="175"/>
        <v>2.7</v>
      </c>
      <c r="M1003" s="46">
        <f t="shared" si="176"/>
        <v>120</v>
      </c>
    </row>
    <row r="1004" customHeight="1" collapsed="1" spans="1:22">
      <c r="A1004" s="24">
        <v>45499</v>
      </c>
      <c r="C1004" s="28" t="str">
        <f>_xlfn.DISPIMG("ID_C9D4BB79FD56471AB6AF21848E76FB37",1)</f>
        <v>=DISPIMG("ID_C9D4BB79FD56471AB6AF21848E76FB37",1)</v>
      </c>
      <c r="D1004" s="14">
        <v>3.2</v>
      </c>
      <c r="E1004" s="14">
        <v>2</v>
      </c>
      <c r="H1004" s="60">
        <f t="shared" si="173"/>
        <v>3.4</v>
      </c>
      <c r="I1004" s="47">
        <v>10</v>
      </c>
      <c r="J1004" s="14">
        <v>10.93</v>
      </c>
      <c r="K1004" s="48">
        <f t="shared" si="174"/>
        <v>0.688929551692589</v>
      </c>
      <c r="L1004" s="61">
        <f t="shared" si="175"/>
        <v>7.53</v>
      </c>
      <c r="M1004" s="46">
        <f t="shared" si="176"/>
        <v>34</v>
      </c>
    </row>
    <row r="1005" hidden="1" customHeight="1" outlineLevel="1" spans="1:22">
      <c r="A1005" s="24">
        <v>45506</v>
      </c>
      <c r="D1005" s="14">
        <f>0.4*8</f>
        <v>3.2</v>
      </c>
      <c r="E1005" s="14">
        <v>4</v>
      </c>
      <c r="H1005" s="60">
        <f t="shared" si="173"/>
        <v>3.3</v>
      </c>
      <c r="I1005" s="47">
        <v>40</v>
      </c>
      <c r="J1005" s="14">
        <v>8</v>
      </c>
      <c r="K1005" s="48">
        <f t="shared" si="174"/>
        <v>0.5875</v>
      </c>
      <c r="L1005" s="61">
        <f t="shared" si="175"/>
        <v>4.7</v>
      </c>
      <c r="M1005" s="46">
        <f t="shared" si="176"/>
        <v>132</v>
      </c>
    </row>
    <row r="1006" customHeight="1" spans="1:22">
      <c r="A1006" s="24">
        <v>45628</v>
      </c>
      <c r="B1006" s="24">
        <v>45630</v>
      </c>
      <c r="C1006" s="28" t="str">
        <f>_xlfn.DISPIMG("ID_BF60BB662C27484893705C925301D8C6",1)</f>
        <v>=DISPIMG("ID_BF60BB662C27484893705C925301D8C6",1)</v>
      </c>
      <c r="D1006" s="14">
        <f>0.11*16</f>
        <v>1.76</v>
      </c>
      <c r="E1006" s="14">
        <v>0</v>
      </c>
      <c r="F1006" s="46">
        <v>2</v>
      </c>
      <c r="H1006" s="60">
        <f t="shared" si="173"/>
        <v>1.89333333333333</v>
      </c>
      <c r="I1006" s="47">
        <v>15</v>
      </c>
      <c r="J1006" s="14">
        <v>2.99</v>
      </c>
      <c r="K1006" s="48">
        <f t="shared" si="174"/>
        <v>0.366778149386845</v>
      </c>
      <c r="L1006" s="61">
        <f t="shared" si="175"/>
        <v>1.09666666666667</v>
      </c>
      <c r="M1006" s="46">
        <f t="shared" si="176"/>
        <v>28.4</v>
      </c>
    </row>
    <row r="1007" customHeight="1" spans="1:22">
      <c r="A1007" s="24">
        <v>45603</v>
      </c>
      <c r="B1007" s="24">
        <v>45606</v>
      </c>
      <c r="C1007" s="16" t="str">
        <f>_xlfn.DISPIMG("ID_E2893AB7010B429B84DAD28B22673297",1)</f>
        <v>=DISPIMG("ID_E2893AB7010B429B84DAD28B22673297",1)</v>
      </c>
      <c r="D1007" s="14">
        <f>0.45*6</f>
        <v>2.7</v>
      </c>
      <c r="E1007" s="14">
        <v>5</v>
      </c>
      <c r="F1007" s="46">
        <v>2</v>
      </c>
      <c r="H1007" s="60">
        <f t="shared" si="173"/>
        <v>3.16666666666667</v>
      </c>
      <c r="I1007" s="47">
        <v>15</v>
      </c>
      <c r="J1007" s="14">
        <v>9.5</v>
      </c>
      <c r="K1007" s="48">
        <f t="shared" si="174"/>
        <v>0.666666666666667</v>
      </c>
      <c r="L1007" s="61">
        <f t="shared" si="175"/>
        <v>6.33333333333333</v>
      </c>
      <c r="M1007" s="46">
        <f t="shared" si="176"/>
        <v>47.5</v>
      </c>
      <c r="Q1007" s="13" t="s">
        <v>86</v>
      </c>
    </row>
    <row r="1008" customHeight="1" collapsed="1" spans="1:22">
      <c r="A1008" s="24">
        <v>45531</v>
      </c>
      <c r="B1008" s="24">
        <v>45535</v>
      </c>
      <c r="C1008" s="28" t="str">
        <f>_xlfn.DISPIMG("ID_DE885DCBA31A4E7AB97AA9A699AF42CD",1)</f>
        <v>=DISPIMG("ID_DE885DCBA31A4E7AB97AA9A699AF42CD",1)</v>
      </c>
      <c r="D1008" s="82">
        <f t="shared" ref="D1008:D1010" si="177">0.26*12+0.077*18</f>
        <v>4.506</v>
      </c>
      <c r="E1008" s="14">
        <f>4+3.5</f>
        <v>7.5</v>
      </c>
      <c r="F1008" s="46">
        <v>2</v>
      </c>
      <c r="H1008" s="60">
        <f t="shared" si="173"/>
        <v>5.456</v>
      </c>
      <c r="I1008" s="47">
        <v>10</v>
      </c>
      <c r="J1008" s="14">
        <v>24.7</v>
      </c>
      <c r="K1008" s="48">
        <f t="shared" si="174"/>
        <v>0.779109311740891</v>
      </c>
      <c r="L1008" s="61">
        <f t="shared" si="175"/>
        <v>19.244</v>
      </c>
      <c r="M1008" s="46">
        <f t="shared" si="176"/>
        <v>54.56</v>
      </c>
      <c r="Q1008" s="83" t="s">
        <v>87</v>
      </c>
      <c r="R1008" s="84" t="s">
        <v>88</v>
      </c>
    </row>
    <row r="1009" hidden="1" customHeight="1" outlineLevel="1" spans="1:17">
      <c r="A1009" s="24">
        <v>45547</v>
      </c>
      <c r="B1009" s="24">
        <v>45549</v>
      </c>
      <c r="D1009" s="82">
        <f t="shared" si="177"/>
        <v>4.506</v>
      </c>
      <c r="E1009" s="14">
        <f>4+3.5</f>
        <v>7.5</v>
      </c>
      <c r="F1009" s="46">
        <v>15</v>
      </c>
      <c r="H1009" s="60">
        <f t="shared" si="173"/>
        <v>6.756</v>
      </c>
      <c r="I1009" s="47">
        <v>10</v>
      </c>
      <c r="J1009" s="14">
        <v>20</v>
      </c>
      <c r="K1009" s="48">
        <f t="shared" si="174"/>
        <v>0.6622</v>
      </c>
      <c r="L1009" s="61">
        <f t="shared" si="175"/>
        <v>13.244</v>
      </c>
      <c r="M1009" s="46">
        <f t="shared" si="176"/>
        <v>67.56</v>
      </c>
      <c r="Q1009" s="83"/>
    </row>
    <row r="1010" hidden="1" customHeight="1" outlineLevel="1" spans="1:17">
      <c r="A1010" s="24">
        <v>45549</v>
      </c>
      <c r="B1010" s="24">
        <v>45629</v>
      </c>
      <c r="D1010" s="82">
        <f t="shared" si="177"/>
        <v>4.506</v>
      </c>
      <c r="E1010" s="14">
        <v>3.8</v>
      </c>
      <c r="F1010" s="46">
        <v>2</v>
      </c>
      <c r="H1010" s="60">
        <f t="shared" si="173"/>
        <v>5.086</v>
      </c>
      <c r="I1010" s="47">
        <v>10</v>
      </c>
      <c r="J1010" s="14">
        <v>20</v>
      </c>
      <c r="K1010" s="48">
        <f t="shared" si="174"/>
        <v>0.7457</v>
      </c>
      <c r="L1010" s="61">
        <f t="shared" si="175"/>
        <v>14.914</v>
      </c>
      <c r="M1010" s="46">
        <f t="shared" si="176"/>
        <v>50.86</v>
      </c>
      <c r="Q1010" s="83"/>
    </row>
    <row r="1011" customHeight="1" spans="1:17">
      <c r="A1011" s="24">
        <v>45635</v>
      </c>
      <c r="B1011" s="24">
        <v>45661</v>
      </c>
      <c r="C1011" s="28" t="str">
        <f>_xlfn.DISPIMG("ID_773E9C3A7C2A42CB8EEA52FFEEB5624B",1)</f>
        <v>=DISPIMG("ID_773E9C3A7C2A42CB8EEA52FFEEB5624B",1)</v>
      </c>
      <c r="D1011" s="80">
        <f>0.65*9</f>
        <v>5.85</v>
      </c>
      <c r="E1011" s="14">
        <v>3.2</v>
      </c>
      <c r="F1011" s="46">
        <v>3</v>
      </c>
      <c r="H1011" s="60">
        <f t="shared" si="173"/>
        <v>6.47</v>
      </c>
      <c r="I1011" s="47">
        <v>10</v>
      </c>
      <c r="J1011" s="14">
        <v>11.61</v>
      </c>
      <c r="K1011" s="48">
        <f t="shared" si="174"/>
        <v>0.442721791559001</v>
      </c>
      <c r="L1011" s="61">
        <f t="shared" si="175"/>
        <v>5.14</v>
      </c>
      <c r="M1011" s="46">
        <f t="shared" si="176"/>
        <v>64.7</v>
      </c>
    </row>
    <row r="1012" customHeight="1" collapsed="1" spans="1:17">
      <c r="A1012" s="24">
        <v>45554</v>
      </c>
      <c r="B1012" s="24">
        <v>45558</v>
      </c>
      <c r="C1012" s="28" t="str">
        <f>_xlfn.DISPIMG("ID_9E3BC1D596CD4040BA5617DD6951326C",1)</f>
        <v>=DISPIMG("ID_9E3BC1D596CD4040BA5617DD6951326C",1)</v>
      </c>
      <c r="D1012" s="14">
        <f>0.25*10</f>
        <v>2.5</v>
      </c>
      <c r="E1012" s="14">
        <v>3.9</v>
      </c>
      <c r="F1012" s="46">
        <v>2</v>
      </c>
      <c r="H1012" s="60">
        <f t="shared" si="173"/>
        <v>2.795</v>
      </c>
      <c r="I1012" s="47">
        <v>20</v>
      </c>
      <c r="J1012" s="62">
        <v>5</v>
      </c>
      <c r="K1012" s="48">
        <f t="shared" si="174"/>
        <v>0.441</v>
      </c>
      <c r="L1012" s="61">
        <f t="shared" si="175"/>
        <v>2.205</v>
      </c>
      <c r="M1012" s="46">
        <f t="shared" si="176"/>
        <v>55.9</v>
      </c>
    </row>
    <row r="1013" hidden="1" customHeight="1" outlineLevel="1" spans="1:17">
      <c r="A1013" s="64">
        <v>45648</v>
      </c>
      <c r="B1013" s="24">
        <v>45652</v>
      </c>
      <c r="D1013" s="14">
        <f>0.25*10</f>
        <v>2.5</v>
      </c>
      <c r="E1013" s="14">
        <v>0</v>
      </c>
      <c r="F1013" s="46">
        <v>3</v>
      </c>
      <c r="H1013" s="60">
        <f t="shared" si="173"/>
        <v>2.625</v>
      </c>
      <c r="I1013" s="47">
        <v>24</v>
      </c>
      <c r="J1013" s="62">
        <v>4.42</v>
      </c>
      <c r="K1013" s="48">
        <f t="shared" si="174"/>
        <v>0.406108597285068</v>
      </c>
      <c r="L1013" s="61">
        <f t="shared" si="175"/>
        <v>1.795</v>
      </c>
      <c r="M1013" s="46">
        <f t="shared" si="176"/>
        <v>63</v>
      </c>
    </row>
    <row r="1014" customHeight="1" spans="1:17">
      <c r="A1014" s="24">
        <v>45629</v>
      </c>
      <c r="B1014" s="24">
        <v>45635</v>
      </c>
      <c r="C1014" s="28" t="str">
        <f>_xlfn.DISPIMG("ID_FF1EFB6CCF294A3E9051B039049EA606",1)</f>
        <v>=DISPIMG("ID_FF1EFB6CCF294A3E9051B039049EA606",1)</v>
      </c>
      <c r="D1014" s="14">
        <f>0.27*20</f>
        <v>5.4</v>
      </c>
      <c r="E1014" s="14">
        <v>7</v>
      </c>
      <c r="F1014" s="46">
        <v>4</v>
      </c>
      <c r="H1014" s="60">
        <f t="shared" si="173"/>
        <v>6.13333333333333</v>
      </c>
      <c r="I1014" s="47">
        <v>15</v>
      </c>
      <c r="J1014" s="14">
        <v>13.16</v>
      </c>
      <c r="K1014" s="48">
        <f t="shared" si="174"/>
        <v>0.533941236068896</v>
      </c>
      <c r="L1014" s="61">
        <f t="shared" si="175"/>
        <v>7.02666666666667</v>
      </c>
      <c r="M1014" s="46">
        <f t="shared" si="176"/>
        <v>92</v>
      </c>
    </row>
    <row r="1015" customHeight="1" spans="1:17">
      <c r="A1015" s="24">
        <v>45701</v>
      </c>
      <c r="B1015" s="24">
        <v>45703</v>
      </c>
      <c r="C1015" s="28" t="str">
        <f>_xlfn.DISPIMG("ID_0B13E8EFB29B48CEAE19032B4458E964",1)</f>
        <v>=DISPIMG("ID_0B13E8EFB29B48CEAE19032B4458E964",1)</v>
      </c>
      <c r="D1015" s="14">
        <v>2.2</v>
      </c>
      <c r="E1015" s="14">
        <v>4</v>
      </c>
      <c r="F1015" s="46">
        <v>3</v>
      </c>
      <c r="H1015" s="60">
        <f t="shared" si="173"/>
        <v>2.66666666666667</v>
      </c>
      <c r="I1015" s="47">
        <v>15</v>
      </c>
      <c r="J1015" s="14">
        <v>3</v>
      </c>
      <c r="K1015" s="48">
        <f t="shared" si="174"/>
        <v>0.111111111111111</v>
      </c>
      <c r="L1015" s="61">
        <f t="shared" si="175"/>
        <v>0.333333333333333</v>
      </c>
      <c r="M1015" s="46">
        <f t="shared" si="176"/>
        <v>40</v>
      </c>
      <c r="Q1015" s="13" t="s">
        <v>89</v>
      </c>
    </row>
    <row r="1017" customHeight="1" spans="1:17">
      <c r="A1017" s="24">
        <v>45698</v>
      </c>
      <c r="B1017" s="24">
        <v>45705</v>
      </c>
      <c r="C1017" s="28" t="str">
        <f>_xlfn.DISPIMG("ID_7886006CA02E41C2B023A07BDDDB6BB9",1)</f>
        <v>=DISPIMG("ID_7886006CA02E41C2B023A07BDDDB6BB9",1)</v>
      </c>
      <c r="D1017" s="14">
        <v>3.8</v>
      </c>
      <c r="E1017" s="14">
        <v>0</v>
      </c>
      <c r="F1017" s="46">
        <v>3</v>
      </c>
      <c r="H1017" s="60">
        <f t="shared" ref="H1017:H1080" si="178">D1017+(E1017/I1017)+(F1017/I1017)</f>
        <v>4</v>
      </c>
      <c r="I1017" s="47">
        <v>15</v>
      </c>
      <c r="J1017" s="14">
        <v>10.6</v>
      </c>
      <c r="K1017" s="48">
        <f t="shared" ref="K1017:K1080" si="179">(J1017-H1017)/J1017</f>
        <v>0.622641509433962</v>
      </c>
      <c r="L1017" s="61">
        <f t="shared" ref="L1017:L1080" si="180">J1017-H1017</f>
        <v>6.6</v>
      </c>
      <c r="M1017" s="46">
        <f t="shared" ref="M1017:M1080" si="181">D1017*I1017+E1017+F1017</f>
        <v>60</v>
      </c>
      <c r="Q1017" s="13" t="s">
        <v>90</v>
      </c>
    </row>
    <row r="1018" customHeight="1" spans="1:17">
      <c r="A1018" s="24">
        <v>45703</v>
      </c>
      <c r="B1018" s="24">
        <v>45708</v>
      </c>
      <c r="C1018" s="28" t="str">
        <f>_xlfn.DISPIMG("ID_342FBDB523F84B9A8017522AB968E57B",1)</f>
        <v>=DISPIMG("ID_342FBDB523F84B9A8017522AB968E57B",1)</v>
      </c>
      <c r="D1018" s="14">
        <v>8</v>
      </c>
      <c r="E1018" s="14">
        <v>0</v>
      </c>
      <c r="F1018" s="46">
        <v>3</v>
      </c>
      <c r="H1018" s="60">
        <f t="shared" si="178"/>
        <v>8.2</v>
      </c>
      <c r="I1018" s="47">
        <v>15</v>
      </c>
      <c r="J1018" s="14">
        <v>14</v>
      </c>
      <c r="K1018" s="48">
        <f t="shared" si="179"/>
        <v>0.414285714285714</v>
      </c>
      <c r="L1018" s="61">
        <f t="shared" si="180"/>
        <v>5.8</v>
      </c>
      <c r="M1018" s="46">
        <f t="shared" si="181"/>
        <v>123</v>
      </c>
      <c r="Q1018" s="13" t="s">
        <v>91</v>
      </c>
    </row>
    <row r="1019" customHeight="1" spans="1:17">
      <c r="A1019" s="24">
        <v>45719</v>
      </c>
      <c r="B1019" s="24">
        <v>45723</v>
      </c>
      <c r="C1019" s="22" t="s">
        <v>92</v>
      </c>
      <c r="D1019" s="14">
        <v>4.5</v>
      </c>
      <c r="E1019" s="14">
        <v>8</v>
      </c>
      <c r="F1019" s="46">
        <v>3</v>
      </c>
      <c r="H1019" s="60">
        <f t="shared" si="178"/>
        <v>5.6</v>
      </c>
      <c r="I1019" s="47">
        <v>10</v>
      </c>
      <c r="J1019" s="14">
        <v>9.91</v>
      </c>
      <c r="K1019" s="48">
        <f t="shared" si="179"/>
        <v>0.434914228052472</v>
      </c>
      <c r="L1019" s="61">
        <f t="shared" si="180"/>
        <v>4.31</v>
      </c>
      <c r="M1019" s="46">
        <f t="shared" si="181"/>
        <v>56</v>
      </c>
      <c r="Q1019" s="1"/>
    </row>
    <row r="1020" customHeight="1" collapsed="1" spans="1:17">
      <c r="A1020" s="24">
        <v>45674</v>
      </c>
      <c r="B1020" s="24">
        <v>45676</v>
      </c>
      <c r="C1020" s="13" t="s">
        <v>93</v>
      </c>
      <c r="D1020" s="14">
        <v>2.6</v>
      </c>
      <c r="E1020" s="14">
        <v>0</v>
      </c>
      <c r="F1020" s="46">
        <v>2.5</v>
      </c>
      <c r="H1020" s="60">
        <f t="shared" si="178"/>
        <v>2.76666666666667</v>
      </c>
      <c r="I1020" s="47">
        <v>15</v>
      </c>
      <c r="J1020" s="14">
        <v>12.1</v>
      </c>
      <c r="K1020" s="48">
        <f t="shared" si="179"/>
        <v>0.771349862258953</v>
      </c>
      <c r="L1020" s="61">
        <f t="shared" si="180"/>
        <v>9.33333333333333</v>
      </c>
      <c r="M1020" s="46">
        <f t="shared" si="181"/>
        <v>41.5</v>
      </c>
      <c r="Q1020" s="1"/>
    </row>
    <row r="1021" hidden="1" customHeight="1" outlineLevel="1" spans="1:17">
      <c r="A1021" s="24">
        <v>45703</v>
      </c>
      <c r="B1021" s="24"/>
      <c r="D1021" s="14">
        <v>2.6</v>
      </c>
      <c r="E1021" s="14">
        <v>0</v>
      </c>
      <c r="F1021" s="46">
        <v>3</v>
      </c>
      <c r="H1021" s="60">
        <f t="shared" si="178"/>
        <v>2.70714285714286</v>
      </c>
      <c r="I1021" s="47">
        <v>28</v>
      </c>
      <c r="J1021" s="14">
        <v>12.1</v>
      </c>
      <c r="K1021" s="48">
        <f t="shared" si="179"/>
        <v>0.776269185360094</v>
      </c>
      <c r="L1021" s="61">
        <f t="shared" si="180"/>
        <v>9.39285714285714</v>
      </c>
      <c r="M1021" s="46">
        <f t="shared" si="181"/>
        <v>75.8</v>
      </c>
    </row>
    <row r="1022" hidden="1" customHeight="1" outlineLevel="1" spans="1:17">
      <c r="A1022" s="24">
        <v>45762</v>
      </c>
      <c r="B1022" s="24">
        <v>45765</v>
      </c>
      <c r="D1022" s="14">
        <v>2.6</v>
      </c>
      <c r="E1022" s="14">
        <v>0</v>
      </c>
      <c r="F1022" s="46">
        <v>2</v>
      </c>
      <c r="H1022" s="60">
        <f t="shared" si="178"/>
        <v>2.73333333333333</v>
      </c>
      <c r="I1022" s="47">
        <v>15</v>
      </c>
      <c r="J1022" s="14">
        <v>12.1</v>
      </c>
      <c r="K1022" s="48">
        <f t="shared" si="179"/>
        <v>0.774104683195592</v>
      </c>
      <c r="L1022" s="61">
        <f t="shared" si="180"/>
        <v>9.36666666666667</v>
      </c>
      <c r="M1022" s="46">
        <f t="shared" si="181"/>
        <v>41</v>
      </c>
    </row>
    <row r="1023" customHeight="1" collapsed="1" spans="1:17">
      <c r="A1023" s="64">
        <v>45775</v>
      </c>
      <c r="B1023" s="24">
        <v>45778</v>
      </c>
      <c r="C1023" s="13" t="s">
        <v>94</v>
      </c>
      <c r="D1023" s="14">
        <f>0.2*10</f>
        <v>2</v>
      </c>
      <c r="E1023" s="14">
        <v>0</v>
      </c>
      <c r="F1023" s="46">
        <v>1</v>
      </c>
      <c r="H1023" s="60">
        <f t="shared" si="178"/>
        <v>2.1</v>
      </c>
      <c r="I1023" s="47">
        <v>10</v>
      </c>
      <c r="J1023" s="14">
        <v>5.14</v>
      </c>
      <c r="K1023" s="48">
        <f t="shared" si="179"/>
        <v>0.591439688715953</v>
      </c>
      <c r="L1023" s="61">
        <f t="shared" si="180"/>
        <v>3.04</v>
      </c>
      <c r="M1023" s="46">
        <f t="shared" si="181"/>
        <v>21</v>
      </c>
      <c r="Q1023" s="3" t="s">
        <v>95</v>
      </c>
    </row>
    <row r="1024" hidden="1" customHeight="1" outlineLevel="1" spans="1:17">
      <c r="A1024" s="64">
        <v>45775</v>
      </c>
      <c r="B1024" s="24">
        <v>45778</v>
      </c>
      <c r="C1024" s="13" t="s">
        <v>94</v>
      </c>
      <c r="D1024" s="14">
        <f>0.25*10</f>
        <v>2.5</v>
      </c>
      <c r="E1024" s="14">
        <v>0</v>
      </c>
      <c r="F1024" s="46">
        <v>1</v>
      </c>
      <c r="H1024" s="60">
        <f t="shared" si="178"/>
        <v>2.6</v>
      </c>
      <c r="I1024" s="47">
        <v>10</v>
      </c>
      <c r="J1024" s="14">
        <v>5.14</v>
      </c>
      <c r="K1024" s="48">
        <f t="shared" si="179"/>
        <v>0.494163424124514</v>
      </c>
      <c r="L1024" s="61">
        <f t="shared" si="180"/>
        <v>2.54</v>
      </c>
      <c r="M1024" s="46">
        <f t="shared" si="181"/>
        <v>26</v>
      </c>
      <c r="Q1024" s="3" t="s">
        <v>96</v>
      </c>
    </row>
    <row r="1025" hidden="1" customHeight="1" outlineLevel="1" spans="1:22">
      <c r="A1025" s="64">
        <v>45775</v>
      </c>
      <c r="B1025" s="24">
        <v>45778</v>
      </c>
      <c r="C1025" s="13" t="s">
        <v>94</v>
      </c>
      <c r="D1025" s="14">
        <f>0.3*10</f>
        <v>3</v>
      </c>
      <c r="E1025" s="14">
        <v>0</v>
      </c>
      <c r="F1025" s="46">
        <v>1</v>
      </c>
      <c r="H1025" s="60">
        <f t="shared" si="178"/>
        <v>3.1</v>
      </c>
      <c r="I1025" s="47">
        <v>10</v>
      </c>
      <c r="J1025" s="14">
        <v>5.11</v>
      </c>
      <c r="K1025" s="48">
        <f t="shared" si="179"/>
        <v>0.39334637964775</v>
      </c>
      <c r="L1025" s="61">
        <f t="shared" si="180"/>
        <v>2.01</v>
      </c>
      <c r="M1025" s="46">
        <f t="shared" si="181"/>
        <v>31</v>
      </c>
      <c r="Q1025" s="3" t="s">
        <v>97</v>
      </c>
    </row>
    <row r="1026" customHeight="1" collapsed="1" spans="1:22">
      <c r="A1026" s="24">
        <v>45703</v>
      </c>
      <c r="B1026" s="24">
        <v>45707</v>
      </c>
      <c r="C1026" s="13" t="s">
        <v>98</v>
      </c>
      <c r="D1026" s="14">
        <v>6</v>
      </c>
      <c r="E1026" s="14">
        <v>0</v>
      </c>
      <c r="F1026" s="46">
        <v>4</v>
      </c>
      <c r="H1026" s="60">
        <f t="shared" si="178"/>
        <v>6.26666666666667</v>
      </c>
      <c r="I1026" s="47">
        <v>15</v>
      </c>
      <c r="J1026" s="14">
        <v>14</v>
      </c>
      <c r="K1026" s="48">
        <f t="shared" si="179"/>
        <v>0.552380952380952</v>
      </c>
      <c r="L1026" s="61">
        <f t="shared" si="180"/>
        <v>7.73333333333333</v>
      </c>
      <c r="M1026" s="46">
        <f t="shared" si="181"/>
        <v>94</v>
      </c>
      <c r="Q1026" s="13"/>
    </row>
    <row r="1027" hidden="1" customHeight="1" outlineLevel="1" spans="1:22">
      <c r="A1027" s="64">
        <v>45767</v>
      </c>
      <c r="B1027" s="24"/>
      <c r="D1027" s="14">
        <v>6</v>
      </c>
      <c r="E1027" s="14">
        <v>0</v>
      </c>
      <c r="H1027" s="60">
        <f t="shared" si="178"/>
        <v>6</v>
      </c>
      <c r="I1027" s="47">
        <v>7</v>
      </c>
      <c r="J1027" s="14">
        <v>14</v>
      </c>
      <c r="K1027" s="48">
        <f t="shared" si="179"/>
        <v>0.571428571428571</v>
      </c>
      <c r="L1027" s="61">
        <f t="shared" si="180"/>
        <v>8</v>
      </c>
      <c r="M1027" s="46">
        <f t="shared" si="181"/>
        <v>42</v>
      </c>
      <c r="Q1027" s="1"/>
    </row>
    <row r="1028" s="28" customFormat="1" customHeight="1" collapsed="1" spans="1:22">
      <c r="A1028" s="24">
        <v>45699</v>
      </c>
      <c r="B1028" s="24">
        <v>45713</v>
      </c>
      <c r="C1028" s="16" t="str">
        <f>_xlfn.DISPIMG("ID_AACEC2F577FE4F9D8C9C96845B3DC77B",1)</f>
        <v>=DISPIMG("ID_AACEC2F577FE4F9D8C9C96845B3DC77B",1)</v>
      </c>
      <c r="D1028" s="14">
        <v>3.3</v>
      </c>
      <c r="E1028" s="14">
        <v>0</v>
      </c>
      <c r="F1028" s="46">
        <v>2</v>
      </c>
      <c r="G1028" s="46"/>
      <c r="H1028" s="60">
        <f t="shared" si="178"/>
        <v>3.425</v>
      </c>
      <c r="I1028" s="47">
        <v>16</v>
      </c>
      <c r="J1028" s="62">
        <v>9.6</v>
      </c>
      <c r="K1028" s="48">
        <f t="shared" si="179"/>
        <v>0.643229166666667</v>
      </c>
      <c r="L1028" s="61">
        <f t="shared" si="180"/>
        <v>6.175</v>
      </c>
      <c r="M1028" s="46">
        <f t="shared" si="181"/>
        <v>54.8</v>
      </c>
      <c r="O1028" s="33"/>
      <c r="P1028" s="33"/>
      <c r="Q1028" s="13"/>
      <c r="R1028" s="16"/>
      <c r="U1028" s="33"/>
      <c r="V1028" s="14"/>
    </row>
    <row r="1029" s="28" customFormat="1" hidden="1" customHeight="1" outlineLevel="1" spans="1:22">
      <c r="A1029" s="24">
        <v>45699</v>
      </c>
      <c r="B1029" s="24">
        <v>45721</v>
      </c>
      <c r="C1029" s="16"/>
      <c r="D1029" s="14">
        <v>3.3</v>
      </c>
      <c r="E1029" s="14">
        <v>0</v>
      </c>
      <c r="F1029" s="46">
        <v>2</v>
      </c>
      <c r="G1029" s="46"/>
      <c r="H1029" s="60">
        <f t="shared" si="178"/>
        <v>3.8</v>
      </c>
      <c r="I1029" s="47">
        <v>4</v>
      </c>
      <c r="J1029" s="62">
        <v>9.6</v>
      </c>
      <c r="K1029" s="48">
        <f t="shared" si="179"/>
        <v>0.604166666666667</v>
      </c>
      <c r="L1029" s="61">
        <f t="shared" si="180"/>
        <v>5.8</v>
      </c>
      <c r="M1029" s="46">
        <f t="shared" si="181"/>
        <v>15.2</v>
      </c>
      <c r="O1029" s="33"/>
      <c r="P1029" s="33"/>
      <c r="Q1029" s="13"/>
      <c r="R1029" s="16"/>
      <c r="U1029" s="33"/>
      <c r="V1029" s="14"/>
    </row>
    <row r="1030" s="28" customFormat="1" hidden="1" customHeight="1" outlineLevel="1" spans="1:22">
      <c r="A1030" s="40">
        <v>45728</v>
      </c>
      <c r="B1030" s="37">
        <v>45737</v>
      </c>
      <c r="C1030" s="16"/>
      <c r="D1030" s="14">
        <v>3.3</v>
      </c>
      <c r="E1030" s="14">
        <v>0</v>
      </c>
      <c r="F1030" s="46">
        <v>1</v>
      </c>
      <c r="G1030" s="46"/>
      <c r="H1030" s="60">
        <f t="shared" si="178"/>
        <v>3.5</v>
      </c>
      <c r="I1030" s="47">
        <v>5</v>
      </c>
      <c r="J1030" s="62">
        <v>9.6</v>
      </c>
      <c r="K1030" s="48">
        <f t="shared" si="179"/>
        <v>0.635416666666667</v>
      </c>
      <c r="L1030" s="61">
        <f t="shared" si="180"/>
        <v>6.1</v>
      </c>
      <c r="M1030" s="46">
        <f t="shared" si="181"/>
        <v>17.5</v>
      </c>
      <c r="O1030" s="33"/>
      <c r="P1030" s="33"/>
      <c r="Q1030" s="13"/>
      <c r="R1030" s="16"/>
      <c r="U1030" s="33"/>
      <c r="V1030" s="14"/>
    </row>
    <row r="1031" customHeight="1" spans="1:22">
      <c r="A1031" s="64">
        <v>45767</v>
      </c>
      <c r="B1031" s="24">
        <v>45774</v>
      </c>
      <c r="C1031" s="13" t="str">
        <f>_xlfn.DISPIMG("ID_549E8CF82E404519941A3F3F61274872",1)</f>
        <v>=DISPIMG("ID_549E8CF82E404519941A3F3F61274872",1)</v>
      </c>
      <c r="D1031" s="14">
        <v>1.5</v>
      </c>
      <c r="E1031" s="14">
        <v>0</v>
      </c>
      <c r="F1031" s="46">
        <v>3.5</v>
      </c>
      <c r="H1031" s="60">
        <f t="shared" si="178"/>
        <v>1.85</v>
      </c>
      <c r="I1031" s="47">
        <v>10</v>
      </c>
      <c r="J1031" s="14">
        <v>19.5</v>
      </c>
      <c r="K1031" s="48">
        <f t="shared" si="179"/>
        <v>0.905128205128205</v>
      </c>
      <c r="L1031" s="61">
        <f t="shared" si="180"/>
        <v>17.65</v>
      </c>
      <c r="M1031" s="46">
        <f t="shared" si="181"/>
        <v>18.5</v>
      </c>
    </row>
    <row r="1032" customHeight="1" collapsed="1" spans="1:22">
      <c r="A1032" s="59" t="s">
        <v>99</v>
      </c>
      <c r="B1032" s="33">
        <v>45424</v>
      </c>
      <c r="C1032" s="28" t="str">
        <f>_xlfn.DISPIMG("ID_E72D4E2C1F58495DA3627F2F0C63876C",1)</f>
        <v>=DISPIMG("ID_E72D4E2C1F58495DA3627F2F0C63876C",1)</v>
      </c>
      <c r="D1032" s="14">
        <v>8.6</v>
      </c>
      <c r="E1032" s="14">
        <v>6</v>
      </c>
      <c r="F1032" s="46">
        <v>3.82</v>
      </c>
      <c r="H1032" s="60">
        <f t="shared" si="178"/>
        <v>9.582</v>
      </c>
      <c r="I1032" s="47">
        <v>10</v>
      </c>
      <c r="J1032" s="14">
        <v>22.76</v>
      </c>
      <c r="K1032" s="48">
        <f t="shared" si="179"/>
        <v>0.578998242530756</v>
      </c>
      <c r="L1032" s="61">
        <f t="shared" si="180"/>
        <v>13.178</v>
      </c>
      <c r="M1032" s="46">
        <f t="shared" si="181"/>
        <v>95.82</v>
      </c>
      <c r="N1032" s="14"/>
      <c r="O1032" s="28"/>
      <c r="P1032" s="28"/>
      <c r="Q1032" s="13" t="s">
        <v>100</v>
      </c>
    </row>
    <row r="1033" hidden="1" customHeight="1" outlineLevel="1" spans="1:22">
      <c r="A1033" s="33">
        <v>45440</v>
      </c>
      <c r="B1033" s="33"/>
      <c r="C1033" s="26" t="s">
        <v>76</v>
      </c>
      <c r="D1033" s="14">
        <v>9</v>
      </c>
      <c r="E1033" s="14">
        <v>3</v>
      </c>
      <c r="F1033" s="46">
        <v>2.22</v>
      </c>
      <c r="H1033" s="60">
        <f t="shared" si="178"/>
        <v>9.74571428571429</v>
      </c>
      <c r="I1033" s="47">
        <v>7</v>
      </c>
      <c r="J1033" s="14">
        <v>22.76</v>
      </c>
      <c r="K1033" s="48">
        <f t="shared" si="179"/>
        <v>0.571805171980919</v>
      </c>
      <c r="L1033" s="61">
        <f t="shared" si="180"/>
        <v>13.0142857142857</v>
      </c>
      <c r="M1033" s="46">
        <f t="shared" si="181"/>
        <v>68.22</v>
      </c>
    </row>
    <row r="1034" hidden="1" customHeight="1" outlineLevel="1" spans="1:22">
      <c r="A1034" s="33">
        <v>45448</v>
      </c>
      <c r="B1034" s="33"/>
      <c r="C1034" s="14"/>
      <c r="D1034" s="14">
        <v>9</v>
      </c>
      <c r="E1034" s="14">
        <v>3</v>
      </c>
      <c r="F1034" s="46">
        <v>2.22</v>
      </c>
      <c r="H1034" s="60">
        <f t="shared" si="178"/>
        <v>10.305</v>
      </c>
      <c r="I1034" s="47">
        <v>4</v>
      </c>
      <c r="J1034" s="14">
        <v>22.76</v>
      </c>
      <c r="K1034" s="48">
        <f t="shared" si="179"/>
        <v>0.547231985940246</v>
      </c>
      <c r="L1034" s="61">
        <f t="shared" si="180"/>
        <v>12.455</v>
      </c>
      <c r="M1034" s="46">
        <f t="shared" si="181"/>
        <v>41.22</v>
      </c>
    </row>
    <row r="1035" hidden="1" customHeight="1" outlineLevel="1" spans="1:22">
      <c r="A1035" s="33">
        <v>45453</v>
      </c>
      <c r="B1035" s="33"/>
      <c r="C1035" s="14"/>
      <c r="D1035" s="14">
        <v>9</v>
      </c>
      <c r="E1035" s="14">
        <v>3</v>
      </c>
      <c r="F1035" s="46">
        <v>4.3</v>
      </c>
      <c r="H1035" s="60">
        <f t="shared" si="178"/>
        <v>9.73</v>
      </c>
      <c r="I1035" s="47">
        <v>10</v>
      </c>
      <c r="J1035" s="14">
        <v>22.76</v>
      </c>
      <c r="K1035" s="48">
        <f t="shared" si="179"/>
        <v>0.572495606326889</v>
      </c>
      <c r="L1035" s="61">
        <f t="shared" si="180"/>
        <v>13.03</v>
      </c>
      <c r="M1035" s="46">
        <f t="shared" si="181"/>
        <v>97.3</v>
      </c>
    </row>
    <row r="1036" hidden="1" customHeight="1" outlineLevel="1" spans="1:22">
      <c r="A1036" s="33">
        <v>45453</v>
      </c>
      <c r="B1036" s="33"/>
      <c r="C1036" s="14"/>
      <c r="D1036" s="14">
        <v>9</v>
      </c>
      <c r="E1036" s="14">
        <v>3</v>
      </c>
      <c r="F1036" s="46">
        <v>2.22</v>
      </c>
      <c r="H1036" s="60">
        <f t="shared" si="178"/>
        <v>9.74571428571429</v>
      </c>
      <c r="I1036" s="47">
        <v>7</v>
      </c>
      <c r="J1036" s="14">
        <v>22.76</v>
      </c>
      <c r="K1036" s="48">
        <f t="shared" si="179"/>
        <v>0.571805171980919</v>
      </c>
      <c r="L1036" s="61">
        <f t="shared" si="180"/>
        <v>13.0142857142857</v>
      </c>
      <c r="M1036" s="46">
        <f t="shared" si="181"/>
        <v>68.22</v>
      </c>
    </row>
    <row r="1037" hidden="1" customHeight="1" outlineLevel="1" spans="1:22">
      <c r="A1037" s="33">
        <v>45453</v>
      </c>
      <c r="B1037" s="33"/>
      <c r="D1037" s="14">
        <v>9</v>
      </c>
      <c r="E1037" s="14">
        <v>3</v>
      </c>
      <c r="F1037" s="46">
        <v>2.22</v>
      </c>
      <c r="H1037" s="60">
        <f t="shared" si="178"/>
        <v>10.74</v>
      </c>
      <c r="I1037" s="47">
        <v>3</v>
      </c>
      <c r="J1037" s="14">
        <v>22.76</v>
      </c>
      <c r="K1037" s="48">
        <f t="shared" si="179"/>
        <v>0.528119507908612</v>
      </c>
      <c r="L1037" s="61">
        <f t="shared" si="180"/>
        <v>12.02</v>
      </c>
      <c r="M1037" s="46">
        <f t="shared" si="181"/>
        <v>32.22</v>
      </c>
    </row>
    <row r="1038" hidden="1" customHeight="1" outlineLevel="1" spans="1:22">
      <c r="A1038" s="33">
        <v>45462</v>
      </c>
      <c r="B1038" s="33"/>
      <c r="D1038" s="14">
        <v>9</v>
      </c>
      <c r="E1038" s="14">
        <v>0</v>
      </c>
      <c r="F1038" s="46">
        <v>2.22</v>
      </c>
      <c r="H1038" s="60">
        <f t="shared" si="178"/>
        <v>9.24666666666667</v>
      </c>
      <c r="I1038" s="47">
        <v>9</v>
      </c>
      <c r="J1038" s="14">
        <v>22.76</v>
      </c>
      <c r="K1038" s="48">
        <f t="shared" si="179"/>
        <v>0.593731693028705</v>
      </c>
      <c r="L1038" s="61">
        <f t="shared" si="180"/>
        <v>13.5133333333333</v>
      </c>
      <c r="M1038" s="46">
        <f t="shared" si="181"/>
        <v>83.22</v>
      </c>
    </row>
    <row r="1039" hidden="1" customHeight="1" outlineLevel="1" spans="1:22">
      <c r="A1039" s="33">
        <v>45462</v>
      </c>
      <c r="B1039" s="33">
        <v>45474</v>
      </c>
      <c r="D1039" s="14">
        <v>9</v>
      </c>
      <c r="E1039" s="14">
        <v>0</v>
      </c>
      <c r="F1039" s="46">
        <v>2.99</v>
      </c>
      <c r="H1039" s="60">
        <f t="shared" si="178"/>
        <v>9.33222222222222</v>
      </c>
      <c r="I1039" s="47">
        <v>9</v>
      </c>
      <c r="J1039" s="14">
        <v>22.76</v>
      </c>
      <c r="K1039" s="48">
        <f t="shared" si="179"/>
        <v>0.589972661589533</v>
      </c>
      <c r="L1039" s="61">
        <f t="shared" si="180"/>
        <v>13.4277777777778</v>
      </c>
      <c r="M1039" s="46">
        <f t="shared" si="181"/>
        <v>83.99</v>
      </c>
    </row>
    <row r="1040" hidden="1" customHeight="1" outlineLevel="1" spans="1:22">
      <c r="A1040" s="33">
        <v>45462</v>
      </c>
      <c r="B1040" s="24">
        <v>45479</v>
      </c>
      <c r="D1040" s="14">
        <v>9</v>
      </c>
      <c r="E1040" s="14">
        <v>0</v>
      </c>
      <c r="F1040" s="46">
        <v>2.22</v>
      </c>
      <c r="H1040" s="60">
        <f t="shared" si="178"/>
        <v>9.555</v>
      </c>
      <c r="I1040" s="47">
        <v>4</v>
      </c>
      <c r="J1040" s="14">
        <v>22.76</v>
      </c>
      <c r="K1040" s="48">
        <f t="shared" si="179"/>
        <v>0.58018453427065</v>
      </c>
      <c r="L1040" s="61">
        <f t="shared" si="180"/>
        <v>13.205</v>
      </c>
      <c r="M1040" s="46">
        <f t="shared" si="181"/>
        <v>38.22</v>
      </c>
    </row>
    <row r="1041" hidden="1" customHeight="1" outlineLevel="1" spans="1:17">
      <c r="A1041" s="33">
        <v>45475</v>
      </c>
      <c r="B1041" s="24">
        <v>45484</v>
      </c>
      <c r="D1041" s="14">
        <v>9</v>
      </c>
      <c r="E1041" s="14">
        <v>3</v>
      </c>
      <c r="F1041" s="46">
        <v>2.22</v>
      </c>
      <c r="H1041" s="60">
        <f t="shared" si="178"/>
        <v>9.6525</v>
      </c>
      <c r="I1041" s="47">
        <v>8</v>
      </c>
      <c r="J1041" s="14">
        <v>22.76</v>
      </c>
      <c r="K1041" s="48">
        <f t="shared" si="179"/>
        <v>0.575900702987698</v>
      </c>
      <c r="L1041" s="61">
        <f t="shared" si="180"/>
        <v>13.1075</v>
      </c>
      <c r="M1041" s="46">
        <f t="shared" si="181"/>
        <v>77.22</v>
      </c>
    </row>
    <row r="1042" hidden="1" customHeight="1" outlineLevel="1" spans="1:17">
      <c r="A1042" s="33">
        <v>45475</v>
      </c>
      <c r="B1042" s="24">
        <v>45490</v>
      </c>
      <c r="D1042" s="14">
        <v>9</v>
      </c>
      <c r="E1042" s="14">
        <v>3</v>
      </c>
      <c r="F1042" s="46">
        <v>2.22</v>
      </c>
      <c r="H1042" s="60">
        <f t="shared" si="178"/>
        <v>9.6525</v>
      </c>
      <c r="I1042" s="47">
        <v>8</v>
      </c>
      <c r="J1042" s="14">
        <v>17.92</v>
      </c>
      <c r="K1042" s="48">
        <f t="shared" si="179"/>
        <v>0.461356026785714</v>
      </c>
      <c r="L1042" s="61">
        <f t="shared" si="180"/>
        <v>8.2675</v>
      </c>
      <c r="M1042" s="46">
        <f t="shared" si="181"/>
        <v>77.22</v>
      </c>
    </row>
    <row r="1043" hidden="1" customHeight="1" outlineLevel="1" spans="1:17">
      <c r="A1043" s="24">
        <v>45485</v>
      </c>
      <c r="B1043" s="24">
        <v>45496</v>
      </c>
      <c r="D1043" s="14">
        <v>8</v>
      </c>
      <c r="E1043" s="14">
        <v>6</v>
      </c>
      <c r="F1043" s="46">
        <v>1.97</v>
      </c>
      <c r="H1043" s="60">
        <f t="shared" si="178"/>
        <v>9.13857142857143</v>
      </c>
      <c r="I1043" s="47">
        <v>7</v>
      </c>
      <c r="J1043" s="14">
        <v>17.92</v>
      </c>
      <c r="K1043" s="48">
        <f t="shared" si="179"/>
        <v>0.490035076530612</v>
      </c>
      <c r="L1043" s="61">
        <f t="shared" si="180"/>
        <v>8.78142857142857</v>
      </c>
      <c r="M1043" s="46">
        <f t="shared" si="181"/>
        <v>63.97</v>
      </c>
    </row>
    <row r="1044" hidden="1" customHeight="1" outlineLevel="1" spans="1:17">
      <c r="A1044" s="24">
        <v>45494</v>
      </c>
      <c r="B1044" s="24">
        <v>45498</v>
      </c>
      <c r="D1044" s="14">
        <v>9</v>
      </c>
      <c r="E1044" s="14">
        <v>2</v>
      </c>
      <c r="F1044" s="46">
        <v>3</v>
      </c>
      <c r="H1044" s="60">
        <f t="shared" si="178"/>
        <v>9.35714285714286</v>
      </c>
      <c r="I1044" s="47">
        <v>14</v>
      </c>
      <c r="J1044" s="14">
        <v>17.81</v>
      </c>
      <c r="K1044" s="48">
        <f t="shared" si="179"/>
        <v>0.474612978262613</v>
      </c>
      <c r="L1044" s="61">
        <f t="shared" si="180"/>
        <v>8.45285714285714</v>
      </c>
      <c r="M1044" s="46">
        <f t="shared" si="181"/>
        <v>131</v>
      </c>
    </row>
    <row r="1045" hidden="1" customHeight="1" outlineLevel="1" spans="1:17">
      <c r="A1045" s="24">
        <v>45485</v>
      </c>
      <c r="B1045" s="24">
        <v>45493</v>
      </c>
      <c r="D1045" s="14">
        <v>8</v>
      </c>
      <c r="E1045" s="14">
        <v>6</v>
      </c>
      <c r="F1045" s="46">
        <v>0</v>
      </c>
      <c r="H1045" s="60">
        <f t="shared" si="178"/>
        <v>9</v>
      </c>
      <c r="I1045" s="47">
        <v>6</v>
      </c>
      <c r="J1045" s="14">
        <v>18.5</v>
      </c>
      <c r="K1045" s="48">
        <f t="shared" si="179"/>
        <v>0.513513513513513</v>
      </c>
      <c r="L1045" s="61">
        <f t="shared" si="180"/>
        <v>9.5</v>
      </c>
      <c r="M1045" s="46">
        <f t="shared" si="181"/>
        <v>54</v>
      </c>
      <c r="Q1045" s="13" t="s">
        <v>101</v>
      </c>
    </row>
    <row r="1046" hidden="1" customHeight="1" outlineLevel="1" spans="1:17">
      <c r="A1046" s="24">
        <v>45485</v>
      </c>
      <c r="B1046" s="24">
        <v>45511</v>
      </c>
      <c r="D1046" s="14">
        <v>9</v>
      </c>
      <c r="E1046" s="14">
        <v>0</v>
      </c>
      <c r="F1046" s="46">
        <v>2</v>
      </c>
      <c r="H1046" s="60">
        <f t="shared" si="178"/>
        <v>9.5</v>
      </c>
      <c r="I1046" s="47">
        <v>4</v>
      </c>
      <c r="J1046" s="14">
        <v>17.81</v>
      </c>
      <c r="K1046" s="48">
        <f t="shared" si="179"/>
        <v>0.466591802358226</v>
      </c>
      <c r="L1046" s="61">
        <f t="shared" si="180"/>
        <v>8.31</v>
      </c>
      <c r="M1046" s="46">
        <f t="shared" si="181"/>
        <v>38</v>
      </c>
      <c r="Q1046" s="13"/>
    </row>
    <row r="1047" hidden="1" customHeight="1" outlineLevel="1" spans="1:17">
      <c r="A1047" s="24">
        <v>45513</v>
      </c>
      <c r="B1047" s="24">
        <v>45517</v>
      </c>
      <c r="D1047" s="14">
        <v>9</v>
      </c>
      <c r="E1047" s="14">
        <v>2</v>
      </c>
      <c r="F1047" s="46">
        <v>2</v>
      </c>
      <c r="H1047" s="60">
        <f t="shared" si="178"/>
        <v>9.4</v>
      </c>
      <c r="I1047" s="47">
        <v>10</v>
      </c>
      <c r="J1047" s="14">
        <v>17.81</v>
      </c>
      <c r="K1047" s="48">
        <f t="shared" si="179"/>
        <v>0.472206625491297</v>
      </c>
      <c r="L1047" s="61">
        <f t="shared" si="180"/>
        <v>8.41</v>
      </c>
      <c r="M1047" s="46">
        <f t="shared" si="181"/>
        <v>94</v>
      </c>
      <c r="Q1047" s="13"/>
    </row>
    <row r="1048" hidden="1" customHeight="1" outlineLevel="1" spans="1:17">
      <c r="A1048" s="24">
        <v>45519</v>
      </c>
      <c r="B1048" s="24">
        <v>45523</v>
      </c>
      <c r="D1048" s="14">
        <v>9</v>
      </c>
      <c r="E1048" s="62">
        <v>1</v>
      </c>
      <c r="F1048" s="46">
        <v>3</v>
      </c>
      <c r="H1048" s="60">
        <f t="shared" si="178"/>
        <v>9.57142857142857</v>
      </c>
      <c r="I1048" s="47">
        <v>7</v>
      </c>
      <c r="J1048" s="14">
        <v>17.81</v>
      </c>
      <c r="K1048" s="48">
        <f t="shared" si="179"/>
        <v>0.462581214406032</v>
      </c>
      <c r="L1048" s="61">
        <f t="shared" si="180"/>
        <v>8.23857142857143</v>
      </c>
      <c r="M1048" s="46">
        <f t="shared" si="181"/>
        <v>67</v>
      </c>
      <c r="Q1048" s="13"/>
    </row>
    <row r="1049" hidden="1" customHeight="1" outlineLevel="1" spans="1:17">
      <c r="A1049" s="24">
        <v>45519</v>
      </c>
      <c r="B1049" s="24">
        <v>45526</v>
      </c>
      <c r="D1049" s="14">
        <v>9</v>
      </c>
      <c r="E1049" s="14">
        <v>1</v>
      </c>
      <c r="F1049" s="46">
        <v>3</v>
      </c>
      <c r="H1049" s="60">
        <f t="shared" si="178"/>
        <v>9.5</v>
      </c>
      <c r="I1049" s="47">
        <v>8</v>
      </c>
      <c r="J1049" s="14">
        <v>17.81</v>
      </c>
      <c r="K1049" s="48">
        <f t="shared" si="179"/>
        <v>0.466591802358226</v>
      </c>
      <c r="L1049" s="61">
        <f t="shared" si="180"/>
        <v>8.31</v>
      </c>
      <c r="M1049" s="46">
        <f t="shared" si="181"/>
        <v>76</v>
      </c>
      <c r="Q1049" s="13"/>
    </row>
    <row r="1050" hidden="1" customHeight="1" outlineLevel="1" spans="1:17">
      <c r="A1050" s="24">
        <v>45527</v>
      </c>
      <c r="B1050" s="24">
        <v>45531</v>
      </c>
      <c r="D1050" s="14">
        <v>9</v>
      </c>
      <c r="E1050" s="14">
        <v>4</v>
      </c>
      <c r="F1050" s="46">
        <v>3</v>
      </c>
      <c r="H1050" s="60">
        <f t="shared" si="178"/>
        <v>9.7</v>
      </c>
      <c r="I1050" s="47">
        <v>10</v>
      </c>
      <c r="J1050" s="14">
        <v>17.81</v>
      </c>
      <c r="K1050" s="48">
        <f t="shared" si="179"/>
        <v>0.455362156092083</v>
      </c>
      <c r="L1050" s="61">
        <f t="shared" si="180"/>
        <v>8.11</v>
      </c>
      <c r="M1050" s="46">
        <f t="shared" si="181"/>
        <v>97</v>
      </c>
      <c r="Q1050" s="13"/>
    </row>
    <row r="1051" hidden="1" customHeight="1" outlineLevel="1" spans="1:17">
      <c r="A1051" s="24">
        <v>45530</v>
      </c>
      <c r="B1051" s="24">
        <v>45539</v>
      </c>
      <c r="D1051" s="14">
        <v>9</v>
      </c>
      <c r="E1051" s="14">
        <v>4</v>
      </c>
      <c r="F1051" s="46">
        <v>26</v>
      </c>
      <c r="H1051" s="60">
        <f t="shared" si="178"/>
        <v>11</v>
      </c>
      <c r="I1051" s="47">
        <v>15</v>
      </c>
      <c r="J1051" s="14">
        <v>17.81</v>
      </c>
      <c r="K1051" s="48">
        <f t="shared" si="179"/>
        <v>0.382369455362156</v>
      </c>
      <c r="L1051" s="61">
        <f t="shared" si="180"/>
        <v>6.81</v>
      </c>
      <c r="M1051" s="46">
        <f t="shared" si="181"/>
        <v>165</v>
      </c>
      <c r="Q1051" s="13"/>
    </row>
    <row r="1052" hidden="1" customHeight="1" outlineLevel="1" spans="1:17">
      <c r="A1052" s="24">
        <v>45548</v>
      </c>
      <c r="B1052" s="24">
        <v>45550</v>
      </c>
      <c r="D1052" s="14">
        <v>9</v>
      </c>
      <c r="E1052" s="14">
        <v>2</v>
      </c>
      <c r="F1052" s="46">
        <v>3</v>
      </c>
      <c r="H1052" s="60">
        <f t="shared" si="178"/>
        <v>9.41666666666667</v>
      </c>
      <c r="I1052" s="47">
        <v>12</v>
      </c>
      <c r="J1052" s="14">
        <v>17.81</v>
      </c>
      <c r="K1052" s="48">
        <f t="shared" si="179"/>
        <v>0.471270821635785</v>
      </c>
      <c r="L1052" s="61">
        <f t="shared" si="180"/>
        <v>8.39333333333333</v>
      </c>
      <c r="M1052" s="46">
        <f t="shared" si="181"/>
        <v>113</v>
      </c>
    </row>
    <row r="1053" hidden="1" customHeight="1" outlineLevel="1" spans="1:17">
      <c r="A1053" s="24">
        <v>45548</v>
      </c>
      <c r="B1053" s="24">
        <v>45558</v>
      </c>
      <c r="D1053" s="14">
        <v>9</v>
      </c>
      <c r="E1053" s="14">
        <v>0</v>
      </c>
      <c r="F1053" s="46">
        <v>1.5</v>
      </c>
      <c r="H1053" s="60">
        <f t="shared" si="178"/>
        <v>9.5</v>
      </c>
      <c r="I1053" s="47">
        <v>3</v>
      </c>
      <c r="J1053" s="14">
        <v>17.62</v>
      </c>
      <c r="K1053" s="48">
        <f t="shared" si="179"/>
        <v>0.460839954597049</v>
      </c>
      <c r="L1053" s="61">
        <f t="shared" si="180"/>
        <v>8.12</v>
      </c>
      <c r="M1053" s="46">
        <f t="shared" si="181"/>
        <v>28.5</v>
      </c>
    </row>
    <row r="1054" hidden="1" customHeight="1" outlineLevel="1" spans="1:17">
      <c r="A1054" s="24">
        <v>45556</v>
      </c>
      <c r="B1054" s="24">
        <v>45558</v>
      </c>
      <c r="D1054" s="14">
        <v>9</v>
      </c>
      <c r="E1054" s="14">
        <v>3</v>
      </c>
      <c r="F1054" s="46">
        <v>1.5</v>
      </c>
      <c r="H1054" s="60">
        <f t="shared" si="178"/>
        <v>9.45</v>
      </c>
      <c r="I1054" s="47">
        <v>10</v>
      </c>
      <c r="J1054" s="14">
        <v>17.62</v>
      </c>
      <c r="K1054" s="48">
        <f t="shared" si="179"/>
        <v>0.463677639046538</v>
      </c>
      <c r="L1054" s="61">
        <f t="shared" si="180"/>
        <v>8.17</v>
      </c>
      <c r="M1054" s="46">
        <f t="shared" si="181"/>
        <v>94.5</v>
      </c>
    </row>
    <row r="1055" hidden="1" customHeight="1" outlineLevel="1" spans="1:17">
      <c r="A1055" s="24">
        <v>45562</v>
      </c>
      <c r="B1055" s="24">
        <v>45565</v>
      </c>
      <c r="D1055" s="14">
        <v>9</v>
      </c>
      <c r="E1055" s="14">
        <v>2</v>
      </c>
      <c r="F1055" s="46">
        <v>3</v>
      </c>
      <c r="H1055" s="60">
        <f t="shared" si="178"/>
        <v>9.29411764705882</v>
      </c>
      <c r="I1055" s="47">
        <v>17</v>
      </c>
      <c r="J1055" s="14">
        <v>17.62</v>
      </c>
      <c r="K1055" s="48">
        <f t="shared" si="179"/>
        <v>0.472524537624357</v>
      </c>
      <c r="L1055" s="61">
        <f t="shared" si="180"/>
        <v>8.32588235294118</v>
      </c>
      <c r="M1055" s="46">
        <f t="shared" si="181"/>
        <v>158</v>
      </c>
    </row>
    <row r="1056" hidden="1" customHeight="1" outlineLevel="1" spans="1:17">
      <c r="A1056" s="24">
        <v>45562</v>
      </c>
      <c r="B1056" s="24">
        <v>45573</v>
      </c>
      <c r="D1056" s="14">
        <v>9</v>
      </c>
      <c r="E1056" s="14">
        <v>1</v>
      </c>
      <c r="F1056" s="46">
        <v>2</v>
      </c>
      <c r="H1056" s="60">
        <f t="shared" si="178"/>
        <v>10</v>
      </c>
      <c r="I1056" s="47">
        <v>3</v>
      </c>
      <c r="J1056" s="14">
        <v>17.62</v>
      </c>
      <c r="K1056" s="48">
        <f t="shared" si="179"/>
        <v>0.432463110102157</v>
      </c>
      <c r="L1056" s="61">
        <f t="shared" si="180"/>
        <v>7.62</v>
      </c>
      <c r="M1056" s="46">
        <f t="shared" si="181"/>
        <v>30</v>
      </c>
    </row>
    <row r="1057" hidden="1" customHeight="1" outlineLevel="1" spans="1:17">
      <c r="A1057" s="24">
        <v>45562</v>
      </c>
      <c r="B1057" s="24">
        <v>45574</v>
      </c>
      <c r="D1057" s="14">
        <v>9</v>
      </c>
      <c r="E1057" s="14">
        <v>1</v>
      </c>
      <c r="F1057" s="46">
        <v>2.4</v>
      </c>
      <c r="H1057" s="60">
        <f t="shared" si="178"/>
        <v>9.85</v>
      </c>
      <c r="I1057" s="47">
        <v>4</v>
      </c>
      <c r="J1057" s="14">
        <v>17.62</v>
      </c>
      <c r="K1057" s="48">
        <f t="shared" si="179"/>
        <v>0.440976163450624</v>
      </c>
      <c r="L1057" s="61">
        <f t="shared" si="180"/>
        <v>7.77</v>
      </c>
      <c r="M1057" s="46">
        <f t="shared" si="181"/>
        <v>39.4</v>
      </c>
    </row>
    <row r="1058" hidden="1" customHeight="1" outlineLevel="1" spans="1:17">
      <c r="A1058" s="24">
        <v>45574</v>
      </c>
      <c r="B1058" s="24">
        <v>45576</v>
      </c>
      <c r="D1058" s="14">
        <v>9</v>
      </c>
      <c r="E1058" s="14">
        <v>1</v>
      </c>
      <c r="F1058" s="46">
        <v>3</v>
      </c>
      <c r="H1058" s="60">
        <f t="shared" si="178"/>
        <v>9.28571428571428</v>
      </c>
      <c r="I1058" s="47">
        <v>14</v>
      </c>
      <c r="J1058" s="14">
        <v>17.62</v>
      </c>
      <c r="K1058" s="48">
        <f t="shared" si="179"/>
        <v>0.473001459380574</v>
      </c>
      <c r="L1058" s="61">
        <f t="shared" si="180"/>
        <v>8.33428571428572</v>
      </c>
      <c r="M1058" s="46">
        <f t="shared" si="181"/>
        <v>130</v>
      </c>
    </row>
    <row r="1059" hidden="1" customHeight="1" outlineLevel="1" spans="1:17">
      <c r="A1059" s="24">
        <v>45574</v>
      </c>
      <c r="B1059" s="24">
        <v>45584</v>
      </c>
      <c r="D1059" s="14">
        <v>9</v>
      </c>
      <c r="E1059" s="14">
        <v>1</v>
      </c>
      <c r="F1059" s="46">
        <v>1.5</v>
      </c>
      <c r="H1059" s="60">
        <f t="shared" si="178"/>
        <v>9.41666666666667</v>
      </c>
      <c r="I1059" s="47">
        <v>6</v>
      </c>
      <c r="J1059" s="14">
        <v>17.62</v>
      </c>
      <c r="K1059" s="48">
        <f t="shared" si="179"/>
        <v>0.465569428679531</v>
      </c>
      <c r="L1059" s="61">
        <f t="shared" si="180"/>
        <v>8.20333333333333</v>
      </c>
      <c r="M1059" s="46">
        <f t="shared" si="181"/>
        <v>56.5</v>
      </c>
    </row>
    <row r="1060" hidden="1" customHeight="1" outlineLevel="1" spans="1:17">
      <c r="A1060" s="24">
        <v>45586</v>
      </c>
      <c r="B1060" s="24">
        <v>45588</v>
      </c>
      <c r="D1060" s="14">
        <v>9</v>
      </c>
      <c r="E1060" s="14">
        <v>1</v>
      </c>
      <c r="F1060" s="46">
        <v>1.5</v>
      </c>
      <c r="H1060" s="60">
        <f t="shared" si="178"/>
        <v>9.15625</v>
      </c>
      <c r="I1060" s="47">
        <v>16</v>
      </c>
      <c r="J1060" s="14">
        <v>17.62</v>
      </c>
      <c r="K1060" s="48">
        <f t="shared" si="179"/>
        <v>0.480349035187287</v>
      </c>
      <c r="L1060" s="61">
        <f t="shared" si="180"/>
        <v>8.46375</v>
      </c>
      <c r="M1060" s="46">
        <f t="shared" si="181"/>
        <v>146.5</v>
      </c>
    </row>
    <row r="1061" hidden="1" customHeight="1" outlineLevel="1" spans="1:17">
      <c r="A1061" s="24">
        <v>45586</v>
      </c>
      <c r="B1061" s="33">
        <v>45597</v>
      </c>
      <c r="C1061" s="14"/>
      <c r="D1061" s="14">
        <v>9</v>
      </c>
      <c r="E1061" s="14">
        <v>1</v>
      </c>
      <c r="F1061" s="46">
        <v>2</v>
      </c>
      <c r="H1061" s="60">
        <f t="shared" si="178"/>
        <v>9.75</v>
      </c>
      <c r="I1061" s="47">
        <v>4</v>
      </c>
      <c r="J1061" s="14">
        <v>17.62</v>
      </c>
      <c r="K1061" s="48">
        <f t="shared" si="179"/>
        <v>0.446651532349603</v>
      </c>
      <c r="L1061" s="61">
        <f t="shared" si="180"/>
        <v>7.87</v>
      </c>
      <c r="M1061" s="46">
        <f t="shared" si="181"/>
        <v>39</v>
      </c>
    </row>
    <row r="1062" hidden="1" customHeight="1" outlineLevel="1" spans="1:17">
      <c r="A1062" s="24">
        <v>45596</v>
      </c>
      <c r="B1062" s="33">
        <v>45599</v>
      </c>
      <c r="C1062" s="14"/>
      <c r="D1062" s="14">
        <v>9</v>
      </c>
      <c r="E1062" s="14">
        <v>3</v>
      </c>
      <c r="F1062" s="46">
        <v>6</v>
      </c>
      <c r="H1062" s="60">
        <f t="shared" si="178"/>
        <v>9.45</v>
      </c>
      <c r="I1062" s="47">
        <v>20</v>
      </c>
      <c r="J1062" s="14">
        <v>17.62</v>
      </c>
      <c r="K1062" s="48">
        <f t="shared" si="179"/>
        <v>0.463677639046538</v>
      </c>
      <c r="L1062" s="61">
        <f t="shared" si="180"/>
        <v>8.17</v>
      </c>
      <c r="M1062" s="46">
        <f t="shared" si="181"/>
        <v>189</v>
      </c>
    </row>
    <row r="1063" hidden="1" customHeight="1" outlineLevel="1" spans="1:17">
      <c r="A1063" s="24">
        <v>45603</v>
      </c>
      <c r="B1063" s="33">
        <v>45611</v>
      </c>
      <c r="C1063" s="14"/>
      <c r="D1063" s="14">
        <v>9</v>
      </c>
      <c r="E1063" s="14">
        <v>1</v>
      </c>
      <c r="F1063" s="46">
        <v>3</v>
      </c>
      <c r="H1063" s="60">
        <f t="shared" si="178"/>
        <v>9.33333333333333</v>
      </c>
      <c r="I1063" s="47">
        <v>12</v>
      </c>
      <c r="J1063" s="14">
        <v>17.62</v>
      </c>
      <c r="K1063" s="48">
        <f t="shared" si="179"/>
        <v>0.470298902762013</v>
      </c>
      <c r="L1063" s="61">
        <f t="shared" si="180"/>
        <v>8.28666666666667</v>
      </c>
      <c r="M1063" s="46">
        <f t="shared" si="181"/>
        <v>112</v>
      </c>
    </row>
    <row r="1064" hidden="1" customHeight="1" outlineLevel="1" spans="1:17">
      <c r="A1064" s="24">
        <v>45603</v>
      </c>
      <c r="B1064" s="33">
        <v>45615</v>
      </c>
      <c r="C1064" s="14"/>
      <c r="D1064" s="14">
        <v>9</v>
      </c>
      <c r="E1064" s="14">
        <v>1</v>
      </c>
      <c r="F1064" s="46">
        <v>3</v>
      </c>
      <c r="H1064" s="60">
        <f t="shared" si="178"/>
        <v>9.5</v>
      </c>
      <c r="I1064" s="47">
        <v>8</v>
      </c>
      <c r="J1064" s="14">
        <v>17.62</v>
      </c>
      <c r="K1064" s="48">
        <f t="shared" si="179"/>
        <v>0.460839954597049</v>
      </c>
      <c r="L1064" s="61">
        <f t="shared" si="180"/>
        <v>8.12</v>
      </c>
      <c r="M1064" s="46">
        <f t="shared" si="181"/>
        <v>76</v>
      </c>
    </row>
    <row r="1065" hidden="1" customHeight="1" outlineLevel="1" spans="1:17">
      <c r="A1065" s="24">
        <v>45623</v>
      </c>
      <c r="B1065" s="33">
        <v>45626</v>
      </c>
      <c r="C1065" s="14"/>
      <c r="D1065" s="14">
        <v>9</v>
      </c>
      <c r="E1065" s="14">
        <v>3</v>
      </c>
      <c r="F1065" s="46">
        <v>3</v>
      </c>
      <c r="H1065" s="60">
        <f t="shared" si="178"/>
        <v>9.6</v>
      </c>
      <c r="I1065" s="47">
        <v>10</v>
      </c>
      <c r="J1065" s="14">
        <v>17.62</v>
      </c>
      <c r="K1065" s="48">
        <f t="shared" si="179"/>
        <v>0.45516458569807</v>
      </c>
      <c r="L1065" s="61">
        <f t="shared" si="180"/>
        <v>8.02</v>
      </c>
      <c r="M1065" s="46">
        <f t="shared" si="181"/>
        <v>96</v>
      </c>
    </row>
    <row r="1066" hidden="1" customHeight="1" outlineLevel="1" spans="1:17">
      <c r="A1066" s="24">
        <v>45635</v>
      </c>
      <c r="B1066" s="33">
        <v>45649</v>
      </c>
      <c r="C1066" s="14"/>
      <c r="D1066" s="14">
        <v>9</v>
      </c>
      <c r="E1066" s="14">
        <v>1.5</v>
      </c>
      <c r="F1066" s="46">
        <v>2</v>
      </c>
      <c r="H1066" s="60">
        <f t="shared" si="178"/>
        <v>9.35</v>
      </c>
      <c r="I1066" s="47">
        <v>10</v>
      </c>
      <c r="J1066" s="14">
        <v>17.62</v>
      </c>
      <c r="K1066" s="48">
        <f t="shared" si="179"/>
        <v>0.469353007945516</v>
      </c>
      <c r="L1066" s="61">
        <f t="shared" si="180"/>
        <v>8.27</v>
      </c>
      <c r="M1066" s="46">
        <f t="shared" si="181"/>
        <v>93.5</v>
      </c>
    </row>
    <row r="1067" hidden="1" customHeight="1" outlineLevel="1" spans="1:17">
      <c r="A1067" s="24">
        <v>45658</v>
      </c>
      <c r="B1067" s="33">
        <v>45661</v>
      </c>
      <c r="C1067" s="14"/>
      <c r="D1067" s="14">
        <v>9</v>
      </c>
      <c r="E1067" s="14">
        <v>2</v>
      </c>
      <c r="F1067" s="46">
        <v>5</v>
      </c>
      <c r="H1067" s="60">
        <f t="shared" si="178"/>
        <v>9.5</v>
      </c>
      <c r="I1067" s="47">
        <v>14</v>
      </c>
      <c r="J1067" s="14">
        <v>17.62</v>
      </c>
      <c r="K1067" s="48">
        <f t="shared" si="179"/>
        <v>0.460839954597049</v>
      </c>
      <c r="L1067" s="61">
        <f t="shared" si="180"/>
        <v>8.12</v>
      </c>
      <c r="M1067" s="46">
        <f t="shared" si="181"/>
        <v>133</v>
      </c>
    </row>
    <row r="1068" hidden="1" customHeight="1" outlineLevel="1" spans="1:17">
      <c r="A1068" s="24">
        <v>45658</v>
      </c>
      <c r="B1068" s="33">
        <v>45662</v>
      </c>
      <c r="C1068" s="14"/>
      <c r="D1068" s="14">
        <v>9</v>
      </c>
      <c r="E1068" s="14">
        <v>2</v>
      </c>
      <c r="F1068" s="46">
        <v>0</v>
      </c>
      <c r="H1068" s="60">
        <f t="shared" si="178"/>
        <v>9.66666666666667</v>
      </c>
      <c r="I1068" s="47">
        <v>3</v>
      </c>
      <c r="J1068" s="14">
        <v>17.62</v>
      </c>
      <c r="K1068" s="48">
        <f t="shared" si="179"/>
        <v>0.451381006432085</v>
      </c>
      <c r="L1068" s="61">
        <f t="shared" si="180"/>
        <v>7.95333333333333</v>
      </c>
      <c r="M1068" s="46">
        <f t="shared" si="181"/>
        <v>29</v>
      </c>
      <c r="Q1068" s="13" t="s">
        <v>102</v>
      </c>
    </row>
    <row r="1069" hidden="1" customHeight="1" outlineLevel="1" spans="1:17">
      <c r="A1069" s="24">
        <v>45661</v>
      </c>
      <c r="B1069" s="33">
        <v>45664</v>
      </c>
      <c r="C1069" s="14"/>
      <c r="D1069" s="14">
        <v>9</v>
      </c>
      <c r="E1069" s="14">
        <v>2</v>
      </c>
      <c r="F1069" s="46">
        <v>3</v>
      </c>
      <c r="H1069" s="60">
        <f t="shared" si="178"/>
        <v>9.41666666666667</v>
      </c>
      <c r="I1069" s="47">
        <v>12</v>
      </c>
      <c r="J1069" s="14">
        <v>17.62</v>
      </c>
      <c r="K1069" s="48">
        <f t="shared" si="179"/>
        <v>0.465569428679531</v>
      </c>
      <c r="L1069" s="61">
        <f t="shared" si="180"/>
        <v>8.20333333333333</v>
      </c>
      <c r="M1069" s="46">
        <f t="shared" si="181"/>
        <v>113</v>
      </c>
    </row>
    <row r="1070" hidden="1" customHeight="1" outlineLevel="1" spans="1:17">
      <c r="A1070" s="24">
        <v>45661</v>
      </c>
      <c r="B1070" s="33">
        <v>45673</v>
      </c>
      <c r="C1070" s="14"/>
      <c r="D1070" s="14">
        <v>9</v>
      </c>
      <c r="E1070" s="14">
        <v>2</v>
      </c>
      <c r="F1070" s="46">
        <v>1</v>
      </c>
      <c r="H1070" s="60">
        <f t="shared" si="178"/>
        <v>9.6</v>
      </c>
      <c r="I1070" s="47">
        <v>5</v>
      </c>
      <c r="J1070" s="14">
        <v>17.62</v>
      </c>
      <c r="K1070" s="48">
        <f t="shared" si="179"/>
        <v>0.45516458569807</v>
      </c>
      <c r="L1070" s="61">
        <f t="shared" si="180"/>
        <v>8.02</v>
      </c>
      <c r="M1070" s="46">
        <f t="shared" si="181"/>
        <v>48</v>
      </c>
      <c r="Q1070" s="13" t="s">
        <v>103</v>
      </c>
    </row>
    <row r="1071" hidden="1" customHeight="1" outlineLevel="1" spans="1:17">
      <c r="A1071" s="24">
        <v>45668</v>
      </c>
      <c r="B1071" s="33">
        <v>45673</v>
      </c>
      <c r="C1071" s="14"/>
      <c r="D1071" s="14">
        <v>9</v>
      </c>
      <c r="E1071" s="14">
        <v>2</v>
      </c>
      <c r="F1071" s="46">
        <v>3</v>
      </c>
      <c r="H1071" s="60">
        <f t="shared" si="178"/>
        <v>9.25</v>
      </c>
      <c r="I1071" s="47">
        <v>20</v>
      </c>
      <c r="J1071" s="14">
        <v>17.62</v>
      </c>
      <c r="K1071" s="48">
        <f t="shared" si="179"/>
        <v>0.475028376844495</v>
      </c>
      <c r="L1071" s="61">
        <f t="shared" si="180"/>
        <v>8.37</v>
      </c>
      <c r="M1071" s="46">
        <f t="shared" si="181"/>
        <v>185</v>
      </c>
      <c r="Q1071" s="13" t="s">
        <v>103</v>
      </c>
    </row>
    <row r="1072" hidden="1" customHeight="1" outlineLevel="1" spans="1:17">
      <c r="A1072" s="24">
        <v>45674</v>
      </c>
      <c r="B1072" s="33">
        <v>45676</v>
      </c>
      <c r="C1072" s="14"/>
      <c r="D1072" s="14">
        <v>9</v>
      </c>
      <c r="E1072" s="14">
        <v>0</v>
      </c>
      <c r="F1072" s="46">
        <v>3.5</v>
      </c>
      <c r="H1072" s="60">
        <f t="shared" si="178"/>
        <v>9.35</v>
      </c>
      <c r="I1072" s="47">
        <v>10</v>
      </c>
      <c r="J1072" s="14">
        <v>17.62</v>
      </c>
      <c r="K1072" s="48">
        <f t="shared" si="179"/>
        <v>0.469353007945516</v>
      </c>
      <c r="L1072" s="61">
        <f t="shared" si="180"/>
        <v>8.27</v>
      </c>
      <c r="M1072" s="46">
        <f t="shared" si="181"/>
        <v>93.5</v>
      </c>
      <c r="Q1072" s="13"/>
    </row>
    <row r="1073" hidden="1" customHeight="1" outlineLevel="1" spans="1:17">
      <c r="A1073" s="24">
        <v>45676</v>
      </c>
      <c r="B1073" s="33">
        <v>45694</v>
      </c>
      <c r="C1073" s="14"/>
      <c r="D1073" s="14">
        <v>9</v>
      </c>
      <c r="E1073" s="14">
        <v>0</v>
      </c>
      <c r="F1073" s="46">
        <v>3</v>
      </c>
      <c r="H1073" s="60">
        <f t="shared" si="178"/>
        <v>9.15</v>
      </c>
      <c r="I1073" s="47">
        <v>20</v>
      </c>
      <c r="J1073" s="14">
        <v>17.62</v>
      </c>
      <c r="K1073" s="48">
        <f t="shared" si="179"/>
        <v>0.480703745743473</v>
      </c>
      <c r="L1073" s="61">
        <f t="shared" si="180"/>
        <v>8.47</v>
      </c>
      <c r="M1073" s="46">
        <f t="shared" si="181"/>
        <v>183</v>
      </c>
      <c r="Q1073" s="13"/>
    </row>
    <row r="1074" hidden="1" customHeight="1" outlineLevel="1" spans="1:17">
      <c r="A1074" s="24">
        <v>45703</v>
      </c>
      <c r="B1074" s="59">
        <v>45707</v>
      </c>
      <c r="C1074" s="14"/>
      <c r="D1074" s="14">
        <v>9</v>
      </c>
      <c r="E1074" s="14">
        <v>0</v>
      </c>
      <c r="F1074" s="46">
        <v>6</v>
      </c>
      <c r="H1074" s="60">
        <f t="shared" si="178"/>
        <v>9.23076923076923</v>
      </c>
      <c r="I1074" s="47">
        <v>26</v>
      </c>
      <c r="J1074" s="14">
        <v>17.62</v>
      </c>
      <c r="K1074" s="48">
        <f t="shared" si="179"/>
        <v>0.476119793940452</v>
      </c>
      <c r="L1074" s="61">
        <f t="shared" si="180"/>
        <v>8.38923076923077</v>
      </c>
      <c r="M1074" s="46">
        <f t="shared" si="181"/>
        <v>240</v>
      </c>
      <c r="Q1074" s="13"/>
    </row>
    <row r="1075" hidden="1" customHeight="1" outlineLevel="1" spans="1:17">
      <c r="A1075" s="24">
        <v>45703</v>
      </c>
      <c r="B1075" s="33">
        <v>45721</v>
      </c>
      <c r="C1075" s="14"/>
      <c r="D1075" s="14">
        <v>9</v>
      </c>
      <c r="E1075" s="14">
        <v>0</v>
      </c>
      <c r="F1075" s="46">
        <v>1</v>
      </c>
      <c r="H1075" s="60">
        <f t="shared" si="178"/>
        <v>9.25</v>
      </c>
      <c r="I1075" s="47">
        <v>4</v>
      </c>
      <c r="J1075" s="14">
        <v>17.62</v>
      </c>
      <c r="K1075" s="48">
        <f t="shared" si="179"/>
        <v>0.475028376844495</v>
      </c>
      <c r="L1075" s="61">
        <f t="shared" si="180"/>
        <v>8.37</v>
      </c>
      <c r="M1075" s="46">
        <f t="shared" si="181"/>
        <v>37</v>
      </c>
      <c r="Q1075" s="13"/>
    </row>
    <row r="1076" hidden="1" customHeight="1" outlineLevel="1" spans="1:17">
      <c r="A1076" s="24">
        <v>45718</v>
      </c>
      <c r="B1076" s="33">
        <v>45721</v>
      </c>
      <c r="C1076" s="14"/>
      <c r="D1076" s="14">
        <v>9</v>
      </c>
      <c r="E1076" s="14">
        <v>1</v>
      </c>
      <c r="F1076" s="46">
        <v>2</v>
      </c>
      <c r="H1076" s="60">
        <f t="shared" si="178"/>
        <v>9.15</v>
      </c>
      <c r="I1076" s="47">
        <v>20</v>
      </c>
      <c r="J1076" s="14">
        <v>17.62</v>
      </c>
      <c r="K1076" s="48">
        <f t="shared" si="179"/>
        <v>0.480703745743473</v>
      </c>
      <c r="L1076" s="61">
        <f t="shared" si="180"/>
        <v>8.47</v>
      </c>
      <c r="M1076" s="46">
        <f t="shared" si="181"/>
        <v>183</v>
      </c>
      <c r="Q1076" s="13"/>
    </row>
    <row r="1077" hidden="1" customHeight="1" outlineLevel="1" spans="1:17">
      <c r="A1077" s="24">
        <v>45747</v>
      </c>
      <c r="B1077" s="33">
        <v>45750</v>
      </c>
      <c r="C1077" s="14"/>
      <c r="D1077" s="14">
        <v>9</v>
      </c>
      <c r="E1077" s="14">
        <v>1</v>
      </c>
      <c r="F1077" s="46">
        <v>3</v>
      </c>
      <c r="H1077" s="60">
        <f t="shared" si="178"/>
        <v>9.4</v>
      </c>
      <c r="I1077" s="47">
        <v>10</v>
      </c>
      <c r="J1077" s="14">
        <v>17.62</v>
      </c>
      <c r="K1077" s="48">
        <f t="shared" si="179"/>
        <v>0.466515323496027</v>
      </c>
      <c r="L1077" s="61">
        <f t="shared" si="180"/>
        <v>8.22</v>
      </c>
      <c r="M1077" s="46">
        <f t="shared" si="181"/>
        <v>94</v>
      </c>
      <c r="Q1077" s="13"/>
    </row>
    <row r="1078" customHeight="1" collapsed="1" spans="1:17">
      <c r="A1078" s="24">
        <v>45580</v>
      </c>
      <c r="B1078" s="24">
        <v>45595</v>
      </c>
      <c r="C1078" s="28" t="str">
        <f>_xlfn.DISPIMG("ID_621B01C9D3D14120A40FF08A45BFA29D",1)</f>
        <v>=DISPIMG("ID_621B01C9D3D14120A40FF08A45BFA29D",1)</v>
      </c>
      <c r="D1078" s="14">
        <f t="shared" ref="D1078:D1083" si="182">0.3*6</f>
        <v>1.8</v>
      </c>
      <c r="E1078" s="14">
        <v>3</v>
      </c>
      <c r="F1078" s="46">
        <v>2</v>
      </c>
      <c r="H1078" s="60">
        <f t="shared" si="178"/>
        <v>2.05</v>
      </c>
      <c r="I1078" s="47">
        <v>20</v>
      </c>
      <c r="J1078" s="14">
        <v>12.5</v>
      </c>
      <c r="K1078" s="48">
        <f t="shared" si="179"/>
        <v>0.836</v>
      </c>
      <c r="L1078" s="61">
        <f t="shared" si="180"/>
        <v>10.45</v>
      </c>
      <c r="M1078" s="46">
        <f t="shared" si="181"/>
        <v>41</v>
      </c>
      <c r="Q1078" s="13" t="s">
        <v>104</v>
      </c>
    </row>
    <row r="1079" hidden="1" customHeight="1" outlineLevel="1" spans="1:17">
      <c r="A1079" s="24">
        <v>45638</v>
      </c>
      <c r="B1079" s="24">
        <v>45639</v>
      </c>
      <c r="D1079" s="14">
        <f t="shared" si="182"/>
        <v>1.8</v>
      </c>
      <c r="E1079" s="14">
        <v>3</v>
      </c>
      <c r="F1079" s="46">
        <v>16</v>
      </c>
      <c r="H1079" s="60">
        <f t="shared" si="178"/>
        <v>2.91764705882353</v>
      </c>
      <c r="I1079" s="47">
        <v>17</v>
      </c>
      <c r="J1079" s="14">
        <v>8.93</v>
      </c>
      <c r="K1079" s="48">
        <f t="shared" si="179"/>
        <v>0.673275805282919</v>
      </c>
      <c r="L1079" s="61">
        <f t="shared" si="180"/>
        <v>6.01235294117647</v>
      </c>
      <c r="M1079" s="46">
        <f t="shared" si="181"/>
        <v>49.6</v>
      </c>
      <c r="Q1079" s="13"/>
    </row>
    <row r="1080" hidden="1" customHeight="1" outlineLevel="1" spans="1:17">
      <c r="A1080" s="24">
        <v>45650</v>
      </c>
      <c r="B1080" s="24">
        <v>45657</v>
      </c>
      <c r="D1080" s="14">
        <f t="shared" si="182"/>
        <v>1.8</v>
      </c>
      <c r="E1080" s="14">
        <v>0</v>
      </c>
      <c r="F1080" s="46">
        <v>3</v>
      </c>
      <c r="H1080" s="60">
        <f t="shared" si="178"/>
        <v>1.89677419354839</v>
      </c>
      <c r="I1080" s="47">
        <v>31</v>
      </c>
      <c r="J1080" s="14">
        <v>8.93</v>
      </c>
      <c r="K1080" s="48">
        <f t="shared" si="179"/>
        <v>0.787595275078568</v>
      </c>
      <c r="L1080" s="61">
        <f t="shared" si="180"/>
        <v>7.03322580645161</v>
      </c>
      <c r="M1080" s="46">
        <f t="shared" si="181"/>
        <v>58.8</v>
      </c>
      <c r="Q1080" s="13"/>
    </row>
    <row r="1081" hidden="1" customHeight="1" outlineLevel="1" spans="1:17">
      <c r="A1081" s="24">
        <v>45671</v>
      </c>
      <c r="B1081" s="24">
        <v>45671</v>
      </c>
      <c r="D1081" s="14">
        <f t="shared" si="182"/>
        <v>1.8</v>
      </c>
      <c r="E1081" s="14">
        <v>0</v>
      </c>
      <c r="F1081" s="46">
        <v>2</v>
      </c>
      <c r="H1081" s="60">
        <f t="shared" ref="H1081:H1144" si="183">D1081+(E1081/I1081)+(F1081/I1081)</f>
        <v>1.96666666666667</v>
      </c>
      <c r="I1081" s="47">
        <v>12</v>
      </c>
      <c r="J1081" s="14">
        <v>8.93</v>
      </c>
      <c r="K1081" s="48">
        <f t="shared" ref="K1081:K1144" si="184">(J1081-H1081)/J1081</f>
        <v>0.779768570362075</v>
      </c>
      <c r="L1081" s="61">
        <f t="shared" ref="L1081:L1144" si="185">J1081-H1081</f>
        <v>6.96333333333333</v>
      </c>
      <c r="M1081" s="46">
        <f t="shared" ref="M1081:M1144" si="186">D1081*I1081+E1081+F1081</f>
        <v>23.6</v>
      </c>
      <c r="Q1081" s="13"/>
    </row>
    <row r="1082" hidden="1" customHeight="1" outlineLevel="1" spans="1:17">
      <c r="A1082" s="24">
        <v>45707</v>
      </c>
      <c r="B1082" s="24">
        <v>45707</v>
      </c>
      <c r="D1082" s="14">
        <f t="shared" si="182"/>
        <v>1.8</v>
      </c>
      <c r="E1082" s="14">
        <v>0</v>
      </c>
      <c r="F1082" s="46">
        <v>3.8</v>
      </c>
      <c r="H1082" s="60">
        <f t="shared" si="183"/>
        <v>1.97272727272727</v>
      </c>
      <c r="I1082" s="47">
        <v>22</v>
      </c>
      <c r="J1082" s="14">
        <v>8.93</v>
      </c>
      <c r="K1082" s="48">
        <f t="shared" si="184"/>
        <v>0.779089891071974</v>
      </c>
      <c r="L1082" s="61">
        <f t="shared" si="185"/>
        <v>6.95727272727273</v>
      </c>
      <c r="M1082" s="46">
        <f t="shared" si="186"/>
        <v>43.4</v>
      </c>
    </row>
    <row r="1083" hidden="1" customHeight="1" outlineLevel="1" spans="1:17">
      <c r="A1083" s="24">
        <v>45750</v>
      </c>
      <c r="B1083" s="24">
        <v>45750</v>
      </c>
      <c r="D1083" s="14">
        <f t="shared" si="182"/>
        <v>1.8</v>
      </c>
      <c r="E1083" s="14">
        <v>0</v>
      </c>
      <c r="F1083" s="46">
        <v>3.8</v>
      </c>
      <c r="H1083" s="60">
        <f t="shared" si="183"/>
        <v>2.11666666666667</v>
      </c>
      <c r="I1083" s="47">
        <v>12</v>
      </c>
      <c r="J1083" s="14">
        <v>8.93</v>
      </c>
      <c r="K1083" s="48">
        <f t="shared" si="184"/>
        <v>0.762971257932064</v>
      </c>
      <c r="L1083" s="61">
        <f t="shared" si="185"/>
        <v>6.81333333333333</v>
      </c>
      <c r="M1083" s="46">
        <f t="shared" si="186"/>
        <v>25.4</v>
      </c>
    </row>
    <row r="1084" customHeight="1" collapsed="1" spans="1:17">
      <c r="A1084" s="24">
        <v>45841</v>
      </c>
      <c r="B1084" s="16"/>
      <c r="C1084" s="28" t="str">
        <f>_xlfn.DISPIMG("ID_0D23395E99614A8BAAC93D263961FF6F",1)</f>
        <v>=DISPIMG("ID_0D23395E99614A8BAAC93D263961FF6F",1)</v>
      </c>
      <c r="D1084" s="14">
        <v>13</v>
      </c>
      <c r="E1084" s="14">
        <v>6</v>
      </c>
      <c r="F1084" s="46">
        <v>2.22</v>
      </c>
      <c r="G1084" s="46"/>
      <c r="H1084" s="60">
        <f t="shared" si="183"/>
        <v>13.822</v>
      </c>
      <c r="I1084" s="47">
        <v>10</v>
      </c>
      <c r="J1084" s="14">
        <v>19</v>
      </c>
      <c r="K1084" s="48">
        <f t="shared" si="184"/>
        <v>0.272526315789474</v>
      </c>
      <c r="L1084" s="61">
        <f t="shared" si="185"/>
        <v>5.178</v>
      </c>
      <c r="M1084" s="46">
        <f t="shared" si="186"/>
        <v>138.22</v>
      </c>
      <c r="Q1084" s="13" t="s">
        <v>105</v>
      </c>
    </row>
    <row r="1085" hidden="1" customHeight="1" outlineLevel="1" spans="1:17">
      <c r="A1085" s="24">
        <v>45519</v>
      </c>
      <c r="B1085" s="24">
        <v>45521</v>
      </c>
      <c r="C1085" s="13" t="s">
        <v>106</v>
      </c>
      <c r="D1085" s="14">
        <v>13</v>
      </c>
      <c r="E1085" s="14">
        <v>2</v>
      </c>
      <c r="F1085" s="46">
        <v>6</v>
      </c>
      <c r="H1085" s="60">
        <f t="shared" si="183"/>
        <v>14.1428571428571</v>
      </c>
      <c r="I1085" s="47">
        <v>7</v>
      </c>
      <c r="J1085" s="14">
        <v>19</v>
      </c>
      <c r="K1085" s="48">
        <f t="shared" si="184"/>
        <v>0.255639097744361</v>
      </c>
      <c r="L1085" s="61">
        <f t="shared" si="185"/>
        <v>4.85714285714286</v>
      </c>
      <c r="M1085" s="46">
        <f t="shared" si="186"/>
        <v>99</v>
      </c>
      <c r="Q1085" s="85" t="s">
        <v>107</v>
      </c>
    </row>
    <row r="1086" hidden="1" customHeight="1" outlineLevel="1" spans="1:17">
      <c r="A1086" s="24">
        <v>45535</v>
      </c>
      <c r="B1086" s="24">
        <v>45537</v>
      </c>
      <c r="D1086" s="14">
        <v>13</v>
      </c>
      <c r="E1086" s="14">
        <v>3</v>
      </c>
      <c r="F1086" s="46">
        <v>2</v>
      </c>
      <c r="H1086" s="60">
        <f t="shared" si="183"/>
        <v>13.5</v>
      </c>
      <c r="I1086" s="47">
        <v>10</v>
      </c>
      <c r="J1086" s="14">
        <v>19</v>
      </c>
      <c r="K1086" s="48">
        <f t="shared" si="184"/>
        <v>0.289473684210526</v>
      </c>
      <c r="L1086" s="61">
        <f t="shared" si="185"/>
        <v>5.5</v>
      </c>
      <c r="M1086" s="46">
        <f t="shared" si="186"/>
        <v>135</v>
      </c>
    </row>
    <row r="1087" hidden="1" customHeight="1" outlineLevel="1" spans="1:17">
      <c r="A1087" s="24">
        <v>45543</v>
      </c>
      <c r="B1087" s="24">
        <v>45545</v>
      </c>
      <c r="D1087" s="14">
        <v>13</v>
      </c>
      <c r="E1087" s="14">
        <v>2</v>
      </c>
      <c r="F1087" s="46">
        <v>12</v>
      </c>
      <c r="H1087" s="60">
        <f t="shared" si="183"/>
        <v>14.75</v>
      </c>
      <c r="I1087" s="47">
        <v>8</v>
      </c>
      <c r="J1087" s="14">
        <v>19</v>
      </c>
      <c r="K1087" s="48">
        <f t="shared" si="184"/>
        <v>0.223684210526316</v>
      </c>
      <c r="L1087" s="61">
        <f t="shared" si="185"/>
        <v>4.25</v>
      </c>
      <c r="M1087" s="46">
        <f t="shared" si="186"/>
        <v>118</v>
      </c>
    </row>
    <row r="1088" hidden="1" customHeight="1" outlineLevel="1" spans="1:17">
      <c r="A1088" s="24">
        <v>45548</v>
      </c>
      <c r="B1088" s="24">
        <v>45551</v>
      </c>
      <c r="D1088" s="14">
        <v>13</v>
      </c>
      <c r="E1088" s="14">
        <v>2</v>
      </c>
      <c r="F1088" s="46">
        <v>7</v>
      </c>
      <c r="H1088" s="60">
        <f t="shared" si="183"/>
        <v>13.9</v>
      </c>
      <c r="I1088" s="47">
        <v>10</v>
      </c>
      <c r="J1088" s="14">
        <v>21</v>
      </c>
      <c r="K1088" s="48">
        <f t="shared" si="184"/>
        <v>0.338095238095238</v>
      </c>
      <c r="L1088" s="61">
        <f t="shared" si="185"/>
        <v>7.1</v>
      </c>
      <c r="M1088" s="46">
        <f t="shared" si="186"/>
        <v>139</v>
      </c>
    </row>
    <row r="1089" hidden="1" customHeight="1" outlineLevel="1" spans="1:17">
      <c r="A1089" s="24">
        <v>45556</v>
      </c>
      <c r="B1089" s="24">
        <v>45559</v>
      </c>
      <c r="D1089" s="14">
        <v>13</v>
      </c>
      <c r="E1089" s="14">
        <v>3</v>
      </c>
      <c r="F1089" s="46">
        <v>2</v>
      </c>
      <c r="H1089" s="60">
        <f t="shared" si="183"/>
        <v>13.3333333333333</v>
      </c>
      <c r="I1089" s="47">
        <v>15</v>
      </c>
      <c r="J1089" s="14">
        <v>21</v>
      </c>
      <c r="K1089" s="48">
        <f t="shared" si="184"/>
        <v>0.365079365079365</v>
      </c>
      <c r="L1089" s="61">
        <f t="shared" si="185"/>
        <v>7.66666666666667</v>
      </c>
      <c r="M1089" s="46">
        <f t="shared" si="186"/>
        <v>200</v>
      </c>
    </row>
    <row r="1090" hidden="1" customHeight="1" outlineLevel="1" spans="1:17">
      <c r="A1090" s="24">
        <v>45562</v>
      </c>
      <c r="B1090" s="24">
        <v>45573</v>
      </c>
      <c r="D1090" s="14">
        <v>13</v>
      </c>
      <c r="E1090" s="14">
        <v>2</v>
      </c>
      <c r="F1090" s="46">
        <v>2</v>
      </c>
      <c r="H1090" s="60">
        <f t="shared" si="183"/>
        <v>14.3333333333333</v>
      </c>
      <c r="I1090" s="47">
        <v>3</v>
      </c>
      <c r="J1090" s="14">
        <v>21</v>
      </c>
      <c r="K1090" s="48">
        <f t="shared" si="184"/>
        <v>0.317460317460317</v>
      </c>
      <c r="L1090" s="61">
        <f t="shared" si="185"/>
        <v>6.66666666666667</v>
      </c>
      <c r="M1090" s="46">
        <f t="shared" si="186"/>
        <v>43</v>
      </c>
    </row>
    <row r="1091" hidden="1" customHeight="1" outlineLevel="1" spans="1:17">
      <c r="A1091" s="24">
        <v>45562</v>
      </c>
      <c r="B1091" s="24">
        <v>45575</v>
      </c>
      <c r="D1091" s="14">
        <v>13</v>
      </c>
      <c r="E1091" s="14">
        <v>2</v>
      </c>
      <c r="F1091" s="46">
        <v>2</v>
      </c>
      <c r="H1091" s="60">
        <f t="shared" si="183"/>
        <v>15</v>
      </c>
      <c r="I1091" s="47">
        <v>2</v>
      </c>
      <c r="J1091" s="14">
        <v>21</v>
      </c>
      <c r="K1091" s="48">
        <f t="shared" si="184"/>
        <v>0.285714285714286</v>
      </c>
      <c r="L1091" s="61">
        <f t="shared" si="185"/>
        <v>6</v>
      </c>
      <c r="M1091" s="46">
        <f t="shared" si="186"/>
        <v>30</v>
      </c>
    </row>
    <row r="1092" hidden="1" customHeight="1" outlineLevel="1" spans="1:17">
      <c r="A1092" s="24">
        <v>45574</v>
      </c>
      <c r="B1092" s="24">
        <v>45576</v>
      </c>
      <c r="D1092" s="14">
        <v>13</v>
      </c>
      <c r="E1092" s="14">
        <v>2</v>
      </c>
      <c r="F1092" s="46">
        <v>2.4</v>
      </c>
      <c r="H1092" s="60">
        <f t="shared" si="183"/>
        <v>13.44</v>
      </c>
      <c r="I1092" s="47">
        <v>10</v>
      </c>
      <c r="J1092" s="14">
        <v>21</v>
      </c>
      <c r="K1092" s="48">
        <f t="shared" si="184"/>
        <v>0.36</v>
      </c>
      <c r="L1092" s="61">
        <f t="shared" si="185"/>
        <v>7.56</v>
      </c>
      <c r="M1092" s="46">
        <f t="shared" si="186"/>
        <v>134.4</v>
      </c>
      <c r="Q1092" s="59"/>
    </row>
    <row r="1093" hidden="1" customHeight="1" outlineLevel="1" spans="1:17">
      <c r="A1093" s="24">
        <v>45586</v>
      </c>
      <c r="B1093" s="24">
        <v>45588</v>
      </c>
      <c r="D1093" s="14">
        <v>13</v>
      </c>
      <c r="E1093" s="14">
        <v>2</v>
      </c>
      <c r="F1093" s="46">
        <v>1.5</v>
      </c>
      <c r="H1093" s="60">
        <f t="shared" si="183"/>
        <v>13.35</v>
      </c>
      <c r="I1093" s="47">
        <v>10</v>
      </c>
      <c r="J1093" s="14">
        <v>21</v>
      </c>
      <c r="K1093" s="48">
        <f t="shared" si="184"/>
        <v>0.364285714285714</v>
      </c>
      <c r="L1093" s="61">
        <f t="shared" si="185"/>
        <v>7.65</v>
      </c>
      <c r="M1093" s="46">
        <f t="shared" si="186"/>
        <v>133.5</v>
      </c>
      <c r="Q1093" s="59"/>
    </row>
    <row r="1094" hidden="1" customHeight="1" outlineLevel="1" spans="1:17">
      <c r="A1094" s="24">
        <v>45600</v>
      </c>
      <c r="B1094" s="24">
        <v>45602</v>
      </c>
      <c r="D1094" s="14">
        <v>13</v>
      </c>
      <c r="E1094" s="14">
        <v>3</v>
      </c>
      <c r="F1094" s="46">
        <v>2</v>
      </c>
      <c r="H1094" s="60">
        <f t="shared" si="183"/>
        <v>13.5</v>
      </c>
      <c r="I1094" s="47">
        <v>10</v>
      </c>
      <c r="J1094" s="14">
        <v>21</v>
      </c>
      <c r="K1094" s="48">
        <f t="shared" si="184"/>
        <v>0.357142857142857</v>
      </c>
      <c r="L1094" s="61">
        <f t="shared" si="185"/>
        <v>7.5</v>
      </c>
      <c r="M1094" s="46">
        <f t="shared" si="186"/>
        <v>135</v>
      </c>
      <c r="Q1094" s="59"/>
    </row>
    <row r="1095" hidden="1" customHeight="1" outlineLevel="1" spans="1:17">
      <c r="A1095" s="24">
        <v>45619</v>
      </c>
      <c r="B1095" s="24">
        <v>45621</v>
      </c>
      <c r="D1095" s="14">
        <v>13</v>
      </c>
      <c r="E1095" s="14">
        <v>3</v>
      </c>
      <c r="F1095" s="46">
        <v>2</v>
      </c>
      <c r="H1095" s="60">
        <f t="shared" si="183"/>
        <v>13.7142857142857</v>
      </c>
      <c r="I1095" s="47">
        <v>7</v>
      </c>
      <c r="J1095" s="14">
        <v>21</v>
      </c>
      <c r="K1095" s="48">
        <f t="shared" si="184"/>
        <v>0.346938775510204</v>
      </c>
      <c r="L1095" s="61">
        <f t="shared" si="185"/>
        <v>7.28571428571428</v>
      </c>
      <c r="M1095" s="46">
        <f t="shared" si="186"/>
        <v>96</v>
      </c>
      <c r="Q1095" s="59"/>
    </row>
    <row r="1096" hidden="1" customHeight="1" outlineLevel="1" spans="1:17">
      <c r="A1096" s="24">
        <v>45619</v>
      </c>
      <c r="B1096" s="24">
        <v>45628</v>
      </c>
      <c r="D1096" s="14">
        <v>13</v>
      </c>
      <c r="E1096" s="14">
        <v>3</v>
      </c>
      <c r="F1096" s="46">
        <v>2</v>
      </c>
      <c r="H1096" s="60">
        <f t="shared" si="183"/>
        <v>14.6666666666667</v>
      </c>
      <c r="I1096" s="47">
        <v>3</v>
      </c>
      <c r="J1096" s="14">
        <v>21</v>
      </c>
      <c r="K1096" s="48">
        <f t="shared" si="184"/>
        <v>0.301587301587302</v>
      </c>
      <c r="L1096" s="61">
        <f t="shared" si="185"/>
        <v>6.33333333333333</v>
      </c>
      <c r="M1096" s="46">
        <f t="shared" si="186"/>
        <v>44</v>
      </c>
      <c r="Q1096" s="59"/>
    </row>
    <row r="1097" hidden="1" customHeight="1" outlineLevel="1" spans="1:17">
      <c r="A1097" s="24">
        <v>45628</v>
      </c>
      <c r="B1097" s="24">
        <v>45632</v>
      </c>
      <c r="D1097" s="14">
        <v>13</v>
      </c>
      <c r="E1097" s="14">
        <v>2</v>
      </c>
      <c r="F1097" s="46">
        <v>2</v>
      </c>
      <c r="H1097" s="60">
        <f t="shared" si="183"/>
        <v>13.5</v>
      </c>
      <c r="I1097" s="47">
        <v>8</v>
      </c>
      <c r="J1097" s="14">
        <v>21</v>
      </c>
      <c r="K1097" s="48">
        <f t="shared" si="184"/>
        <v>0.357142857142857</v>
      </c>
      <c r="L1097" s="61">
        <f t="shared" si="185"/>
        <v>7.5</v>
      </c>
      <c r="M1097" s="46">
        <f t="shared" si="186"/>
        <v>108</v>
      </c>
      <c r="Q1097" s="59"/>
    </row>
    <row r="1098" hidden="1" customHeight="1" outlineLevel="1" spans="1:17">
      <c r="A1098" s="24">
        <v>45628</v>
      </c>
      <c r="B1098" s="24">
        <v>45634</v>
      </c>
      <c r="D1098" s="14">
        <v>13</v>
      </c>
      <c r="E1098" s="14">
        <v>0</v>
      </c>
      <c r="F1098" s="46">
        <v>1</v>
      </c>
      <c r="H1098" s="60">
        <f t="shared" si="183"/>
        <v>13.5</v>
      </c>
      <c r="I1098" s="47">
        <v>2</v>
      </c>
      <c r="J1098" s="14">
        <v>21</v>
      </c>
      <c r="K1098" s="48">
        <f t="shared" si="184"/>
        <v>0.357142857142857</v>
      </c>
      <c r="L1098" s="61">
        <f t="shared" si="185"/>
        <v>7.5</v>
      </c>
      <c r="M1098" s="46">
        <f t="shared" si="186"/>
        <v>27</v>
      </c>
      <c r="Q1098" s="59"/>
    </row>
    <row r="1099" hidden="1" customHeight="1" outlineLevel="1" spans="1:17">
      <c r="A1099" s="24">
        <v>45635</v>
      </c>
      <c r="B1099" s="24">
        <v>45638</v>
      </c>
      <c r="D1099" s="14">
        <v>13</v>
      </c>
      <c r="E1099" s="14">
        <v>1.5</v>
      </c>
      <c r="F1099" s="46">
        <v>2</v>
      </c>
      <c r="H1099" s="60">
        <f t="shared" si="183"/>
        <v>13.35</v>
      </c>
      <c r="I1099" s="47">
        <v>10</v>
      </c>
      <c r="J1099" s="14">
        <v>21</v>
      </c>
      <c r="K1099" s="48">
        <f t="shared" si="184"/>
        <v>0.364285714285714</v>
      </c>
      <c r="L1099" s="61">
        <f t="shared" si="185"/>
        <v>7.65</v>
      </c>
      <c r="M1099" s="46">
        <f t="shared" si="186"/>
        <v>133.5</v>
      </c>
      <c r="Q1099" s="59"/>
    </row>
    <row r="1100" hidden="1" customHeight="1" outlineLevel="1" spans="1:17">
      <c r="A1100" s="24">
        <v>45643</v>
      </c>
      <c r="B1100" s="24">
        <v>45646</v>
      </c>
      <c r="D1100" s="14">
        <v>13</v>
      </c>
      <c r="E1100" s="14">
        <v>3</v>
      </c>
      <c r="F1100" s="46">
        <v>10</v>
      </c>
      <c r="H1100" s="60">
        <f t="shared" si="183"/>
        <v>13.65</v>
      </c>
      <c r="I1100" s="47">
        <v>20</v>
      </c>
      <c r="J1100" s="14">
        <v>21</v>
      </c>
      <c r="K1100" s="48">
        <f t="shared" si="184"/>
        <v>0.35</v>
      </c>
      <c r="L1100" s="61">
        <f t="shared" si="185"/>
        <v>7.35</v>
      </c>
      <c r="M1100" s="46">
        <f t="shared" si="186"/>
        <v>273</v>
      </c>
      <c r="Q1100" s="59" t="s">
        <v>108</v>
      </c>
    </row>
    <row r="1101" hidden="1" customHeight="1" outlineLevel="1" spans="1:17">
      <c r="A1101" s="63">
        <v>45655</v>
      </c>
      <c r="B1101" s="24">
        <v>45657</v>
      </c>
      <c r="D1101" s="14">
        <v>13</v>
      </c>
      <c r="E1101" s="14">
        <v>1</v>
      </c>
      <c r="F1101" s="46">
        <v>3</v>
      </c>
      <c r="H1101" s="60">
        <f t="shared" si="183"/>
        <v>13.2857142857143</v>
      </c>
      <c r="I1101" s="47">
        <v>14</v>
      </c>
      <c r="J1101" s="14">
        <v>21</v>
      </c>
      <c r="K1101" s="48">
        <f t="shared" si="184"/>
        <v>0.36734693877551</v>
      </c>
      <c r="L1101" s="61">
        <f t="shared" si="185"/>
        <v>7.71428571428572</v>
      </c>
      <c r="M1101" s="46">
        <f t="shared" si="186"/>
        <v>186</v>
      </c>
      <c r="Q1101" s="59"/>
    </row>
    <row r="1102" hidden="1" customHeight="1" outlineLevel="1" spans="1:17">
      <c r="A1102" s="63">
        <v>45655</v>
      </c>
      <c r="B1102" s="37">
        <v>45661</v>
      </c>
      <c r="D1102" s="14">
        <v>13</v>
      </c>
      <c r="E1102" s="14">
        <v>1</v>
      </c>
      <c r="F1102" s="46">
        <v>5</v>
      </c>
      <c r="H1102" s="60">
        <f t="shared" si="183"/>
        <v>14</v>
      </c>
      <c r="I1102" s="47">
        <v>6</v>
      </c>
      <c r="J1102" s="14">
        <v>21</v>
      </c>
      <c r="K1102" s="48">
        <f t="shared" si="184"/>
        <v>0.333333333333333</v>
      </c>
      <c r="L1102" s="61">
        <f t="shared" si="185"/>
        <v>7</v>
      </c>
      <c r="M1102" s="46">
        <f t="shared" si="186"/>
        <v>84</v>
      </c>
      <c r="Q1102" s="59"/>
    </row>
    <row r="1103" hidden="1" customHeight="1" outlineLevel="1" spans="1:17">
      <c r="A1103" s="63">
        <v>45658</v>
      </c>
      <c r="B1103" s="37"/>
      <c r="D1103" s="14">
        <v>13</v>
      </c>
      <c r="E1103" s="14">
        <v>2</v>
      </c>
      <c r="H1103" s="60">
        <f t="shared" si="183"/>
        <v>13.1</v>
      </c>
      <c r="I1103" s="47">
        <v>20</v>
      </c>
      <c r="J1103" s="14">
        <v>21</v>
      </c>
      <c r="K1103" s="48">
        <f t="shared" si="184"/>
        <v>0.376190476190476</v>
      </c>
      <c r="L1103" s="61">
        <f t="shared" si="185"/>
        <v>7.9</v>
      </c>
      <c r="M1103" s="46">
        <f t="shared" si="186"/>
        <v>262</v>
      </c>
      <c r="Q1103" s="59"/>
    </row>
    <row r="1104" hidden="1" customHeight="1" outlineLevel="1" spans="1:17">
      <c r="A1104" s="63">
        <v>45661</v>
      </c>
      <c r="B1104" s="37">
        <v>45664</v>
      </c>
      <c r="D1104" s="14">
        <v>13</v>
      </c>
      <c r="E1104" s="14">
        <v>2</v>
      </c>
      <c r="F1104" s="46">
        <v>4</v>
      </c>
      <c r="H1104" s="60">
        <f t="shared" si="183"/>
        <v>13.15</v>
      </c>
      <c r="I1104" s="47">
        <v>40</v>
      </c>
      <c r="J1104" s="14">
        <v>21</v>
      </c>
      <c r="K1104" s="48">
        <f t="shared" si="184"/>
        <v>0.373809523809524</v>
      </c>
      <c r="L1104" s="61">
        <f t="shared" si="185"/>
        <v>7.85</v>
      </c>
      <c r="M1104" s="46">
        <f t="shared" si="186"/>
        <v>526</v>
      </c>
      <c r="Q1104" s="59"/>
    </row>
    <row r="1105" hidden="1" customHeight="1" outlineLevel="1" spans="1:17">
      <c r="A1105" s="63">
        <v>45674</v>
      </c>
      <c r="B1105" s="37">
        <v>45689</v>
      </c>
      <c r="D1105" s="14">
        <v>13</v>
      </c>
      <c r="E1105" s="14">
        <v>0</v>
      </c>
      <c r="F1105" s="46">
        <v>11</v>
      </c>
      <c r="H1105" s="60">
        <f t="shared" si="183"/>
        <v>13.55</v>
      </c>
      <c r="I1105" s="47">
        <v>20</v>
      </c>
      <c r="J1105" s="14">
        <v>21</v>
      </c>
      <c r="K1105" s="48">
        <f t="shared" si="184"/>
        <v>0.354761904761905</v>
      </c>
      <c r="L1105" s="61">
        <f t="shared" si="185"/>
        <v>7.45</v>
      </c>
      <c r="M1105" s="46">
        <f t="shared" si="186"/>
        <v>271</v>
      </c>
      <c r="Q1105" s="59"/>
    </row>
    <row r="1106" hidden="1" customHeight="1" outlineLevel="1" spans="1:17">
      <c r="A1106" s="24">
        <v>45693</v>
      </c>
      <c r="B1106" s="37">
        <v>45696</v>
      </c>
      <c r="D1106" s="14">
        <v>13</v>
      </c>
      <c r="E1106" s="14">
        <v>0</v>
      </c>
      <c r="F1106" s="46">
        <v>4</v>
      </c>
      <c r="H1106" s="60">
        <f t="shared" si="183"/>
        <v>13.2</v>
      </c>
      <c r="I1106" s="47">
        <v>20</v>
      </c>
      <c r="J1106" s="14">
        <v>21</v>
      </c>
      <c r="K1106" s="48">
        <f t="shared" si="184"/>
        <v>0.371428571428571</v>
      </c>
      <c r="L1106" s="61">
        <f t="shared" si="185"/>
        <v>7.8</v>
      </c>
      <c r="M1106" s="46">
        <f t="shared" si="186"/>
        <v>264</v>
      </c>
      <c r="Q1106" s="59"/>
    </row>
    <row r="1107" hidden="1" customHeight="1" outlineLevel="1" spans="1:17">
      <c r="A1107" s="24">
        <v>45698</v>
      </c>
      <c r="B1107" s="37">
        <v>45702</v>
      </c>
      <c r="D1107" s="14">
        <v>13</v>
      </c>
      <c r="E1107" s="14">
        <v>1</v>
      </c>
      <c r="F1107" s="46">
        <v>3</v>
      </c>
      <c r="H1107" s="60">
        <f t="shared" si="183"/>
        <v>13.1818181818182</v>
      </c>
      <c r="I1107" s="47">
        <v>22</v>
      </c>
      <c r="J1107" s="14">
        <v>21</v>
      </c>
      <c r="K1107" s="48">
        <f t="shared" si="184"/>
        <v>0.372294372294372</v>
      </c>
      <c r="L1107" s="61">
        <f t="shared" si="185"/>
        <v>7.81818181818182</v>
      </c>
      <c r="M1107" s="46">
        <f t="shared" si="186"/>
        <v>290</v>
      </c>
      <c r="Q1107" s="59"/>
    </row>
    <row r="1108" hidden="1" customHeight="1" outlineLevel="1" spans="1:17">
      <c r="A1108" s="24">
        <v>45700</v>
      </c>
      <c r="B1108" s="37">
        <v>45703</v>
      </c>
      <c r="D1108" s="14">
        <v>13</v>
      </c>
      <c r="E1108" s="14">
        <v>3</v>
      </c>
      <c r="F1108" s="46">
        <v>6.3</v>
      </c>
      <c r="H1108" s="60">
        <f t="shared" si="183"/>
        <v>13.19375</v>
      </c>
      <c r="I1108" s="47">
        <v>48</v>
      </c>
      <c r="J1108" s="14">
        <v>21</v>
      </c>
      <c r="K1108" s="48">
        <f t="shared" si="184"/>
        <v>0.37172619047619</v>
      </c>
      <c r="L1108" s="61">
        <f t="shared" si="185"/>
        <v>7.80625</v>
      </c>
      <c r="M1108" s="46">
        <f t="shared" si="186"/>
        <v>633.3</v>
      </c>
      <c r="Q1108" s="59"/>
    </row>
    <row r="1109" hidden="1" customHeight="1" outlineLevel="1" spans="1:17">
      <c r="A1109" s="24">
        <v>45714</v>
      </c>
      <c r="B1109" s="37">
        <v>45717</v>
      </c>
      <c r="D1109" s="14">
        <v>9</v>
      </c>
      <c r="E1109" s="14">
        <v>2</v>
      </c>
      <c r="F1109" s="46">
        <v>4</v>
      </c>
      <c r="H1109" s="60">
        <f t="shared" si="183"/>
        <v>9.2</v>
      </c>
      <c r="I1109" s="47">
        <v>30</v>
      </c>
      <c r="J1109" s="14">
        <v>21</v>
      </c>
      <c r="K1109" s="48">
        <f t="shared" si="184"/>
        <v>0.561904761904762</v>
      </c>
      <c r="L1109" s="61">
        <f t="shared" si="185"/>
        <v>11.8</v>
      </c>
      <c r="M1109" s="46">
        <f t="shared" si="186"/>
        <v>276</v>
      </c>
      <c r="Q1109" s="59"/>
    </row>
    <row r="1110" hidden="1" customHeight="1" outlineLevel="1" spans="1:17">
      <c r="A1110" s="24">
        <v>45717</v>
      </c>
      <c r="B1110" s="37">
        <v>45739</v>
      </c>
      <c r="D1110" s="14">
        <v>9</v>
      </c>
      <c r="E1110" s="14">
        <v>2</v>
      </c>
      <c r="F1110" s="46">
        <v>3</v>
      </c>
      <c r="H1110" s="60">
        <f t="shared" si="183"/>
        <v>9.3125</v>
      </c>
      <c r="I1110" s="47">
        <v>16</v>
      </c>
      <c r="J1110" s="14">
        <v>21</v>
      </c>
      <c r="K1110" s="48">
        <f t="shared" si="184"/>
        <v>0.556547619047619</v>
      </c>
      <c r="L1110" s="61">
        <f t="shared" si="185"/>
        <v>11.6875</v>
      </c>
      <c r="M1110" s="46">
        <f t="shared" si="186"/>
        <v>149</v>
      </c>
      <c r="Q1110" s="59"/>
    </row>
    <row r="1111" hidden="1" customHeight="1" outlineLevel="1" spans="1:17">
      <c r="A1111" s="24">
        <v>45718</v>
      </c>
      <c r="B1111" s="40">
        <v>45742</v>
      </c>
      <c r="D1111" s="14">
        <v>9</v>
      </c>
      <c r="E1111" s="14">
        <v>1</v>
      </c>
      <c r="F1111" s="46">
        <v>3</v>
      </c>
      <c r="H1111" s="60">
        <f t="shared" si="183"/>
        <v>9.23529411764706</v>
      </c>
      <c r="I1111" s="47">
        <v>17</v>
      </c>
      <c r="J1111" s="14">
        <v>21</v>
      </c>
      <c r="K1111" s="48">
        <f t="shared" si="184"/>
        <v>0.560224089635854</v>
      </c>
      <c r="L1111" s="61">
        <f t="shared" si="185"/>
        <v>11.7647058823529</v>
      </c>
      <c r="M1111" s="46">
        <f t="shared" si="186"/>
        <v>157</v>
      </c>
      <c r="Q1111" s="59"/>
    </row>
    <row r="1112" hidden="1" customHeight="1" outlineLevel="1" spans="1:17">
      <c r="A1112" s="24">
        <v>45718</v>
      </c>
      <c r="B1112" s="37">
        <v>45746</v>
      </c>
      <c r="D1112" s="14">
        <v>9</v>
      </c>
      <c r="E1112" s="14">
        <v>1</v>
      </c>
      <c r="F1112" s="46">
        <v>3</v>
      </c>
      <c r="H1112" s="60">
        <f t="shared" si="183"/>
        <v>9.21052631578947</v>
      </c>
      <c r="I1112" s="47">
        <v>19</v>
      </c>
      <c r="J1112" s="14">
        <v>21</v>
      </c>
      <c r="K1112" s="48">
        <f t="shared" si="184"/>
        <v>0.56140350877193</v>
      </c>
      <c r="L1112" s="61">
        <f t="shared" si="185"/>
        <v>11.7894736842105</v>
      </c>
      <c r="M1112" s="46">
        <f t="shared" si="186"/>
        <v>175</v>
      </c>
      <c r="Q1112" s="59"/>
    </row>
    <row r="1113" customHeight="1" collapsed="1" spans="1:17">
      <c r="A1113" s="33">
        <v>45439</v>
      </c>
      <c r="B1113" s="33">
        <v>45439</v>
      </c>
      <c r="C1113" s="14" t="str">
        <f>_xlfn.DISPIMG("ID_A870D18DD5134A02AB0F7136C685A4DD",1)</f>
        <v>=DISPIMG("ID_A870D18DD5134A02AB0F7136C685A4DD",1)</v>
      </c>
      <c r="D1113" s="14">
        <v>9</v>
      </c>
      <c r="E1113" s="14">
        <v>6</v>
      </c>
      <c r="F1113" s="46">
        <v>3.04</v>
      </c>
      <c r="H1113" s="60">
        <f t="shared" si="183"/>
        <v>9.904</v>
      </c>
      <c r="I1113" s="47">
        <v>10</v>
      </c>
      <c r="J1113" s="14">
        <v>15.52</v>
      </c>
      <c r="K1113" s="48">
        <f t="shared" si="184"/>
        <v>0.361855670103093</v>
      </c>
      <c r="L1113" s="61">
        <f t="shared" si="185"/>
        <v>5.616</v>
      </c>
      <c r="M1113" s="46">
        <f t="shared" si="186"/>
        <v>99.04</v>
      </c>
      <c r="Q1113" s="83" t="s">
        <v>109</v>
      </c>
    </row>
    <row r="1114" hidden="1" customHeight="1" outlineLevel="1" spans="1:17">
      <c r="A1114" s="33">
        <v>45475</v>
      </c>
      <c r="B1114" s="33"/>
      <c r="C1114" s="26" t="s">
        <v>110</v>
      </c>
      <c r="D1114" s="14">
        <v>9</v>
      </c>
      <c r="E1114" s="14">
        <v>2</v>
      </c>
      <c r="F1114" s="46">
        <v>2.22</v>
      </c>
      <c r="H1114" s="60">
        <f t="shared" si="183"/>
        <v>9.844</v>
      </c>
      <c r="I1114" s="47">
        <v>5</v>
      </c>
      <c r="J1114" s="14">
        <v>18.9</v>
      </c>
      <c r="K1114" s="48">
        <f t="shared" si="184"/>
        <v>0.479153439153439</v>
      </c>
      <c r="L1114" s="61">
        <f t="shared" si="185"/>
        <v>9.056</v>
      </c>
      <c r="M1114" s="46">
        <f t="shared" si="186"/>
        <v>49.22</v>
      </c>
    </row>
    <row r="1115" hidden="1" customHeight="1" outlineLevel="1" spans="1:17">
      <c r="A1115" s="33">
        <v>45494</v>
      </c>
      <c r="B1115" s="33">
        <v>45496</v>
      </c>
      <c r="C1115" s="14"/>
      <c r="D1115" s="14">
        <v>9</v>
      </c>
      <c r="E1115" s="14">
        <v>1</v>
      </c>
      <c r="F1115" s="46">
        <v>5.43</v>
      </c>
      <c r="H1115" s="60">
        <f t="shared" si="183"/>
        <v>9.91857142857143</v>
      </c>
      <c r="I1115" s="47">
        <v>7</v>
      </c>
      <c r="J1115" s="14">
        <v>18.9</v>
      </c>
      <c r="K1115" s="48">
        <f t="shared" si="184"/>
        <v>0.475207860922147</v>
      </c>
      <c r="L1115" s="61">
        <f t="shared" si="185"/>
        <v>8.98142857142857</v>
      </c>
      <c r="M1115" s="46">
        <f t="shared" si="186"/>
        <v>69.43</v>
      </c>
    </row>
    <row r="1116" hidden="1" customHeight="1" outlineLevel="1" spans="1:17">
      <c r="A1116" s="33">
        <v>45494</v>
      </c>
      <c r="B1116" s="33">
        <v>45503</v>
      </c>
      <c r="C1116" s="14"/>
      <c r="D1116" s="14">
        <v>9</v>
      </c>
      <c r="E1116" s="14">
        <v>1</v>
      </c>
      <c r="F1116" s="46">
        <v>2</v>
      </c>
      <c r="H1116" s="60">
        <f t="shared" si="183"/>
        <v>10</v>
      </c>
      <c r="I1116" s="47">
        <v>3</v>
      </c>
      <c r="J1116" s="14">
        <v>17.01</v>
      </c>
      <c r="K1116" s="48">
        <f t="shared" si="184"/>
        <v>0.412110523221634</v>
      </c>
      <c r="L1116" s="61">
        <f t="shared" si="185"/>
        <v>7.01</v>
      </c>
      <c r="M1116" s="46">
        <f t="shared" si="186"/>
        <v>30</v>
      </c>
    </row>
    <row r="1117" hidden="1" customHeight="1" outlineLevel="1" spans="1:17">
      <c r="A1117" s="33">
        <v>45504</v>
      </c>
      <c r="B1117" s="33">
        <v>45507</v>
      </c>
      <c r="C1117" s="14"/>
      <c r="D1117" s="14">
        <v>9</v>
      </c>
      <c r="E1117" s="14">
        <v>1.5</v>
      </c>
      <c r="F1117" s="46">
        <v>3.13</v>
      </c>
      <c r="H1117" s="60">
        <f t="shared" si="183"/>
        <v>9.926</v>
      </c>
      <c r="I1117" s="47">
        <v>5</v>
      </c>
      <c r="J1117" s="14">
        <v>17.01</v>
      </c>
      <c r="K1117" s="48">
        <f t="shared" si="184"/>
        <v>0.416460905349794</v>
      </c>
      <c r="L1117" s="61">
        <f t="shared" si="185"/>
        <v>7.084</v>
      </c>
      <c r="M1117" s="46">
        <f t="shared" si="186"/>
        <v>49.63</v>
      </c>
    </row>
    <row r="1118" hidden="1" customHeight="1" outlineLevel="1" spans="1:17">
      <c r="A1118" s="33">
        <v>45504</v>
      </c>
      <c r="B1118" s="33">
        <v>45511</v>
      </c>
      <c r="C1118" s="14"/>
      <c r="D1118" s="14">
        <v>9</v>
      </c>
      <c r="E1118" s="14">
        <v>1.5</v>
      </c>
      <c r="F1118" s="46">
        <v>2</v>
      </c>
      <c r="H1118" s="60">
        <f t="shared" si="183"/>
        <v>9.7</v>
      </c>
      <c r="I1118" s="47">
        <v>5</v>
      </c>
      <c r="J1118" s="14">
        <v>17.01</v>
      </c>
      <c r="K1118" s="48">
        <f t="shared" si="184"/>
        <v>0.429747207524985</v>
      </c>
      <c r="L1118" s="61">
        <f t="shared" si="185"/>
        <v>7.31</v>
      </c>
      <c r="M1118" s="46">
        <f t="shared" si="186"/>
        <v>48.5</v>
      </c>
    </row>
    <row r="1119" hidden="1" customHeight="1" outlineLevel="1" spans="1:17">
      <c r="A1119" s="33">
        <v>45513</v>
      </c>
      <c r="B1119" s="33">
        <v>45520</v>
      </c>
      <c r="C1119" s="14"/>
      <c r="D1119" s="14">
        <v>9</v>
      </c>
      <c r="E1119" s="14">
        <v>2</v>
      </c>
      <c r="F1119" s="46">
        <v>3</v>
      </c>
      <c r="H1119" s="60">
        <f t="shared" si="183"/>
        <v>10</v>
      </c>
      <c r="I1119" s="47">
        <v>5</v>
      </c>
      <c r="J1119" s="14">
        <v>17.01</v>
      </c>
      <c r="K1119" s="48">
        <f t="shared" si="184"/>
        <v>0.412110523221634</v>
      </c>
      <c r="L1119" s="61">
        <f t="shared" si="185"/>
        <v>7.01</v>
      </c>
      <c r="M1119" s="46">
        <f t="shared" si="186"/>
        <v>50</v>
      </c>
    </row>
    <row r="1120" hidden="1" customHeight="1" outlineLevel="1" spans="1:17">
      <c r="A1120" s="33">
        <v>45519</v>
      </c>
      <c r="B1120" s="33">
        <v>45521</v>
      </c>
      <c r="C1120" s="14"/>
      <c r="D1120" s="14">
        <v>9</v>
      </c>
      <c r="E1120" s="14">
        <v>2</v>
      </c>
      <c r="F1120" s="46">
        <v>2</v>
      </c>
      <c r="H1120" s="60">
        <f t="shared" si="183"/>
        <v>10</v>
      </c>
      <c r="I1120" s="47">
        <v>4</v>
      </c>
      <c r="J1120" s="14">
        <v>17.01</v>
      </c>
      <c r="K1120" s="48">
        <f t="shared" si="184"/>
        <v>0.412110523221634</v>
      </c>
      <c r="L1120" s="61">
        <f t="shared" si="185"/>
        <v>7.01</v>
      </c>
      <c r="M1120" s="46">
        <f t="shared" si="186"/>
        <v>40</v>
      </c>
    </row>
    <row r="1121" hidden="1" customHeight="1" outlineLevel="1" spans="1:17">
      <c r="A1121" s="33">
        <v>45519</v>
      </c>
      <c r="B1121" s="33">
        <v>45530</v>
      </c>
      <c r="C1121" s="14"/>
      <c r="D1121" s="14">
        <v>9</v>
      </c>
      <c r="E1121" s="14">
        <v>2</v>
      </c>
      <c r="F1121" s="46">
        <v>2</v>
      </c>
      <c r="H1121" s="60">
        <f t="shared" si="183"/>
        <v>9.66666666666667</v>
      </c>
      <c r="I1121" s="47">
        <v>6</v>
      </c>
      <c r="J1121" s="14">
        <v>17.01</v>
      </c>
      <c r="K1121" s="48">
        <f t="shared" si="184"/>
        <v>0.431706839114247</v>
      </c>
      <c r="L1121" s="61">
        <f t="shared" si="185"/>
        <v>7.34333333333333</v>
      </c>
      <c r="M1121" s="46">
        <f t="shared" si="186"/>
        <v>58</v>
      </c>
    </row>
    <row r="1122" hidden="1" customHeight="1" outlineLevel="1" spans="1:17">
      <c r="A1122" s="33">
        <v>45530</v>
      </c>
      <c r="B1122" s="33">
        <v>45533</v>
      </c>
      <c r="C1122" s="14"/>
      <c r="D1122" s="14">
        <v>9</v>
      </c>
      <c r="E1122" s="14">
        <v>1</v>
      </c>
      <c r="F1122" s="46">
        <v>3</v>
      </c>
      <c r="H1122" s="60">
        <f t="shared" si="183"/>
        <v>9.5</v>
      </c>
      <c r="I1122" s="47">
        <v>8</v>
      </c>
      <c r="J1122" s="14">
        <v>17.01</v>
      </c>
      <c r="K1122" s="48">
        <f t="shared" si="184"/>
        <v>0.441504997060553</v>
      </c>
      <c r="L1122" s="61">
        <f t="shared" si="185"/>
        <v>7.51</v>
      </c>
      <c r="M1122" s="46">
        <f t="shared" si="186"/>
        <v>76</v>
      </c>
    </row>
    <row r="1123" hidden="1" customHeight="1" outlineLevel="1" spans="1:17">
      <c r="A1123" s="33">
        <v>45530</v>
      </c>
      <c r="B1123" s="33">
        <v>45537</v>
      </c>
      <c r="C1123" s="14"/>
      <c r="D1123" s="14">
        <v>9</v>
      </c>
      <c r="E1123" s="14">
        <v>1</v>
      </c>
      <c r="F1123" s="46">
        <v>2.75</v>
      </c>
      <c r="H1123" s="60">
        <f t="shared" si="183"/>
        <v>10.875</v>
      </c>
      <c r="I1123" s="47">
        <v>2</v>
      </c>
      <c r="J1123" s="14">
        <v>17.01</v>
      </c>
      <c r="K1123" s="48">
        <f t="shared" si="184"/>
        <v>0.360670194003527</v>
      </c>
      <c r="L1123" s="61">
        <f t="shared" si="185"/>
        <v>6.135</v>
      </c>
      <c r="M1123" s="46">
        <f t="shared" si="186"/>
        <v>21.75</v>
      </c>
    </row>
    <row r="1124" hidden="1" customHeight="1" outlineLevel="1" spans="1:17">
      <c r="A1124" s="24">
        <v>45535</v>
      </c>
      <c r="B1124" s="24">
        <v>45545</v>
      </c>
      <c r="D1124" s="14">
        <v>9</v>
      </c>
      <c r="E1124" s="14">
        <v>1.5</v>
      </c>
      <c r="F1124" s="46">
        <v>2.3</v>
      </c>
      <c r="H1124" s="60">
        <f t="shared" si="183"/>
        <v>9.42222222222222</v>
      </c>
      <c r="I1124" s="47">
        <v>9</v>
      </c>
      <c r="J1124" s="14">
        <v>17.01</v>
      </c>
      <c r="K1124" s="48">
        <f t="shared" si="184"/>
        <v>0.446077470768829</v>
      </c>
      <c r="L1124" s="61">
        <f t="shared" si="185"/>
        <v>7.58777777777778</v>
      </c>
      <c r="M1124" s="46">
        <f t="shared" si="186"/>
        <v>84.8</v>
      </c>
    </row>
    <row r="1125" hidden="1" customHeight="1" outlineLevel="1" spans="1:17">
      <c r="A1125" s="24">
        <v>45535</v>
      </c>
      <c r="B1125" s="24">
        <v>45546</v>
      </c>
      <c r="D1125" s="14">
        <v>9</v>
      </c>
      <c r="E1125" s="14">
        <v>1.5</v>
      </c>
      <c r="F1125" s="46">
        <v>2.3</v>
      </c>
      <c r="H1125" s="60">
        <f t="shared" si="183"/>
        <v>9.76</v>
      </c>
      <c r="I1125" s="47">
        <v>5</v>
      </c>
      <c r="J1125" s="14">
        <v>17.01</v>
      </c>
      <c r="K1125" s="48">
        <f t="shared" si="184"/>
        <v>0.426219870664315</v>
      </c>
      <c r="L1125" s="61">
        <f t="shared" si="185"/>
        <v>7.25</v>
      </c>
      <c r="M1125" s="46">
        <f t="shared" si="186"/>
        <v>48.8</v>
      </c>
    </row>
    <row r="1126" hidden="1" customHeight="1" outlineLevel="1" spans="1:17">
      <c r="A1126" s="24">
        <v>45535</v>
      </c>
      <c r="B1126" s="24">
        <v>45547</v>
      </c>
      <c r="D1126" s="14">
        <v>9</v>
      </c>
      <c r="E1126" s="14">
        <v>0</v>
      </c>
      <c r="F1126" s="46">
        <v>2</v>
      </c>
      <c r="H1126" s="60">
        <f t="shared" si="183"/>
        <v>11</v>
      </c>
      <c r="I1126" s="47">
        <v>1</v>
      </c>
      <c r="J1126" s="14">
        <v>17.01</v>
      </c>
      <c r="K1126" s="48">
        <f t="shared" si="184"/>
        <v>0.353321575543798</v>
      </c>
      <c r="L1126" s="61">
        <f t="shared" si="185"/>
        <v>6.01</v>
      </c>
      <c r="M1126" s="46">
        <f t="shared" si="186"/>
        <v>11</v>
      </c>
      <c r="Q1126" s="13" t="s">
        <v>111</v>
      </c>
    </row>
    <row r="1127" hidden="1" customHeight="1" outlineLevel="1" spans="1:17">
      <c r="A1127" s="24">
        <v>45543</v>
      </c>
      <c r="B1127" s="24">
        <v>45547</v>
      </c>
      <c r="D1127" s="14">
        <v>9</v>
      </c>
      <c r="E1127" s="14">
        <v>2</v>
      </c>
      <c r="F1127" s="46">
        <v>3</v>
      </c>
      <c r="H1127" s="60">
        <f t="shared" si="183"/>
        <v>9.25</v>
      </c>
      <c r="I1127" s="47">
        <v>20</v>
      </c>
      <c r="J1127" s="14">
        <v>17.01</v>
      </c>
      <c r="K1127" s="48">
        <f t="shared" si="184"/>
        <v>0.456202233980012</v>
      </c>
      <c r="L1127" s="61">
        <f t="shared" si="185"/>
        <v>7.76</v>
      </c>
      <c r="M1127" s="46">
        <f t="shared" si="186"/>
        <v>185</v>
      </c>
      <c r="Q1127" s="13" t="s">
        <v>111</v>
      </c>
    </row>
    <row r="1128" hidden="1" customHeight="1" outlineLevel="1" spans="1:17">
      <c r="A1128" s="24">
        <v>45556</v>
      </c>
      <c r="B1128" s="24">
        <v>45559</v>
      </c>
      <c r="D1128" s="14">
        <v>9</v>
      </c>
      <c r="E1128" s="14">
        <v>1</v>
      </c>
      <c r="F1128" s="46">
        <v>2</v>
      </c>
      <c r="H1128" s="60">
        <f t="shared" si="183"/>
        <v>10</v>
      </c>
      <c r="I1128" s="47">
        <v>3</v>
      </c>
      <c r="J1128" s="14">
        <v>17.01</v>
      </c>
      <c r="K1128" s="48">
        <f t="shared" si="184"/>
        <v>0.412110523221634</v>
      </c>
      <c r="L1128" s="61">
        <f t="shared" si="185"/>
        <v>7.01</v>
      </c>
      <c r="M1128" s="46">
        <f t="shared" si="186"/>
        <v>30</v>
      </c>
      <c r="Q1128" s="13"/>
    </row>
    <row r="1129" hidden="1" customHeight="1" outlineLevel="1" spans="1:17">
      <c r="A1129" s="24">
        <v>45556</v>
      </c>
      <c r="B1129" s="24">
        <v>45562</v>
      </c>
      <c r="D1129" s="14">
        <v>9</v>
      </c>
      <c r="E1129" s="14">
        <v>1</v>
      </c>
      <c r="F1129" s="46">
        <v>2</v>
      </c>
      <c r="H1129" s="60">
        <f t="shared" si="183"/>
        <v>9.42857142857143</v>
      </c>
      <c r="I1129" s="47">
        <v>7</v>
      </c>
      <c r="J1129" s="14">
        <v>17.01</v>
      </c>
      <c r="K1129" s="48">
        <f t="shared" si="184"/>
        <v>0.44570420760897</v>
      </c>
      <c r="L1129" s="61">
        <f t="shared" si="185"/>
        <v>7.58142857142857</v>
      </c>
      <c r="M1129" s="46">
        <f t="shared" si="186"/>
        <v>66</v>
      </c>
      <c r="Q1129" s="13"/>
    </row>
    <row r="1130" hidden="1" customHeight="1" outlineLevel="1" spans="1:17">
      <c r="A1130" s="24">
        <v>45562</v>
      </c>
      <c r="B1130" s="24">
        <v>45568</v>
      </c>
      <c r="D1130" s="14">
        <v>9</v>
      </c>
      <c r="E1130" s="14">
        <v>3.5</v>
      </c>
      <c r="F1130" s="46">
        <v>1</v>
      </c>
      <c r="H1130" s="60">
        <f t="shared" si="183"/>
        <v>9.45</v>
      </c>
      <c r="I1130" s="47">
        <v>10</v>
      </c>
      <c r="J1130" s="14">
        <v>17.01</v>
      </c>
      <c r="K1130" s="48">
        <f t="shared" si="184"/>
        <v>0.444444444444445</v>
      </c>
      <c r="L1130" s="61">
        <f t="shared" si="185"/>
        <v>7.56</v>
      </c>
      <c r="M1130" s="46">
        <f t="shared" si="186"/>
        <v>94.5</v>
      </c>
      <c r="Q1130" s="13"/>
    </row>
    <row r="1131" hidden="1" customHeight="1" outlineLevel="1" spans="1:17">
      <c r="A1131" s="24">
        <v>45569</v>
      </c>
      <c r="B1131" s="24">
        <v>45572</v>
      </c>
      <c r="D1131" s="14">
        <v>9</v>
      </c>
      <c r="E1131" s="14">
        <v>3</v>
      </c>
      <c r="F1131" s="46">
        <v>2</v>
      </c>
      <c r="H1131" s="60">
        <f t="shared" si="183"/>
        <v>9.71428571428572</v>
      </c>
      <c r="I1131" s="47">
        <v>7</v>
      </c>
      <c r="J1131" s="14">
        <v>17.01</v>
      </c>
      <c r="K1131" s="48">
        <f t="shared" si="184"/>
        <v>0.428907365415302</v>
      </c>
      <c r="L1131" s="61">
        <f t="shared" si="185"/>
        <v>7.29571428571429</v>
      </c>
      <c r="M1131" s="46">
        <f t="shared" si="186"/>
        <v>68</v>
      </c>
      <c r="Q1131" s="13" t="s">
        <v>112</v>
      </c>
    </row>
    <row r="1132" hidden="1" customHeight="1" outlineLevel="1" spans="1:17">
      <c r="A1132" s="24">
        <v>45569</v>
      </c>
      <c r="B1132" s="24">
        <v>45575</v>
      </c>
      <c r="D1132" s="14">
        <v>9</v>
      </c>
      <c r="E1132" s="14">
        <v>0</v>
      </c>
      <c r="F1132" s="46">
        <v>3</v>
      </c>
      <c r="H1132" s="60">
        <f t="shared" si="183"/>
        <v>10</v>
      </c>
      <c r="I1132" s="47">
        <v>3</v>
      </c>
      <c r="J1132" s="14">
        <v>17.01</v>
      </c>
      <c r="K1132" s="48">
        <f t="shared" si="184"/>
        <v>0.412110523221634</v>
      </c>
      <c r="L1132" s="61">
        <f t="shared" si="185"/>
        <v>7.01</v>
      </c>
      <c r="M1132" s="46">
        <f t="shared" si="186"/>
        <v>30</v>
      </c>
      <c r="Q1132" s="13"/>
    </row>
    <row r="1133" hidden="1" customHeight="1" outlineLevel="1" spans="1:17">
      <c r="A1133" s="24">
        <v>45574</v>
      </c>
      <c r="B1133" s="24">
        <v>45577</v>
      </c>
      <c r="D1133" s="14">
        <v>9</v>
      </c>
      <c r="E1133" s="14">
        <v>2</v>
      </c>
      <c r="F1133" s="46">
        <v>3</v>
      </c>
      <c r="H1133" s="60">
        <f t="shared" si="183"/>
        <v>9.5</v>
      </c>
      <c r="I1133" s="47">
        <v>10</v>
      </c>
      <c r="J1133" s="14">
        <v>17.01</v>
      </c>
      <c r="K1133" s="48">
        <f t="shared" si="184"/>
        <v>0.441504997060553</v>
      </c>
      <c r="L1133" s="61">
        <f t="shared" si="185"/>
        <v>7.51</v>
      </c>
      <c r="M1133" s="46">
        <f t="shared" si="186"/>
        <v>95</v>
      </c>
    </row>
    <row r="1134" hidden="1" customHeight="1" outlineLevel="1" spans="1:17">
      <c r="A1134" s="24">
        <v>45580</v>
      </c>
      <c r="B1134" s="24">
        <v>45584</v>
      </c>
      <c r="D1134" s="14">
        <v>9</v>
      </c>
      <c r="E1134" s="14">
        <v>1.5</v>
      </c>
      <c r="F1134" s="46">
        <v>1.5</v>
      </c>
      <c r="H1134" s="60">
        <f t="shared" si="183"/>
        <v>9.375</v>
      </c>
      <c r="I1134" s="47">
        <v>8</v>
      </c>
      <c r="J1134" s="14">
        <v>17.01</v>
      </c>
      <c r="K1134" s="48">
        <f t="shared" si="184"/>
        <v>0.448853615520282</v>
      </c>
      <c r="L1134" s="61">
        <f t="shared" si="185"/>
        <v>7.635</v>
      </c>
      <c r="M1134" s="46">
        <f t="shared" si="186"/>
        <v>75</v>
      </c>
    </row>
    <row r="1135" hidden="1" customHeight="1" outlineLevel="1" spans="1:17">
      <c r="A1135" s="24">
        <v>45586</v>
      </c>
      <c r="B1135" s="24">
        <v>45593</v>
      </c>
      <c r="D1135" s="14">
        <v>9</v>
      </c>
      <c r="E1135" s="14">
        <v>2</v>
      </c>
      <c r="F1135" s="46">
        <v>3</v>
      </c>
      <c r="H1135" s="60">
        <f t="shared" si="183"/>
        <v>9.5</v>
      </c>
      <c r="I1135" s="47">
        <v>10</v>
      </c>
      <c r="J1135" s="14">
        <v>17.01</v>
      </c>
      <c r="K1135" s="48">
        <f t="shared" si="184"/>
        <v>0.441504997060553</v>
      </c>
      <c r="L1135" s="61">
        <f t="shared" si="185"/>
        <v>7.51</v>
      </c>
      <c r="M1135" s="46">
        <f t="shared" si="186"/>
        <v>95</v>
      </c>
    </row>
    <row r="1136" hidden="1" customHeight="1" outlineLevel="1" spans="1:17">
      <c r="A1136" s="24">
        <v>45580</v>
      </c>
      <c r="B1136" s="24">
        <v>45600</v>
      </c>
      <c r="D1136" s="14">
        <v>9</v>
      </c>
      <c r="E1136" s="14">
        <v>1.5</v>
      </c>
      <c r="F1136" s="46">
        <v>3</v>
      </c>
      <c r="H1136" s="60">
        <f t="shared" si="183"/>
        <v>9.45</v>
      </c>
      <c r="I1136" s="47">
        <v>10</v>
      </c>
      <c r="J1136" s="14">
        <v>17.01</v>
      </c>
      <c r="K1136" s="48">
        <f t="shared" si="184"/>
        <v>0.444444444444444</v>
      </c>
      <c r="L1136" s="61">
        <f t="shared" si="185"/>
        <v>7.56</v>
      </c>
      <c r="M1136" s="46">
        <f t="shared" si="186"/>
        <v>94.5</v>
      </c>
      <c r="Q1136" s="13" t="s">
        <v>113</v>
      </c>
    </row>
    <row r="1137" hidden="1" customHeight="1" outlineLevel="1" spans="1:17">
      <c r="A1137" s="24">
        <v>45603</v>
      </c>
      <c r="B1137" s="24">
        <v>45605</v>
      </c>
      <c r="D1137" s="14">
        <v>9</v>
      </c>
      <c r="E1137" s="14">
        <v>1</v>
      </c>
      <c r="F1137" s="46">
        <v>3</v>
      </c>
      <c r="H1137" s="60">
        <f t="shared" si="183"/>
        <v>9.5</v>
      </c>
      <c r="I1137" s="47">
        <v>8</v>
      </c>
      <c r="J1137" s="14">
        <v>17.01</v>
      </c>
      <c r="K1137" s="48">
        <f t="shared" si="184"/>
        <v>0.441504997060553</v>
      </c>
      <c r="L1137" s="61">
        <f t="shared" si="185"/>
        <v>7.51</v>
      </c>
      <c r="M1137" s="46">
        <f t="shared" si="186"/>
        <v>76</v>
      </c>
      <c r="Q1137" s="13"/>
    </row>
    <row r="1138" hidden="1" customHeight="1" outlineLevel="1" spans="1:17">
      <c r="A1138" s="24">
        <v>45603</v>
      </c>
      <c r="B1138" s="24">
        <v>45609</v>
      </c>
      <c r="D1138" s="14">
        <v>9</v>
      </c>
      <c r="E1138" s="14">
        <v>1</v>
      </c>
      <c r="F1138" s="46">
        <v>2.5</v>
      </c>
      <c r="H1138" s="60">
        <f t="shared" si="183"/>
        <v>9.5</v>
      </c>
      <c r="I1138" s="47">
        <v>7</v>
      </c>
      <c r="J1138" s="14">
        <v>17.01</v>
      </c>
      <c r="K1138" s="48">
        <f t="shared" si="184"/>
        <v>0.441504997060553</v>
      </c>
      <c r="L1138" s="61">
        <f t="shared" si="185"/>
        <v>7.51</v>
      </c>
      <c r="M1138" s="46">
        <f t="shared" si="186"/>
        <v>66.5</v>
      </c>
      <c r="Q1138" s="13"/>
    </row>
    <row r="1139" hidden="1" customHeight="1" outlineLevel="1" spans="1:17">
      <c r="A1139" s="24">
        <v>45608</v>
      </c>
      <c r="B1139" s="24">
        <v>45630</v>
      </c>
      <c r="D1139" s="14">
        <v>9</v>
      </c>
      <c r="E1139" s="14">
        <v>3</v>
      </c>
      <c r="F1139" s="46">
        <v>3</v>
      </c>
      <c r="H1139" s="60">
        <f t="shared" si="183"/>
        <v>9.85714285714286</v>
      </c>
      <c r="I1139" s="47">
        <v>7</v>
      </c>
      <c r="J1139" s="14">
        <v>17.01</v>
      </c>
      <c r="K1139" s="48">
        <f t="shared" si="184"/>
        <v>0.420508944318468</v>
      </c>
      <c r="L1139" s="61">
        <f t="shared" si="185"/>
        <v>7.15285714285714</v>
      </c>
      <c r="M1139" s="46">
        <f t="shared" si="186"/>
        <v>69</v>
      </c>
      <c r="Q1139" s="13"/>
    </row>
    <row r="1140" hidden="1" customHeight="1" outlineLevel="1" spans="1:17">
      <c r="A1140" s="24">
        <v>45608</v>
      </c>
      <c r="B1140" s="24">
        <v>45636</v>
      </c>
      <c r="D1140" s="14">
        <v>9</v>
      </c>
      <c r="E1140" s="14">
        <v>0</v>
      </c>
      <c r="F1140" s="46">
        <v>2</v>
      </c>
      <c r="H1140" s="60">
        <f t="shared" si="183"/>
        <v>9.66666666666667</v>
      </c>
      <c r="I1140" s="47">
        <v>3</v>
      </c>
      <c r="J1140" s="14">
        <v>17.01</v>
      </c>
      <c r="K1140" s="48">
        <f t="shared" si="184"/>
        <v>0.431706839114247</v>
      </c>
      <c r="L1140" s="61">
        <f t="shared" si="185"/>
        <v>7.34333333333334</v>
      </c>
      <c r="M1140" s="46">
        <f t="shared" si="186"/>
        <v>29</v>
      </c>
      <c r="Q1140" s="13"/>
    </row>
    <row r="1141" hidden="1" customHeight="1" outlineLevel="1" spans="1:17">
      <c r="A1141" s="24">
        <v>45635</v>
      </c>
      <c r="B1141" s="24">
        <v>45641</v>
      </c>
      <c r="D1141" s="14">
        <v>9</v>
      </c>
      <c r="E1141" s="14">
        <v>1</v>
      </c>
      <c r="F1141" s="46">
        <v>2</v>
      </c>
      <c r="H1141" s="60">
        <f t="shared" si="183"/>
        <v>10</v>
      </c>
      <c r="I1141" s="47">
        <v>3</v>
      </c>
      <c r="J1141" s="14">
        <v>17.01</v>
      </c>
      <c r="K1141" s="48">
        <f t="shared" si="184"/>
        <v>0.412110523221634</v>
      </c>
      <c r="L1141" s="61">
        <f t="shared" si="185"/>
        <v>7.01</v>
      </c>
      <c r="M1141" s="46">
        <f t="shared" si="186"/>
        <v>30</v>
      </c>
      <c r="Q1141" s="13"/>
    </row>
    <row r="1142" hidden="1" customHeight="1" outlineLevel="1" spans="1:17">
      <c r="A1142" s="24">
        <v>45635</v>
      </c>
      <c r="B1142" s="24">
        <v>45647</v>
      </c>
      <c r="D1142" s="14">
        <v>9</v>
      </c>
      <c r="E1142" s="14">
        <v>2</v>
      </c>
      <c r="F1142" s="46">
        <v>2</v>
      </c>
      <c r="H1142" s="60">
        <f t="shared" si="183"/>
        <v>9.66666666666667</v>
      </c>
      <c r="I1142" s="47">
        <v>6</v>
      </c>
      <c r="J1142" s="14">
        <v>17.01</v>
      </c>
      <c r="K1142" s="48">
        <f t="shared" si="184"/>
        <v>0.431706839114247</v>
      </c>
      <c r="L1142" s="61">
        <f t="shared" si="185"/>
        <v>7.34333333333333</v>
      </c>
      <c r="M1142" s="46">
        <f t="shared" si="186"/>
        <v>58</v>
      </c>
      <c r="Q1142" s="13"/>
    </row>
    <row r="1143" hidden="1" customHeight="1" outlineLevel="1" spans="1:17">
      <c r="A1143" s="24">
        <v>45650</v>
      </c>
      <c r="B1143" s="24">
        <v>45654</v>
      </c>
      <c r="D1143" s="14">
        <v>9</v>
      </c>
      <c r="E1143" s="14">
        <v>3</v>
      </c>
      <c r="F1143" s="46">
        <v>6</v>
      </c>
      <c r="H1143" s="60">
        <f t="shared" si="183"/>
        <v>9.9</v>
      </c>
      <c r="I1143" s="47">
        <v>10</v>
      </c>
      <c r="J1143" s="14">
        <v>17.01</v>
      </c>
      <c r="K1143" s="48">
        <f t="shared" si="184"/>
        <v>0.417989417989418</v>
      </c>
      <c r="L1143" s="61">
        <f t="shared" si="185"/>
        <v>7.11</v>
      </c>
      <c r="M1143" s="46">
        <f t="shared" si="186"/>
        <v>99</v>
      </c>
      <c r="Q1143" s="13"/>
    </row>
    <row r="1144" hidden="1" customHeight="1" outlineLevel="1" spans="1:17">
      <c r="A1144" s="24">
        <v>45661</v>
      </c>
      <c r="B1144" s="24">
        <v>45664</v>
      </c>
      <c r="D1144" s="14">
        <v>9</v>
      </c>
      <c r="E1144" s="14">
        <v>2</v>
      </c>
      <c r="F1144" s="46">
        <v>3</v>
      </c>
      <c r="H1144" s="60">
        <f t="shared" si="183"/>
        <v>9.5</v>
      </c>
      <c r="I1144" s="47">
        <v>10</v>
      </c>
      <c r="J1144" s="14">
        <v>17.01</v>
      </c>
      <c r="K1144" s="48">
        <f t="shared" si="184"/>
        <v>0.441504997060553</v>
      </c>
      <c r="L1144" s="61">
        <f t="shared" si="185"/>
        <v>7.51</v>
      </c>
      <c r="M1144" s="46">
        <f t="shared" si="186"/>
        <v>95</v>
      </c>
      <c r="Q1144" s="13"/>
    </row>
    <row r="1145" hidden="1" customHeight="1" outlineLevel="1" spans="1:17">
      <c r="A1145" s="24">
        <v>45668</v>
      </c>
      <c r="B1145" s="24">
        <v>45672</v>
      </c>
      <c r="D1145" s="14">
        <v>9</v>
      </c>
      <c r="E1145" s="14">
        <v>1</v>
      </c>
      <c r="F1145" s="46">
        <v>6</v>
      </c>
      <c r="H1145" s="60">
        <f t="shared" ref="H1145:H1208" si="187">D1145+(E1145/I1145)+(F1145/I1145)</f>
        <v>9.33333333333333</v>
      </c>
      <c r="I1145" s="47">
        <v>21</v>
      </c>
      <c r="J1145" s="14">
        <v>17.01</v>
      </c>
      <c r="K1145" s="48">
        <f t="shared" ref="K1145:K1208" si="188">(J1145-H1145)/J1145</f>
        <v>0.451303155006859</v>
      </c>
      <c r="L1145" s="61">
        <f t="shared" ref="L1145:L1208" si="189">J1145-H1145</f>
        <v>7.67666666666667</v>
      </c>
      <c r="M1145" s="46">
        <f t="shared" ref="M1145:M1208" si="190">D1145*I1145+E1145+F1145</f>
        <v>196</v>
      </c>
      <c r="Q1145" s="13"/>
    </row>
    <row r="1146" hidden="1" customHeight="1" outlineLevel="1" spans="1:17">
      <c r="A1146" s="24">
        <v>45668</v>
      </c>
      <c r="B1146" s="24">
        <v>45673</v>
      </c>
      <c r="D1146" s="14">
        <v>9</v>
      </c>
      <c r="E1146" s="14">
        <v>1</v>
      </c>
      <c r="F1146" s="46">
        <v>4</v>
      </c>
      <c r="H1146" s="60">
        <f t="shared" si="187"/>
        <v>9.26315789473684</v>
      </c>
      <c r="I1146" s="47">
        <v>19</v>
      </c>
      <c r="J1146" s="14">
        <v>17.01</v>
      </c>
      <c r="K1146" s="48">
        <f t="shared" si="188"/>
        <v>0.455428695194777</v>
      </c>
      <c r="L1146" s="61">
        <f t="shared" si="189"/>
        <v>7.74684210526316</v>
      </c>
      <c r="M1146" s="46">
        <f t="shared" si="190"/>
        <v>176</v>
      </c>
      <c r="Q1146" s="13"/>
    </row>
    <row r="1147" hidden="1" customHeight="1" outlineLevel="1" spans="1:17">
      <c r="A1147" s="64">
        <v>45676</v>
      </c>
      <c r="B1147" s="24">
        <v>45689</v>
      </c>
      <c r="D1147" s="14">
        <v>9</v>
      </c>
      <c r="E1147" s="14">
        <v>0</v>
      </c>
      <c r="F1147" s="46">
        <v>11</v>
      </c>
      <c r="H1147" s="60">
        <f t="shared" si="187"/>
        <v>9.78571428571429</v>
      </c>
      <c r="I1147" s="47">
        <v>14</v>
      </c>
      <c r="J1147" s="14">
        <v>17.01</v>
      </c>
      <c r="K1147" s="48">
        <f t="shared" si="188"/>
        <v>0.424708154866885</v>
      </c>
      <c r="L1147" s="61">
        <f t="shared" si="189"/>
        <v>7.22428571428572</v>
      </c>
      <c r="M1147" s="46">
        <f t="shared" si="190"/>
        <v>137</v>
      </c>
      <c r="Q1147" s="13"/>
    </row>
    <row r="1148" hidden="1" customHeight="1" outlineLevel="1" spans="1:17">
      <c r="A1148" s="64">
        <v>45676</v>
      </c>
      <c r="B1148" s="24">
        <v>45694</v>
      </c>
      <c r="D1148" s="14">
        <v>9</v>
      </c>
      <c r="E1148" s="14">
        <v>0</v>
      </c>
      <c r="F1148" s="46">
        <v>2</v>
      </c>
      <c r="H1148" s="60">
        <f t="shared" si="187"/>
        <v>9.33333333333333</v>
      </c>
      <c r="I1148" s="47">
        <v>6</v>
      </c>
      <c r="J1148" s="14">
        <v>17.01</v>
      </c>
      <c r="K1148" s="48">
        <f t="shared" si="188"/>
        <v>0.451303155006859</v>
      </c>
      <c r="L1148" s="61">
        <f t="shared" si="189"/>
        <v>7.67666666666667</v>
      </c>
      <c r="M1148" s="46">
        <f t="shared" si="190"/>
        <v>56</v>
      </c>
      <c r="Q1148" s="13"/>
    </row>
    <row r="1149" hidden="1" customHeight="1" outlineLevel="1" spans="1:17">
      <c r="A1149" s="64">
        <v>45698</v>
      </c>
      <c r="B1149" s="24">
        <v>45701</v>
      </c>
      <c r="D1149" s="14">
        <v>9</v>
      </c>
      <c r="E1149" s="14">
        <v>2</v>
      </c>
      <c r="F1149" s="46">
        <v>10</v>
      </c>
      <c r="H1149" s="60">
        <f t="shared" si="187"/>
        <v>9.4</v>
      </c>
      <c r="I1149" s="47">
        <v>30</v>
      </c>
      <c r="J1149" s="14">
        <v>17.01</v>
      </c>
      <c r="K1149" s="48">
        <f t="shared" si="188"/>
        <v>0.447383891828336</v>
      </c>
      <c r="L1149" s="86">
        <f t="shared" si="189"/>
        <v>7.61</v>
      </c>
      <c r="M1149" s="46">
        <f t="shared" si="190"/>
        <v>282</v>
      </c>
      <c r="Q1149" s="87" t="s">
        <v>114</v>
      </c>
    </row>
    <row r="1150" hidden="1" customHeight="1" outlineLevel="1" spans="1:17">
      <c r="A1150" s="64">
        <v>45707</v>
      </c>
      <c r="B1150" s="24">
        <v>45712</v>
      </c>
      <c r="D1150" s="14">
        <v>9</v>
      </c>
      <c r="E1150" s="14">
        <v>2</v>
      </c>
      <c r="F1150" s="46">
        <v>6</v>
      </c>
      <c r="H1150" s="60">
        <f t="shared" si="187"/>
        <v>9.4</v>
      </c>
      <c r="I1150" s="47">
        <v>20</v>
      </c>
      <c r="J1150" s="14">
        <v>17.01</v>
      </c>
      <c r="K1150" s="48">
        <f t="shared" si="188"/>
        <v>0.447383891828336</v>
      </c>
      <c r="L1150" s="86">
        <f t="shared" si="189"/>
        <v>7.61</v>
      </c>
      <c r="M1150" s="46">
        <f t="shared" si="190"/>
        <v>188</v>
      </c>
      <c r="Q1150" s="13"/>
    </row>
    <row r="1151" hidden="1" customHeight="1" outlineLevel="1" spans="1:17">
      <c r="A1151" s="88">
        <v>45711</v>
      </c>
      <c r="B1151" s="34">
        <v>45714</v>
      </c>
      <c r="C1151" s="89"/>
      <c r="D1151" s="14">
        <v>9</v>
      </c>
      <c r="E1151" s="14">
        <v>2</v>
      </c>
      <c r="F1151" s="46">
        <v>10</v>
      </c>
      <c r="H1151" s="60">
        <f t="shared" si="187"/>
        <v>9.44444444444444</v>
      </c>
      <c r="I1151" s="47">
        <v>27</v>
      </c>
      <c r="J1151" s="14">
        <v>17.01</v>
      </c>
      <c r="K1151" s="48">
        <f t="shared" si="188"/>
        <v>0.444771049709321</v>
      </c>
      <c r="L1151" s="86">
        <f t="shared" si="189"/>
        <v>7.56555555555556</v>
      </c>
      <c r="M1151" s="46">
        <f t="shared" si="190"/>
        <v>255</v>
      </c>
      <c r="N1151" s="89"/>
      <c r="O1151" s="89"/>
      <c r="P1151" s="89"/>
      <c r="Q1151" s="89"/>
    </row>
    <row r="1152" hidden="1" customHeight="1" outlineLevel="1" spans="1:17">
      <c r="A1152" s="88">
        <v>45711</v>
      </c>
      <c r="B1152" s="90">
        <v>45724</v>
      </c>
      <c r="C1152" s="89"/>
      <c r="D1152" s="14">
        <v>9</v>
      </c>
      <c r="E1152" s="14">
        <v>0</v>
      </c>
      <c r="F1152" s="46">
        <v>4</v>
      </c>
      <c r="H1152" s="60">
        <f t="shared" si="187"/>
        <v>9.30769230769231</v>
      </c>
      <c r="I1152" s="47">
        <v>13</v>
      </c>
      <c r="J1152" s="14">
        <v>17.01</v>
      </c>
      <c r="K1152" s="48">
        <f t="shared" si="188"/>
        <v>0.452810563921675</v>
      </c>
      <c r="L1152" s="86">
        <f t="shared" si="189"/>
        <v>7.70230769230769</v>
      </c>
      <c r="M1152" s="46">
        <f t="shared" si="190"/>
        <v>121</v>
      </c>
      <c r="N1152" s="89"/>
      <c r="O1152" s="89"/>
      <c r="P1152" s="89"/>
      <c r="Q1152" s="89"/>
    </row>
    <row r="1153" hidden="1" customHeight="1" outlineLevel="1" spans="1:17">
      <c r="A1153" s="88">
        <v>45730</v>
      </c>
      <c r="B1153" s="90">
        <v>45735</v>
      </c>
      <c r="C1153" s="89"/>
      <c r="D1153" s="14">
        <v>9</v>
      </c>
      <c r="E1153" s="14">
        <v>0</v>
      </c>
      <c r="F1153" s="46">
        <v>4</v>
      </c>
      <c r="H1153" s="60">
        <f t="shared" si="187"/>
        <v>9.57142857142857</v>
      </c>
      <c r="I1153" s="47">
        <v>7</v>
      </c>
      <c r="J1153" s="14">
        <v>17.01</v>
      </c>
      <c r="K1153" s="48">
        <f t="shared" si="188"/>
        <v>0.437305786512136</v>
      </c>
      <c r="L1153" s="86">
        <f t="shared" si="189"/>
        <v>7.43857142857143</v>
      </c>
      <c r="M1153" s="46">
        <f t="shared" si="190"/>
        <v>67</v>
      </c>
      <c r="N1153" s="89"/>
      <c r="O1153" s="89"/>
      <c r="P1153" s="89"/>
      <c r="Q1153" s="89"/>
    </row>
    <row r="1154" hidden="1" customHeight="1" outlineLevel="1" spans="1:17">
      <c r="A1154" s="88">
        <v>45730</v>
      </c>
      <c r="B1154" s="90">
        <v>45743</v>
      </c>
      <c r="C1154" s="89"/>
      <c r="D1154" s="14">
        <v>9</v>
      </c>
      <c r="E1154" s="14">
        <v>0</v>
      </c>
      <c r="F1154" s="46">
        <v>5</v>
      </c>
      <c r="H1154" s="60">
        <f t="shared" si="187"/>
        <v>9.38461538461539</v>
      </c>
      <c r="I1154" s="47">
        <v>13</v>
      </c>
      <c r="J1154" s="14">
        <v>17.01</v>
      </c>
      <c r="K1154" s="48">
        <f t="shared" si="188"/>
        <v>0.448288337177226</v>
      </c>
      <c r="L1154" s="86">
        <f t="shared" si="189"/>
        <v>7.62538461538462</v>
      </c>
      <c r="M1154" s="46">
        <f t="shared" si="190"/>
        <v>122</v>
      </c>
      <c r="N1154" s="89"/>
      <c r="O1154" s="89"/>
      <c r="P1154" s="89"/>
      <c r="Q1154" s="89"/>
    </row>
    <row r="1155" hidden="1" customHeight="1" outlineLevel="1" spans="1:17">
      <c r="A1155" s="24">
        <v>45747</v>
      </c>
      <c r="B1155" s="90">
        <v>45751</v>
      </c>
      <c r="C1155" s="89"/>
      <c r="D1155" s="14">
        <v>9</v>
      </c>
      <c r="E1155" s="14">
        <v>2</v>
      </c>
      <c r="F1155" s="46">
        <v>3</v>
      </c>
      <c r="H1155" s="60">
        <f t="shared" si="187"/>
        <v>9.29411764705882</v>
      </c>
      <c r="I1155" s="47">
        <v>17</v>
      </c>
      <c r="J1155" s="14">
        <v>17.62</v>
      </c>
      <c r="K1155" s="48">
        <f t="shared" si="188"/>
        <v>0.472524537624357</v>
      </c>
      <c r="L1155" s="61">
        <f t="shared" si="189"/>
        <v>8.32588235294118</v>
      </c>
      <c r="M1155" s="46">
        <f t="shared" si="190"/>
        <v>158</v>
      </c>
      <c r="O1155" s="89"/>
      <c r="P1155" s="89"/>
      <c r="Q1155" s="89"/>
    </row>
    <row r="1156" hidden="1" customHeight="1" outlineLevel="1" spans="1:17">
      <c r="A1156" s="24">
        <v>45747</v>
      </c>
      <c r="B1156" s="90">
        <v>45761</v>
      </c>
      <c r="C1156" s="89"/>
      <c r="D1156" s="14">
        <v>9</v>
      </c>
      <c r="E1156" s="14">
        <v>0</v>
      </c>
      <c r="F1156" s="46">
        <v>1</v>
      </c>
      <c r="H1156" s="60">
        <f t="shared" si="187"/>
        <v>9.33333333333333</v>
      </c>
      <c r="I1156" s="47">
        <v>3</v>
      </c>
      <c r="J1156" s="14">
        <v>17.62</v>
      </c>
      <c r="K1156" s="48">
        <f t="shared" si="188"/>
        <v>0.470298902762013</v>
      </c>
      <c r="L1156" s="61">
        <f t="shared" si="189"/>
        <v>8.28666666666667</v>
      </c>
      <c r="M1156" s="46">
        <f t="shared" si="190"/>
        <v>28</v>
      </c>
      <c r="O1156" s="89"/>
      <c r="P1156" s="89"/>
      <c r="Q1156" s="89"/>
    </row>
    <row r="1157" hidden="1" customHeight="1" outlineLevel="1" spans="1:17">
      <c r="A1157" s="24">
        <v>45757</v>
      </c>
      <c r="B1157" s="90">
        <v>45761</v>
      </c>
      <c r="C1157" s="89"/>
      <c r="D1157" s="14">
        <v>9</v>
      </c>
      <c r="E1157" s="14">
        <v>2</v>
      </c>
      <c r="F1157" s="46">
        <v>2</v>
      </c>
      <c r="H1157" s="60">
        <f t="shared" si="187"/>
        <v>9.4</v>
      </c>
      <c r="I1157" s="47">
        <v>10</v>
      </c>
      <c r="J1157" s="14">
        <v>17.62</v>
      </c>
      <c r="K1157" s="48">
        <f t="shared" si="188"/>
        <v>0.466515323496027</v>
      </c>
      <c r="L1157" s="61">
        <f t="shared" si="189"/>
        <v>8.22</v>
      </c>
      <c r="M1157" s="46">
        <f t="shared" si="190"/>
        <v>94</v>
      </c>
      <c r="O1157" s="89"/>
      <c r="P1157" s="89"/>
      <c r="Q1157" s="89"/>
    </row>
    <row r="1158" customHeight="1" collapsed="1" spans="1:17">
      <c r="A1158" s="59" t="s">
        <v>115</v>
      </c>
      <c r="B1158" s="33"/>
      <c r="C1158" s="28" t="str">
        <f>_xlfn.DISPIMG("ID_E753691337F7436B9CB2FD5FB7C2A2C9",1)</f>
        <v>=DISPIMG("ID_E753691337F7436B9CB2FD5FB7C2A2C9",1)</v>
      </c>
      <c r="D1158" s="14">
        <v>9.15</v>
      </c>
      <c r="E1158" s="14">
        <v>0</v>
      </c>
      <c r="F1158" s="46">
        <v>2.22</v>
      </c>
      <c r="H1158" s="60">
        <f t="shared" si="187"/>
        <v>9.372</v>
      </c>
      <c r="I1158" s="47">
        <v>10</v>
      </c>
      <c r="J1158" s="14">
        <v>20</v>
      </c>
      <c r="K1158" s="48">
        <f t="shared" si="188"/>
        <v>0.5314</v>
      </c>
      <c r="L1158" s="61">
        <f t="shared" si="189"/>
        <v>10.628</v>
      </c>
      <c r="M1158" s="46">
        <f t="shared" si="190"/>
        <v>93.72</v>
      </c>
      <c r="N1158" s="13"/>
      <c r="Q1158" s="88" t="s">
        <v>116</v>
      </c>
    </row>
    <row r="1159" hidden="1" customHeight="1" outlineLevel="1" spans="1:17">
      <c r="A1159" s="33">
        <v>45519</v>
      </c>
      <c r="B1159" s="33">
        <v>45521</v>
      </c>
      <c r="C1159" s="13" t="s">
        <v>117</v>
      </c>
      <c r="D1159" s="14">
        <v>9.15</v>
      </c>
      <c r="E1159" s="14">
        <v>2</v>
      </c>
      <c r="F1159" s="46">
        <v>6</v>
      </c>
      <c r="H1159" s="60">
        <f t="shared" si="187"/>
        <v>10.2928571428571</v>
      </c>
      <c r="I1159" s="47">
        <v>7</v>
      </c>
      <c r="J1159" s="14">
        <v>20</v>
      </c>
      <c r="K1159" s="48">
        <f t="shared" si="188"/>
        <v>0.485357142857143</v>
      </c>
      <c r="L1159" s="61">
        <f t="shared" si="189"/>
        <v>9.70714285714286</v>
      </c>
      <c r="M1159" s="46">
        <f t="shared" si="190"/>
        <v>72.05</v>
      </c>
      <c r="N1159" s="13"/>
      <c r="Q1159" s="59" t="s">
        <v>118</v>
      </c>
    </row>
    <row r="1160" hidden="1" customHeight="1" outlineLevel="1" spans="1:17">
      <c r="A1160" s="33">
        <v>45530</v>
      </c>
      <c r="B1160" s="33">
        <v>45535</v>
      </c>
      <c r="D1160" s="14">
        <v>9.15</v>
      </c>
      <c r="E1160" s="14">
        <v>2</v>
      </c>
      <c r="F1160" s="46">
        <v>3</v>
      </c>
      <c r="H1160" s="60">
        <f t="shared" si="187"/>
        <v>9.65</v>
      </c>
      <c r="I1160" s="47">
        <v>10</v>
      </c>
      <c r="J1160" s="14">
        <v>20</v>
      </c>
      <c r="K1160" s="48">
        <f t="shared" si="188"/>
        <v>0.5175</v>
      </c>
      <c r="L1160" s="61">
        <f t="shared" si="189"/>
        <v>10.35</v>
      </c>
      <c r="M1160" s="46">
        <f t="shared" si="190"/>
        <v>96.5</v>
      </c>
      <c r="N1160" s="13"/>
      <c r="Q1160" s="59"/>
    </row>
    <row r="1161" hidden="1" customHeight="1" outlineLevel="1" spans="1:17">
      <c r="A1161" s="33">
        <v>45543</v>
      </c>
      <c r="B1161" s="33">
        <v>45545</v>
      </c>
      <c r="D1161" s="14">
        <v>9.15</v>
      </c>
      <c r="E1161" s="14">
        <v>2</v>
      </c>
      <c r="F1161" s="46">
        <v>9</v>
      </c>
      <c r="H1161" s="60">
        <f t="shared" si="187"/>
        <v>10.525</v>
      </c>
      <c r="I1161" s="47">
        <v>8</v>
      </c>
      <c r="J1161" s="14">
        <v>20</v>
      </c>
      <c r="K1161" s="48">
        <f t="shared" si="188"/>
        <v>0.47375</v>
      </c>
      <c r="L1161" s="61">
        <f t="shared" si="189"/>
        <v>9.475</v>
      </c>
      <c r="M1161" s="46">
        <f t="shared" si="190"/>
        <v>84.2</v>
      </c>
      <c r="N1161" s="13"/>
      <c r="Q1161" s="59"/>
    </row>
    <row r="1162" hidden="1" customHeight="1" outlineLevel="1" spans="1:17">
      <c r="A1162" s="63">
        <v>45556</v>
      </c>
      <c r="B1162" s="63">
        <v>45559</v>
      </c>
      <c r="D1162" s="14">
        <v>9.15</v>
      </c>
      <c r="E1162" s="14">
        <v>3</v>
      </c>
      <c r="F1162" s="46">
        <v>2</v>
      </c>
      <c r="H1162" s="60">
        <f t="shared" si="187"/>
        <v>9.86428571428572</v>
      </c>
      <c r="I1162" s="47">
        <v>7</v>
      </c>
      <c r="J1162" s="14">
        <v>20</v>
      </c>
      <c r="K1162" s="48">
        <f t="shared" si="188"/>
        <v>0.506785714285714</v>
      </c>
      <c r="L1162" s="61">
        <f t="shared" si="189"/>
        <v>10.1357142857143</v>
      </c>
      <c r="M1162" s="46">
        <f t="shared" si="190"/>
        <v>69.05</v>
      </c>
      <c r="N1162" s="13"/>
      <c r="Q1162" s="59"/>
    </row>
    <row r="1163" hidden="1" customHeight="1" outlineLevel="1" spans="1:17">
      <c r="A1163" s="63">
        <v>45558</v>
      </c>
      <c r="B1163" s="63">
        <v>45567</v>
      </c>
      <c r="D1163" s="14">
        <v>9.15</v>
      </c>
      <c r="E1163" s="14">
        <v>3</v>
      </c>
      <c r="F1163" s="46">
        <v>2</v>
      </c>
      <c r="H1163" s="60">
        <f t="shared" si="187"/>
        <v>10.15</v>
      </c>
      <c r="I1163" s="47">
        <v>5</v>
      </c>
      <c r="J1163" s="14">
        <v>20</v>
      </c>
      <c r="K1163" s="48">
        <f t="shared" si="188"/>
        <v>0.4925</v>
      </c>
      <c r="L1163" s="61">
        <f t="shared" si="189"/>
        <v>9.85</v>
      </c>
      <c r="M1163" s="46">
        <f t="shared" si="190"/>
        <v>50.75</v>
      </c>
      <c r="N1163" s="13"/>
      <c r="Q1163" s="59"/>
    </row>
    <row r="1164" hidden="1" customHeight="1" outlineLevel="1" spans="1:17">
      <c r="A1164" s="63">
        <v>45569</v>
      </c>
      <c r="B1164" s="63">
        <v>45571</v>
      </c>
      <c r="D1164" s="14">
        <v>9.15</v>
      </c>
      <c r="E1164" s="14">
        <v>3</v>
      </c>
      <c r="F1164" s="46">
        <v>2</v>
      </c>
      <c r="H1164" s="60">
        <f t="shared" si="187"/>
        <v>9.65</v>
      </c>
      <c r="I1164" s="47">
        <v>10</v>
      </c>
      <c r="J1164" s="14">
        <v>20</v>
      </c>
      <c r="K1164" s="48">
        <f t="shared" si="188"/>
        <v>0.5175</v>
      </c>
      <c r="L1164" s="61">
        <f t="shared" si="189"/>
        <v>10.35</v>
      </c>
      <c r="M1164" s="46">
        <f t="shared" si="190"/>
        <v>96.5</v>
      </c>
      <c r="N1164" s="13"/>
      <c r="Q1164" s="59"/>
    </row>
    <row r="1165" hidden="1" customHeight="1" outlineLevel="1" spans="1:17">
      <c r="A1165" s="63">
        <v>45580</v>
      </c>
      <c r="B1165" s="63">
        <v>45583</v>
      </c>
      <c r="D1165" s="14">
        <v>9.15</v>
      </c>
      <c r="E1165" s="14">
        <v>6</v>
      </c>
      <c r="F1165" s="46">
        <v>2</v>
      </c>
      <c r="H1165" s="60">
        <f t="shared" si="187"/>
        <v>9.95</v>
      </c>
      <c r="I1165" s="47">
        <v>10</v>
      </c>
      <c r="J1165" s="14">
        <v>20</v>
      </c>
      <c r="K1165" s="48">
        <f t="shared" si="188"/>
        <v>0.5025</v>
      </c>
      <c r="L1165" s="61">
        <f t="shared" si="189"/>
        <v>10.05</v>
      </c>
      <c r="M1165" s="46">
        <f t="shared" si="190"/>
        <v>99.5</v>
      </c>
    </row>
    <row r="1166" hidden="1" customHeight="1" outlineLevel="1" spans="1:17">
      <c r="A1166" s="63">
        <v>45596</v>
      </c>
      <c r="B1166" s="63">
        <v>45598</v>
      </c>
      <c r="D1166" s="14">
        <v>9.15</v>
      </c>
      <c r="E1166" s="14">
        <v>3</v>
      </c>
      <c r="F1166" s="46">
        <v>7</v>
      </c>
      <c r="H1166" s="60">
        <f t="shared" si="187"/>
        <v>10.15</v>
      </c>
      <c r="I1166" s="47">
        <v>10</v>
      </c>
      <c r="J1166" s="14">
        <v>17</v>
      </c>
      <c r="K1166" s="48">
        <f t="shared" si="188"/>
        <v>0.402941176470588</v>
      </c>
      <c r="L1166" s="61">
        <f t="shared" si="189"/>
        <v>6.85</v>
      </c>
      <c r="M1166" s="46">
        <f t="shared" si="190"/>
        <v>101.5</v>
      </c>
    </row>
    <row r="1167" hidden="1" customHeight="1" outlineLevel="1" spans="1:17">
      <c r="A1167" s="63">
        <v>45603</v>
      </c>
      <c r="B1167" s="63">
        <v>45605</v>
      </c>
      <c r="D1167" s="14">
        <v>9.15</v>
      </c>
      <c r="E1167" s="14">
        <v>1</v>
      </c>
      <c r="F1167" s="46">
        <v>2</v>
      </c>
      <c r="H1167" s="60">
        <f t="shared" si="187"/>
        <v>9.57857142857143</v>
      </c>
      <c r="I1167" s="47">
        <v>7</v>
      </c>
      <c r="J1167" s="14">
        <v>17</v>
      </c>
      <c r="K1167" s="48">
        <f t="shared" si="188"/>
        <v>0.436554621848739</v>
      </c>
      <c r="L1167" s="61">
        <f t="shared" si="189"/>
        <v>7.42142857142857</v>
      </c>
      <c r="M1167" s="46">
        <f t="shared" si="190"/>
        <v>67.05</v>
      </c>
    </row>
    <row r="1168" hidden="1" customHeight="1" outlineLevel="1" spans="1:17">
      <c r="A1168" s="63">
        <v>45603</v>
      </c>
      <c r="B1168" s="63">
        <v>45607</v>
      </c>
      <c r="D1168" s="14">
        <v>9.15</v>
      </c>
      <c r="E1168" s="14">
        <v>1</v>
      </c>
      <c r="F1168" s="46">
        <v>2</v>
      </c>
      <c r="H1168" s="60">
        <f t="shared" si="187"/>
        <v>10.15</v>
      </c>
      <c r="I1168" s="47">
        <v>3</v>
      </c>
      <c r="J1168" s="14">
        <v>17</v>
      </c>
      <c r="K1168" s="48">
        <f t="shared" si="188"/>
        <v>0.402941176470588</v>
      </c>
      <c r="L1168" s="61">
        <f t="shared" si="189"/>
        <v>6.85</v>
      </c>
      <c r="M1168" s="46">
        <f t="shared" si="190"/>
        <v>30.45</v>
      </c>
    </row>
    <row r="1169" hidden="1" customHeight="1" outlineLevel="1" spans="1:17">
      <c r="A1169" s="63">
        <v>45608</v>
      </c>
      <c r="B1169" s="63">
        <v>45610</v>
      </c>
      <c r="D1169" s="14">
        <v>9.15</v>
      </c>
      <c r="E1169" s="14">
        <v>3</v>
      </c>
      <c r="F1169" s="46">
        <v>3</v>
      </c>
      <c r="H1169" s="60">
        <f t="shared" si="187"/>
        <v>9.65</v>
      </c>
      <c r="I1169" s="47">
        <v>12</v>
      </c>
      <c r="J1169" s="14">
        <v>17</v>
      </c>
      <c r="K1169" s="48">
        <f t="shared" si="188"/>
        <v>0.432352941176471</v>
      </c>
      <c r="L1169" s="61">
        <f t="shared" si="189"/>
        <v>7.35</v>
      </c>
      <c r="M1169" s="46">
        <f t="shared" si="190"/>
        <v>115.8</v>
      </c>
    </row>
    <row r="1170" hidden="1" customHeight="1" outlineLevel="1" spans="1:17">
      <c r="A1170" s="63">
        <v>45608</v>
      </c>
      <c r="B1170" s="63">
        <v>45611</v>
      </c>
      <c r="D1170" s="14">
        <v>9.15</v>
      </c>
      <c r="E1170" s="14">
        <v>0</v>
      </c>
      <c r="F1170" s="46">
        <v>2</v>
      </c>
      <c r="H1170" s="60">
        <f t="shared" si="187"/>
        <v>9.81666666666667</v>
      </c>
      <c r="I1170" s="47">
        <v>3</v>
      </c>
      <c r="J1170" s="14">
        <v>17</v>
      </c>
      <c r="K1170" s="48">
        <f t="shared" si="188"/>
        <v>0.422549019607843</v>
      </c>
      <c r="L1170" s="61">
        <f t="shared" si="189"/>
        <v>7.18333333333333</v>
      </c>
      <c r="M1170" s="46">
        <f t="shared" si="190"/>
        <v>29.45</v>
      </c>
    </row>
    <row r="1171" hidden="1" customHeight="1" outlineLevel="1" spans="1:17">
      <c r="A1171" s="63">
        <v>45612</v>
      </c>
      <c r="B1171" s="63">
        <v>45614</v>
      </c>
      <c r="D1171" s="14">
        <v>9.15</v>
      </c>
      <c r="E1171" s="14">
        <v>1</v>
      </c>
      <c r="F1171" s="46">
        <v>2</v>
      </c>
      <c r="H1171" s="60">
        <f t="shared" si="187"/>
        <v>9.65</v>
      </c>
      <c r="I1171" s="47">
        <v>6</v>
      </c>
      <c r="J1171" s="14">
        <v>17</v>
      </c>
      <c r="K1171" s="48">
        <f t="shared" si="188"/>
        <v>0.432352941176471</v>
      </c>
      <c r="L1171" s="61">
        <f t="shared" si="189"/>
        <v>7.35</v>
      </c>
      <c r="M1171" s="46">
        <f t="shared" si="190"/>
        <v>57.9</v>
      </c>
    </row>
    <row r="1172" hidden="1" customHeight="1" outlineLevel="1" spans="1:17">
      <c r="A1172" s="63">
        <v>45612</v>
      </c>
      <c r="B1172" s="63">
        <v>45617</v>
      </c>
      <c r="D1172" s="14">
        <v>9.15</v>
      </c>
      <c r="E1172" s="14">
        <v>2</v>
      </c>
      <c r="F1172" s="46">
        <v>3</v>
      </c>
      <c r="H1172" s="60">
        <f t="shared" si="187"/>
        <v>9.53461538461538</v>
      </c>
      <c r="I1172" s="47">
        <v>13</v>
      </c>
      <c r="J1172" s="14">
        <v>17</v>
      </c>
      <c r="K1172" s="48">
        <f t="shared" si="188"/>
        <v>0.439140271493213</v>
      </c>
      <c r="L1172" s="61">
        <f t="shared" si="189"/>
        <v>7.46538461538462</v>
      </c>
      <c r="M1172" s="46">
        <f t="shared" si="190"/>
        <v>123.95</v>
      </c>
    </row>
    <row r="1173" hidden="1" customHeight="1" outlineLevel="1" spans="1:17">
      <c r="A1173" s="63">
        <v>45612</v>
      </c>
      <c r="B1173" s="37">
        <v>45621</v>
      </c>
      <c r="D1173" s="14">
        <v>9.15</v>
      </c>
      <c r="E1173" s="14">
        <v>0</v>
      </c>
      <c r="F1173" s="46">
        <v>2</v>
      </c>
      <c r="H1173" s="60">
        <f t="shared" si="187"/>
        <v>11.15</v>
      </c>
      <c r="I1173" s="47">
        <v>1</v>
      </c>
      <c r="J1173" s="14">
        <v>17</v>
      </c>
      <c r="K1173" s="48">
        <f t="shared" si="188"/>
        <v>0.344117647058824</v>
      </c>
      <c r="L1173" s="61">
        <f t="shared" si="189"/>
        <v>5.85</v>
      </c>
      <c r="M1173" s="46">
        <f t="shared" si="190"/>
        <v>11.15</v>
      </c>
    </row>
    <row r="1174" hidden="1" customHeight="1" outlineLevel="1" spans="1:17">
      <c r="A1174" s="63">
        <v>45619</v>
      </c>
      <c r="B1174" s="37"/>
      <c r="D1174" s="14">
        <v>9.15</v>
      </c>
      <c r="E1174" s="14">
        <v>1</v>
      </c>
      <c r="H1174" s="60">
        <f t="shared" si="187"/>
        <v>9.48333333333333</v>
      </c>
      <c r="I1174" s="47">
        <v>3</v>
      </c>
      <c r="J1174" s="14">
        <v>17</v>
      </c>
      <c r="K1174" s="48">
        <f t="shared" si="188"/>
        <v>0.442156862745098</v>
      </c>
      <c r="L1174" s="61">
        <f t="shared" si="189"/>
        <v>7.51666666666667</v>
      </c>
      <c r="M1174" s="46">
        <f t="shared" si="190"/>
        <v>28.45</v>
      </c>
    </row>
    <row r="1175" hidden="1" customHeight="1" outlineLevel="1" spans="1:17">
      <c r="A1175" s="63">
        <v>45619</v>
      </c>
      <c r="B1175" s="63">
        <v>45622</v>
      </c>
      <c r="D1175" s="14">
        <v>9.15</v>
      </c>
      <c r="E1175" s="14">
        <v>1</v>
      </c>
      <c r="F1175" s="46">
        <v>2</v>
      </c>
      <c r="H1175" s="60">
        <f t="shared" si="187"/>
        <v>10.65</v>
      </c>
      <c r="I1175" s="47">
        <v>2</v>
      </c>
      <c r="J1175" s="14">
        <v>17</v>
      </c>
      <c r="K1175" s="48">
        <f t="shared" si="188"/>
        <v>0.373529411764706</v>
      </c>
      <c r="L1175" s="61">
        <f t="shared" si="189"/>
        <v>6.35</v>
      </c>
      <c r="M1175" s="46">
        <f t="shared" si="190"/>
        <v>21.3</v>
      </c>
    </row>
    <row r="1176" hidden="1" customHeight="1" outlineLevel="1" spans="1:17">
      <c r="A1176" s="63">
        <v>45619</v>
      </c>
      <c r="B1176" s="63">
        <v>45622</v>
      </c>
      <c r="D1176" s="14">
        <v>9.15</v>
      </c>
      <c r="E1176" s="14">
        <v>1</v>
      </c>
      <c r="F1176" s="46">
        <v>1</v>
      </c>
      <c r="H1176" s="60">
        <f t="shared" si="187"/>
        <v>9.35</v>
      </c>
      <c r="I1176" s="47">
        <v>10</v>
      </c>
      <c r="J1176" s="14">
        <v>17</v>
      </c>
      <c r="K1176" s="48">
        <f t="shared" si="188"/>
        <v>0.45</v>
      </c>
      <c r="L1176" s="61">
        <f t="shared" si="189"/>
        <v>7.65</v>
      </c>
      <c r="M1176" s="46">
        <f t="shared" si="190"/>
        <v>93.5</v>
      </c>
    </row>
    <row r="1177" hidden="1" customHeight="1" outlineLevel="1" spans="1:17">
      <c r="A1177" s="63">
        <v>45628</v>
      </c>
      <c r="B1177" s="63">
        <v>45634</v>
      </c>
      <c r="D1177" s="14">
        <v>9.15</v>
      </c>
      <c r="E1177" s="14">
        <v>2</v>
      </c>
      <c r="F1177" s="46">
        <v>2</v>
      </c>
      <c r="H1177" s="60">
        <f t="shared" si="187"/>
        <v>9.43571428571429</v>
      </c>
      <c r="I1177" s="47">
        <v>14</v>
      </c>
      <c r="J1177" s="14">
        <v>17</v>
      </c>
      <c r="K1177" s="48">
        <f t="shared" si="188"/>
        <v>0.444957983193277</v>
      </c>
      <c r="L1177" s="61">
        <f t="shared" si="189"/>
        <v>7.56428571428571</v>
      </c>
      <c r="M1177" s="46">
        <f t="shared" si="190"/>
        <v>132.1</v>
      </c>
    </row>
    <row r="1178" hidden="1" customHeight="1" outlineLevel="1" spans="1:17">
      <c r="A1178" s="63">
        <v>45628</v>
      </c>
      <c r="B1178" s="37">
        <v>45644</v>
      </c>
      <c r="D1178" s="14">
        <v>9.15</v>
      </c>
      <c r="E1178" s="14">
        <v>0</v>
      </c>
      <c r="F1178" s="46">
        <v>3</v>
      </c>
      <c r="H1178" s="60">
        <f t="shared" si="187"/>
        <v>12.15</v>
      </c>
      <c r="I1178" s="47">
        <v>1</v>
      </c>
      <c r="J1178" s="14">
        <v>17</v>
      </c>
      <c r="K1178" s="48">
        <f t="shared" si="188"/>
        <v>0.285294117647059</v>
      </c>
      <c r="L1178" s="61">
        <f t="shared" si="189"/>
        <v>4.85</v>
      </c>
      <c r="M1178" s="46">
        <f t="shared" si="190"/>
        <v>12.15</v>
      </c>
    </row>
    <row r="1179" hidden="1" customHeight="1" outlineLevel="1" spans="1:17">
      <c r="A1179" s="63">
        <v>45639</v>
      </c>
      <c r="B1179" s="37"/>
      <c r="D1179" s="14">
        <v>9.15</v>
      </c>
      <c r="E1179" s="14">
        <v>3</v>
      </c>
      <c r="H1179" s="60">
        <f t="shared" si="187"/>
        <v>9.35</v>
      </c>
      <c r="I1179" s="47">
        <v>15</v>
      </c>
      <c r="J1179" s="14">
        <v>17</v>
      </c>
      <c r="K1179" s="48">
        <f t="shared" si="188"/>
        <v>0.45</v>
      </c>
      <c r="L1179" s="61">
        <f t="shared" si="189"/>
        <v>7.65</v>
      </c>
      <c r="M1179" s="46">
        <f t="shared" si="190"/>
        <v>140.25</v>
      </c>
    </row>
    <row r="1180" hidden="1" customHeight="1" outlineLevel="1" spans="1:17">
      <c r="A1180" s="63">
        <v>45650</v>
      </c>
      <c r="B1180" s="37">
        <v>45653</v>
      </c>
      <c r="D1180" s="14">
        <v>9.15</v>
      </c>
      <c r="E1180" s="14">
        <v>3</v>
      </c>
      <c r="F1180" s="46">
        <v>3</v>
      </c>
      <c r="H1180" s="60">
        <f t="shared" si="187"/>
        <v>9.35</v>
      </c>
      <c r="I1180" s="47">
        <v>30</v>
      </c>
      <c r="J1180" s="14">
        <v>17</v>
      </c>
      <c r="K1180" s="48">
        <f t="shared" si="188"/>
        <v>0.45</v>
      </c>
      <c r="L1180" s="61">
        <f t="shared" si="189"/>
        <v>7.65</v>
      </c>
      <c r="M1180" s="46">
        <f t="shared" si="190"/>
        <v>280.5</v>
      </c>
    </row>
    <row r="1181" hidden="1" customHeight="1" outlineLevel="1" spans="1:17">
      <c r="A1181" s="63">
        <v>45655</v>
      </c>
      <c r="B1181" s="37">
        <v>45662</v>
      </c>
      <c r="D1181" s="14">
        <v>9.15</v>
      </c>
      <c r="E1181" s="14">
        <v>2</v>
      </c>
      <c r="F1181" s="46">
        <v>5</v>
      </c>
      <c r="H1181" s="60">
        <f t="shared" si="187"/>
        <v>9.39137931034483</v>
      </c>
      <c r="I1181" s="47">
        <v>29</v>
      </c>
      <c r="J1181" s="14">
        <v>17</v>
      </c>
      <c r="K1181" s="48">
        <f t="shared" si="188"/>
        <v>0.447565922920892</v>
      </c>
      <c r="L1181" s="61">
        <f t="shared" si="189"/>
        <v>7.60862068965517</v>
      </c>
      <c r="M1181" s="46">
        <f t="shared" si="190"/>
        <v>272.35</v>
      </c>
      <c r="Q1181" s="13" t="s">
        <v>31</v>
      </c>
    </row>
    <row r="1182" hidden="1" customHeight="1" outlineLevel="1" spans="1:17">
      <c r="A1182" s="63">
        <v>45668</v>
      </c>
      <c r="B1182" s="37">
        <v>45674</v>
      </c>
      <c r="D1182" s="14">
        <v>9.15</v>
      </c>
      <c r="E1182" s="14">
        <v>1</v>
      </c>
      <c r="F1182" s="46">
        <v>2.2</v>
      </c>
      <c r="H1182" s="60">
        <f t="shared" si="187"/>
        <v>9.35</v>
      </c>
      <c r="I1182" s="47">
        <v>16</v>
      </c>
      <c r="J1182" s="14">
        <v>17</v>
      </c>
      <c r="K1182" s="48">
        <f t="shared" si="188"/>
        <v>0.45</v>
      </c>
      <c r="L1182" s="61">
        <f t="shared" si="189"/>
        <v>7.65</v>
      </c>
      <c r="M1182" s="46">
        <f t="shared" si="190"/>
        <v>149.6</v>
      </c>
      <c r="Q1182" s="13"/>
    </row>
    <row r="1183" hidden="1" customHeight="1" outlineLevel="1" spans="1:17">
      <c r="A1183" s="63">
        <v>45668</v>
      </c>
      <c r="B1183" s="37">
        <v>45677</v>
      </c>
      <c r="D1183" s="14">
        <v>9.15</v>
      </c>
      <c r="E1183" s="14">
        <v>1</v>
      </c>
      <c r="F1183" s="46">
        <v>2.5</v>
      </c>
      <c r="H1183" s="60">
        <f t="shared" si="187"/>
        <v>9.53888888888889</v>
      </c>
      <c r="I1183" s="47">
        <v>9</v>
      </c>
      <c r="J1183" s="14">
        <v>17</v>
      </c>
      <c r="K1183" s="48">
        <f t="shared" si="188"/>
        <v>0.438888888888889</v>
      </c>
      <c r="L1183" s="61">
        <f t="shared" si="189"/>
        <v>7.46111111111111</v>
      </c>
      <c r="M1183" s="46">
        <f t="shared" si="190"/>
        <v>85.85</v>
      </c>
      <c r="Q1183" s="13"/>
    </row>
    <row r="1184" hidden="1" customHeight="1" outlineLevel="1" spans="1:17">
      <c r="A1184" s="63">
        <v>45674</v>
      </c>
      <c r="B1184" s="14"/>
      <c r="C1184" s="28"/>
      <c r="D1184" s="14">
        <v>9.15</v>
      </c>
      <c r="E1184" s="14">
        <v>0</v>
      </c>
      <c r="H1184" s="60">
        <f t="shared" si="187"/>
        <v>9.15</v>
      </c>
      <c r="I1184" s="47">
        <v>8</v>
      </c>
      <c r="J1184" s="14">
        <v>17</v>
      </c>
      <c r="K1184" s="48">
        <f t="shared" si="188"/>
        <v>0.461764705882353</v>
      </c>
      <c r="L1184" s="61">
        <f t="shared" si="189"/>
        <v>7.85</v>
      </c>
      <c r="M1184" s="46">
        <f t="shared" si="190"/>
        <v>73.2</v>
      </c>
      <c r="Q1184" s="13"/>
    </row>
    <row r="1185" hidden="1" customHeight="1" outlineLevel="1" spans="1:17">
      <c r="A1185" s="63">
        <v>45674</v>
      </c>
      <c r="B1185" s="24">
        <v>45680</v>
      </c>
      <c r="C1185" s="28"/>
      <c r="D1185" s="14">
        <v>9.15</v>
      </c>
      <c r="E1185" s="14">
        <v>0</v>
      </c>
      <c r="F1185" s="46">
        <v>5</v>
      </c>
      <c r="H1185" s="60">
        <f t="shared" si="187"/>
        <v>9.30625</v>
      </c>
      <c r="I1185" s="47">
        <v>32</v>
      </c>
      <c r="J1185" s="14">
        <v>17</v>
      </c>
      <c r="K1185" s="48">
        <f t="shared" si="188"/>
        <v>0.452573529411765</v>
      </c>
      <c r="L1185" s="61">
        <f t="shared" si="189"/>
        <v>7.69375</v>
      </c>
      <c r="M1185" s="46">
        <f t="shared" si="190"/>
        <v>297.8</v>
      </c>
      <c r="Q1185" s="13"/>
    </row>
    <row r="1186" hidden="1" customHeight="1" outlineLevel="1" spans="1:17">
      <c r="A1186" s="24">
        <v>45693</v>
      </c>
      <c r="B1186" s="24">
        <v>45696</v>
      </c>
      <c r="C1186" s="28"/>
      <c r="D1186" s="14">
        <v>9.15</v>
      </c>
      <c r="E1186" s="14">
        <v>0</v>
      </c>
      <c r="F1186" s="46">
        <v>3</v>
      </c>
      <c r="H1186" s="60">
        <f t="shared" si="187"/>
        <v>9.45</v>
      </c>
      <c r="I1186" s="47">
        <v>10</v>
      </c>
      <c r="J1186" s="14">
        <v>17</v>
      </c>
      <c r="K1186" s="48">
        <f t="shared" si="188"/>
        <v>0.444117647058823</v>
      </c>
      <c r="L1186" s="61">
        <f t="shared" si="189"/>
        <v>7.55</v>
      </c>
      <c r="M1186" s="46">
        <f t="shared" si="190"/>
        <v>94.5</v>
      </c>
      <c r="Q1186" s="13"/>
    </row>
    <row r="1187" hidden="1" customHeight="1" outlineLevel="1" spans="1:17">
      <c r="A1187" s="24">
        <v>45703</v>
      </c>
      <c r="B1187" s="24">
        <v>45709</v>
      </c>
      <c r="C1187" s="28"/>
      <c r="D1187" s="14">
        <v>9.15</v>
      </c>
      <c r="E1187" s="14">
        <v>0</v>
      </c>
      <c r="F1187" s="46">
        <v>3</v>
      </c>
      <c r="H1187" s="60">
        <f t="shared" si="187"/>
        <v>9.38076923076923</v>
      </c>
      <c r="I1187" s="47">
        <v>13</v>
      </c>
      <c r="J1187" s="14">
        <v>17</v>
      </c>
      <c r="K1187" s="48">
        <f t="shared" si="188"/>
        <v>0.448190045248869</v>
      </c>
      <c r="L1187" s="61">
        <f t="shared" si="189"/>
        <v>7.61923076923077</v>
      </c>
      <c r="M1187" s="46">
        <f t="shared" si="190"/>
        <v>121.95</v>
      </c>
      <c r="Q1187" s="13"/>
    </row>
    <row r="1188" hidden="1" customHeight="1" outlineLevel="1" spans="1:17">
      <c r="A1188" s="24">
        <v>45703</v>
      </c>
      <c r="B1188" s="24">
        <v>45712</v>
      </c>
      <c r="C1188" s="28"/>
      <c r="D1188" s="14">
        <v>9.15</v>
      </c>
      <c r="E1188" s="14">
        <v>0</v>
      </c>
      <c r="F1188" s="46">
        <v>4</v>
      </c>
      <c r="H1188" s="60">
        <f t="shared" si="187"/>
        <v>9.38529411764706</v>
      </c>
      <c r="I1188" s="47">
        <v>17</v>
      </c>
      <c r="J1188" s="14">
        <v>17</v>
      </c>
      <c r="K1188" s="48">
        <f t="shared" si="188"/>
        <v>0.447923875432526</v>
      </c>
      <c r="L1188" s="61">
        <f t="shared" si="189"/>
        <v>7.61470588235294</v>
      </c>
      <c r="M1188" s="46">
        <f t="shared" si="190"/>
        <v>159.55</v>
      </c>
      <c r="Q1188" s="13"/>
    </row>
    <row r="1189" customHeight="1" collapsed="1" spans="1:17">
      <c r="A1189" s="24">
        <v>45813</v>
      </c>
      <c r="B1189" s="33">
        <v>45814</v>
      </c>
      <c r="C1189" s="26" t="s">
        <v>119</v>
      </c>
      <c r="D1189" s="14">
        <v>9</v>
      </c>
      <c r="E1189" s="14">
        <v>1</v>
      </c>
      <c r="F1189" s="46">
        <v>2</v>
      </c>
      <c r="H1189" s="60">
        <f t="shared" si="187"/>
        <v>9.6</v>
      </c>
      <c r="I1189" s="47">
        <v>5</v>
      </c>
      <c r="J1189" s="14">
        <v>17.38</v>
      </c>
      <c r="K1189" s="48">
        <f t="shared" si="188"/>
        <v>0.447640966628308</v>
      </c>
      <c r="L1189" s="61">
        <f t="shared" si="189"/>
        <v>7.78</v>
      </c>
      <c r="M1189" s="46">
        <f t="shared" si="190"/>
        <v>48</v>
      </c>
    </row>
    <row r="1190" hidden="1" customHeight="1" outlineLevel="2" spans="1:17">
      <c r="A1190" s="24">
        <v>45825</v>
      </c>
      <c r="B1190" s="24">
        <v>45828</v>
      </c>
      <c r="D1190" s="14">
        <v>9</v>
      </c>
      <c r="E1190" s="14">
        <v>0</v>
      </c>
      <c r="F1190" s="46">
        <v>1</v>
      </c>
      <c r="H1190" s="60">
        <f t="shared" si="187"/>
        <v>9.2</v>
      </c>
      <c r="I1190" s="47">
        <v>5</v>
      </c>
      <c r="J1190" s="14">
        <v>17.38</v>
      </c>
      <c r="K1190" s="48">
        <f t="shared" si="188"/>
        <v>0.470655926352129</v>
      </c>
      <c r="L1190" s="61">
        <f t="shared" si="189"/>
        <v>8.18</v>
      </c>
      <c r="M1190" s="46">
        <f t="shared" si="190"/>
        <v>46</v>
      </c>
    </row>
    <row r="1191" customHeight="1" collapsed="1" spans="1:17">
      <c r="A1191" s="24">
        <v>45740</v>
      </c>
      <c r="B1191" s="24">
        <v>45746</v>
      </c>
      <c r="C1191" s="22" t="s">
        <v>120</v>
      </c>
      <c r="D1191" s="14">
        <f>0.48*20</f>
        <v>9.6</v>
      </c>
      <c r="E1191" s="14">
        <v>0</v>
      </c>
      <c r="F1191" s="46">
        <v>1</v>
      </c>
      <c r="H1191" s="60">
        <f t="shared" si="187"/>
        <v>9.8</v>
      </c>
      <c r="I1191" s="47">
        <v>5</v>
      </c>
      <c r="J1191" s="14">
        <v>86.76</v>
      </c>
      <c r="K1191" s="48">
        <f t="shared" si="188"/>
        <v>0.887044721069617</v>
      </c>
      <c r="L1191" s="61">
        <f t="shared" si="189"/>
        <v>76.96</v>
      </c>
      <c r="M1191" s="46">
        <f t="shared" si="190"/>
        <v>49</v>
      </c>
      <c r="Q1191" s="1" t="str">
        <f>_xlfn.DISPIMG("ID_0AEF78A74A034CDEA3126CC827AFFEA9",1)</f>
        <v>=DISPIMG("ID_0AEF78A74A034CDEA3126CC827AFFEA9",1)</v>
      </c>
    </row>
    <row r="1192" hidden="1" customHeight="1" outlineLevel="1" spans="1:17">
      <c r="A1192" s="24">
        <v>45740</v>
      </c>
      <c r="B1192" s="24">
        <v>45746</v>
      </c>
      <c r="C1192" s="22" t="s">
        <v>121</v>
      </c>
      <c r="D1192" s="14">
        <f>0.73*20</f>
        <v>14.6</v>
      </c>
      <c r="E1192" s="14">
        <v>0</v>
      </c>
      <c r="F1192" s="46">
        <v>1</v>
      </c>
      <c r="H1192" s="60">
        <f t="shared" si="187"/>
        <v>14.8</v>
      </c>
      <c r="I1192" s="47">
        <v>5</v>
      </c>
      <c r="J1192" s="14">
        <v>108.47</v>
      </c>
      <c r="K1192" s="48">
        <f t="shared" si="188"/>
        <v>0.863556743800129</v>
      </c>
      <c r="L1192" s="61">
        <f t="shared" si="189"/>
        <v>93.67</v>
      </c>
      <c r="M1192" s="46">
        <f t="shared" si="190"/>
        <v>74</v>
      </c>
      <c r="Q1192" s="1"/>
    </row>
    <row r="1193" customHeight="1" collapsed="1" spans="1:17">
      <c r="A1193" s="24">
        <v>45698</v>
      </c>
      <c r="B1193" s="24">
        <v>45700</v>
      </c>
      <c r="C1193" s="13" t="s">
        <v>122</v>
      </c>
      <c r="D1193" s="14">
        <f t="shared" ref="D1193:D1209" si="191">0.12*20</f>
        <v>2.4</v>
      </c>
      <c r="E1193" s="14">
        <v>0</v>
      </c>
      <c r="F1193" s="46">
        <v>2</v>
      </c>
      <c r="H1193" s="60">
        <f t="shared" si="187"/>
        <v>2.53333333333333</v>
      </c>
      <c r="I1193" s="47">
        <v>15</v>
      </c>
      <c r="J1193" s="14">
        <v>4.75</v>
      </c>
      <c r="K1193" s="48">
        <f t="shared" si="188"/>
        <v>0.466666666666667</v>
      </c>
      <c r="L1193" s="61">
        <f t="shared" si="189"/>
        <v>2.21666666666667</v>
      </c>
      <c r="M1193" s="46">
        <f t="shared" si="190"/>
        <v>38</v>
      </c>
      <c r="Q1193" s="13" t="s">
        <v>123</v>
      </c>
    </row>
    <row r="1194" hidden="1" customHeight="1" outlineLevel="1" spans="1:17">
      <c r="A1194" s="24">
        <v>45711</v>
      </c>
      <c r="B1194" s="24">
        <v>45714</v>
      </c>
      <c r="D1194" s="14">
        <f t="shared" si="191"/>
        <v>2.4</v>
      </c>
      <c r="E1194" s="14">
        <v>0</v>
      </c>
      <c r="F1194" s="46">
        <v>2</v>
      </c>
      <c r="H1194" s="60">
        <f t="shared" si="187"/>
        <v>2.6</v>
      </c>
      <c r="I1194" s="47">
        <v>10</v>
      </c>
      <c r="J1194" s="14">
        <v>4.75</v>
      </c>
      <c r="K1194" s="48">
        <f t="shared" si="188"/>
        <v>0.452631578947368</v>
      </c>
      <c r="L1194" s="61">
        <f t="shared" si="189"/>
        <v>2.15</v>
      </c>
      <c r="M1194" s="46">
        <f t="shared" si="190"/>
        <v>26</v>
      </c>
    </row>
    <row r="1195" hidden="1" customHeight="1" outlineLevel="1" spans="1:17">
      <c r="A1195" s="24">
        <v>45714</v>
      </c>
      <c r="B1195" s="24">
        <v>45717</v>
      </c>
      <c r="D1195" s="14">
        <f t="shared" si="191"/>
        <v>2.4</v>
      </c>
      <c r="E1195" s="14">
        <v>1</v>
      </c>
      <c r="F1195" s="46">
        <v>2</v>
      </c>
      <c r="H1195" s="60">
        <f t="shared" si="187"/>
        <v>2.55</v>
      </c>
      <c r="I1195" s="47">
        <v>20</v>
      </c>
      <c r="J1195" s="14">
        <v>4.75</v>
      </c>
      <c r="K1195" s="48">
        <f t="shared" si="188"/>
        <v>0.463157894736842</v>
      </c>
      <c r="L1195" s="61">
        <f t="shared" si="189"/>
        <v>2.2</v>
      </c>
      <c r="M1195" s="46">
        <f t="shared" si="190"/>
        <v>51</v>
      </c>
    </row>
    <row r="1196" hidden="1" customHeight="1" outlineLevel="1" spans="1:17">
      <c r="A1196" s="24">
        <v>45717</v>
      </c>
      <c r="B1196" s="24">
        <v>45720</v>
      </c>
      <c r="D1196" s="14">
        <f t="shared" si="191"/>
        <v>2.4</v>
      </c>
      <c r="E1196" s="14">
        <v>1</v>
      </c>
      <c r="F1196" s="46">
        <v>2</v>
      </c>
      <c r="H1196" s="60">
        <f t="shared" si="187"/>
        <v>2.55</v>
      </c>
      <c r="I1196" s="47">
        <v>20</v>
      </c>
      <c r="J1196" s="14">
        <v>4.75</v>
      </c>
      <c r="K1196" s="48">
        <f t="shared" si="188"/>
        <v>0.463157894736842</v>
      </c>
      <c r="L1196" s="61">
        <f t="shared" si="189"/>
        <v>2.2</v>
      </c>
      <c r="M1196" s="46">
        <f t="shared" si="190"/>
        <v>51</v>
      </c>
    </row>
    <row r="1197" hidden="1" customHeight="1" outlineLevel="1" spans="1:17">
      <c r="A1197" s="24">
        <v>45718</v>
      </c>
      <c r="B1197" s="24">
        <v>45721</v>
      </c>
      <c r="D1197" s="14">
        <f t="shared" si="191"/>
        <v>2.4</v>
      </c>
      <c r="E1197" s="14">
        <v>1</v>
      </c>
      <c r="F1197" s="46">
        <v>2</v>
      </c>
      <c r="H1197" s="60">
        <f t="shared" si="187"/>
        <v>2.45454545454545</v>
      </c>
      <c r="I1197" s="47">
        <v>55</v>
      </c>
      <c r="J1197" s="14">
        <v>4.75</v>
      </c>
      <c r="K1197" s="48">
        <f t="shared" si="188"/>
        <v>0.483253588516746</v>
      </c>
      <c r="L1197" s="61">
        <f t="shared" si="189"/>
        <v>2.29545454545455</v>
      </c>
      <c r="M1197" s="46">
        <f t="shared" si="190"/>
        <v>135</v>
      </c>
    </row>
    <row r="1198" hidden="1" customHeight="1" outlineLevel="1" spans="1:17">
      <c r="A1198" s="24">
        <v>45718</v>
      </c>
      <c r="B1198" s="24">
        <v>45722</v>
      </c>
      <c r="D1198" s="14">
        <f t="shared" si="191"/>
        <v>2.4</v>
      </c>
      <c r="E1198" s="14">
        <v>0</v>
      </c>
      <c r="F1198" s="46">
        <v>2</v>
      </c>
      <c r="H1198" s="60">
        <f t="shared" si="187"/>
        <v>2.55384615384615</v>
      </c>
      <c r="I1198" s="47">
        <v>13</v>
      </c>
      <c r="J1198" s="14">
        <v>4.75</v>
      </c>
      <c r="K1198" s="48">
        <f t="shared" si="188"/>
        <v>0.462348178137652</v>
      </c>
      <c r="L1198" s="61">
        <f t="shared" si="189"/>
        <v>2.19615384615385</v>
      </c>
      <c r="M1198" s="46">
        <f t="shared" si="190"/>
        <v>33.2</v>
      </c>
    </row>
    <row r="1199" hidden="1" customHeight="1" outlineLevel="1" spans="1:17">
      <c r="A1199" s="24">
        <v>45718</v>
      </c>
      <c r="B1199" s="24">
        <v>45724</v>
      </c>
      <c r="D1199" s="14">
        <f t="shared" si="191"/>
        <v>2.4</v>
      </c>
      <c r="E1199" s="14">
        <v>0</v>
      </c>
      <c r="F1199" s="46">
        <v>0</v>
      </c>
      <c r="H1199" s="60">
        <f t="shared" si="187"/>
        <v>2.4</v>
      </c>
      <c r="I1199" s="47">
        <v>2</v>
      </c>
      <c r="J1199" s="14">
        <v>4.75</v>
      </c>
      <c r="K1199" s="48">
        <f t="shared" si="188"/>
        <v>0.494736842105263</v>
      </c>
      <c r="L1199" s="61">
        <f t="shared" si="189"/>
        <v>2.35</v>
      </c>
      <c r="M1199" s="46">
        <f t="shared" si="190"/>
        <v>4.8</v>
      </c>
    </row>
    <row r="1200" hidden="1" customHeight="1" outlineLevel="1" spans="1:17">
      <c r="A1200" s="24">
        <v>45724</v>
      </c>
      <c r="B1200" s="24">
        <v>45726</v>
      </c>
      <c r="D1200" s="14">
        <f t="shared" si="191"/>
        <v>2.4</v>
      </c>
      <c r="E1200" s="14">
        <v>3</v>
      </c>
      <c r="F1200" s="46">
        <v>1</v>
      </c>
      <c r="H1200" s="60">
        <f t="shared" si="187"/>
        <v>2.44210526315789</v>
      </c>
      <c r="I1200" s="47">
        <v>95</v>
      </c>
      <c r="J1200" s="14">
        <v>4.75</v>
      </c>
      <c r="K1200" s="48">
        <f t="shared" si="188"/>
        <v>0.485872576177285</v>
      </c>
      <c r="L1200" s="61">
        <f t="shared" si="189"/>
        <v>2.30789473684211</v>
      </c>
      <c r="M1200" s="46">
        <f t="shared" si="190"/>
        <v>232</v>
      </c>
    </row>
    <row r="1201" hidden="1" customHeight="1" outlineLevel="1" spans="1:17">
      <c r="A1201" s="24">
        <v>45730</v>
      </c>
      <c r="B1201" s="24">
        <v>45743</v>
      </c>
      <c r="D1201" s="14">
        <f t="shared" si="191"/>
        <v>2.4</v>
      </c>
      <c r="E1201" s="14">
        <v>1</v>
      </c>
      <c r="F1201" s="46">
        <v>1</v>
      </c>
      <c r="H1201" s="60">
        <f t="shared" si="187"/>
        <v>2.44444444444444</v>
      </c>
      <c r="I1201" s="47">
        <v>45</v>
      </c>
      <c r="J1201" s="14">
        <v>4.75</v>
      </c>
      <c r="K1201" s="48">
        <f t="shared" si="188"/>
        <v>0.485380116959064</v>
      </c>
      <c r="L1201" s="61">
        <f t="shared" si="189"/>
        <v>2.30555555555556</v>
      </c>
      <c r="M1201" s="46">
        <f t="shared" si="190"/>
        <v>110</v>
      </c>
    </row>
    <row r="1202" hidden="1" customHeight="1" outlineLevel="1" spans="1:17">
      <c r="A1202" s="24">
        <v>45751</v>
      </c>
      <c r="B1202" s="24">
        <v>45756</v>
      </c>
      <c r="D1202" s="14">
        <f t="shared" si="191"/>
        <v>2.4</v>
      </c>
      <c r="E1202" s="14">
        <v>6</v>
      </c>
      <c r="F1202" s="46">
        <v>1</v>
      </c>
      <c r="H1202" s="60">
        <f t="shared" si="187"/>
        <v>2.5</v>
      </c>
      <c r="I1202" s="47">
        <v>70</v>
      </c>
      <c r="J1202" s="14">
        <v>4.75</v>
      </c>
      <c r="K1202" s="48">
        <f t="shared" si="188"/>
        <v>0.473684210526316</v>
      </c>
      <c r="L1202" s="61">
        <f t="shared" si="189"/>
        <v>2.25</v>
      </c>
      <c r="M1202" s="46">
        <f t="shared" si="190"/>
        <v>175</v>
      </c>
    </row>
    <row r="1203" hidden="1" customHeight="1" outlineLevel="1" spans="1:17">
      <c r="A1203" s="24">
        <v>45757</v>
      </c>
      <c r="B1203" s="24">
        <v>45761</v>
      </c>
      <c r="D1203" s="14">
        <f t="shared" si="191"/>
        <v>2.4</v>
      </c>
      <c r="E1203" s="14">
        <v>2</v>
      </c>
      <c r="F1203" s="46">
        <v>1</v>
      </c>
      <c r="H1203" s="60">
        <f t="shared" si="187"/>
        <v>2.46</v>
      </c>
      <c r="I1203" s="47">
        <v>50</v>
      </c>
      <c r="J1203" s="14">
        <v>4.75</v>
      </c>
      <c r="K1203" s="48">
        <f t="shared" si="188"/>
        <v>0.482105263157895</v>
      </c>
      <c r="L1203" s="61">
        <f t="shared" si="189"/>
        <v>2.29</v>
      </c>
      <c r="M1203" s="46">
        <f t="shared" si="190"/>
        <v>123</v>
      </c>
    </row>
    <row r="1204" hidden="1" customHeight="1" outlineLevel="1" spans="1:17">
      <c r="A1204" s="24">
        <v>45762</v>
      </c>
      <c r="B1204" s="24">
        <v>45765</v>
      </c>
      <c r="D1204" s="14">
        <f t="shared" si="191"/>
        <v>2.4</v>
      </c>
      <c r="E1204" s="14">
        <v>1</v>
      </c>
      <c r="F1204" s="46">
        <v>2</v>
      </c>
      <c r="H1204" s="60">
        <f t="shared" si="187"/>
        <v>2.44285714285714</v>
      </c>
      <c r="I1204" s="47">
        <v>70</v>
      </c>
      <c r="J1204" s="14">
        <v>4.75</v>
      </c>
      <c r="K1204" s="48">
        <f t="shared" si="188"/>
        <v>0.485714285714286</v>
      </c>
      <c r="L1204" s="61">
        <f t="shared" si="189"/>
        <v>2.30714285714286</v>
      </c>
      <c r="M1204" s="46">
        <f t="shared" si="190"/>
        <v>171</v>
      </c>
    </row>
    <row r="1205" hidden="1" customHeight="1" outlineLevel="1" spans="1:17">
      <c r="A1205" s="24">
        <v>45767</v>
      </c>
      <c r="B1205" s="24">
        <v>45796</v>
      </c>
      <c r="D1205" s="14">
        <f t="shared" si="191"/>
        <v>2.4</v>
      </c>
      <c r="E1205" s="14">
        <v>0</v>
      </c>
      <c r="F1205" s="46">
        <v>2</v>
      </c>
      <c r="H1205" s="60">
        <f t="shared" si="187"/>
        <v>2.49090909090909</v>
      </c>
      <c r="I1205" s="47">
        <v>22</v>
      </c>
      <c r="J1205" s="14">
        <v>4.75</v>
      </c>
      <c r="K1205" s="48">
        <f t="shared" si="188"/>
        <v>0.475598086124402</v>
      </c>
      <c r="L1205" s="61">
        <f t="shared" si="189"/>
        <v>2.25909090909091</v>
      </c>
      <c r="M1205" s="46">
        <f t="shared" si="190"/>
        <v>54.8</v>
      </c>
    </row>
    <row r="1206" hidden="1" customHeight="1" outlineLevel="1" spans="1:17">
      <c r="A1206" s="24">
        <v>45767</v>
      </c>
      <c r="B1206" s="24">
        <v>45798</v>
      </c>
      <c r="D1206" s="14">
        <f t="shared" si="191"/>
        <v>2.4</v>
      </c>
      <c r="E1206" s="14">
        <v>0</v>
      </c>
      <c r="F1206" s="46">
        <v>1</v>
      </c>
      <c r="H1206" s="60">
        <f t="shared" si="187"/>
        <v>2.47692307692308</v>
      </c>
      <c r="I1206" s="47">
        <v>13</v>
      </c>
      <c r="J1206" s="14">
        <v>4.75</v>
      </c>
      <c r="K1206" s="48">
        <f t="shared" si="188"/>
        <v>0.478542510121457</v>
      </c>
      <c r="L1206" s="61">
        <f t="shared" si="189"/>
        <v>2.27307692307692</v>
      </c>
      <c r="M1206" s="46">
        <f t="shared" si="190"/>
        <v>32.2</v>
      </c>
    </row>
    <row r="1207" hidden="1" customHeight="1" outlineLevel="1" spans="1:17">
      <c r="A1207" s="24">
        <v>45767</v>
      </c>
      <c r="B1207" s="24">
        <v>45818</v>
      </c>
      <c r="D1207" s="14">
        <f t="shared" si="191"/>
        <v>2.4</v>
      </c>
      <c r="E1207" s="14">
        <v>0</v>
      </c>
      <c r="F1207" s="46">
        <v>2</v>
      </c>
      <c r="H1207" s="60">
        <f t="shared" si="187"/>
        <v>2.53333333333333</v>
      </c>
      <c r="I1207" s="47">
        <v>15</v>
      </c>
      <c r="J1207" s="14">
        <v>4.75</v>
      </c>
      <c r="K1207" s="48">
        <f t="shared" si="188"/>
        <v>0.466666666666667</v>
      </c>
      <c r="L1207" s="61">
        <f t="shared" si="189"/>
        <v>2.21666666666667</v>
      </c>
      <c r="M1207" s="46">
        <f t="shared" si="190"/>
        <v>38</v>
      </c>
    </row>
    <row r="1208" hidden="1" customHeight="1" outlineLevel="1" spans="1:17">
      <c r="A1208" s="24">
        <v>45825</v>
      </c>
      <c r="B1208" s="24">
        <v>45828</v>
      </c>
      <c r="D1208" s="14">
        <f t="shared" si="191"/>
        <v>2.4</v>
      </c>
      <c r="E1208" s="14">
        <v>0</v>
      </c>
      <c r="F1208" s="46">
        <v>2</v>
      </c>
      <c r="H1208" s="60">
        <f t="shared" si="187"/>
        <v>2.46666666666667</v>
      </c>
      <c r="I1208" s="47">
        <v>30</v>
      </c>
      <c r="J1208" s="14">
        <v>4.75</v>
      </c>
      <c r="K1208" s="48">
        <f t="shared" si="188"/>
        <v>0.480701754385965</v>
      </c>
      <c r="L1208" s="61">
        <f t="shared" si="189"/>
        <v>2.28333333333333</v>
      </c>
      <c r="M1208" s="46">
        <f t="shared" si="190"/>
        <v>74</v>
      </c>
    </row>
    <row r="1209" customHeight="1" spans="1:17">
      <c r="A1209" s="24">
        <v>45730</v>
      </c>
      <c r="B1209" s="24">
        <v>45732</v>
      </c>
      <c r="C1209" s="13" t="s">
        <v>124</v>
      </c>
      <c r="D1209" s="14">
        <f t="shared" si="191"/>
        <v>2.4</v>
      </c>
      <c r="E1209" s="14">
        <v>1</v>
      </c>
      <c r="F1209" s="46">
        <v>1</v>
      </c>
      <c r="H1209" s="60">
        <f t="shared" ref="H1209:H1272" si="192">D1209+(E1209/I1209)+(F1209/I1209)</f>
        <v>2.6</v>
      </c>
      <c r="I1209" s="47">
        <v>10</v>
      </c>
      <c r="J1209" s="14">
        <v>13.5</v>
      </c>
      <c r="K1209" s="48">
        <f t="shared" ref="K1209:K1272" si="193">(J1209-H1209)/J1209</f>
        <v>0.807407407407407</v>
      </c>
      <c r="L1209" s="61">
        <f t="shared" ref="L1209:L1272" si="194">J1209-H1209</f>
        <v>10.9</v>
      </c>
      <c r="M1209" s="46">
        <f t="shared" ref="M1209:M1272" si="195">D1209*I1209+E1209+F1209</f>
        <v>26</v>
      </c>
      <c r="N1209" s="26"/>
      <c r="O1209" s="26"/>
      <c r="P1209" s="26"/>
      <c r="Q1209" s="26" t="s">
        <v>123</v>
      </c>
    </row>
    <row r="1210" customHeight="1" spans="1:17">
      <c r="A1210" s="24">
        <v>45730</v>
      </c>
      <c r="B1210" s="24">
        <v>45732</v>
      </c>
      <c r="C1210" s="13" t="s">
        <v>125</v>
      </c>
      <c r="D1210" s="14">
        <f>0.25*20</f>
        <v>5</v>
      </c>
      <c r="E1210" s="14">
        <v>1</v>
      </c>
      <c r="F1210" s="46">
        <v>1</v>
      </c>
      <c r="H1210" s="60">
        <f t="shared" si="192"/>
        <v>5.2</v>
      </c>
      <c r="I1210" s="47">
        <v>10</v>
      </c>
      <c r="J1210" s="14">
        <v>13.5</v>
      </c>
      <c r="K1210" s="48">
        <f t="shared" si="193"/>
        <v>0.614814814814815</v>
      </c>
      <c r="L1210" s="61">
        <f t="shared" si="194"/>
        <v>8.3</v>
      </c>
      <c r="M1210" s="46">
        <f t="shared" si="195"/>
        <v>52</v>
      </c>
      <c r="N1210" s="37"/>
      <c r="O1210" s="37"/>
      <c r="P1210" s="37"/>
      <c r="Q1210" s="28" t="s">
        <v>123</v>
      </c>
    </row>
    <row r="1211" customHeight="1" collapsed="1" spans="1:17">
      <c r="A1211" s="24">
        <v>45543</v>
      </c>
      <c r="B1211" s="24">
        <v>45548</v>
      </c>
      <c r="C1211" s="13" t="s">
        <v>126</v>
      </c>
      <c r="D1211" s="14">
        <f t="shared" ref="D1211:D1213" si="196">0.3*6</f>
        <v>1.8</v>
      </c>
      <c r="E1211" s="14">
        <v>6</v>
      </c>
      <c r="F1211" s="46">
        <v>2</v>
      </c>
      <c r="H1211" s="60">
        <f t="shared" si="192"/>
        <v>2.27058823529412</v>
      </c>
      <c r="I1211" s="47">
        <v>17</v>
      </c>
      <c r="J1211" s="14">
        <v>12.9</v>
      </c>
      <c r="K1211" s="48">
        <f t="shared" si="193"/>
        <v>0.823985408116735</v>
      </c>
      <c r="L1211" s="61">
        <f t="shared" si="194"/>
        <v>10.6294117647059</v>
      </c>
      <c r="M1211" s="46">
        <f t="shared" si="195"/>
        <v>38.6</v>
      </c>
      <c r="Q1211" s="13" t="s">
        <v>127</v>
      </c>
    </row>
    <row r="1212" hidden="1" customHeight="1" outlineLevel="1" spans="1:17">
      <c r="A1212" s="24">
        <v>45553</v>
      </c>
      <c r="B1212" s="24">
        <v>45555</v>
      </c>
      <c r="D1212" s="14">
        <f t="shared" si="196"/>
        <v>1.8</v>
      </c>
      <c r="E1212" s="14">
        <v>6</v>
      </c>
      <c r="F1212" s="46">
        <v>2</v>
      </c>
      <c r="H1212" s="60">
        <f t="shared" si="192"/>
        <v>2.12</v>
      </c>
      <c r="I1212" s="47">
        <v>25</v>
      </c>
      <c r="J1212" s="14">
        <v>12.9</v>
      </c>
      <c r="K1212" s="48">
        <f t="shared" si="193"/>
        <v>0.835658914728682</v>
      </c>
      <c r="L1212" s="61">
        <f t="shared" si="194"/>
        <v>10.78</v>
      </c>
      <c r="M1212" s="46">
        <f t="shared" si="195"/>
        <v>53</v>
      </c>
    </row>
    <row r="1213" hidden="1" customHeight="1" outlineLevel="1" spans="1:17">
      <c r="A1213" s="24">
        <v>45565</v>
      </c>
      <c r="B1213" s="24">
        <v>45568</v>
      </c>
      <c r="D1213" s="14">
        <f t="shared" si="196"/>
        <v>1.8</v>
      </c>
      <c r="E1213" s="14">
        <v>6</v>
      </c>
      <c r="F1213" s="46">
        <v>2</v>
      </c>
      <c r="H1213" s="60">
        <f t="shared" si="192"/>
        <v>2.2</v>
      </c>
      <c r="I1213" s="47">
        <v>20</v>
      </c>
      <c r="J1213" s="14">
        <v>12.9</v>
      </c>
      <c r="K1213" s="48">
        <f t="shared" si="193"/>
        <v>0.829457364341085</v>
      </c>
      <c r="L1213" s="61">
        <f t="shared" si="194"/>
        <v>10.7</v>
      </c>
      <c r="M1213" s="46">
        <f t="shared" si="195"/>
        <v>44</v>
      </c>
    </row>
    <row r="1214" hidden="1" customHeight="1" outlineLevel="1" spans="1:17">
      <c r="A1214" s="24">
        <v>45571</v>
      </c>
      <c r="B1214" s="24">
        <v>45574</v>
      </c>
      <c r="D1214" s="14">
        <v>2</v>
      </c>
      <c r="E1214" s="14">
        <v>3</v>
      </c>
      <c r="F1214" s="46">
        <v>2.4</v>
      </c>
      <c r="H1214" s="60">
        <f t="shared" si="192"/>
        <v>2.54</v>
      </c>
      <c r="I1214" s="47">
        <v>10</v>
      </c>
      <c r="J1214" s="14">
        <v>12.9</v>
      </c>
      <c r="K1214" s="48">
        <f t="shared" si="193"/>
        <v>0.803100775193798</v>
      </c>
      <c r="L1214" s="61">
        <f t="shared" si="194"/>
        <v>10.36</v>
      </c>
      <c r="M1214" s="46">
        <f t="shared" si="195"/>
        <v>25.4</v>
      </c>
      <c r="Q1214" s="13" t="s">
        <v>128</v>
      </c>
    </row>
    <row r="1215" hidden="1" customHeight="1" outlineLevel="1" spans="1:17">
      <c r="A1215" s="24">
        <v>45571</v>
      </c>
      <c r="B1215" s="24">
        <v>45575</v>
      </c>
      <c r="D1215" s="14">
        <v>2</v>
      </c>
      <c r="E1215" s="14">
        <v>3</v>
      </c>
      <c r="F1215" s="46">
        <v>2.4</v>
      </c>
      <c r="H1215" s="60">
        <f t="shared" si="192"/>
        <v>2.36</v>
      </c>
      <c r="I1215" s="47">
        <v>15</v>
      </c>
      <c r="J1215" s="14">
        <v>12.9</v>
      </c>
      <c r="K1215" s="48">
        <f t="shared" si="193"/>
        <v>0.817054263565891</v>
      </c>
      <c r="L1215" s="61">
        <f t="shared" si="194"/>
        <v>10.54</v>
      </c>
      <c r="M1215" s="46">
        <f t="shared" si="195"/>
        <v>35.4</v>
      </c>
    </row>
    <row r="1216" hidden="1" customHeight="1" outlineLevel="1" spans="1:17">
      <c r="A1216" s="24">
        <v>45580</v>
      </c>
      <c r="B1216" s="24">
        <v>45582</v>
      </c>
      <c r="D1216" s="14">
        <f t="shared" ref="D1216:D1246" si="197">0.3*6</f>
        <v>1.8</v>
      </c>
      <c r="E1216" s="14">
        <v>1</v>
      </c>
      <c r="F1216" s="46">
        <v>2</v>
      </c>
      <c r="H1216" s="60">
        <f t="shared" si="192"/>
        <v>2.07272727272727</v>
      </c>
      <c r="I1216" s="47">
        <v>11</v>
      </c>
      <c r="J1216" s="14">
        <v>12.9</v>
      </c>
      <c r="K1216" s="48">
        <f t="shared" si="193"/>
        <v>0.839323467230444</v>
      </c>
      <c r="L1216" s="61">
        <f t="shared" si="194"/>
        <v>10.8272727272727</v>
      </c>
      <c r="M1216" s="46">
        <f t="shared" si="195"/>
        <v>22.8</v>
      </c>
    </row>
    <row r="1217" hidden="1" customHeight="1" outlineLevel="1" spans="1:17">
      <c r="A1217" s="24">
        <v>45580</v>
      </c>
      <c r="B1217" s="24">
        <v>45583</v>
      </c>
      <c r="D1217" s="14">
        <f t="shared" si="197"/>
        <v>1.8</v>
      </c>
      <c r="E1217" s="14">
        <v>1</v>
      </c>
      <c r="F1217" s="46">
        <v>1</v>
      </c>
      <c r="H1217" s="60">
        <f t="shared" si="192"/>
        <v>1.95384615384615</v>
      </c>
      <c r="I1217" s="47">
        <v>13</v>
      </c>
      <c r="J1217" s="14">
        <v>12.9</v>
      </c>
      <c r="K1217" s="48">
        <f t="shared" si="193"/>
        <v>0.848539057841383</v>
      </c>
      <c r="L1217" s="61">
        <f t="shared" si="194"/>
        <v>10.9461538461538</v>
      </c>
      <c r="M1217" s="46">
        <f t="shared" si="195"/>
        <v>25.4</v>
      </c>
    </row>
    <row r="1218" hidden="1" customHeight="1" outlineLevel="1" spans="1:17">
      <c r="A1218" s="24">
        <v>45580</v>
      </c>
      <c r="B1218" s="24">
        <v>45586</v>
      </c>
      <c r="D1218" s="14">
        <f t="shared" si="197"/>
        <v>1.8</v>
      </c>
      <c r="E1218" s="14">
        <v>1</v>
      </c>
      <c r="F1218" s="46">
        <v>2</v>
      </c>
      <c r="H1218" s="60">
        <f t="shared" si="192"/>
        <v>2.03076923076923</v>
      </c>
      <c r="I1218" s="47">
        <v>13</v>
      </c>
      <c r="J1218" s="14">
        <v>12.9</v>
      </c>
      <c r="K1218" s="48">
        <f t="shared" si="193"/>
        <v>0.84257602862254</v>
      </c>
      <c r="L1218" s="61">
        <f t="shared" si="194"/>
        <v>10.8692307692308</v>
      </c>
      <c r="M1218" s="46">
        <f t="shared" si="195"/>
        <v>26.4</v>
      </c>
    </row>
    <row r="1219" hidden="1" customHeight="1" outlineLevel="1" spans="1:17">
      <c r="A1219" s="24">
        <v>45580</v>
      </c>
      <c r="B1219" s="24">
        <v>45590</v>
      </c>
      <c r="D1219" s="14">
        <f t="shared" si="197"/>
        <v>1.8</v>
      </c>
      <c r="E1219" s="14">
        <v>1</v>
      </c>
      <c r="F1219" s="46">
        <v>2</v>
      </c>
      <c r="H1219" s="60">
        <f t="shared" si="192"/>
        <v>2.4</v>
      </c>
      <c r="I1219" s="47">
        <v>5</v>
      </c>
      <c r="J1219" s="14">
        <v>12.9</v>
      </c>
      <c r="K1219" s="48">
        <f t="shared" si="193"/>
        <v>0.813953488372093</v>
      </c>
      <c r="L1219" s="61">
        <f t="shared" si="194"/>
        <v>10.5</v>
      </c>
      <c r="M1219" s="46">
        <f t="shared" si="195"/>
        <v>12</v>
      </c>
    </row>
    <row r="1220" hidden="1" customHeight="1" outlineLevel="1" spans="1:17">
      <c r="A1220" s="24">
        <v>45590</v>
      </c>
      <c r="B1220" s="24">
        <v>45593</v>
      </c>
      <c r="D1220" s="14">
        <f t="shared" si="197"/>
        <v>1.8</v>
      </c>
      <c r="E1220" s="14">
        <v>6</v>
      </c>
      <c r="F1220" s="46">
        <v>2</v>
      </c>
      <c r="H1220" s="60">
        <f t="shared" si="192"/>
        <v>2.13333333333333</v>
      </c>
      <c r="I1220" s="47">
        <v>24</v>
      </c>
      <c r="J1220" s="14">
        <v>12.77</v>
      </c>
      <c r="K1220" s="48">
        <f t="shared" si="193"/>
        <v>0.832941790655181</v>
      </c>
      <c r="L1220" s="61">
        <f t="shared" si="194"/>
        <v>10.6366666666667</v>
      </c>
      <c r="M1220" s="46">
        <f t="shared" si="195"/>
        <v>51.2</v>
      </c>
    </row>
    <row r="1221" hidden="1" customHeight="1" outlineLevel="1" spans="1:17">
      <c r="A1221" s="24">
        <v>45590</v>
      </c>
      <c r="B1221" s="24">
        <v>45597</v>
      </c>
      <c r="D1221" s="14">
        <f t="shared" si="197"/>
        <v>1.8</v>
      </c>
      <c r="E1221" s="14">
        <v>6</v>
      </c>
      <c r="F1221" s="46">
        <v>2</v>
      </c>
      <c r="H1221" s="60">
        <f t="shared" si="192"/>
        <v>2.27058823529412</v>
      </c>
      <c r="I1221" s="47">
        <v>17</v>
      </c>
      <c r="J1221" s="14">
        <v>12.77</v>
      </c>
      <c r="K1221" s="48">
        <f t="shared" si="193"/>
        <v>0.822193560274541</v>
      </c>
      <c r="L1221" s="61">
        <f t="shared" si="194"/>
        <v>10.4994117647059</v>
      </c>
      <c r="M1221" s="46">
        <f t="shared" si="195"/>
        <v>38.6</v>
      </c>
    </row>
    <row r="1222" hidden="1" customHeight="1" outlineLevel="1" spans="1:17">
      <c r="A1222" s="24">
        <v>45608</v>
      </c>
      <c r="B1222" s="24">
        <v>45611</v>
      </c>
      <c r="D1222" s="14">
        <f t="shared" si="197"/>
        <v>1.8</v>
      </c>
      <c r="E1222" s="14">
        <v>1</v>
      </c>
      <c r="F1222" s="46">
        <v>2</v>
      </c>
      <c r="H1222" s="60">
        <f t="shared" si="192"/>
        <v>2.01428571428571</v>
      </c>
      <c r="I1222" s="47">
        <v>14</v>
      </c>
      <c r="J1222" s="14">
        <v>12.77</v>
      </c>
      <c r="K1222" s="48">
        <f t="shared" si="193"/>
        <v>0.842264235373084</v>
      </c>
      <c r="L1222" s="61">
        <f t="shared" si="194"/>
        <v>10.7557142857143</v>
      </c>
      <c r="M1222" s="46">
        <f t="shared" si="195"/>
        <v>28.2</v>
      </c>
    </row>
    <row r="1223" hidden="1" customHeight="1" outlineLevel="1" spans="1:17">
      <c r="A1223" s="24">
        <v>45608</v>
      </c>
      <c r="B1223" s="24">
        <v>45616</v>
      </c>
      <c r="D1223" s="14">
        <f t="shared" si="197"/>
        <v>1.8</v>
      </c>
      <c r="E1223" s="14">
        <v>1</v>
      </c>
      <c r="F1223" s="46">
        <v>2</v>
      </c>
      <c r="H1223" s="60">
        <f t="shared" si="192"/>
        <v>2.3</v>
      </c>
      <c r="I1223" s="47">
        <v>6</v>
      </c>
      <c r="J1223" s="14">
        <v>12.77</v>
      </c>
      <c r="K1223" s="48">
        <f t="shared" si="193"/>
        <v>0.819890368050117</v>
      </c>
      <c r="L1223" s="61">
        <f t="shared" si="194"/>
        <v>10.47</v>
      </c>
      <c r="M1223" s="46">
        <f t="shared" si="195"/>
        <v>13.8</v>
      </c>
    </row>
    <row r="1224" hidden="1" customHeight="1" outlineLevel="1" spans="1:17">
      <c r="A1224" s="24">
        <v>45608</v>
      </c>
      <c r="B1224" s="24">
        <v>45619</v>
      </c>
      <c r="D1224" s="14">
        <f t="shared" si="197"/>
        <v>1.8</v>
      </c>
      <c r="E1224" s="14">
        <v>1</v>
      </c>
      <c r="F1224" s="46">
        <v>2</v>
      </c>
      <c r="H1224" s="60">
        <f t="shared" si="192"/>
        <v>2.1</v>
      </c>
      <c r="I1224" s="47">
        <v>10</v>
      </c>
      <c r="J1224" s="14">
        <v>12.77</v>
      </c>
      <c r="K1224" s="48">
        <f t="shared" si="193"/>
        <v>0.835552075176194</v>
      </c>
      <c r="L1224" s="61">
        <f t="shared" si="194"/>
        <v>10.67</v>
      </c>
      <c r="M1224" s="46">
        <f t="shared" si="195"/>
        <v>21</v>
      </c>
      <c r="Q1224" s="13"/>
    </row>
    <row r="1225" hidden="1" customHeight="1" outlineLevel="1" spans="1:17">
      <c r="A1225" s="24">
        <v>45620</v>
      </c>
      <c r="B1225" s="24">
        <v>45623</v>
      </c>
      <c r="D1225" s="14">
        <f t="shared" si="197"/>
        <v>1.8</v>
      </c>
      <c r="E1225" s="14">
        <v>2</v>
      </c>
      <c r="F1225" s="46">
        <v>2</v>
      </c>
      <c r="H1225" s="60">
        <f t="shared" si="192"/>
        <v>3.8</v>
      </c>
      <c r="I1225" s="47">
        <v>2</v>
      </c>
      <c r="J1225" s="14">
        <v>12.77</v>
      </c>
      <c r="K1225" s="48">
        <f t="shared" si="193"/>
        <v>0.702427564604542</v>
      </c>
      <c r="L1225" s="61">
        <f t="shared" si="194"/>
        <v>8.97</v>
      </c>
      <c r="M1225" s="46">
        <f t="shared" si="195"/>
        <v>7.6</v>
      </c>
      <c r="Q1225" s="13" t="s">
        <v>129</v>
      </c>
    </row>
    <row r="1226" hidden="1" customHeight="1" outlineLevel="1" spans="1:17">
      <c r="A1226" s="24">
        <v>45620</v>
      </c>
      <c r="B1226" s="24">
        <v>45623</v>
      </c>
      <c r="D1226" s="14">
        <f t="shared" si="197"/>
        <v>1.8</v>
      </c>
      <c r="E1226" s="14">
        <v>2</v>
      </c>
      <c r="F1226" s="46">
        <v>2</v>
      </c>
      <c r="H1226" s="60">
        <f t="shared" si="192"/>
        <v>2.06666666666667</v>
      </c>
      <c r="I1226" s="47">
        <v>15</v>
      </c>
      <c r="J1226" s="14">
        <v>12.77</v>
      </c>
      <c r="K1226" s="48">
        <f t="shared" si="193"/>
        <v>0.838162359697207</v>
      </c>
      <c r="L1226" s="61">
        <f t="shared" si="194"/>
        <v>10.7033333333333</v>
      </c>
      <c r="M1226" s="46">
        <f t="shared" si="195"/>
        <v>31</v>
      </c>
      <c r="Q1226" s="13"/>
    </row>
    <row r="1227" hidden="1" customHeight="1" outlineLevel="1" spans="1:17">
      <c r="A1227" s="24">
        <v>45620</v>
      </c>
      <c r="B1227" s="24">
        <v>45631</v>
      </c>
      <c r="D1227" s="14">
        <f t="shared" si="197"/>
        <v>1.8</v>
      </c>
      <c r="E1227" s="14">
        <v>2</v>
      </c>
      <c r="F1227" s="46">
        <v>2</v>
      </c>
      <c r="H1227" s="60">
        <f t="shared" si="192"/>
        <v>2.10769230769231</v>
      </c>
      <c r="I1227" s="47">
        <v>13</v>
      </c>
      <c r="J1227" s="14">
        <v>12.77</v>
      </c>
      <c r="K1227" s="48">
        <f t="shared" si="193"/>
        <v>0.834949701825191</v>
      </c>
      <c r="L1227" s="61">
        <f t="shared" si="194"/>
        <v>10.6623076923077</v>
      </c>
      <c r="M1227" s="46">
        <f t="shared" si="195"/>
        <v>27.4</v>
      </c>
    </row>
    <row r="1228" hidden="1" customHeight="1" outlineLevel="1" spans="1:17">
      <c r="A1228" s="24">
        <v>45631</v>
      </c>
      <c r="B1228" s="24">
        <v>45635</v>
      </c>
      <c r="D1228" s="14">
        <f t="shared" si="197"/>
        <v>1.8</v>
      </c>
      <c r="E1228" s="14">
        <v>3</v>
      </c>
      <c r="F1228" s="46">
        <v>4</v>
      </c>
      <c r="H1228" s="60">
        <f t="shared" si="192"/>
        <v>2.26666666666667</v>
      </c>
      <c r="I1228" s="47">
        <v>15</v>
      </c>
      <c r="J1228" s="14">
        <v>8.93</v>
      </c>
      <c r="K1228" s="48">
        <f t="shared" si="193"/>
        <v>0.746173945502053</v>
      </c>
      <c r="L1228" s="80">
        <f t="shared" si="194"/>
        <v>6.66333333333333</v>
      </c>
      <c r="M1228" s="46">
        <f t="shared" si="195"/>
        <v>34</v>
      </c>
    </row>
    <row r="1229" hidden="1" customHeight="1" outlineLevel="1" spans="1:17">
      <c r="A1229" s="24">
        <v>45631</v>
      </c>
      <c r="B1229" s="24">
        <v>45634</v>
      </c>
      <c r="D1229" s="14">
        <f t="shared" si="197"/>
        <v>1.8</v>
      </c>
      <c r="E1229" s="14">
        <v>3</v>
      </c>
      <c r="F1229" s="46">
        <v>2</v>
      </c>
      <c r="H1229" s="60">
        <f t="shared" si="192"/>
        <v>2.09411764705882</v>
      </c>
      <c r="I1229" s="47">
        <v>17</v>
      </c>
      <c r="J1229" s="14">
        <v>8.93</v>
      </c>
      <c r="K1229" s="48">
        <f t="shared" si="193"/>
        <v>0.765496344114354</v>
      </c>
      <c r="L1229" s="80">
        <f t="shared" si="194"/>
        <v>6.83588235294118</v>
      </c>
      <c r="M1229" s="46">
        <f t="shared" si="195"/>
        <v>35.6</v>
      </c>
      <c r="Q1229" s="13" t="s">
        <v>130</v>
      </c>
    </row>
    <row r="1230" hidden="1" customHeight="1" outlineLevel="1" spans="1:17">
      <c r="A1230" s="24">
        <v>45638</v>
      </c>
      <c r="B1230" s="24">
        <v>45645</v>
      </c>
      <c r="D1230" s="14">
        <f t="shared" si="197"/>
        <v>1.8</v>
      </c>
      <c r="E1230" s="14">
        <v>3</v>
      </c>
      <c r="F1230" s="46">
        <v>2</v>
      </c>
      <c r="H1230" s="60">
        <f t="shared" si="192"/>
        <v>2.21666666666667</v>
      </c>
      <c r="I1230" s="47">
        <v>12</v>
      </c>
      <c r="J1230" s="14">
        <v>2.97</v>
      </c>
      <c r="K1230" s="48">
        <f t="shared" si="193"/>
        <v>0.25364758698092</v>
      </c>
      <c r="L1230" s="80">
        <f t="shared" si="194"/>
        <v>0.753333333333334</v>
      </c>
      <c r="M1230" s="46">
        <f t="shared" si="195"/>
        <v>26.6</v>
      </c>
      <c r="Q1230" s="13"/>
    </row>
    <row r="1231" hidden="1" customHeight="1" outlineLevel="1" spans="1:17">
      <c r="A1231" s="24">
        <v>45644</v>
      </c>
      <c r="B1231" s="24">
        <v>45649</v>
      </c>
      <c r="D1231" s="14">
        <f t="shared" si="197"/>
        <v>1.8</v>
      </c>
      <c r="E1231" s="14">
        <v>3</v>
      </c>
      <c r="F1231" s="46">
        <v>2</v>
      </c>
      <c r="H1231" s="60">
        <f t="shared" si="192"/>
        <v>2.18461538461538</v>
      </c>
      <c r="I1231" s="47">
        <v>13</v>
      </c>
      <c r="J1231" s="14">
        <v>2.97</v>
      </c>
      <c r="K1231" s="48">
        <f t="shared" si="193"/>
        <v>0.264439264439265</v>
      </c>
      <c r="L1231" s="80">
        <f t="shared" si="194"/>
        <v>0.785384615384616</v>
      </c>
      <c r="M1231" s="46">
        <f t="shared" si="195"/>
        <v>28.4</v>
      </c>
      <c r="Q1231" s="13"/>
    </row>
    <row r="1232" hidden="1" customHeight="1" outlineLevel="1" spans="1:17">
      <c r="A1232" s="24">
        <v>45644</v>
      </c>
      <c r="B1232" s="37">
        <v>45652</v>
      </c>
      <c r="D1232" s="14">
        <f t="shared" si="197"/>
        <v>1.8</v>
      </c>
      <c r="E1232" s="14">
        <v>1.5</v>
      </c>
      <c r="F1232" s="46">
        <v>3</v>
      </c>
      <c r="H1232" s="60">
        <f t="shared" si="192"/>
        <v>2.55</v>
      </c>
      <c r="I1232" s="47">
        <v>6</v>
      </c>
      <c r="J1232" s="14">
        <v>2.97</v>
      </c>
      <c r="K1232" s="48">
        <f t="shared" si="193"/>
        <v>0.141414141414142</v>
      </c>
      <c r="L1232" s="80">
        <f t="shared" si="194"/>
        <v>0.42</v>
      </c>
      <c r="M1232" s="46">
        <f t="shared" si="195"/>
        <v>15.3</v>
      </c>
      <c r="Q1232" s="13" t="s">
        <v>47</v>
      </c>
    </row>
    <row r="1233" hidden="1" customHeight="1" outlineLevel="1" spans="1:17">
      <c r="A1233" s="24">
        <v>45644</v>
      </c>
      <c r="B1233" s="37"/>
      <c r="D1233" s="14">
        <f t="shared" si="197"/>
        <v>1.8</v>
      </c>
      <c r="E1233" s="14">
        <v>1.5</v>
      </c>
      <c r="H1233" s="60">
        <f t="shared" si="192"/>
        <v>1.87142857142857</v>
      </c>
      <c r="I1233" s="47">
        <v>21</v>
      </c>
      <c r="J1233" s="14">
        <v>2.97</v>
      </c>
      <c r="K1233" s="48">
        <f t="shared" si="193"/>
        <v>0.36988936988937</v>
      </c>
      <c r="L1233" s="80">
        <f t="shared" si="194"/>
        <v>1.09857142857143</v>
      </c>
      <c r="M1233" s="46">
        <f t="shared" si="195"/>
        <v>39.3</v>
      </c>
      <c r="Q1233" s="13"/>
    </row>
    <row r="1234" hidden="1" customHeight="1" outlineLevel="1" spans="1:17">
      <c r="A1234" s="24">
        <v>45650</v>
      </c>
      <c r="B1234" s="37"/>
      <c r="D1234" s="14">
        <f t="shared" si="197"/>
        <v>1.8</v>
      </c>
      <c r="E1234" s="14">
        <v>0</v>
      </c>
      <c r="H1234" s="60">
        <f t="shared" si="192"/>
        <v>1.8</v>
      </c>
      <c r="I1234" s="47">
        <v>90</v>
      </c>
      <c r="J1234" s="14">
        <v>2.97</v>
      </c>
      <c r="K1234" s="48">
        <f t="shared" si="193"/>
        <v>0.393939393939394</v>
      </c>
      <c r="L1234" s="80">
        <f t="shared" si="194"/>
        <v>1.17</v>
      </c>
      <c r="M1234" s="46">
        <f t="shared" si="195"/>
        <v>162</v>
      </c>
      <c r="Q1234" s="13"/>
    </row>
    <row r="1235" hidden="1" customHeight="1" outlineLevel="1" spans="1:17">
      <c r="A1235" s="24">
        <v>45654</v>
      </c>
      <c r="B1235" s="24">
        <v>45657</v>
      </c>
      <c r="D1235" s="14">
        <f t="shared" si="197"/>
        <v>1.8</v>
      </c>
      <c r="E1235" s="14">
        <v>0</v>
      </c>
      <c r="F1235" s="46">
        <v>2</v>
      </c>
      <c r="H1235" s="60">
        <f t="shared" si="192"/>
        <v>1.81388888888889</v>
      </c>
      <c r="I1235" s="47">
        <v>144</v>
      </c>
      <c r="J1235" s="14">
        <v>2.97</v>
      </c>
      <c r="K1235" s="48">
        <f t="shared" si="193"/>
        <v>0.389263000374112</v>
      </c>
      <c r="L1235" s="80">
        <f t="shared" si="194"/>
        <v>1.15611111111111</v>
      </c>
      <c r="M1235" s="46">
        <f t="shared" si="195"/>
        <v>261.2</v>
      </c>
      <c r="Q1235" s="13"/>
    </row>
    <row r="1236" hidden="1" customHeight="1" outlineLevel="1" spans="1:17">
      <c r="A1236" s="24">
        <v>45663</v>
      </c>
      <c r="B1236" s="24">
        <v>45663</v>
      </c>
      <c r="D1236" s="14">
        <f t="shared" si="197"/>
        <v>1.8</v>
      </c>
      <c r="E1236" s="14">
        <v>0</v>
      </c>
      <c r="F1236" s="46">
        <v>1.5</v>
      </c>
      <c r="H1236" s="60">
        <f t="shared" si="192"/>
        <v>1.812</v>
      </c>
      <c r="I1236" s="47">
        <v>125</v>
      </c>
      <c r="J1236" s="14">
        <v>2.97</v>
      </c>
      <c r="K1236" s="48">
        <f t="shared" si="193"/>
        <v>0.38989898989899</v>
      </c>
      <c r="L1236" s="80">
        <f t="shared" si="194"/>
        <v>1.158</v>
      </c>
      <c r="M1236" s="46">
        <f t="shared" si="195"/>
        <v>226.5</v>
      </c>
      <c r="Q1236" s="13"/>
    </row>
    <row r="1237" hidden="1" customHeight="1" outlineLevel="1" spans="1:17">
      <c r="A1237" s="64">
        <v>45664</v>
      </c>
      <c r="B1237" s="24">
        <v>45664</v>
      </c>
      <c r="D1237" s="14">
        <f t="shared" si="197"/>
        <v>1.8</v>
      </c>
      <c r="E1237" s="14">
        <v>2</v>
      </c>
      <c r="F1237" s="46">
        <v>1.5</v>
      </c>
      <c r="H1237" s="60">
        <f t="shared" si="192"/>
        <v>1.82287581699346</v>
      </c>
      <c r="I1237" s="47">
        <v>153</v>
      </c>
      <c r="J1237" s="14">
        <v>2.97</v>
      </c>
      <c r="K1237" s="48">
        <f t="shared" si="193"/>
        <v>0.386237098655399</v>
      </c>
      <c r="L1237" s="80">
        <f t="shared" si="194"/>
        <v>1.14712418300654</v>
      </c>
      <c r="M1237" s="46">
        <f t="shared" si="195"/>
        <v>278.9</v>
      </c>
      <c r="Q1237" s="13"/>
    </row>
    <row r="1238" hidden="1" customHeight="1" outlineLevel="1" spans="1:17">
      <c r="A1238" s="64">
        <v>45669</v>
      </c>
      <c r="B1238" s="24">
        <v>45669</v>
      </c>
      <c r="D1238" s="14">
        <f t="shared" si="197"/>
        <v>1.8</v>
      </c>
      <c r="E1238" s="14">
        <v>0</v>
      </c>
      <c r="F1238" s="46">
        <v>2</v>
      </c>
      <c r="H1238" s="60">
        <f t="shared" si="192"/>
        <v>1.81092896174863</v>
      </c>
      <c r="I1238" s="47">
        <v>183</v>
      </c>
      <c r="J1238" s="14">
        <v>2.97</v>
      </c>
      <c r="K1238" s="48">
        <f t="shared" si="193"/>
        <v>0.390259608838844</v>
      </c>
      <c r="L1238" s="80">
        <f t="shared" si="194"/>
        <v>1.15907103825137</v>
      </c>
      <c r="M1238" s="46">
        <f t="shared" si="195"/>
        <v>331.4</v>
      </c>
      <c r="Q1238" s="13"/>
    </row>
    <row r="1239" hidden="1" customHeight="1" outlineLevel="1" spans="1:17">
      <c r="A1239" s="64">
        <v>45673</v>
      </c>
      <c r="B1239" s="64">
        <v>45673</v>
      </c>
      <c r="D1239" s="14">
        <f t="shared" si="197"/>
        <v>1.8</v>
      </c>
      <c r="E1239" s="14">
        <v>0</v>
      </c>
      <c r="F1239" s="46">
        <v>2</v>
      </c>
      <c r="H1239" s="60">
        <f t="shared" si="192"/>
        <v>1.81104972375691</v>
      </c>
      <c r="I1239" s="47">
        <v>181</v>
      </c>
      <c r="J1239" s="14">
        <v>2.97</v>
      </c>
      <c r="K1239" s="48">
        <f t="shared" si="193"/>
        <v>0.390218948229998</v>
      </c>
      <c r="L1239" s="80">
        <f t="shared" si="194"/>
        <v>1.15895027624309</v>
      </c>
      <c r="M1239" s="46">
        <f t="shared" si="195"/>
        <v>327.8</v>
      </c>
      <c r="Q1239" s="13"/>
    </row>
    <row r="1240" hidden="1" customHeight="1" outlineLevel="1" spans="1:17">
      <c r="A1240" s="64">
        <v>45674</v>
      </c>
      <c r="B1240" s="64">
        <v>45677</v>
      </c>
      <c r="D1240" s="14">
        <f t="shared" si="197"/>
        <v>1.8</v>
      </c>
      <c r="E1240" s="14">
        <v>0</v>
      </c>
      <c r="F1240" s="46">
        <v>0</v>
      </c>
      <c r="H1240" s="60">
        <f t="shared" si="192"/>
        <v>1.8</v>
      </c>
      <c r="I1240" s="47">
        <v>23</v>
      </c>
      <c r="J1240" s="14">
        <v>2.97</v>
      </c>
      <c r="K1240" s="48">
        <f t="shared" si="193"/>
        <v>0.393939393939394</v>
      </c>
      <c r="L1240" s="80">
        <f t="shared" si="194"/>
        <v>1.17</v>
      </c>
      <c r="M1240" s="46">
        <f t="shared" si="195"/>
        <v>41.4</v>
      </c>
      <c r="Q1240" s="13"/>
    </row>
    <row r="1241" hidden="1" customHeight="1" outlineLevel="1" spans="1:17">
      <c r="A1241" s="64">
        <v>45674</v>
      </c>
      <c r="B1241" s="64">
        <v>45679</v>
      </c>
      <c r="D1241" s="14">
        <f t="shared" si="197"/>
        <v>1.8</v>
      </c>
      <c r="E1241" s="14">
        <v>0</v>
      </c>
      <c r="F1241" s="46">
        <v>0</v>
      </c>
      <c r="H1241" s="60">
        <f t="shared" si="192"/>
        <v>1.8</v>
      </c>
      <c r="I1241" s="47">
        <v>79</v>
      </c>
      <c r="J1241" s="14">
        <v>2.97</v>
      </c>
      <c r="K1241" s="48">
        <f t="shared" si="193"/>
        <v>0.393939393939394</v>
      </c>
      <c r="L1241" s="80">
        <f t="shared" si="194"/>
        <v>1.17</v>
      </c>
      <c r="M1241" s="46">
        <f t="shared" si="195"/>
        <v>142.2</v>
      </c>
      <c r="Q1241" s="13"/>
    </row>
    <row r="1242" hidden="1" customHeight="1" outlineLevel="1" spans="1:17">
      <c r="A1242" s="64">
        <v>45680</v>
      </c>
      <c r="B1242" s="64">
        <v>45689</v>
      </c>
      <c r="D1242" s="14">
        <f t="shared" si="197"/>
        <v>1.8</v>
      </c>
      <c r="E1242" s="14">
        <v>0</v>
      </c>
      <c r="F1242" s="46">
        <v>0</v>
      </c>
      <c r="H1242" s="60">
        <f t="shared" si="192"/>
        <v>1.8</v>
      </c>
      <c r="I1242" s="47">
        <v>30</v>
      </c>
      <c r="J1242" s="14">
        <v>2.97</v>
      </c>
      <c r="K1242" s="48">
        <f t="shared" si="193"/>
        <v>0.393939393939394</v>
      </c>
      <c r="L1242" s="80">
        <f t="shared" si="194"/>
        <v>1.17</v>
      </c>
      <c r="M1242" s="46">
        <f t="shared" si="195"/>
        <v>54</v>
      </c>
      <c r="Q1242" s="13"/>
    </row>
    <row r="1243" hidden="1" customHeight="1" outlineLevel="1" spans="1:17">
      <c r="A1243" s="64">
        <v>45680</v>
      </c>
      <c r="B1243" s="64">
        <v>45694</v>
      </c>
      <c r="D1243" s="14">
        <f t="shared" si="197"/>
        <v>1.8</v>
      </c>
      <c r="E1243" s="14">
        <v>0</v>
      </c>
      <c r="F1243" s="46">
        <v>2.5</v>
      </c>
      <c r="H1243" s="60">
        <f t="shared" si="192"/>
        <v>1.82873563218391</v>
      </c>
      <c r="I1243" s="47">
        <v>87</v>
      </c>
      <c r="J1243" s="14">
        <v>2.97</v>
      </c>
      <c r="K1243" s="48">
        <f t="shared" si="193"/>
        <v>0.384264096907775</v>
      </c>
      <c r="L1243" s="80">
        <f t="shared" si="194"/>
        <v>1.14126436781609</v>
      </c>
      <c r="M1243" s="46">
        <f t="shared" si="195"/>
        <v>159.1</v>
      </c>
      <c r="Q1243" s="13"/>
    </row>
    <row r="1244" hidden="1" customHeight="1" outlineLevel="1" spans="1:17">
      <c r="A1244" s="64">
        <v>45694</v>
      </c>
      <c r="B1244" s="64">
        <v>45699</v>
      </c>
      <c r="D1244" s="14">
        <f t="shared" si="197"/>
        <v>1.8</v>
      </c>
      <c r="E1244" s="14">
        <v>0</v>
      </c>
      <c r="F1244" s="46">
        <v>1</v>
      </c>
      <c r="H1244" s="60">
        <f t="shared" si="192"/>
        <v>1.82040816326531</v>
      </c>
      <c r="I1244" s="47">
        <v>49</v>
      </c>
      <c r="J1244" s="14">
        <v>2.97</v>
      </c>
      <c r="K1244" s="48">
        <f t="shared" si="193"/>
        <v>0.38706795849653</v>
      </c>
      <c r="L1244" s="80">
        <f t="shared" si="194"/>
        <v>1.14959183673469</v>
      </c>
      <c r="M1244" s="46">
        <f t="shared" si="195"/>
        <v>89.2</v>
      </c>
      <c r="Q1244" s="13"/>
    </row>
    <row r="1245" hidden="1" customHeight="1" outlineLevel="1" spans="1:17">
      <c r="A1245" s="64">
        <v>45694</v>
      </c>
      <c r="B1245" s="64">
        <v>45701</v>
      </c>
      <c r="D1245" s="14">
        <f t="shared" si="197"/>
        <v>1.8</v>
      </c>
      <c r="E1245" s="14">
        <v>0</v>
      </c>
      <c r="F1245" s="46">
        <v>2</v>
      </c>
      <c r="H1245" s="60">
        <f t="shared" si="192"/>
        <v>1.82222222222222</v>
      </c>
      <c r="I1245" s="47">
        <v>90</v>
      </c>
      <c r="J1245" s="14">
        <v>2.97</v>
      </c>
      <c r="K1245" s="48">
        <f t="shared" si="193"/>
        <v>0.386457164234942</v>
      </c>
      <c r="L1245" s="80">
        <f t="shared" si="194"/>
        <v>1.14777777777778</v>
      </c>
      <c r="M1245" s="46">
        <f t="shared" si="195"/>
        <v>164</v>
      </c>
      <c r="Q1245" s="13"/>
    </row>
    <row r="1246" hidden="1" customHeight="1" outlineLevel="1" spans="1:17">
      <c r="A1246" s="64">
        <v>45705</v>
      </c>
      <c r="B1246" s="64">
        <v>45708</v>
      </c>
      <c r="D1246" s="14">
        <f t="shared" si="197"/>
        <v>1.8</v>
      </c>
      <c r="E1246" s="14">
        <v>0</v>
      </c>
      <c r="F1246" s="46">
        <v>2</v>
      </c>
      <c r="H1246" s="60">
        <f t="shared" si="192"/>
        <v>1.81652892561983</v>
      </c>
      <c r="I1246" s="47">
        <v>121</v>
      </c>
      <c r="J1246" s="14">
        <v>2.97</v>
      </c>
      <c r="K1246" s="48">
        <f t="shared" si="193"/>
        <v>0.388374099117901</v>
      </c>
      <c r="L1246" s="80">
        <f t="shared" si="194"/>
        <v>1.15347107438017</v>
      </c>
      <c r="M1246" s="46">
        <f t="shared" si="195"/>
        <v>219.8</v>
      </c>
      <c r="Q1246" s="13"/>
    </row>
    <row r="1247" hidden="1" customHeight="1" outlineLevel="1" spans="1:17">
      <c r="A1247" s="64">
        <v>45708</v>
      </c>
      <c r="B1247" s="64">
        <v>45713</v>
      </c>
      <c r="D1247" s="14">
        <f>0.26*6</f>
        <v>1.56</v>
      </c>
      <c r="E1247" s="14">
        <v>0</v>
      </c>
      <c r="F1247" s="46">
        <v>2</v>
      </c>
      <c r="H1247" s="60">
        <f t="shared" si="192"/>
        <v>1.57526717557252</v>
      </c>
      <c r="I1247" s="47">
        <v>131</v>
      </c>
      <c r="J1247" s="14">
        <v>2.97</v>
      </c>
      <c r="K1247" s="48">
        <f t="shared" si="193"/>
        <v>0.469607011591744</v>
      </c>
      <c r="L1247" s="80">
        <f t="shared" si="194"/>
        <v>1.39473282442748</v>
      </c>
      <c r="M1247" s="46">
        <f t="shared" si="195"/>
        <v>206.36</v>
      </c>
      <c r="N1247" s="58"/>
      <c r="O1247" s="58"/>
      <c r="P1247" s="58"/>
      <c r="Q1247" s="13"/>
    </row>
    <row r="1248" hidden="1" customHeight="1" outlineLevel="1" spans="1:17">
      <c r="A1248" s="64">
        <v>45714</v>
      </c>
      <c r="B1248" s="64">
        <v>45716</v>
      </c>
      <c r="D1248" s="14">
        <f t="shared" ref="D1248:D1271" si="198">0.26*6+0.1</f>
        <v>1.66</v>
      </c>
      <c r="E1248" s="14">
        <v>0</v>
      </c>
      <c r="F1248" s="46">
        <v>4</v>
      </c>
      <c r="H1248" s="60">
        <f t="shared" si="192"/>
        <v>1.69149606299213</v>
      </c>
      <c r="I1248" s="47">
        <v>127</v>
      </c>
      <c r="J1248" s="14">
        <v>2.97</v>
      </c>
      <c r="K1248" s="48">
        <f t="shared" si="193"/>
        <v>0.430472706063257</v>
      </c>
      <c r="L1248" s="80">
        <f t="shared" si="194"/>
        <v>1.27850393700787</v>
      </c>
      <c r="M1248" s="46">
        <f t="shared" si="195"/>
        <v>214.82</v>
      </c>
      <c r="N1248" s="58"/>
      <c r="O1248" s="58"/>
      <c r="P1248" s="58"/>
      <c r="Q1248" s="13"/>
    </row>
    <row r="1249" hidden="1" customHeight="1" outlineLevel="1" spans="1:17">
      <c r="A1249" s="64">
        <v>45714</v>
      </c>
      <c r="B1249" s="64">
        <v>45727</v>
      </c>
      <c r="D1249" s="14">
        <f t="shared" si="198"/>
        <v>1.66</v>
      </c>
      <c r="E1249" s="14">
        <v>0</v>
      </c>
      <c r="F1249" s="46">
        <v>1</v>
      </c>
      <c r="H1249" s="60">
        <f t="shared" si="192"/>
        <v>1.67492537313433</v>
      </c>
      <c r="I1249" s="47">
        <v>67</v>
      </c>
      <c r="J1249" s="14">
        <v>2.97</v>
      </c>
      <c r="K1249" s="48">
        <f t="shared" si="193"/>
        <v>0.436052062917735</v>
      </c>
      <c r="L1249" s="80">
        <f t="shared" si="194"/>
        <v>1.29507462686567</v>
      </c>
      <c r="M1249" s="46">
        <f t="shared" si="195"/>
        <v>112.22</v>
      </c>
      <c r="N1249" s="58"/>
      <c r="O1249" s="58"/>
      <c r="P1249" s="58"/>
      <c r="Q1249" s="13"/>
    </row>
    <row r="1250" hidden="1" customHeight="1" outlineLevel="1" spans="1:17">
      <c r="A1250" s="64">
        <v>45721</v>
      </c>
      <c r="B1250" s="64">
        <v>45729</v>
      </c>
      <c r="D1250" s="14">
        <f t="shared" si="198"/>
        <v>1.66</v>
      </c>
      <c r="E1250" s="14">
        <v>0</v>
      </c>
      <c r="F1250" s="46">
        <v>2</v>
      </c>
      <c r="H1250" s="60">
        <f t="shared" si="192"/>
        <v>1.67680672268908</v>
      </c>
      <c r="I1250" s="47">
        <v>119</v>
      </c>
      <c r="J1250" s="14">
        <v>2.97</v>
      </c>
      <c r="K1250" s="48">
        <f t="shared" si="193"/>
        <v>0.4354186118892</v>
      </c>
      <c r="L1250" s="80">
        <f t="shared" si="194"/>
        <v>1.29319327731092</v>
      </c>
      <c r="M1250" s="46">
        <f t="shared" si="195"/>
        <v>199.54</v>
      </c>
      <c r="N1250" s="58"/>
      <c r="O1250" s="58"/>
      <c r="P1250" s="58"/>
      <c r="Q1250" s="13"/>
    </row>
    <row r="1251" hidden="1" customHeight="1" outlineLevel="1" spans="1:17">
      <c r="A1251" s="64">
        <v>45729</v>
      </c>
      <c r="B1251" s="64">
        <v>45732</v>
      </c>
      <c r="D1251" s="14">
        <f t="shared" si="198"/>
        <v>1.66</v>
      </c>
      <c r="E1251" s="14">
        <v>0</v>
      </c>
      <c r="F1251" s="46">
        <v>3</v>
      </c>
      <c r="H1251" s="60">
        <f t="shared" si="192"/>
        <v>1.67587301587302</v>
      </c>
      <c r="I1251" s="47">
        <v>189</v>
      </c>
      <c r="J1251" s="14">
        <v>2.97</v>
      </c>
      <c r="K1251" s="48">
        <f t="shared" si="193"/>
        <v>0.435732991288547</v>
      </c>
      <c r="L1251" s="80">
        <f t="shared" si="194"/>
        <v>1.29412698412698</v>
      </c>
      <c r="M1251" s="46">
        <f t="shared" si="195"/>
        <v>316.74</v>
      </c>
      <c r="N1251" s="58"/>
      <c r="O1251" s="58"/>
      <c r="P1251" s="58"/>
      <c r="Q1251" s="13"/>
    </row>
    <row r="1252" hidden="1" customHeight="1" outlineLevel="1" spans="1:17">
      <c r="A1252" s="64">
        <v>45729</v>
      </c>
      <c r="B1252" s="64">
        <v>45740</v>
      </c>
      <c r="D1252" s="14">
        <f t="shared" si="198"/>
        <v>1.66</v>
      </c>
      <c r="E1252" s="14">
        <v>0</v>
      </c>
      <c r="F1252" s="46">
        <v>1</v>
      </c>
      <c r="H1252" s="60">
        <f t="shared" si="192"/>
        <v>1.7225</v>
      </c>
      <c r="I1252" s="47">
        <v>16</v>
      </c>
      <c r="J1252" s="14">
        <v>2.97</v>
      </c>
      <c r="K1252" s="48">
        <f t="shared" si="193"/>
        <v>0.42003367003367</v>
      </c>
      <c r="L1252" s="80">
        <f t="shared" si="194"/>
        <v>1.2475</v>
      </c>
      <c r="M1252" s="46">
        <f t="shared" si="195"/>
        <v>27.56</v>
      </c>
      <c r="N1252" s="58"/>
      <c r="O1252" s="58"/>
      <c r="P1252" s="58"/>
      <c r="Q1252" s="13"/>
    </row>
    <row r="1253" hidden="1" customHeight="1" outlineLevel="1" spans="1:17">
      <c r="A1253" s="64">
        <v>45737</v>
      </c>
      <c r="B1253" s="64">
        <v>45740</v>
      </c>
      <c r="D1253" s="14">
        <f t="shared" si="198"/>
        <v>1.66</v>
      </c>
      <c r="E1253" s="14">
        <v>0</v>
      </c>
      <c r="F1253" s="46">
        <v>1</v>
      </c>
      <c r="H1253" s="60">
        <f t="shared" si="192"/>
        <v>1.67</v>
      </c>
      <c r="I1253" s="47">
        <v>100</v>
      </c>
      <c r="J1253" s="14">
        <v>2.97</v>
      </c>
      <c r="K1253" s="48">
        <f t="shared" si="193"/>
        <v>0.437710437710438</v>
      </c>
      <c r="L1253" s="80">
        <f t="shared" si="194"/>
        <v>1.3</v>
      </c>
      <c r="M1253" s="46">
        <f t="shared" si="195"/>
        <v>167</v>
      </c>
      <c r="N1253" s="58"/>
      <c r="O1253" s="58"/>
      <c r="P1253" s="58"/>
      <c r="Q1253" s="13"/>
    </row>
    <row r="1254" hidden="1" customHeight="1" outlineLevel="1" spans="1:17">
      <c r="A1254" s="64">
        <v>45747</v>
      </c>
      <c r="B1254" s="64">
        <v>45750</v>
      </c>
      <c r="D1254" s="14">
        <f t="shared" si="198"/>
        <v>1.66</v>
      </c>
      <c r="E1254" s="14">
        <v>0</v>
      </c>
      <c r="F1254" s="46">
        <v>1</v>
      </c>
      <c r="H1254" s="60">
        <f t="shared" si="192"/>
        <v>1.66645161290323</v>
      </c>
      <c r="I1254" s="47">
        <v>155</v>
      </c>
      <c r="J1254" s="14">
        <v>2.97</v>
      </c>
      <c r="K1254" s="48">
        <f t="shared" si="193"/>
        <v>0.438905180840665</v>
      </c>
      <c r="L1254" s="80">
        <f t="shared" si="194"/>
        <v>1.30354838709677</v>
      </c>
      <c r="M1254" s="46">
        <f t="shared" si="195"/>
        <v>258.3</v>
      </c>
      <c r="N1254" s="58"/>
      <c r="O1254" s="58"/>
      <c r="P1254" s="58"/>
      <c r="Q1254" s="13"/>
    </row>
    <row r="1255" hidden="1" customHeight="1" outlineLevel="1" spans="1:17">
      <c r="A1255" s="40">
        <v>45751</v>
      </c>
      <c r="B1255" s="37">
        <v>45756</v>
      </c>
      <c r="C1255" s="58"/>
      <c r="D1255" s="14">
        <f t="shared" si="198"/>
        <v>1.66</v>
      </c>
      <c r="E1255" s="14">
        <v>0</v>
      </c>
      <c r="F1255" s="46">
        <v>1</v>
      </c>
      <c r="H1255" s="60">
        <f t="shared" si="192"/>
        <v>1.68439024390244</v>
      </c>
      <c r="I1255" s="47">
        <v>41</v>
      </c>
      <c r="J1255" s="14">
        <v>2.97</v>
      </c>
      <c r="K1255" s="48">
        <f t="shared" si="193"/>
        <v>0.432865237743287</v>
      </c>
      <c r="L1255" s="80">
        <f t="shared" si="194"/>
        <v>1.28560975609756</v>
      </c>
      <c r="M1255" s="46">
        <f t="shared" si="195"/>
        <v>69.06</v>
      </c>
      <c r="N1255" s="58"/>
      <c r="O1255" s="58"/>
      <c r="P1255" s="58"/>
      <c r="Q1255" s="13"/>
    </row>
    <row r="1256" hidden="1" customHeight="1" outlineLevel="1" spans="1:17">
      <c r="A1256" s="40">
        <v>45751</v>
      </c>
      <c r="B1256" s="37">
        <v>45759</v>
      </c>
      <c r="C1256" s="58"/>
      <c r="D1256" s="14">
        <f t="shared" si="198"/>
        <v>1.66</v>
      </c>
      <c r="E1256" s="14">
        <v>0</v>
      </c>
      <c r="F1256" s="46">
        <v>1</v>
      </c>
      <c r="H1256" s="60">
        <f t="shared" si="192"/>
        <v>1.67818181818182</v>
      </c>
      <c r="I1256" s="47">
        <v>55</v>
      </c>
      <c r="J1256" s="14">
        <v>2.97</v>
      </c>
      <c r="K1256" s="48">
        <f t="shared" si="193"/>
        <v>0.434955616773799</v>
      </c>
      <c r="L1256" s="80">
        <f t="shared" si="194"/>
        <v>1.29181818181818</v>
      </c>
      <c r="M1256" s="46">
        <f t="shared" si="195"/>
        <v>92.3</v>
      </c>
      <c r="N1256" s="58"/>
      <c r="O1256" s="58"/>
      <c r="P1256" s="58"/>
      <c r="Q1256" s="13"/>
    </row>
    <row r="1257" hidden="1" customHeight="1" outlineLevel="1" spans="1:17">
      <c r="A1257" s="40">
        <v>45751</v>
      </c>
      <c r="B1257" s="37">
        <v>45761</v>
      </c>
      <c r="C1257" s="58"/>
      <c r="D1257" s="14">
        <f t="shared" si="198"/>
        <v>1.66</v>
      </c>
      <c r="E1257" s="14">
        <v>0</v>
      </c>
      <c r="F1257" s="46">
        <v>1</v>
      </c>
      <c r="H1257" s="60">
        <f t="shared" si="192"/>
        <v>1.68941176470588</v>
      </c>
      <c r="I1257" s="47">
        <v>34</v>
      </c>
      <c r="J1257" s="14">
        <v>2.97</v>
      </c>
      <c r="K1257" s="48">
        <f t="shared" si="193"/>
        <v>0.431174489998019</v>
      </c>
      <c r="L1257" s="80">
        <f t="shared" si="194"/>
        <v>1.28058823529412</v>
      </c>
      <c r="M1257" s="46">
        <f t="shared" si="195"/>
        <v>57.44</v>
      </c>
      <c r="N1257" s="58"/>
      <c r="O1257" s="58"/>
      <c r="P1257" s="58"/>
      <c r="Q1257" s="13"/>
    </row>
    <row r="1258" hidden="1" customHeight="1" outlineLevel="1" spans="1:17">
      <c r="A1258" s="40">
        <v>45751</v>
      </c>
      <c r="B1258" s="37">
        <v>45763</v>
      </c>
      <c r="C1258" s="58"/>
      <c r="D1258" s="14">
        <f t="shared" si="198"/>
        <v>1.66</v>
      </c>
      <c r="E1258" s="14">
        <v>0</v>
      </c>
      <c r="F1258" s="46">
        <v>3</v>
      </c>
      <c r="H1258" s="60">
        <f t="shared" si="192"/>
        <v>1.75677419354839</v>
      </c>
      <c r="I1258" s="47">
        <v>31</v>
      </c>
      <c r="J1258" s="14">
        <v>2.97</v>
      </c>
      <c r="K1258" s="48">
        <f t="shared" si="193"/>
        <v>0.408493537525796</v>
      </c>
      <c r="L1258" s="80">
        <f t="shared" si="194"/>
        <v>1.21322580645161</v>
      </c>
      <c r="M1258" s="46">
        <f t="shared" si="195"/>
        <v>54.46</v>
      </c>
      <c r="N1258" s="58"/>
      <c r="O1258" s="58"/>
      <c r="P1258" s="58"/>
      <c r="Q1258" s="13"/>
    </row>
    <row r="1259" hidden="1" customHeight="1" outlineLevel="1" spans="1:17">
      <c r="A1259" s="40">
        <v>45765</v>
      </c>
      <c r="B1259" s="37">
        <v>45769</v>
      </c>
      <c r="C1259" s="58"/>
      <c r="D1259" s="14">
        <f t="shared" si="198"/>
        <v>1.66</v>
      </c>
      <c r="E1259" s="14">
        <v>0</v>
      </c>
      <c r="F1259" s="46">
        <v>2</v>
      </c>
      <c r="H1259" s="60">
        <f t="shared" si="192"/>
        <v>1.6725</v>
      </c>
      <c r="I1259" s="47">
        <v>160</v>
      </c>
      <c r="J1259" s="14">
        <v>2.97</v>
      </c>
      <c r="K1259" s="48">
        <f t="shared" si="193"/>
        <v>0.436868686868687</v>
      </c>
      <c r="L1259" s="80">
        <f t="shared" si="194"/>
        <v>1.2975</v>
      </c>
      <c r="M1259" s="46">
        <f t="shared" si="195"/>
        <v>267.6</v>
      </c>
      <c r="N1259" s="58"/>
      <c r="O1259" s="58"/>
      <c r="P1259" s="58"/>
      <c r="Q1259" s="13"/>
    </row>
    <row r="1260" hidden="1" customHeight="1" outlineLevel="1" spans="1:17">
      <c r="A1260" s="40">
        <v>45765</v>
      </c>
      <c r="B1260" s="37">
        <v>45770</v>
      </c>
      <c r="C1260" s="58"/>
      <c r="D1260" s="14">
        <f t="shared" si="198"/>
        <v>1.66</v>
      </c>
      <c r="E1260" s="14">
        <v>0</v>
      </c>
      <c r="F1260" s="46">
        <v>0</v>
      </c>
      <c r="H1260" s="60">
        <f t="shared" si="192"/>
        <v>1.66</v>
      </c>
      <c r="I1260" s="47">
        <v>40</v>
      </c>
      <c r="J1260" s="14">
        <v>2.97</v>
      </c>
      <c r="K1260" s="48">
        <f t="shared" si="193"/>
        <v>0.441077441077441</v>
      </c>
      <c r="L1260" s="80">
        <f t="shared" si="194"/>
        <v>1.31</v>
      </c>
      <c r="M1260" s="46">
        <f t="shared" si="195"/>
        <v>66.4</v>
      </c>
      <c r="N1260" s="58"/>
      <c r="O1260" s="58"/>
      <c r="P1260" s="58"/>
      <c r="Q1260" s="13"/>
    </row>
    <row r="1261" hidden="1" customHeight="1" outlineLevel="1" spans="1:17">
      <c r="A1261" s="40">
        <v>45765</v>
      </c>
      <c r="B1261" s="37">
        <v>45773</v>
      </c>
      <c r="C1261" s="58"/>
      <c r="D1261" s="14">
        <f t="shared" si="198"/>
        <v>1.66</v>
      </c>
      <c r="E1261" s="14">
        <v>0</v>
      </c>
      <c r="F1261" s="46">
        <v>1</v>
      </c>
      <c r="H1261" s="60">
        <f t="shared" si="192"/>
        <v>1.70166666666667</v>
      </c>
      <c r="I1261" s="47">
        <v>24</v>
      </c>
      <c r="J1261" s="14">
        <v>2.97</v>
      </c>
      <c r="K1261" s="48">
        <f t="shared" si="193"/>
        <v>0.427048260381594</v>
      </c>
      <c r="L1261" s="80">
        <f t="shared" si="194"/>
        <v>1.26833333333333</v>
      </c>
      <c r="M1261" s="46">
        <f t="shared" si="195"/>
        <v>40.84</v>
      </c>
      <c r="N1261" s="58"/>
      <c r="O1261" s="58"/>
      <c r="P1261" s="58"/>
      <c r="Q1261" s="13"/>
    </row>
    <row r="1262" hidden="1" customHeight="1" outlineLevel="1" spans="1:17">
      <c r="A1262" s="40">
        <v>45765</v>
      </c>
      <c r="B1262" s="37">
        <v>45781</v>
      </c>
      <c r="C1262" s="58"/>
      <c r="D1262" s="14">
        <f t="shared" si="198"/>
        <v>1.66</v>
      </c>
      <c r="E1262" s="14">
        <v>0</v>
      </c>
      <c r="F1262" s="46">
        <v>3</v>
      </c>
      <c r="H1262" s="60">
        <f t="shared" si="192"/>
        <v>1.74823529411765</v>
      </c>
      <c r="I1262" s="47">
        <v>34</v>
      </c>
      <c r="J1262" s="14">
        <v>2.97</v>
      </c>
      <c r="K1262" s="48">
        <f t="shared" si="193"/>
        <v>0.411368587839176</v>
      </c>
      <c r="L1262" s="80">
        <f t="shared" si="194"/>
        <v>1.22176470588235</v>
      </c>
      <c r="M1262" s="46">
        <f t="shared" si="195"/>
        <v>59.44</v>
      </c>
      <c r="N1262" s="58"/>
      <c r="O1262" s="58"/>
      <c r="P1262" s="58"/>
      <c r="Q1262" s="13"/>
    </row>
    <row r="1263" hidden="1" customHeight="1" outlineLevel="1" spans="1:17">
      <c r="A1263" s="40">
        <v>45781</v>
      </c>
      <c r="B1263" s="37">
        <v>45782</v>
      </c>
      <c r="C1263" s="58"/>
      <c r="D1263" s="14">
        <f t="shared" si="198"/>
        <v>1.66</v>
      </c>
      <c r="E1263" s="14">
        <v>0</v>
      </c>
      <c r="F1263" s="46">
        <v>3</v>
      </c>
      <c r="H1263" s="60">
        <f t="shared" si="192"/>
        <v>1.67492537313433</v>
      </c>
      <c r="I1263" s="47">
        <v>201</v>
      </c>
      <c r="J1263" s="14">
        <v>2.97</v>
      </c>
      <c r="K1263" s="48">
        <f t="shared" si="193"/>
        <v>0.436052062917735</v>
      </c>
      <c r="L1263" s="80">
        <f t="shared" si="194"/>
        <v>1.29507462686567</v>
      </c>
      <c r="M1263" s="46">
        <f t="shared" si="195"/>
        <v>336.66</v>
      </c>
      <c r="N1263" s="58"/>
      <c r="O1263" s="58"/>
      <c r="P1263" s="58"/>
      <c r="Q1263" s="13"/>
    </row>
    <row r="1264" hidden="1" customHeight="1" outlineLevel="1" spans="1:17">
      <c r="A1264" s="40">
        <v>45785</v>
      </c>
      <c r="B1264" s="37">
        <v>45787</v>
      </c>
      <c r="C1264" s="58"/>
      <c r="D1264" s="14">
        <f t="shared" si="198"/>
        <v>1.66</v>
      </c>
      <c r="E1264" s="14">
        <v>0</v>
      </c>
      <c r="F1264" s="46">
        <v>1</v>
      </c>
      <c r="H1264" s="60">
        <f t="shared" si="192"/>
        <v>1.66662251655629</v>
      </c>
      <c r="I1264" s="47">
        <v>151</v>
      </c>
      <c r="J1264" s="14">
        <v>2.97</v>
      </c>
      <c r="K1264" s="48">
        <f t="shared" si="193"/>
        <v>0.438847637523134</v>
      </c>
      <c r="L1264" s="80">
        <f t="shared" si="194"/>
        <v>1.30337748344371</v>
      </c>
      <c r="M1264" s="46">
        <f t="shared" si="195"/>
        <v>251.66</v>
      </c>
      <c r="N1264" s="58"/>
      <c r="O1264" s="58"/>
      <c r="P1264" s="58"/>
      <c r="Q1264" s="13"/>
    </row>
    <row r="1265" hidden="1" customHeight="1" outlineLevel="1" spans="1:22">
      <c r="A1265" s="40">
        <v>45792</v>
      </c>
      <c r="B1265" s="37">
        <v>45795</v>
      </c>
      <c r="C1265" s="58"/>
      <c r="D1265" s="14">
        <f t="shared" si="198"/>
        <v>1.66</v>
      </c>
      <c r="E1265" s="14">
        <v>0</v>
      </c>
      <c r="F1265" s="46">
        <v>3</v>
      </c>
      <c r="H1265" s="60">
        <f t="shared" si="192"/>
        <v>1.68727272727273</v>
      </c>
      <c r="I1265" s="47">
        <v>110</v>
      </c>
      <c r="J1265" s="14">
        <v>2.97</v>
      </c>
      <c r="K1265" s="48">
        <f t="shared" si="193"/>
        <v>0.431894704621977</v>
      </c>
      <c r="L1265" s="80">
        <f t="shared" si="194"/>
        <v>1.28272727272727</v>
      </c>
      <c r="M1265" s="46">
        <f t="shared" si="195"/>
        <v>185.6</v>
      </c>
      <c r="N1265" s="58"/>
      <c r="O1265" s="58"/>
      <c r="P1265" s="58"/>
      <c r="Q1265" s="13"/>
    </row>
    <row r="1266" hidden="1" customHeight="1" outlineLevel="1" spans="1:22">
      <c r="A1266" s="40">
        <v>45792</v>
      </c>
      <c r="B1266" s="37">
        <v>45800</v>
      </c>
      <c r="C1266" s="58"/>
      <c r="D1266" s="14">
        <f t="shared" si="198"/>
        <v>1.66</v>
      </c>
      <c r="E1266" s="14">
        <v>0</v>
      </c>
      <c r="F1266" s="46">
        <v>1</v>
      </c>
      <c r="H1266" s="60">
        <f t="shared" si="192"/>
        <v>1.67470588235294</v>
      </c>
      <c r="I1266" s="47">
        <v>68</v>
      </c>
      <c r="J1266" s="14">
        <v>2.97</v>
      </c>
      <c r="K1266" s="48">
        <f t="shared" si="193"/>
        <v>0.43612596553773</v>
      </c>
      <c r="L1266" s="80">
        <f t="shared" si="194"/>
        <v>1.29529411764706</v>
      </c>
      <c r="M1266" s="46">
        <f t="shared" si="195"/>
        <v>113.88</v>
      </c>
      <c r="N1266" s="58"/>
      <c r="O1266" s="58"/>
      <c r="P1266" s="58"/>
      <c r="Q1266" s="13"/>
    </row>
    <row r="1267" hidden="1" customHeight="1" outlineLevel="1" spans="1:22">
      <c r="A1267" s="40">
        <v>45797</v>
      </c>
      <c r="B1267" s="37">
        <v>45803</v>
      </c>
      <c r="C1267" s="58"/>
      <c r="D1267" s="14">
        <f t="shared" si="198"/>
        <v>1.66</v>
      </c>
      <c r="E1267" s="14">
        <v>0</v>
      </c>
      <c r="F1267" s="46">
        <v>2</v>
      </c>
      <c r="H1267" s="60">
        <f t="shared" si="192"/>
        <v>1.68666666666667</v>
      </c>
      <c r="I1267" s="47">
        <v>75</v>
      </c>
      <c r="J1267" s="14">
        <v>2.97</v>
      </c>
      <c r="K1267" s="48">
        <f t="shared" si="193"/>
        <v>0.432098765432099</v>
      </c>
      <c r="L1267" s="80">
        <f t="shared" si="194"/>
        <v>1.28333333333333</v>
      </c>
      <c r="M1267" s="46">
        <f t="shared" si="195"/>
        <v>126.5</v>
      </c>
      <c r="N1267" s="58"/>
      <c r="O1267" s="58"/>
      <c r="P1267" s="58"/>
      <c r="Q1267" s="13"/>
    </row>
    <row r="1268" hidden="1" customHeight="1" outlineLevel="1" spans="1:22">
      <c r="A1268" s="40">
        <v>45810</v>
      </c>
      <c r="B1268" s="37">
        <v>45825</v>
      </c>
      <c r="C1268" s="58"/>
      <c r="D1268" s="14">
        <f t="shared" si="198"/>
        <v>1.66</v>
      </c>
      <c r="E1268" s="14">
        <v>0</v>
      </c>
      <c r="F1268" s="46">
        <v>2</v>
      </c>
      <c r="H1268" s="60">
        <f t="shared" si="192"/>
        <v>1.67428571428571</v>
      </c>
      <c r="I1268" s="47">
        <v>140</v>
      </c>
      <c r="J1268" s="14">
        <v>2.73</v>
      </c>
      <c r="K1268" s="48">
        <f t="shared" si="193"/>
        <v>0.386708529565672</v>
      </c>
      <c r="L1268" s="80">
        <f t="shared" si="194"/>
        <v>1.05571428571429</v>
      </c>
      <c r="M1268" s="46">
        <f t="shared" si="195"/>
        <v>234.4</v>
      </c>
      <c r="N1268" s="58"/>
      <c r="O1268" s="58"/>
      <c r="P1268" s="58"/>
      <c r="Q1268" s="13" t="s">
        <v>131</v>
      </c>
    </row>
    <row r="1269" hidden="1" customHeight="1" outlineLevel="1" spans="1:22">
      <c r="A1269" s="40">
        <v>45815</v>
      </c>
      <c r="B1269" s="37">
        <v>45818</v>
      </c>
      <c r="C1269" s="58"/>
      <c r="D1269" s="14">
        <f t="shared" si="198"/>
        <v>1.66</v>
      </c>
      <c r="E1269" s="14">
        <v>0</v>
      </c>
      <c r="F1269" s="46">
        <v>2</v>
      </c>
      <c r="H1269" s="60">
        <f t="shared" si="192"/>
        <v>1.67785714285714</v>
      </c>
      <c r="I1269" s="47">
        <v>112</v>
      </c>
      <c r="J1269" s="14">
        <v>2.73</v>
      </c>
      <c r="K1269" s="48">
        <f t="shared" si="193"/>
        <v>0.385400313971743</v>
      </c>
      <c r="L1269" s="80">
        <f t="shared" si="194"/>
        <v>1.05214285714286</v>
      </c>
      <c r="M1269" s="46">
        <f t="shared" si="195"/>
        <v>187.92</v>
      </c>
      <c r="N1269" s="58"/>
      <c r="O1269" s="58"/>
      <c r="P1269" s="58"/>
      <c r="Q1269" s="13"/>
    </row>
    <row r="1270" hidden="1" customHeight="1" outlineLevel="1" spans="1:22">
      <c r="A1270" s="40">
        <v>45815</v>
      </c>
      <c r="B1270" s="37">
        <v>45831</v>
      </c>
      <c r="C1270" s="58"/>
      <c r="D1270" s="14">
        <f t="shared" si="198"/>
        <v>1.66</v>
      </c>
      <c r="E1270" s="14">
        <v>0</v>
      </c>
      <c r="F1270" s="46">
        <v>2</v>
      </c>
      <c r="H1270" s="60">
        <f t="shared" si="192"/>
        <v>1.68298850574713</v>
      </c>
      <c r="I1270" s="47">
        <v>87</v>
      </c>
      <c r="J1270" s="14">
        <v>2.73</v>
      </c>
      <c r="K1270" s="48">
        <f t="shared" si="193"/>
        <v>0.383520693865521</v>
      </c>
      <c r="L1270" s="80">
        <f t="shared" si="194"/>
        <v>1.04701149425287</v>
      </c>
      <c r="M1270" s="46">
        <f t="shared" si="195"/>
        <v>146.42</v>
      </c>
      <c r="N1270" s="58"/>
      <c r="O1270" s="58"/>
      <c r="P1270" s="58"/>
      <c r="Q1270" s="13"/>
    </row>
    <row r="1271" hidden="1" customHeight="1" outlineLevel="1" spans="1:22">
      <c r="A1271" s="40">
        <v>45815</v>
      </c>
      <c r="B1271" s="24">
        <v>45838</v>
      </c>
      <c r="C1271" s="13" t="s">
        <v>126</v>
      </c>
      <c r="D1271" s="14">
        <f t="shared" si="198"/>
        <v>1.66</v>
      </c>
      <c r="E1271" s="14">
        <v>0</v>
      </c>
      <c r="F1271" s="46">
        <v>1</v>
      </c>
      <c r="H1271" s="60">
        <f t="shared" si="192"/>
        <v>1.71</v>
      </c>
      <c r="I1271" s="47">
        <v>20</v>
      </c>
      <c r="J1271" s="14">
        <v>2.73</v>
      </c>
      <c r="K1271" s="48">
        <f t="shared" si="193"/>
        <v>0.373626373626374</v>
      </c>
      <c r="L1271" s="80">
        <f t="shared" si="194"/>
        <v>1.02</v>
      </c>
      <c r="M1271" s="46">
        <f t="shared" si="195"/>
        <v>34.2</v>
      </c>
      <c r="N1271" s="58"/>
      <c r="O1271" s="58"/>
      <c r="P1271" s="58"/>
    </row>
    <row r="1272" customHeight="1" collapsed="1" spans="1:22">
      <c r="A1272" s="24">
        <v>45662</v>
      </c>
      <c r="B1272" s="24">
        <v>45662</v>
      </c>
      <c r="C1272" s="13" t="s">
        <v>132</v>
      </c>
      <c r="D1272" s="14">
        <f t="shared" ref="D1272:D1279" si="199">0.3*6</f>
        <v>1.8</v>
      </c>
      <c r="E1272" s="14">
        <v>0</v>
      </c>
      <c r="F1272" s="46">
        <v>0.5</v>
      </c>
      <c r="H1272" s="60">
        <f t="shared" si="192"/>
        <v>1.83333333333333</v>
      </c>
      <c r="I1272" s="47">
        <v>15</v>
      </c>
      <c r="J1272" s="14">
        <v>2.95</v>
      </c>
      <c r="K1272" s="48">
        <f t="shared" si="193"/>
        <v>0.378531073446328</v>
      </c>
      <c r="L1272" s="80">
        <f t="shared" si="194"/>
        <v>1.11666666666667</v>
      </c>
      <c r="M1272" s="46">
        <f t="shared" si="195"/>
        <v>27.5</v>
      </c>
      <c r="Q1272" s="13" t="s">
        <v>127</v>
      </c>
    </row>
    <row r="1273" hidden="1" customHeight="1" outlineLevel="1" spans="1:22">
      <c r="A1273" s="24">
        <v>45669</v>
      </c>
      <c r="B1273" s="24">
        <v>45669</v>
      </c>
      <c r="D1273" s="14">
        <f t="shared" si="199"/>
        <v>1.8</v>
      </c>
      <c r="E1273" s="14">
        <v>0</v>
      </c>
      <c r="F1273" s="46">
        <v>0.5</v>
      </c>
      <c r="H1273" s="60">
        <f t="shared" ref="H1273:H1300" si="200">D1273+(E1273/I1273)+(F1273/I1273)</f>
        <v>1.81351351351351</v>
      </c>
      <c r="I1273" s="47">
        <v>37</v>
      </c>
      <c r="J1273" s="14">
        <v>2.95</v>
      </c>
      <c r="K1273" s="48">
        <f t="shared" ref="K1273:K1300" si="201">(J1273-H1273)/J1273</f>
        <v>0.385249656436097</v>
      </c>
      <c r="L1273" s="80">
        <f t="shared" ref="L1273:L1300" si="202">J1273-H1273</f>
        <v>1.13648648648649</v>
      </c>
      <c r="M1273" s="46">
        <f t="shared" ref="M1273:M1300" si="203">D1273*I1273+E1273+F1273</f>
        <v>67.1</v>
      </c>
      <c r="Q1273" s="13"/>
    </row>
    <row r="1274" hidden="1" customHeight="1" outlineLevel="1" spans="1:22">
      <c r="A1274" s="24">
        <v>45673</v>
      </c>
      <c r="B1274" s="24">
        <v>45673</v>
      </c>
      <c r="D1274" s="14">
        <f t="shared" si="199"/>
        <v>1.8</v>
      </c>
      <c r="E1274" s="14">
        <v>0</v>
      </c>
      <c r="F1274" s="46">
        <v>0</v>
      </c>
      <c r="H1274" s="60">
        <f t="shared" si="200"/>
        <v>1.8</v>
      </c>
      <c r="I1274" s="47">
        <v>8</v>
      </c>
      <c r="J1274" s="14">
        <v>2.95</v>
      </c>
      <c r="K1274" s="48">
        <f t="shared" si="201"/>
        <v>0.389830508474576</v>
      </c>
      <c r="L1274" s="80">
        <f t="shared" si="202"/>
        <v>1.15</v>
      </c>
      <c r="M1274" s="46">
        <f t="shared" si="203"/>
        <v>14.4</v>
      </c>
      <c r="Q1274" s="13"/>
    </row>
    <row r="1275" hidden="1" customHeight="1" outlineLevel="1" spans="1:22">
      <c r="A1275" s="24">
        <v>45674</v>
      </c>
      <c r="B1275" s="24">
        <v>45677</v>
      </c>
      <c r="D1275" s="14">
        <f t="shared" si="199"/>
        <v>1.8</v>
      </c>
      <c r="E1275" s="14">
        <v>0</v>
      </c>
      <c r="F1275" s="46">
        <v>0</v>
      </c>
      <c r="H1275" s="60">
        <f t="shared" si="200"/>
        <v>1.8</v>
      </c>
      <c r="I1275" s="47">
        <v>12</v>
      </c>
      <c r="J1275" s="14">
        <v>2.95</v>
      </c>
      <c r="K1275" s="48">
        <f t="shared" si="201"/>
        <v>0.389830508474576</v>
      </c>
      <c r="L1275" s="80">
        <f t="shared" si="202"/>
        <v>1.15</v>
      </c>
      <c r="M1275" s="46">
        <f t="shared" si="203"/>
        <v>21.6</v>
      </c>
      <c r="Q1275" s="13"/>
    </row>
    <row r="1276" hidden="1" customHeight="1" outlineLevel="1" spans="1:22">
      <c r="A1276" s="24">
        <v>45674</v>
      </c>
      <c r="B1276" s="24">
        <v>45679</v>
      </c>
      <c r="D1276" s="14">
        <f t="shared" si="199"/>
        <v>1.8</v>
      </c>
      <c r="E1276" s="14">
        <v>0</v>
      </c>
      <c r="F1276" s="46">
        <v>0</v>
      </c>
      <c r="H1276" s="60">
        <f t="shared" si="200"/>
        <v>1.8</v>
      </c>
      <c r="I1276" s="47">
        <v>33</v>
      </c>
      <c r="J1276" s="14">
        <v>2.95</v>
      </c>
      <c r="K1276" s="48">
        <f t="shared" si="201"/>
        <v>0.389830508474576</v>
      </c>
      <c r="L1276" s="80">
        <f t="shared" si="202"/>
        <v>1.15</v>
      </c>
      <c r="M1276" s="46">
        <f t="shared" si="203"/>
        <v>59.4</v>
      </c>
      <c r="Q1276" s="13"/>
    </row>
    <row r="1277" hidden="1" customHeight="1" outlineLevel="1" spans="1:22">
      <c r="A1277" s="24">
        <v>45674</v>
      </c>
      <c r="B1277" s="24">
        <v>45689</v>
      </c>
      <c r="D1277" s="14">
        <f t="shared" si="199"/>
        <v>1.8</v>
      </c>
      <c r="E1277" s="14">
        <v>0</v>
      </c>
      <c r="F1277" s="46">
        <v>0</v>
      </c>
      <c r="H1277" s="60">
        <f t="shared" si="200"/>
        <v>1.8</v>
      </c>
      <c r="I1277" s="47">
        <v>10</v>
      </c>
      <c r="J1277" s="14">
        <v>2.95</v>
      </c>
      <c r="K1277" s="48">
        <f t="shared" si="201"/>
        <v>0.389830508474576</v>
      </c>
      <c r="L1277" s="80">
        <f t="shared" si="202"/>
        <v>1.15</v>
      </c>
      <c r="M1277" s="46">
        <f t="shared" si="203"/>
        <v>18</v>
      </c>
      <c r="Q1277" s="13"/>
    </row>
    <row r="1278" hidden="1" customHeight="1" outlineLevel="1" spans="1:22">
      <c r="A1278" s="64">
        <v>45694</v>
      </c>
      <c r="B1278" s="24">
        <v>45699</v>
      </c>
      <c r="D1278" s="14">
        <f t="shared" si="199"/>
        <v>1.8</v>
      </c>
      <c r="E1278" s="14">
        <v>0</v>
      </c>
      <c r="F1278" s="46">
        <v>0</v>
      </c>
      <c r="H1278" s="60">
        <f t="shared" si="200"/>
        <v>1.8</v>
      </c>
      <c r="I1278" s="47">
        <v>16</v>
      </c>
      <c r="J1278" s="14">
        <v>2.95</v>
      </c>
      <c r="K1278" s="48">
        <f t="shared" si="201"/>
        <v>0.389830508474576</v>
      </c>
      <c r="L1278" s="80">
        <f t="shared" si="202"/>
        <v>1.15</v>
      </c>
      <c r="M1278" s="46">
        <f t="shared" si="203"/>
        <v>28.8</v>
      </c>
      <c r="Q1278" s="13"/>
    </row>
    <row r="1279" s="28" customFormat="1" hidden="1" customHeight="1" outlineLevel="1" spans="1:22">
      <c r="A1279" s="64">
        <v>45705</v>
      </c>
      <c r="B1279" s="24">
        <v>45708</v>
      </c>
      <c r="D1279" s="14">
        <f t="shared" si="199"/>
        <v>1.8</v>
      </c>
      <c r="E1279" s="14">
        <v>0</v>
      </c>
      <c r="F1279" s="46">
        <v>0</v>
      </c>
      <c r="G1279" s="46"/>
      <c r="H1279" s="60">
        <f t="shared" si="200"/>
        <v>1.8</v>
      </c>
      <c r="I1279" s="47">
        <v>17</v>
      </c>
      <c r="J1279" s="14">
        <v>2.95</v>
      </c>
      <c r="K1279" s="48">
        <f t="shared" si="201"/>
        <v>0.389830508474576</v>
      </c>
      <c r="L1279" s="80">
        <f t="shared" si="202"/>
        <v>1.15</v>
      </c>
      <c r="M1279" s="46">
        <f t="shared" si="203"/>
        <v>30.6</v>
      </c>
      <c r="O1279" s="33"/>
      <c r="P1279" s="33"/>
      <c r="Q1279" s="13"/>
      <c r="R1279" s="16"/>
      <c r="U1279" s="33"/>
      <c r="V1279" s="14"/>
    </row>
    <row r="1280" s="28" customFormat="1" hidden="1" customHeight="1" outlineLevel="1" spans="1:22">
      <c r="A1280" s="64">
        <v>45708</v>
      </c>
      <c r="B1280" s="24">
        <v>45713</v>
      </c>
      <c r="D1280" s="14">
        <f>0.26*6</f>
        <v>1.56</v>
      </c>
      <c r="E1280" s="14">
        <v>0</v>
      </c>
      <c r="F1280" s="46">
        <v>0</v>
      </c>
      <c r="G1280" s="46"/>
      <c r="H1280" s="60">
        <f t="shared" si="200"/>
        <v>1.56</v>
      </c>
      <c r="I1280" s="47">
        <v>18</v>
      </c>
      <c r="J1280" s="14">
        <v>2.95</v>
      </c>
      <c r="K1280" s="48">
        <f t="shared" si="201"/>
        <v>0.471186440677966</v>
      </c>
      <c r="L1280" s="80">
        <f t="shared" si="202"/>
        <v>1.39</v>
      </c>
      <c r="M1280" s="46">
        <f t="shared" si="203"/>
        <v>28.08</v>
      </c>
      <c r="O1280" s="33"/>
      <c r="P1280" s="33"/>
      <c r="Q1280" s="13"/>
      <c r="R1280" s="16"/>
      <c r="U1280" s="33"/>
      <c r="V1280" s="14"/>
    </row>
    <row r="1281" s="28" customFormat="1" hidden="1" customHeight="1" outlineLevel="1" spans="1:22">
      <c r="A1281" s="64">
        <v>45714</v>
      </c>
      <c r="B1281" s="64">
        <v>45716</v>
      </c>
      <c r="C1281" s="15"/>
      <c r="D1281" s="14">
        <f t="shared" ref="D1281:D1295" si="204">0.26*6+0.1</f>
        <v>1.66</v>
      </c>
      <c r="E1281" s="14">
        <v>0</v>
      </c>
      <c r="F1281" s="46">
        <v>0</v>
      </c>
      <c r="G1281" s="46"/>
      <c r="H1281" s="60">
        <f t="shared" si="200"/>
        <v>1.66</v>
      </c>
      <c r="I1281" s="47">
        <v>6</v>
      </c>
      <c r="J1281" s="14">
        <v>2.95</v>
      </c>
      <c r="K1281" s="48">
        <f t="shared" si="201"/>
        <v>0.43728813559322</v>
      </c>
      <c r="L1281" s="80">
        <f t="shared" si="202"/>
        <v>1.29</v>
      </c>
      <c r="M1281" s="46">
        <f t="shared" si="203"/>
        <v>9.96</v>
      </c>
      <c r="N1281" s="15"/>
      <c r="O1281" s="15"/>
      <c r="P1281" s="15"/>
      <c r="Q1281" s="13"/>
      <c r="R1281" s="16"/>
      <c r="U1281" s="33"/>
      <c r="V1281" s="14"/>
    </row>
    <row r="1282" s="28" customFormat="1" hidden="1" customHeight="1" outlineLevel="1" spans="1:22">
      <c r="A1282" s="64">
        <v>45714</v>
      </c>
      <c r="B1282" s="74">
        <v>45727</v>
      </c>
      <c r="C1282" s="15"/>
      <c r="D1282" s="14">
        <f t="shared" si="204"/>
        <v>1.66</v>
      </c>
      <c r="E1282" s="14">
        <v>0</v>
      </c>
      <c r="F1282" s="46">
        <v>1</v>
      </c>
      <c r="G1282" s="46"/>
      <c r="H1282" s="60">
        <f t="shared" si="200"/>
        <v>1.7</v>
      </c>
      <c r="I1282" s="47">
        <v>25</v>
      </c>
      <c r="J1282" s="14">
        <v>2.95</v>
      </c>
      <c r="K1282" s="48">
        <f t="shared" si="201"/>
        <v>0.423728813559322</v>
      </c>
      <c r="L1282" s="80">
        <f t="shared" si="202"/>
        <v>1.25</v>
      </c>
      <c r="M1282" s="46">
        <f t="shared" si="203"/>
        <v>42.5</v>
      </c>
      <c r="N1282" s="15"/>
      <c r="O1282" s="15"/>
      <c r="P1282" s="15"/>
      <c r="Q1282" s="13"/>
      <c r="R1282" s="16"/>
      <c r="U1282" s="33"/>
      <c r="V1282" s="14"/>
    </row>
    <row r="1283" s="28" customFormat="1" hidden="1" customHeight="1" outlineLevel="1" spans="1:22">
      <c r="A1283" s="64">
        <v>45721</v>
      </c>
      <c r="B1283" s="64">
        <v>45729</v>
      </c>
      <c r="C1283" s="15"/>
      <c r="D1283" s="14">
        <f t="shared" si="204"/>
        <v>1.66</v>
      </c>
      <c r="E1283" s="14">
        <v>0</v>
      </c>
      <c r="F1283" s="46">
        <v>1</v>
      </c>
      <c r="G1283" s="46"/>
      <c r="H1283" s="60">
        <f t="shared" si="200"/>
        <v>1.77111111111111</v>
      </c>
      <c r="I1283" s="47">
        <v>9</v>
      </c>
      <c r="J1283" s="14">
        <v>2.95</v>
      </c>
      <c r="K1283" s="48">
        <f t="shared" si="201"/>
        <v>0.399623352165725</v>
      </c>
      <c r="L1283" s="80">
        <f t="shared" si="202"/>
        <v>1.17888888888889</v>
      </c>
      <c r="M1283" s="46">
        <f t="shared" si="203"/>
        <v>15.94</v>
      </c>
      <c r="N1283" s="15"/>
      <c r="O1283" s="15"/>
      <c r="P1283" s="15"/>
      <c r="Q1283" s="13"/>
      <c r="R1283" s="16"/>
      <c r="U1283" s="33"/>
      <c r="V1283" s="14"/>
    </row>
    <row r="1284" s="28" customFormat="1" hidden="1" customHeight="1" outlineLevel="1" spans="1:22">
      <c r="A1284" s="64">
        <v>45729</v>
      </c>
      <c r="B1284" s="64">
        <v>45740</v>
      </c>
      <c r="C1284" s="15"/>
      <c r="D1284" s="14">
        <f t="shared" si="204"/>
        <v>1.66</v>
      </c>
      <c r="E1284" s="14">
        <v>0</v>
      </c>
      <c r="F1284" s="46">
        <v>1</v>
      </c>
      <c r="G1284" s="46"/>
      <c r="H1284" s="60">
        <f t="shared" si="200"/>
        <v>1.67754385964912</v>
      </c>
      <c r="I1284" s="47">
        <v>57</v>
      </c>
      <c r="J1284" s="14">
        <v>2.95</v>
      </c>
      <c r="K1284" s="48">
        <f t="shared" si="201"/>
        <v>0.431341064525721</v>
      </c>
      <c r="L1284" s="80">
        <f t="shared" si="202"/>
        <v>1.27245614035088</v>
      </c>
      <c r="M1284" s="46">
        <f t="shared" si="203"/>
        <v>95.62</v>
      </c>
      <c r="N1284" s="15"/>
      <c r="O1284" s="15"/>
      <c r="P1284" s="15"/>
      <c r="Q1284" s="13"/>
      <c r="R1284" s="16"/>
      <c r="U1284" s="33"/>
      <c r="V1284" s="14"/>
    </row>
    <row r="1285" s="28" customFormat="1" hidden="1" customHeight="1" outlineLevel="1" spans="1:22">
      <c r="A1285" s="64">
        <v>45737</v>
      </c>
      <c r="B1285" s="64">
        <v>45750</v>
      </c>
      <c r="C1285" s="15"/>
      <c r="D1285" s="14">
        <f t="shared" si="204"/>
        <v>1.66</v>
      </c>
      <c r="E1285" s="14">
        <v>0</v>
      </c>
      <c r="F1285" s="46">
        <v>1</v>
      </c>
      <c r="G1285" s="46"/>
      <c r="H1285" s="60">
        <f t="shared" si="200"/>
        <v>1.71263157894737</v>
      </c>
      <c r="I1285" s="47">
        <v>19</v>
      </c>
      <c r="J1285" s="14">
        <v>2.95</v>
      </c>
      <c r="K1285" s="48">
        <f t="shared" si="201"/>
        <v>0.419446922390723</v>
      </c>
      <c r="L1285" s="80">
        <f t="shared" si="202"/>
        <v>1.23736842105263</v>
      </c>
      <c r="M1285" s="46">
        <f t="shared" si="203"/>
        <v>32.54</v>
      </c>
      <c r="N1285" s="15"/>
      <c r="O1285" s="15"/>
      <c r="P1285" s="15"/>
      <c r="Q1285" s="13"/>
      <c r="R1285" s="16"/>
      <c r="U1285" s="33"/>
      <c r="V1285" s="14"/>
    </row>
    <row r="1286" s="28" customFormat="1" hidden="1" customHeight="1" outlineLevel="1" spans="1:22">
      <c r="A1286" s="64">
        <v>45747</v>
      </c>
      <c r="B1286" s="64">
        <v>45750</v>
      </c>
      <c r="C1286" s="15"/>
      <c r="D1286" s="14">
        <f t="shared" si="204"/>
        <v>1.66</v>
      </c>
      <c r="E1286" s="14">
        <v>0</v>
      </c>
      <c r="F1286" s="46">
        <v>0</v>
      </c>
      <c r="G1286" s="46"/>
      <c r="H1286" s="60">
        <f t="shared" si="200"/>
        <v>1.66</v>
      </c>
      <c r="I1286" s="47">
        <v>5</v>
      </c>
      <c r="J1286" s="14">
        <v>2.95</v>
      </c>
      <c r="K1286" s="48">
        <f t="shared" si="201"/>
        <v>0.43728813559322</v>
      </c>
      <c r="L1286" s="80">
        <f t="shared" si="202"/>
        <v>1.29</v>
      </c>
      <c r="M1286" s="46">
        <f t="shared" si="203"/>
        <v>8.3</v>
      </c>
      <c r="N1286" s="15"/>
      <c r="O1286" s="15"/>
      <c r="P1286" s="15"/>
      <c r="Q1286" s="13"/>
      <c r="R1286" s="16"/>
      <c r="U1286" s="33"/>
      <c r="V1286" s="14"/>
    </row>
    <row r="1287" s="28" customFormat="1" hidden="1" customHeight="1" outlineLevel="1" spans="1:22">
      <c r="A1287" s="40">
        <v>45751</v>
      </c>
      <c r="B1287" s="37">
        <v>45759</v>
      </c>
      <c r="C1287" s="15"/>
      <c r="D1287" s="14">
        <f t="shared" si="204"/>
        <v>1.66</v>
      </c>
      <c r="E1287" s="14">
        <v>0</v>
      </c>
      <c r="F1287" s="46">
        <v>1</v>
      </c>
      <c r="G1287" s="46"/>
      <c r="H1287" s="60">
        <f t="shared" si="200"/>
        <v>1.71882352941176</v>
      </c>
      <c r="I1287" s="47">
        <v>17</v>
      </c>
      <c r="J1287" s="14">
        <v>2.95</v>
      </c>
      <c r="K1287" s="48">
        <f t="shared" si="201"/>
        <v>0.417347956131605</v>
      </c>
      <c r="L1287" s="80">
        <f t="shared" si="202"/>
        <v>1.23117647058824</v>
      </c>
      <c r="M1287" s="46">
        <f t="shared" si="203"/>
        <v>29.22</v>
      </c>
      <c r="N1287" s="15"/>
      <c r="O1287" s="15"/>
      <c r="P1287" s="15"/>
      <c r="Q1287" s="13"/>
      <c r="R1287" s="16"/>
      <c r="U1287" s="33"/>
      <c r="V1287" s="14"/>
    </row>
    <row r="1288" s="28" customFormat="1" hidden="1" customHeight="1" outlineLevel="1" spans="1:22">
      <c r="A1288" s="40">
        <v>45751</v>
      </c>
      <c r="B1288" s="37">
        <v>45769</v>
      </c>
      <c r="C1288" s="15"/>
      <c r="D1288" s="14">
        <f t="shared" si="204"/>
        <v>1.66</v>
      </c>
      <c r="E1288" s="14">
        <v>0</v>
      </c>
      <c r="F1288" s="46">
        <v>0</v>
      </c>
      <c r="G1288" s="46"/>
      <c r="H1288" s="60">
        <f t="shared" si="200"/>
        <v>1.66</v>
      </c>
      <c r="I1288" s="47">
        <v>20</v>
      </c>
      <c r="J1288" s="14">
        <v>2.95</v>
      </c>
      <c r="K1288" s="48">
        <f t="shared" si="201"/>
        <v>0.43728813559322</v>
      </c>
      <c r="L1288" s="80">
        <f t="shared" si="202"/>
        <v>1.29</v>
      </c>
      <c r="M1288" s="46">
        <f t="shared" si="203"/>
        <v>33.2</v>
      </c>
      <c r="N1288" s="15"/>
      <c r="O1288" s="15"/>
      <c r="P1288" s="15"/>
      <c r="Q1288" s="13"/>
      <c r="R1288" s="16"/>
      <c r="U1288" s="33"/>
      <c r="V1288" s="14"/>
    </row>
    <row r="1289" s="28" customFormat="1" hidden="1" customHeight="1" outlineLevel="1" spans="1:22">
      <c r="A1289" s="40">
        <v>45765</v>
      </c>
      <c r="B1289" s="37">
        <v>45770</v>
      </c>
      <c r="C1289" s="15"/>
      <c r="D1289" s="14">
        <f t="shared" si="204"/>
        <v>1.66</v>
      </c>
      <c r="E1289" s="14">
        <v>0</v>
      </c>
      <c r="F1289" s="46">
        <v>0</v>
      </c>
      <c r="G1289" s="46"/>
      <c r="H1289" s="60">
        <f t="shared" si="200"/>
        <v>1.66</v>
      </c>
      <c r="I1289" s="47">
        <v>4</v>
      </c>
      <c r="J1289" s="14">
        <v>2.95</v>
      </c>
      <c r="K1289" s="48">
        <f t="shared" si="201"/>
        <v>0.43728813559322</v>
      </c>
      <c r="L1289" s="80">
        <f t="shared" si="202"/>
        <v>1.29</v>
      </c>
      <c r="M1289" s="46">
        <f t="shared" si="203"/>
        <v>6.64</v>
      </c>
      <c r="N1289" s="15"/>
      <c r="O1289" s="15"/>
      <c r="P1289" s="15"/>
      <c r="Q1289" s="13"/>
      <c r="R1289" s="16"/>
      <c r="U1289" s="33"/>
      <c r="V1289" s="14"/>
    </row>
    <row r="1290" s="28" customFormat="1" hidden="1" customHeight="1" outlineLevel="1" spans="1:22">
      <c r="A1290" s="40">
        <v>45781</v>
      </c>
      <c r="B1290" s="37">
        <v>45782</v>
      </c>
      <c r="C1290" s="15"/>
      <c r="D1290" s="14">
        <f t="shared" si="204"/>
        <v>1.66</v>
      </c>
      <c r="E1290" s="14">
        <v>0</v>
      </c>
      <c r="F1290" s="46">
        <v>0</v>
      </c>
      <c r="G1290" s="46"/>
      <c r="H1290" s="60">
        <f t="shared" si="200"/>
        <v>1.66</v>
      </c>
      <c r="I1290" s="47">
        <v>30</v>
      </c>
      <c r="J1290" s="14">
        <v>2.95</v>
      </c>
      <c r="K1290" s="48">
        <f t="shared" si="201"/>
        <v>0.43728813559322</v>
      </c>
      <c r="L1290" s="80">
        <f t="shared" si="202"/>
        <v>1.29</v>
      </c>
      <c r="M1290" s="46">
        <f t="shared" si="203"/>
        <v>49.8</v>
      </c>
      <c r="N1290" s="15"/>
      <c r="O1290" s="15"/>
      <c r="P1290" s="15"/>
      <c r="Q1290" s="13"/>
      <c r="R1290" s="16"/>
      <c r="U1290" s="33"/>
      <c r="V1290" s="14"/>
    </row>
    <row r="1291" s="28" customFormat="1" hidden="1" customHeight="1" outlineLevel="1" spans="1:22">
      <c r="A1291" s="40">
        <v>45785</v>
      </c>
      <c r="B1291" s="37">
        <v>45787</v>
      </c>
      <c r="C1291" s="15"/>
      <c r="D1291" s="14">
        <f t="shared" si="204"/>
        <v>1.66</v>
      </c>
      <c r="E1291" s="14">
        <v>0</v>
      </c>
      <c r="F1291" s="46">
        <v>1</v>
      </c>
      <c r="G1291" s="46"/>
      <c r="H1291" s="60">
        <f t="shared" si="200"/>
        <v>1.69225806451613</v>
      </c>
      <c r="I1291" s="47">
        <v>31</v>
      </c>
      <c r="J1291" s="14">
        <v>2.95</v>
      </c>
      <c r="K1291" s="48">
        <f t="shared" si="201"/>
        <v>0.426353198469109</v>
      </c>
      <c r="L1291" s="80">
        <f t="shared" si="202"/>
        <v>1.25774193548387</v>
      </c>
      <c r="M1291" s="46">
        <f t="shared" si="203"/>
        <v>52.46</v>
      </c>
      <c r="N1291" s="15"/>
      <c r="O1291" s="15"/>
      <c r="P1291" s="15"/>
      <c r="Q1291" s="13"/>
      <c r="R1291" s="16"/>
      <c r="U1291" s="33"/>
      <c r="V1291" s="14"/>
    </row>
    <row r="1292" s="28" customFormat="1" hidden="1" customHeight="1" outlineLevel="1" spans="1:22">
      <c r="A1292" s="40">
        <v>45792</v>
      </c>
      <c r="B1292" s="37">
        <v>45794</v>
      </c>
      <c r="C1292" s="15"/>
      <c r="D1292" s="14">
        <f t="shared" si="204"/>
        <v>1.66</v>
      </c>
      <c r="E1292" s="14">
        <v>0</v>
      </c>
      <c r="F1292" s="46">
        <v>1</v>
      </c>
      <c r="G1292" s="46"/>
      <c r="H1292" s="60">
        <f t="shared" si="200"/>
        <v>1.71</v>
      </c>
      <c r="I1292" s="47">
        <v>20</v>
      </c>
      <c r="J1292" s="14">
        <v>2.95</v>
      </c>
      <c r="K1292" s="48">
        <f t="shared" si="201"/>
        <v>0.420338983050847</v>
      </c>
      <c r="L1292" s="80">
        <f t="shared" si="202"/>
        <v>1.24</v>
      </c>
      <c r="M1292" s="46">
        <f t="shared" si="203"/>
        <v>34.2</v>
      </c>
      <c r="N1292" s="15"/>
      <c r="O1292" s="15"/>
      <c r="P1292" s="15"/>
      <c r="Q1292" s="13"/>
      <c r="R1292" s="16"/>
      <c r="U1292" s="33"/>
      <c r="V1292" s="14"/>
    </row>
    <row r="1293" s="28" customFormat="1" hidden="1" customHeight="1" outlineLevel="1" spans="1:22">
      <c r="A1293" s="40">
        <v>45792</v>
      </c>
      <c r="B1293" s="37">
        <v>45800</v>
      </c>
      <c r="C1293" s="15"/>
      <c r="D1293" s="14">
        <f t="shared" si="204"/>
        <v>1.66</v>
      </c>
      <c r="E1293" s="14">
        <v>0</v>
      </c>
      <c r="F1293" s="46">
        <v>0</v>
      </c>
      <c r="G1293" s="46"/>
      <c r="H1293" s="60">
        <f t="shared" si="200"/>
        <v>1.66</v>
      </c>
      <c r="I1293" s="47">
        <v>12</v>
      </c>
      <c r="J1293" s="14">
        <v>2.95</v>
      </c>
      <c r="K1293" s="48">
        <f t="shared" si="201"/>
        <v>0.43728813559322</v>
      </c>
      <c r="L1293" s="80">
        <f t="shared" si="202"/>
        <v>1.29</v>
      </c>
      <c r="M1293" s="46">
        <f t="shared" si="203"/>
        <v>19.92</v>
      </c>
      <c r="N1293" s="15"/>
      <c r="O1293" s="15"/>
      <c r="P1293" s="15"/>
      <c r="Q1293" s="13"/>
      <c r="R1293" s="16"/>
      <c r="U1293" s="33"/>
      <c r="V1293" s="14"/>
    </row>
    <row r="1294" s="28" customFormat="1" hidden="1" customHeight="1" outlineLevel="1" spans="1:22">
      <c r="A1294" s="40">
        <v>45797</v>
      </c>
      <c r="B1294" s="37">
        <v>45803</v>
      </c>
      <c r="C1294" s="15"/>
      <c r="D1294" s="14">
        <f t="shared" si="204"/>
        <v>1.66</v>
      </c>
      <c r="E1294" s="14">
        <v>0</v>
      </c>
      <c r="F1294" s="46">
        <v>0</v>
      </c>
      <c r="G1294" s="46"/>
      <c r="H1294" s="60">
        <f t="shared" si="200"/>
        <v>1.66</v>
      </c>
      <c r="I1294" s="47">
        <v>21</v>
      </c>
      <c r="J1294" s="14">
        <v>2.95</v>
      </c>
      <c r="K1294" s="48">
        <f t="shared" si="201"/>
        <v>0.43728813559322</v>
      </c>
      <c r="L1294" s="80">
        <f t="shared" si="202"/>
        <v>1.29</v>
      </c>
      <c r="M1294" s="46">
        <f t="shared" si="203"/>
        <v>34.86</v>
      </c>
      <c r="N1294" s="15"/>
      <c r="O1294" s="15"/>
      <c r="P1294" s="15"/>
      <c r="Q1294" s="13"/>
      <c r="R1294" s="16"/>
      <c r="U1294" s="33"/>
      <c r="V1294" s="14"/>
    </row>
    <row r="1295" s="28" customFormat="1" hidden="1" customHeight="1" outlineLevel="1" spans="1:22">
      <c r="A1295" s="40">
        <v>45810</v>
      </c>
      <c r="B1295" s="37">
        <v>45812</v>
      </c>
      <c r="D1295" s="14">
        <f t="shared" si="204"/>
        <v>1.66</v>
      </c>
      <c r="E1295" s="14">
        <v>0</v>
      </c>
      <c r="F1295" s="46">
        <v>0</v>
      </c>
      <c r="G1295" s="46"/>
      <c r="H1295" s="60">
        <f t="shared" si="200"/>
        <v>1.66</v>
      </c>
      <c r="I1295" s="47">
        <v>30</v>
      </c>
      <c r="J1295" s="14">
        <v>2.95</v>
      </c>
      <c r="K1295" s="48">
        <f t="shared" si="201"/>
        <v>0.43728813559322</v>
      </c>
      <c r="L1295" s="80">
        <f t="shared" si="202"/>
        <v>1.29</v>
      </c>
      <c r="M1295" s="46">
        <f t="shared" si="203"/>
        <v>49.8</v>
      </c>
      <c r="N1295" s="15"/>
      <c r="O1295" s="15"/>
      <c r="P1295" s="15"/>
      <c r="R1295" s="16"/>
      <c r="U1295" s="33"/>
      <c r="V1295" s="14"/>
    </row>
    <row r="1296" customHeight="1" collapsed="1" spans="1:22">
      <c r="A1296" s="24">
        <v>45775</v>
      </c>
      <c r="B1296" s="24">
        <v>45826</v>
      </c>
      <c r="C1296" s="22" t="s">
        <v>133</v>
      </c>
      <c r="D1296" s="67">
        <f>0.43*10</f>
        <v>4.3</v>
      </c>
      <c r="E1296" s="14">
        <v>7</v>
      </c>
      <c r="F1296" s="46">
        <v>2</v>
      </c>
      <c r="H1296" s="68">
        <f t="shared" si="200"/>
        <v>5.2</v>
      </c>
      <c r="I1296" s="47">
        <v>10</v>
      </c>
      <c r="J1296" s="61">
        <v>17.81</v>
      </c>
      <c r="K1296" s="48">
        <f t="shared" si="201"/>
        <v>0.708029197080292</v>
      </c>
      <c r="L1296" s="36">
        <f t="shared" si="202"/>
        <v>12.61</v>
      </c>
      <c r="M1296" s="36">
        <f t="shared" si="203"/>
        <v>52</v>
      </c>
    </row>
    <row r="1297" hidden="1" customHeight="1" outlineLevel="1" spans="1:30">
      <c r="A1297" s="24">
        <v>45775</v>
      </c>
      <c r="B1297" s="24">
        <v>45826</v>
      </c>
      <c r="C1297" s="22" t="s">
        <v>134</v>
      </c>
      <c r="D1297" s="67">
        <f>0.55*10</f>
        <v>5.5</v>
      </c>
      <c r="E1297" s="14">
        <v>7</v>
      </c>
      <c r="F1297" s="46">
        <v>2</v>
      </c>
      <c r="H1297" s="68">
        <f t="shared" si="200"/>
        <v>6.1</v>
      </c>
      <c r="I1297" s="47">
        <v>15</v>
      </c>
      <c r="J1297" s="61">
        <v>24.02</v>
      </c>
      <c r="K1297" s="48">
        <f t="shared" si="201"/>
        <v>0.746044962531224</v>
      </c>
      <c r="L1297" s="36">
        <f t="shared" si="202"/>
        <v>17.92</v>
      </c>
      <c r="M1297" s="36">
        <f t="shared" si="203"/>
        <v>91.5</v>
      </c>
      <c r="Q1297" s="1"/>
    </row>
    <row r="1298" customHeight="1" spans="1:30">
      <c r="A1298" s="64">
        <v>45812</v>
      </c>
      <c r="B1298" s="64">
        <v>45819</v>
      </c>
      <c r="C1298" s="13" t="s">
        <v>135</v>
      </c>
      <c r="D1298" s="14">
        <f t="shared" ref="D1298:D1300" si="205">0.62*5</f>
        <v>3.1</v>
      </c>
      <c r="E1298" s="14">
        <v>0</v>
      </c>
      <c r="F1298" s="46">
        <v>1</v>
      </c>
      <c r="H1298" s="60">
        <f t="shared" si="200"/>
        <v>3.3</v>
      </c>
      <c r="I1298" s="47">
        <v>5</v>
      </c>
      <c r="J1298" s="14">
        <v>28</v>
      </c>
      <c r="K1298" s="48">
        <f t="shared" si="201"/>
        <v>0.882142857142857</v>
      </c>
      <c r="L1298" s="61">
        <f t="shared" si="202"/>
        <v>24.7</v>
      </c>
      <c r="M1298" s="46">
        <f t="shared" si="203"/>
        <v>16.5</v>
      </c>
      <c r="Q1298" s="13" t="s">
        <v>136</v>
      </c>
    </row>
    <row r="1299" customHeight="1" spans="1:30">
      <c r="A1299" s="64">
        <v>45812</v>
      </c>
      <c r="B1299" s="64">
        <v>45819</v>
      </c>
      <c r="C1299" s="13" t="s">
        <v>135</v>
      </c>
      <c r="D1299" s="14">
        <f t="shared" si="205"/>
        <v>3.1</v>
      </c>
      <c r="E1299" s="14">
        <v>0</v>
      </c>
      <c r="F1299" s="46">
        <v>1</v>
      </c>
      <c r="H1299" s="60">
        <f t="shared" si="200"/>
        <v>3.3</v>
      </c>
      <c r="I1299" s="47">
        <v>5</v>
      </c>
      <c r="J1299" s="14">
        <v>25.11</v>
      </c>
      <c r="K1299" s="48">
        <f t="shared" si="201"/>
        <v>0.86857825567503</v>
      </c>
      <c r="L1299" s="61">
        <f t="shared" si="202"/>
        <v>21.81</v>
      </c>
      <c r="M1299" s="46">
        <f t="shared" si="203"/>
        <v>16.5</v>
      </c>
      <c r="Q1299" s="40" t="s">
        <v>137</v>
      </c>
      <c r="R1299" s="57"/>
      <c r="S1299" s="57"/>
      <c r="T1299" s="57"/>
      <c r="U1299" s="57"/>
      <c r="V1299" s="57"/>
      <c r="W1299" s="57"/>
      <c r="X1299" s="57"/>
      <c r="Y1299" s="57"/>
      <c r="Z1299" s="57"/>
      <c r="AA1299" s="57"/>
      <c r="AB1299" s="57"/>
      <c r="AC1299" s="57"/>
      <c r="AD1299" s="57"/>
    </row>
    <row r="1300" customHeight="1" spans="1:30">
      <c r="A1300" s="64">
        <v>45812</v>
      </c>
      <c r="B1300" s="64">
        <v>45819</v>
      </c>
      <c r="C1300" s="13" t="s">
        <v>135</v>
      </c>
      <c r="D1300" s="14">
        <f t="shared" si="205"/>
        <v>3.1</v>
      </c>
      <c r="E1300" s="14">
        <v>0</v>
      </c>
      <c r="F1300" s="46">
        <v>1</v>
      </c>
      <c r="H1300" s="60">
        <f t="shared" si="200"/>
        <v>3.3</v>
      </c>
      <c r="I1300" s="47">
        <v>5</v>
      </c>
      <c r="J1300" s="14">
        <v>31</v>
      </c>
      <c r="K1300" s="48">
        <f t="shared" si="201"/>
        <v>0.893548387096774</v>
      </c>
      <c r="L1300" s="61">
        <f t="shared" si="202"/>
        <v>27.7</v>
      </c>
      <c r="M1300" s="46">
        <f t="shared" si="203"/>
        <v>16.5</v>
      </c>
      <c r="Q1300" s="13" t="s">
        <v>138</v>
      </c>
    </row>
    <row r="1301" customHeight="1" spans="1:30">
      <c r="A1301" s="64"/>
      <c r="B1301" s="64"/>
      <c r="C1301" s="13"/>
      <c r="H1301" s="60"/>
      <c r="L1301" s="61"/>
      <c r="Q1301" s="13"/>
    </row>
    <row r="1302" customHeight="1" spans="1:30">
      <c r="A1302" s="24">
        <v>45894</v>
      </c>
      <c r="B1302" s="24">
        <v>45910</v>
      </c>
      <c r="C1302" s="13" t="s">
        <v>139</v>
      </c>
      <c r="D1302" s="14">
        <f t="shared" ref="D1302:D1306" si="206">0.17*20+0.8</f>
        <v>4.2</v>
      </c>
      <c r="E1302" s="14">
        <v>1.5</v>
      </c>
      <c r="F1302" s="46">
        <v>1</v>
      </c>
      <c r="H1302" s="60">
        <f t="shared" ref="H1302:H1310" si="207">D1302+(E1302/I1302)+(F1302/I1302)</f>
        <v>4.61666666666667</v>
      </c>
      <c r="I1302" s="47">
        <v>6</v>
      </c>
      <c r="J1302" s="14">
        <v>14.34</v>
      </c>
      <c r="K1302" s="48">
        <f t="shared" ref="K1302:K1310" si="208">(J1302-H1302)/J1302</f>
        <v>0.678056717805672</v>
      </c>
      <c r="L1302" s="61">
        <f t="shared" ref="L1302:L1310" si="209">J1302-H1302</f>
        <v>9.72333333333333</v>
      </c>
      <c r="M1302" s="46">
        <f t="shared" ref="M1302:M1310" si="210">D1302*I1302+E1302+F1302</f>
        <v>27.7</v>
      </c>
    </row>
    <row r="1303" customHeight="1" spans="1:30">
      <c r="A1303" s="24">
        <v>45925</v>
      </c>
      <c r="B1303" s="24">
        <v>45930</v>
      </c>
      <c r="C1303" s="13" t="s">
        <v>139</v>
      </c>
      <c r="D1303" s="14">
        <f t="shared" si="206"/>
        <v>4.2</v>
      </c>
      <c r="E1303" s="14">
        <v>1</v>
      </c>
      <c r="F1303" s="46">
        <v>1</v>
      </c>
      <c r="H1303" s="60">
        <f t="shared" si="207"/>
        <v>4.53333333333333</v>
      </c>
      <c r="I1303" s="47">
        <v>6</v>
      </c>
      <c r="J1303" s="14">
        <v>14.34</v>
      </c>
      <c r="K1303" s="48">
        <f t="shared" si="208"/>
        <v>0.683867968386797</v>
      </c>
      <c r="L1303" s="61">
        <f t="shared" si="209"/>
        <v>9.80666666666666</v>
      </c>
      <c r="M1303" s="46">
        <f t="shared" si="210"/>
        <v>27.2</v>
      </c>
    </row>
    <row r="1304" customHeight="1" spans="1:30">
      <c r="A1304" s="24">
        <v>45894</v>
      </c>
      <c r="B1304" s="24">
        <v>45910</v>
      </c>
      <c r="C1304" s="13" t="s">
        <v>140</v>
      </c>
      <c r="D1304" s="14">
        <f t="shared" ref="D1304:D1307" si="211">0.25*20+0.8</f>
        <v>5.8</v>
      </c>
      <c r="E1304" s="14">
        <v>1.5</v>
      </c>
      <c r="F1304" s="46">
        <v>1</v>
      </c>
      <c r="H1304" s="60">
        <f t="shared" si="207"/>
        <v>6.21666666666667</v>
      </c>
      <c r="I1304" s="47">
        <v>6</v>
      </c>
      <c r="J1304" s="14">
        <v>14.8</v>
      </c>
      <c r="K1304" s="48">
        <f t="shared" si="208"/>
        <v>0.579954954954955</v>
      </c>
      <c r="L1304" s="61">
        <f t="shared" si="209"/>
        <v>8.58333333333333</v>
      </c>
      <c r="M1304" s="46">
        <f t="shared" si="210"/>
        <v>37.3</v>
      </c>
    </row>
    <row r="1305" customHeight="1" spans="1:30">
      <c r="A1305" s="24">
        <v>45925</v>
      </c>
      <c r="B1305" s="24">
        <v>45930</v>
      </c>
      <c r="C1305" s="13" t="s">
        <v>140</v>
      </c>
      <c r="D1305" s="14">
        <f t="shared" si="211"/>
        <v>5.8</v>
      </c>
      <c r="E1305" s="14">
        <v>1</v>
      </c>
      <c r="F1305" s="46">
        <v>1</v>
      </c>
      <c r="H1305" s="60">
        <f t="shared" si="207"/>
        <v>6.13333333333333</v>
      </c>
      <c r="I1305" s="47">
        <v>6</v>
      </c>
      <c r="J1305" s="14">
        <v>14.8</v>
      </c>
      <c r="K1305" s="48">
        <f t="shared" si="208"/>
        <v>0.585585585585586</v>
      </c>
      <c r="L1305" s="61">
        <f t="shared" si="209"/>
        <v>8.66666666666667</v>
      </c>
      <c r="M1305" s="46">
        <f t="shared" si="210"/>
        <v>36.8</v>
      </c>
    </row>
    <row r="1306" customHeight="1" spans="1:30">
      <c r="A1306" s="24">
        <v>45894</v>
      </c>
      <c r="B1306" s="24">
        <v>45910</v>
      </c>
      <c r="C1306" s="13" t="s">
        <v>141</v>
      </c>
      <c r="D1306" s="14">
        <f t="shared" si="206"/>
        <v>4.2</v>
      </c>
      <c r="E1306" s="14">
        <v>1.5</v>
      </c>
      <c r="F1306" s="46">
        <v>1</v>
      </c>
      <c r="H1306" s="60">
        <f t="shared" si="207"/>
        <v>4.61666666666667</v>
      </c>
      <c r="I1306" s="47">
        <v>6</v>
      </c>
      <c r="J1306" s="14">
        <v>12.89</v>
      </c>
      <c r="K1306" s="48">
        <f t="shared" si="208"/>
        <v>0.641841220584432</v>
      </c>
      <c r="L1306" s="61">
        <f t="shared" si="209"/>
        <v>8.27333333333333</v>
      </c>
      <c r="M1306" s="46">
        <f t="shared" si="210"/>
        <v>27.7</v>
      </c>
    </row>
    <row r="1307" customHeight="1" spans="1:30">
      <c r="A1307" s="24">
        <v>45894</v>
      </c>
      <c r="B1307" s="24">
        <v>45910</v>
      </c>
      <c r="C1307" s="13" t="s">
        <v>142</v>
      </c>
      <c r="D1307" s="14">
        <f t="shared" si="211"/>
        <v>5.8</v>
      </c>
      <c r="E1307" s="14">
        <v>1.5</v>
      </c>
      <c r="F1307" s="46">
        <v>1</v>
      </c>
      <c r="H1307" s="60">
        <f t="shared" si="207"/>
        <v>6.21666666666667</v>
      </c>
      <c r="I1307" s="47">
        <v>6</v>
      </c>
      <c r="J1307" s="14">
        <v>13.88</v>
      </c>
      <c r="K1307" s="48">
        <f t="shared" si="208"/>
        <v>0.552113352545629</v>
      </c>
      <c r="L1307" s="61">
        <f t="shared" si="209"/>
        <v>7.66333333333333</v>
      </c>
      <c r="M1307" s="46">
        <f t="shared" si="210"/>
        <v>37.3</v>
      </c>
    </row>
    <row r="1308" customHeight="1" spans="1:30">
      <c r="A1308" s="24">
        <v>45894</v>
      </c>
      <c r="B1308" s="24">
        <v>45910</v>
      </c>
      <c r="C1308" s="13" t="s">
        <v>143</v>
      </c>
      <c r="D1308" s="14">
        <f t="shared" ref="D1308:D1310" si="212">0.34*20+0.8</f>
        <v>7.6</v>
      </c>
      <c r="E1308" s="14">
        <v>0</v>
      </c>
      <c r="F1308" s="46">
        <v>0</v>
      </c>
      <c r="H1308" s="60">
        <f t="shared" si="207"/>
        <v>7.6</v>
      </c>
      <c r="I1308" s="47">
        <v>2</v>
      </c>
      <c r="J1308" s="14">
        <v>13.88</v>
      </c>
      <c r="K1308" s="48">
        <f t="shared" si="208"/>
        <v>0.452449567723343</v>
      </c>
      <c r="L1308" s="61">
        <f t="shared" si="209"/>
        <v>6.28</v>
      </c>
      <c r="M1308" s="46">
        <f t="shared" si="210"/>
        <v>15.2</v>
      </c>
    </row>
    <row r="1309" customHeight="1" spans="1:30">
      <c r="A1309" s="24">
        <v>45894</v>
      </c>
      <c r="B1309" s="24">
        <v>45910</v>
      </c>
      <c r="C1309" s="13" t="s">
        <v>144</v>
      </c>
      <c r="D1309" s="14">
        <f t="shared" si="212"/>
        <v>7.6</v>
      </c>
      <c r="E1309" s="14">
        <v>0</v>
      </c>
      <c r="F1309" s="46">
        <v>0</v>
      </c>
      <c r="H1309" s="60">
        <f t="shared" si="207"/>
        <v>7.6</v>
      </c>
      <c r="I1309" s="47">
        <v>2</v>
      </c>
      <c r="J1309" s="14">
        <v>18.8</v>
      </c>
      <c r="K1309" s="48">
        <f t="shared" si="208"/>
        <v>0.595744680851064</v>
      </c>
      <c r="L1309" s="61">
        <f t="shared" si="209"/>
        <v>11.2</v>
      </c>
      <c r="M1309" s="46">
        <f t="shared" si="210"/>
        <v>15.2</v>
      </c>
    </row>
    <row r="1310" customHeight="1" spans="1:30">
      <c r="A1310" s="24">
        <v>45925</v>
      </c>
      <c r="B1310" s="24">
        <v>45930</v>
      </c>
      <c r="C1310" s="13"/>
      <c r="D1310" s="14">
        <f t="shared" si="212"/>
        <v>7.6</v>
      </c>
      <c r="E1310" s="14">
        <v>1</v>
      </c>
      <c r="F1310" s="46">
        <v>1</v>
      </c>
      <c r="H1310" s="60">
        <f t="shared" si="207"/>
        <v>7.8</v>
      </c>
      <c r="I1310" s="47">
        <v>10</v>
      </c>
      <c r="J1310" s="14">
        <v>18.8</v>
      </c>
      <c r="K1310" s="48">
        <f t="shared" si="208"/>
        <v>0.585106382978723</v>
      </c>
      <c r="L1310" s="61">
        <f t="shared" si="209"/>
        <v>11</v>
      </c>
      <c r="M1310" s="46">
        <f t="shared" si="210"/>
        <v>78</v>
      </c>
    </row>
    <row r="1313" customHeight="1" collapsed="1" spans="1:16">
      <c r="A1313" s="24">
        <v>45854</v>
      </c>
      <c r="B1313" s="24">
        <v>45856</v>
      </c>
      <c r="C1313" s="13" t="s">
        <v>145</v>
      </c>
      <c r="D1313" s="14">
        <f t="shared" ref="D1313:D1315" si="213">0.8*5</f>
        <v>4</v>
      </c>
      <c r="E1313" s="14">
        <v>4.5</v>
      </c>
      <c r="F1313" s="46">
        <v>3.5</v>
      </c>
      <c r="H1313" s="60">
        <f t="shared" ref="H1313:H1315" si="214">D1313+(E1313/I1313)+(F1313/I1313)</f>
        <v>5.14285714285714</v>
      </c>
      <c r="I1313" s="47">
        <v>7</v>
      </c>
      <c r="J1313" s="14">
        <v>24</v>
      </c>
      <c r="K1313" s="48">
        <f t="shared" ref="K1313:K1315" si="215">(J1313-H1313)/J1313</f>
        <v>0.785714285714286</v>
      </c>
      <c r="L1313" s="61">
        <f t="shared" ref="L1313:L1315" si="216">J1313-H1313</f>
        <v>18.8571428571429</v>
      </c>
      <c r="M1313" s="46">
        <f t="shared" ref="M1313:M1315" si="217">D1313*I1313+E1313+F1313</f>
        <v>36</v>
      </c>
    </row>
    <row r="1314" hidden="1" customHeight="1" outlineLevel="1" spans="1:16">
      <c r="A1314" s="24">
        <v>45854</v>
      </c>
      <c r="B1314" s="24">
        <v>45856</v>
      </c>
      <c r="C1314" s="13" t="s">
        <v>145</v>
      </c>
      <c r="D1314" s="14">
        <f t="shared" si="213"/>
        <v>4</v>
      </c>
      <c r="E1314" s="14">
        <v>4.5</v>
      </c>
      <c r="F1314" s="46">
        <v>3.5</v>
      </c>
      <c r="H1314" s="60">
        <f t="shared" si="214"/>
        <v>5.14285714285714</v>
      </c>
      <c r="I1314" s="47">
        <v>7</v>
      </c>
      <c r="J1314" s="14">
        <v>12.6</v>
      </c>
      <c r="K1314" s="48">
        <f t="shared" si="215"/>
        <v>0.591836734693878</v>
      </c>
      <c r="L1314" s="61">
        <f t="shared" si="216"/>
        <v>7.45714285714286</v>
      </c>
      <c r="M1314" s="46">
        <f t="shared" si="217"/>
        <v>36</v>
      </c>
    </row>
    <row r="1315" hidden="1" customHeight="1" outlineLevel="1" spans="1:16">
      <c r="A1315" s="24">
        <v>45854</v>
      </c>
      <c r="B1315" s="24">
        <v>45871</v>
      </c>
      <c r="C1315" s="13" t="s">
        <v>145</v>
      </c>
      <c r="D1315" s="14">
        <f t="shared" si="213"/>
        <v>4</v>
      </c>
      <c r="E1315" s="14">
        <v>4.5</v>
      </c>
      <c r="F1315" s="46">
        <v>2</v>
      </c>
      <c r="H1315" s="60">
        <f t="shared" si="214"/>
        <v>5.08333333333333</v>
      </c>
      <c r="I1315" s="47">
        <v>6</v>
      </c>
      <c r="J1315" s="14">
        <v>12.6</v>
      </c>
      <c r="K1315" s="48">
        <f t="shared" si="215"/>
        <v>0.596560846560847</v>
      </c>
      <c r="L1315" s="61">
        <f t="shared" si="216"/>
        <v>7.51666666666667</v>
      </c>
      <c r="M1315" s="46">
        <f t="shared" si="217"/>
        <v>30.5</v>
      </c>
    </row>
    <row r="1317" customHeight="1" collapsed="1" spans="1:16">
      <c r="A1317" s="24">
        <v>45898</v>
      </c>
      <c r="B1317" s="24"/>
      <c r="C1317" s="77" t="s">
        <v>146</v>
      </c>
      <c r="D1317" s="14">
        <f>0.17*12+0.7</f>
        <v>2.74</v>
      </c>
      <c r="E1317" s="14">
        <v>2</v>
      </c>
      <c r="H1317" s="60">
        <f t="shared" ref="H1317:H1319" si="218">D1317+(E1317/I1317)+(F1317/I1317)</f>
        <v>3.14</v>
      </c>
      <c r="I1317" s="47">
        <v>5</v>
      </c>
      <c r="J1317" s="62">
        <v>15</v>
      </c>
      <c r="K1317" s="48">
        <f t="shared" ref="K1317:K1319" si="219">(J1317-H1317)/J1317</f>
        <v>0.790666666666667</v>
      </c>
      <c r="L1317" s="61">
        <f t="shared" ref="L1317:L1319" si="220">J1317-H1317</f>
        <v>11.86</v>
      </c>
      <c r="M1317" s="46">
        <f t="shared" ref="M1317:M1319" si="221">D1317*I1317+E1317+F1317</f>
        <v>15.7</v>
      </c>
      <c r="N1317" s="15"/>
      <c r="O1317" s="15"/>
      <c r="P1317" s="13">
        <v>5348595343</v>
      </c>
    </row>
    <row r="1318" hidden="1" customHeight="1" outlineLevel="1" spans="1:16">
      <c r="A1318" s="24">
        <v>45898</v>
      </c>
      <c r="B1318" s="24"/>
      <c r="C1318" s="77" t="s">
        <v>64</v>
      </c>
      <c r="D1318" s="14">
        <f>0.25*12+0.7</f>
        <v>3.7</v>
      </c>
      <c r="E1318" s="14">
        <v>2</v>
      </c>
      <c r="H1318" s="60">
        <f t="shared" si="218"/>
        <v>4.1</v>
      </c>
      <c r="I1318" s="47">
        <v>5</v>
      </c>
      <c r="J1318" s="62">
        <v>15.75</v>
      </c>
      <c r="K1318" s="48">
        <f t="shared" si="219"/>
        <v>0.73968253968254</v>
      </c>
      <c r="L1318" s="61">
        <f t="shared" si="220"/>
        <v>11.65</v>
      </c>
      <c r="M1318" s="46">
        <f t="shared" si="221"/>
        <v>20.5</v>
      </c>
      <c r="N1318" s="15"/>
      <c r="O1318" s="15"/>
      <c r="P1318" s="15"/>
    </row>
    <row r="1319" hidden="1" customHeight="1" outlineLevel="1" spans="1:16">
      <c r="A1319" s="24">
        <v>45898</v>
      </c>
      <c r="B1319" s="24"/>
      <c r="C1319" s="77" t="s">
        <v>66</v>
      </c>
      <c r="D1319" s="14">
        <f>0.43*12+0.7</f>
        <v>5.86</v>
      </c>
      <c r="E1319" s="14">
        <v>2</v>
      </c>
      <c r="H1319" s="60">
        <f t="shared" si="218"/>
        <v>6.26</v>
      </c>
      <c r="I1319" s="47">
        <v>5</v>
      </c>
      <c r="J1319" s="62">
        <v>17.25</v>
      </c>
      <c r="K1319" s="48">
        <f t="shared" si="219"/>
        <v>0.637101449275362</v>
      </c>
      <c r="L1319" s="61">
        <f t="shared" si="220"/>
        <v>10.99</v>
      </c>
      <c r="M1319" s="46">
        <f t="shared" si="221"/>
        <v>31.3</v>
      </c>
      <c r="N1319" s="15"/>
      <c r="O1319" s="15"/>
      <c r="P1319" s="15"/>
    </row>
    <row r="1321" customHeight="1" collapsed="1" spans="1:16">
      <c r="A1321" s="40">
        <v>45869</v>
      </c>
      <c r="B1321" s="37">
        <v>45877</v>
      </c>
      <c r="C1321" s="57" t="s">
        <v>147</v>
      </c>
      <c r="D1321" s="14">
        <v>5.5</v>
      </c>
      <c r="E1321" s="14">
        <v>0</v>
      </c>
      <c r="F1321" s="46">
        <v>1</v>
      </c>
      <c r="H1321" s="60">
        <f t="shared" ref="H1321:H1331" si="222">D1321+(E1321/I1321)+(F1321/I1321)</f>
        <v>5.83333333333333</v>
      </c>
      <c r="I1321" s="47">
        <v>3</v>
      </c>
      <c r="J1321" s="62">
        <v>17.25</v>
      </c>
      <c r="K1321" s="48">
        <f t="shared" ref="K1321:K1331" si="223">(J1321-H1321)/J1321</f>
        <v>0.661835748792271</v>
      </c>
      <c r="L1321" s="61">
        <f t="shared" ref="L1321:L1331" si="224">J1321-H1321</f>
        <v>11.4166666666667</v>
      </c>
      <c r="M1321" s="46">
        <f t="shared" ref="M1321:M1331" si="225">D1321*I1321+E1321+F1321</f>
        <v>17.5</v>
      </c>
      <c r="N1321" s="58"/>
      <c r="O1321" s="58"/>
      <c r="P1321" s="91">
        <v>20091371523</v>
      </c>
    </row>
    <row r="1322" hidden="1" customHeight="1" outlineLevel="1" spans="1:16">
      <c r="A1322" s="40">
        <v>45869</v>
      </c>
      <c r="B1322" s="37">
        <v>45877</v>
      </c>
      <c r="C1322" s="18" t="s">
        <v>148</v>
      </c>
      <c r="D1322" s="14">
        <v>5.5</v>
      </c>
      <c r="E1322" s="14">
        <v>0</v>
      </c>
      <c r="F1322" s="46">
        <v>1</v>
      </c>
      <c r="H1322" s="60">
        <f t="shared" si="222"/>
        <v>5.83333333333333</v>
      </c>
      <c r="I1322" s="47">
        <v>3</v>
      </c>
      <c r="J1322" s="62">
        <v>15.75</v>
      </c>
      <c r="K1322" s="48">
        <f t="shared" si="223"/>
        <v>0.62962962962963</v>
      </c>
      <c r="L1322" s="61">
        <f t="shared" si="224"/>
        <v>9.91666666666667</v>
      </c>
      <c r="M1322" s="46">
        <f t="shared" si="225"/>
        <v>17.5</v>
      </c>
      <c r="N1322" s="15"/>
      <c r="O1322" s="15"/>
      <c r="P1322" s="91">
        <v>20091371523</v>
      </c>
    </row>
    <row r="1323" hidden="1" customHeight="1" outlineLevel="1" spans="1:16">
      <c r="A1323" s="40">
        <v>45869</v>
      </c>
      <c r="B1323" s="37">
        <v>45877</v>
      </c>
      <c r="C1323" s="18" t="s">
        <v>149</v>
      </c>
      <c r="D1323" s="14">
        <v>3.3</v>
      </c>
      <c r="E1323" s="14">
        <v>0</v>
      </c>
      <c r="F1323" s="46">
        <v>1</v>
      </c>
      <c r="H1323" s="60">
        <f t="shared" si="222"/>
        <v>3.63333333333333</v>
      </c>
      <c r="I1323" s="47">
        <v>3</v>
      </c>
      <c r="J1323" s="62">
        <v>14.25</v>
      </c>
      <c r="K1323" s="48">
        <f t="shared" si="223"/>
        <v>0.745029239766082</v>
      </c>
      <c r="L1323" s="61">
        <f t="shared" si="224"/>
        <v>10.6166666666667</v>
      </c>
      <c r="M1323" s="46">
        <f t="shared" si="225"/>
        <v>10.9</v>
      </c>
      <c r="N1323" s="15"/>
      <c r="O1323" s="15"/>
      <c r="P1323" s="91">
        <v>20091371523</v>
      </c>
    </row>
    <row r="1324" customHeight="1" collapsed="1" spans="1:16">
      <c r="A1324" s="24">
        <v>45859</v>
      </c>
      <c r="B1324" s="24">
        <v>45863</v>
      </c>
      <c r="C1324" s="13" t="s">
        <v>150</v>
      </c>
      <c r="D1324" s="14">
        <f t="shared" ref="D1324:D1327" si="226">0.15*20</f>
        <v>3</v>
      </c>
      <c r="E1324" s="14">
        <v>0</v>
      </c>
      <c r="F1324" s="46">
        <v>2</v>
      </c>
      <c r="H1324" s="60">
        <f t="shared" si="222"/>
        <v>3.2</v>
      </c>
      <c r="I1324" s="47">
        <v>10</v>
      </c>
      <c r="J1324" s="14">
        <v>7.17</v>
      </c>
      <c r="K1324" s="48">
        <f t="shared" si="223"/>
        <v>0.553695955369595</v>
      </c>
      <c r="L1324" s="61">
        <f t="shared" si="224"/>
        <v>3.97</v>
      </c>
      <c r="M1324" s="46">
        <f t="shared" si="225"/>
        <v>32</v>
      </c>
    </row>
    <row r="1325" hidden="1" customHeight="1" outlineLevel="1" spans="1:16">
      <c r="A1325" s="24">
        <v>45941</v>
      </c>
      <c r="B1325" s="24">
        <v>45941</v>
      </c>
      <c r="D1325" s="14">
        <f t="shared" si="226"/>
        <v>3</v>
      </c>
      <c r="E1325" s="14">
        <v>0</v>
      </c>
      <c r="F1325" s="46">
        <v>2</v>
      </c>
      <c r="H1325" s="60">
        <f t="shared" si="222"/>
        <v>3.66666666666667</v>
      </c>
      <c r="I1325" s="47">
        <v>3</v>
      </c>
      <c r="J1325" s="14">
        <v>7.17</v>
      </c>
      <c r="K1325" s="48">
        <f t="shared" si="223"/>
        <v>0.488609948860995</v>
      </c>
      <c r="L1325" s="61">
        <f t="shared" si="224"/>
        <v>3.50333333333333</v>
      </c>
      <c r="M1325" s="46">
        <f t="shared" si="225"/>
        <v>11</v>
      </c>
    </row>
    <row r="1326" hidden="1" customHeight="1" outlineLevel="1" spans="1:16">
      <c r="A1326" s="24">
        <v>45859</v>
      </c>
      <c r="B1326" s="24">
        <v>45863</v>
      </c>
      <c r="C1326" s="13" t="s">
        <v>151</v>
      </c>
      <c r="D1326" s="14">
        <f t="shared" si="226"/>
        <v>3</v>
      </c>
      <c r="E1326" s="14">
        <v>0</v>
      </c>
      <c r="F1326" s="46">
        <v>2</v>
      </c>
      <c r="H1326" s="60">
        <f t="shared" si="222"/>
        <v>3.2</v>
      </c>
      <c r="I1326" s="47">
        <v>10</v>
      </c>
      <c r="J1326" s="14">
        <v>12.87</v>
      </c>
      <c r="K1326" s="48">
        <f t="shared" si="223"/>
        <v>0.751359751359751</v>
      </c>
      <c r="L1326" s="61">
        <f t="shared" si="224"/>
        <v>9.67</v>
      </c>
      <c r="M1326" s="46">
        <f t="shared" si="225"/>
        <v>32</v>
      </c>
    </row>
    <row r="1327" hidden="1" customHeight="1" outlineLevel="1" spans="1:16">
      <c r="A1327" s="24">
        <v>45925</v>
      </c>
      <c r="B1327" s="24">
        <v>45926</v>
      </c>
      <c r="D1327" s="14">
        <f t="shared" si="226"/>
        <v>3</v>
      </c>
      <c r="E1327" s="14">
        <v>0</v>
      </c>
      <c r="F1327" s="46">
        <v>2</v>
      </c>
      <c r="H1327" s="60">
        <f t="shared" si="222"/>
        <v>3.16666666666667</v>
      </c>
      <c r="I1327" s="47">
        <v>12</v>
      </c>
      <c r="J1327" s="14">
        <v>12.87</v>
      </c>
      <c r="K1327" s="48">
        <f t="shared" si="223"/>
        <v>0.753949753949754</v>
      </c>
      <c r="L1327" s="61">
        <f t="shared" si="224"/>
        <v>9.70333333333333</v>
      </c>
      <c r="M1327" s="46">
        <f t="shared" si="225"/>
        <v>38</v>
      </c>
    </row>
    <row r="1328" customHeight="1" collapsed="1" spans="1:16">
      <c r="A1328" s="24">
        <v>45869</v>
      </c>
      <c r="B1328" s="24">
        <v>45874</v>
      </c>
      <c r="C1328" s="13" t="s">
        <v>152</v>
      </c>
      <c r="D1328" s="14">
        <f t="shared" ref="D1328:D1331" si="227">0.17*20+0.8</f>
        <v>4.2</v>
      </c>
      <c r="E1328" s="14">
        <v>0</v>
      </c>
      <c r="F1328" s="46">
        <v>1</v>
      </c>
      <c r="H1328" s="60">
        <f t="shared" si="222"/>
        <v>4.53333333333333</v>
      </c>
      <c r="I1328" s="47">
        <v>3</v>
      </c>
      <c r="J1328" s="62">
        <v>9.03</v>
      </c>
      <c r="K1328" s="48">
        <f t="shared" si="223"/>
        <v>0.49796973052787</v>
      </c>
      <c r="L1328" s="61">
        <f t="shared" si="224"/>
        <v>4.49666666666667</v>
      </c>
      <c r="M1328" s="46">
        <f t="shared" si="225"/>
        <v>13.6</v>
      </c>
    </row>
    <row r="1329" hidden="1" customHeight="1" outlineLevel="1" spans="1:14">
      <c r="A1329" s="24">
        <v>45888</v>
      </c>
      <c r="B1329" s="24">
        <v>45890</v>
      </c>
      <c r="C1329" s="13" t="s">
        <v>152</v>
      </c>
      <c r="D1329" s="14">
        <f t="shared" si="227"/>
        <v>4.2</v>
      </c>
      <c r="E1329" s="14">
        <v>3</v>
      </c>
      <c r="F1329" s="46">
        <v>1</v>
      </c>
      <c r="H1329" s="60">
        <f t="shared" si="222"/>
        <v>4.7</v>
      </c>
      <c r="I1329" s="47">
        <v>8</v>
      </c>
      <c r="J1329" s="62">
        <v>9.03</v>
      </c>
      <c r="K1329" s="48">
        <f t="shared" si="223"/>
        <v>0.479512735326689</v>
      </c>
      <c r="L1329" s="61">
        <f t="shared" si="224"/>
        <v>4.33</v>
      </c>
      <c r="M1329" s="46">
        <f t="shared" si="225"/>
        <v>37.6</v>
      </c>
    </row>
    <row r="1330" hidden="1" customHeight="1" outlineLevel="1" spans="1:14">
      <c r="A1330" s="24">
        <v>45869</v>
      </c>
      <c r="B1330" s="24">
        <v>45874</v>
      </c>
      <c r="C1330" s="13" t="s">
        <v>152</v>
      </c>
      <c r="D1330" s="14">
        <f t="shared" si="227"/>
        <v>4.2</v>
      </c>
      <c r="E1330" s="14">
        <v>0</v>
      </c>
      <c r="F1330" s="46">
        <v>1</v>
      </c>
      <c r="H1330" s="60">
        <f t="shared" si="222"/>
        <v>4.53333333333333</v>
      </c>
      <c r="I1330" s="47">
        <v>3</v>
      </c>
      <c r="J1330" s="62">
        <v>9.03</v>
      </c>
      <c r="K1330" s="48">
        <f t="shared" si="223"/>
        <v>0.49796973052787</v>
      </c>
      <c r="L1330" s="61">
        <f t="shared" si="224"/>
        <v>4.49666666666667</v>
      </c>
      <c r="M1330" s="46">
        <f t="shared" si="225"/>
        <v>13.6</v>
      </c>
    </row>
    <row r="1331" hidden="1" customHeight="1" outlineLevel="1" spans="1:14">
      <c r="A1331" s="24">
        <v>45869</v>
      </c>
      <c r="B1331" s="37">
        <v>45883</v>
      </c>
      <c r="C1331" s="92" t="s">
        <v>152</v>
      </c>
      <c r="D1331" s="14">
        <f t="shared" si="227"/>
        <v>4.2</v>
      </c>
      <c r="E1331" s="14">
        <v>0</v>
      </c>
      <c r="F1331" s="46">
        <v>2</v>
      </c>
      <c r="H1331" s="60">
        <f t="shared" si="222"/>
        <v>4.7</v>
      </c>
      <c r="I1331" s="47">
        <v>4</v>
      </c>
      <c r="J1331" s="62">
        <v>9.03</v>
      </c>
      <c r="K1331" s="48">
        <f t="shared" si="223"/>
        <v>0.479512735326689</v>
      </c>
      <c r="L1331" s="61">
        <f t="shared" si="224"/>
        <v>4.33</v>
      </c>
      <c r="M1331" s="46">
        <f t="shared" si="225"/>
        <v>18.8</v>
      </c>
      <c r="N1331" s="15"/>
    </row>
    <row r="1333" customHeight="1" collapsed="1" spans="1:14">
      <c r="A1333" s="64">
        <v>45829</v>
      </c>
      <c r="B1333" s="24">
        <v>45833</v>
      </c>
      <c r="C1333" s="13" t="s">
        <v>153</v>
      </c>
      <c r="D1333" s="14">
        <f>0.84*20</f>
        <v>16.8</v>
      </c>
      <c r="E1333" s="14">
        <v>0</v>
      </c>
      <c r="F1333" s="46">
        <v>1</v>
      </c>
      <c r="H1333" s="60">
        <f t="shared" ref="H1333:H1342" si="228">D1333+(E1333/I1333)+(F1333/I1333)</f>
        <v>17.1333333333333</v>
      </c>
      <c r="I1333" s="47">
        <v>3</v>
      </c>
      <c r="J1333" s="14">
        <v>32.19</v>
      </c>
      <c r="K1333" s="48">
        <f t="shared" ref="K1333:K1342" si="229">(J1333-H1333)/J1333</f>
        <v>0.46774360567464</v>
      </c>
      <c r="L1333" s="61">
        <f t="shared" ref="L1333:L1342" si="230">J1333-H1333</f>
        <v>15.0566666666667</v>
      </c>
      <c r="M1333" s="46">
        <f t="shared" ref="M1333:M1342" si="231">D1333*I1333+E1333+F1333</f>
        <v>51.4</v>
      </c>
    </row>
    <row r="1334" hidden="1" customHeight="1" outlineLevel="1" spans="1:14">
      <c r="A1334" s="64">
        <v>45859</v>
      </c>
      <c r="B1334" s="24">
        <v>45864</v>
      </c>
      <c r="D1334" s="14">
        <f>0.84*20</f>
        <v>16.8</v>
      </c>
      <c r="E1334" s="14">
        <v>0</v>
      </c>
      <c r="F1334" s="46">
        <v>1</v>
      </c>
      <c r="H1334" s="60">
        <f t="shared" si="228"/>
        <v>16.9666666666667</v>
      </c>
      <c r="I1334" s="47">
        <v>6</v>
      </c>
      <c r="J1334" s="14">
        <v>32.19</v>
      </c>
      <c r="K1334" s="48">
        <f t="shared" si="229"/>
        <v>0.472921197059128</v>
      </c>
      <c r="L1334" s="61">
        <f t="shared" si="230"/>
        <v>15.2233333333333</v>
      </c>
      <c r="M1334" s="46">
        <f t="shared" si="231"/>
        <v>101.8</v>
      </c>
    </row>
    <row r="1335" hidden="1" customHeight="1" outlineLevel="1" spans="1:14">
      <c r="A1335" s="64">
        <v>45829</v>
      </c>
      <c r="B1335" s="24">
        <v>45833</v>
      </c>
      <c r="C1335" s="13" t="s">
        <v>154</v>
      </c>
      <c r="D1335" s="14">
        <f t="shared" ref="D1335:D1338" si="232">0.87*20</f>
        <v>17.4</v>
      </c>
      <c r="E1335" s="14">
        <v>0</v>
      </c>
      <c r="F1335" s="46">
        <v>1</v>
      </c>
      <c r="H1335" s="60">
        <f t="shared" si="228"/>
        <v>17.7333333333333</v>
      </c>
      <c r="I1335" s="47">
        <v>3</v>
      </c>
      <c r="J1335" s="14">
        <v>33.21</v>
      </c>
      <c r="K1335" s="48">
        <f t="shared" si="229"/>
        <v>0.466024289872528</v>
      </c>
      <c r="L1335" s="61">
        <f t="shared" si="230"/>
        <v>15.4766666666667</v>
      </c>
      <c r="M1335" s="46">
        <f t="shared" si="231"/>
        <v>53.2</v>
      </c>
    </row>
    <row r="1336" hidden="1" customHeight="1" outlineLevel="1" spans="1:14">
      <c r="A1336" s="64">
        <v>45859</v>
      </c>
      <c r="B1336" s="24">
        <v>45864</v>
      </c>
      <c r="D1336" s="14">
        <f t="shared" si="232"/>
        <v>17.4</v>
      </c>
      <c r="E1336" s="14">
        <v>0</v>
      </c>
      <c r="F1336" s="46">
        <v>1</v>
      </c>
      <c r="H1336" s="60">
        <f t="shared" si="228"/>
        <v>17.7333333333333</v>
      </c>
      <c r="I1336" s="47">
        <v>3</v>
      </c>
      <c r="J1336" s="14">
        <v>33.21</v>
      </c>
      <c r="K1336" s="48">
        <f t="shared" si="229"/>
        <v>0.466024289872528</v>
      </c>
      <c r="L1336" s="61">
        <f t="shared" si="230"/>
        <v>15.4766666666667</v>
      </c>
      <c r="M1336" s="46">
        <f t="shared" si="231"/>
        <v>53.2</v>
      </c>
    </row>
    <row r="1337" hidden="1" customHeight="1" outlineLevel="1" spans="1:14">
      <c r="A1337" s="24">
        <v>45869</v>
      </c>
      <c r="B1337" s="24">
        <v>45872</v>
      </c>
      <c r="D1337" s="14">
        <f t="shared" si="232"/>
        <v>17.4</v>
      </c>
      <c r="E1337" s="14">
        <v>0</v>
      </c>
      <c r="F1337" s="46">
        <v>2</v>
      </c>
      <c r="H1337" s="60">
        <f t="shared" si="228"/>
        <v>17.8</v>
      </c>
      <c r="I1337" s="47">
        <v>5</v>
      </c>
      <c r="J1337" s="14">
        <v>33.21</v>
      </c>
      <c r="K1337" s="48">
        <f t="shared" si="229"/>
        <v>0.464016862390846</v>
      </c>
      <c r="L1337" s="61">
        <f t="shared" si="230"/>
        <v>15.41</v>
      </c>
      <c r="M1337" s="46">
        <f t="shared" si="231"/>
        <v>89</v>
      </c>
    </row>
    <row r="1338" hidden="1" customHeight="1" outlineLevel="1" spans="1:14">
      <c r="A1338" s="40">
        <v>45908</v>
      </c>
      <c r="B1338" s="24">
        <v>45914</v>
      </c>
      <c r="D1338" s="14">
        <f t="shared" si="232"/>
        <v>17.4</v>
      </c>
      <c r="E1338" s="14">
        <v>0</v>
      </c>
      <c r="F1338" s="46">
        <v>2</v>
      </c>
      <c r="H1338" s="60">
        <f t="shared" si="228"/>
        <v>18.0666666666667</v>
      </c>
      <c r="I1338" s="47">
        <v>3</v>
      </c>
      <c r="J1338" s="14">
        <v>33.21</v>
      </c>
      <c r="K1338" s="48">
        <f t="shared" si="229"/>
        <v>0.455987152464117</v>
      </c>
      <c r="L1338" s="61">
        <f t="shared" si="230"/>
        <v>15.1433333333333</v>
      </c>
      <c r="M1338" s="46">
        <f t="shared" si="231"/>
        <v>54.2</v>
      </c>
    </row>
    <row r="1339" hidden="1" customHeight="1" outlineLevel="1" spans="1:14">
      <c r="A1339" s="64">
        <v>45829</v>
      </c>
      <c r="B1339" s="24">
        <v>45833</v>
      </c>
      <c r="C1339" s="13" t="s">
        <v>155</v>
      </c>
      <c r="D1339" s="14">
        <f t="shared" ref="D1339:D1341" si="233">0.93*20</f>
        <v>18.6</v>
      </c>
      <c r="E1339" s="14">
        <v>0</v>
      </c>
      <c r="F1339" s="46">
        <v>1</v>
      </c>
      <c r="H1339" s="60">
        <f t="shared" si="228"/>
        <v>18.9333333333333</v>
      </c>
      <c r="I1339" s="47">
        <v>3</v>
      </c>
      <c r="J1339" s="14">
        <v>47.47</v>
      </c>
      <c r="K1339" s="48">
        <f t="shared" si="229"/>
        <v>0.601151604522154</v>
      </c>
      <c r="L1339" s="61">
        <f t="shared" si="230"/>
        <v>28.5366666666667</v>
      </c>
      <c r="M1339" s="46">
        <f t="shared" si="231"/>
        <v>56.8</v>
      </c>
    </row>
    <row r="1340" hidden="1" customHeight="1" outlineLevel="1" spans="1:14">
      <c r="A1340" s="64">
        <v>45829</v>
      </c>
      <c r="B1340" s="24">
        <v>45861</v>
      </c>
      <c r="D1340" s="14">
        <f t="shared" si="233"/>
        <v>18.6</v>
      </c>
      <c r="E1340" s="14">
        <v>0</v>
      </c>
      <c r="F1340" s="46">
        <v>1</v>
      </c>
      <c r="H1340" s="60">
        <f t="shared" si="228"/>
        <v>19.1</v>
      </c>
      <c r="I1340" s="47">
        <v>2</v>
      </c>
      <c r="J1340" s="14">
        <v>47.47</v>
      </c>
      <c r="K1340" s="48">
        <f t="shared" si="229"/>
        <v>0.597640615125342</v>
      </c>
      <c r="L1340" s="61">
        <f t="shared" si="230"/>
        <v>28.37</v>
      </c>
      <c r="M1340" s="46">
        <f t="shared" si="231"/>
        <v>38.2</v>
      </c>
    </row>
    <row r="1341" hidden="1" customHeight="1" outlineLevel="1" spans="1:14">
      <c r="A1341" s="64">
        <v>45859</v>
      </c>
      <c r="B1341" s="24">
        <v>45864</v>
      </c>
      <c r="D1341" s="14">
        <f t="shared" si="233"/>
        <v>18.6</v>
      </c>
      <c r="E1341" s="14">
        <v>0</v>
      </c>
      <c r="F1341" s="46">
        <v>1</v>
      </c>
      <c r="H1341" s="60">
        <f t="shared" si="228"/>
        <v>19.1</v>
      </c>
      <c r="I1341" s="47">
        <v>2</v>
      </c>
      <c r="J1341" s="14">
        <v>47.47</v>
      </c>
      <c r="K1341" s="48">
        <f t="shared" si="229"/>
        <v>0.597640615125342</v>
      </c>
      <c r="L1341" s="61">
        <f t="shared" si="230"/>
        <v>28.37</v>
      </c>
      <c r="M1341" s="46">
        <f t="shared" si="231"/>
        <v>38.2</v>
      </c>
    </row>
    <row r="1342" hidden="1" customHeight="1" outlineLevel="1" spans="1:14">
      <c r="A1342" s="40">
        <v>45883</v>
      </c>
      <c r="B1342" s="24">
        <v>45914</v>
      </c>
      <c r="D1342" s="14">
        <f>1.01*20</f>
        <v>20.2</v>
      </c>
      <c r="E1342" s="14">
        <v>0</v>
      </c>
      <c r="F1342" s="46">
        <v>2</v>
      </c>
      <c r="H1342" s="60">
        <f t="shared" si="228"/>
        <v>20.8666666666667</v>
      </c>
      <c r="I1342" s="47">
        <v>3</v>
      </c>
      <c r="J1342" s="14">
        <v>48</v>
      </c>
      <c r="K1342" s="48">
        <f t="shared" si="229"/>
        <v>0.565277777777778</v>
      </c>
      <c r="L1342" s="61">
        <f t="shared" si="230"/>
        <v>27.1333333333333</v>
      </c>
      <c r="M1342" s="46">
        <f t="shared" si="231"/>
        <v>62.6</v>
      </c>
    </row>
    <row r="1344" customHeight="1" collapsed="1" spans="1:14">
      <c r="A1344" s="24">
        <v>45869</v>
      </c>
      <c r="B1344" s="24">
        <v>45874</v>
      </c>
      <c r="C1344" s="13" t="s">
        <v>156</v>
      </c>
      <c r="D1344" s="14">
        <f>0.87*20</f>
        <v>17.4</v>
      </c>
      <c r="E1344" s="14">
        <v>0</v>
      </c>
      <c r="F1344" s="46">
        <v>1</v>
      </c>
      <c r="H1344" s="60">
        <f t="shared" ref="H1344:H1394" si="234">D1344+(E1344/I1344)+(F1344/I1344)</f>
        <v>17.7333333333333</v>
      </c>
      <c r="I1344" s="47">
        <v>3</v>
      </c>
      <c r="J1344" s="62">
        <v>33.63</v>
      </c>
      <c r="K1344" s="48">
        <f t="shared" ref="K1344:K1394" si="235">(J1344-H1344)/J1344</f>
        <v>0.472693032015066</v>
      </c>
      <c r="L1344" s="61">
        <f t="shared" ref="L1344:L1394" si="236">J1344-H1344</f>
        <v>15.8966666666667</v>
      </c>
      <c r="M1344" s="46">
        <f t="shared" ref="M1344:M1394" si="237">D1344*I1344+E1344+F1344</f>
        <v>53.2</v>
      </c>
    </row>
    <row r="1345" hidden="1" customHeight="1" outlineLevel="1" spans="1:17">
      <c r="A1345" s="40">
        <v>45938</v>
      </c>
      <c r="B1345" s="40">
        <v>45938</v>
      </c>
      <c r="D1345" s="14">
        <f>0.94*20</f>
        <v>18.8</v>
      </c>
      <c r="E1345" s="14">
        <v>0</v>
      </c>
      <c r="F1345" s="46">
        <v>1</v>
      </c>
      <c r="H1345" s="60">
        <f t="shared" si="234"/>
        <v>19.3</v>
      </c>
      <c r="I1345" s="47">
        <v>2</v>
      </c>
      <c r="J1345" s="62">
        <v>33.63</v>
      </c>
      <c r="K1345" s="48">
        <f t="shared" si="235"/>
        <v>0.426107641986322</v>
      </c>
      <c r="L1345" s="61">
        <f t="shared" si="236"/>
        <v>14.33</v>
      </c>
      <c r="M1345" s="46">
        <f t="shared" si="237"/>
        <v>38.6</v>
      </c>
    </row>
    <row r="1347" customHeight="1" collapsed="1" spans="1:17">
      <c r="A1347" s="64">
        <v>45775</v>
      </c>
      <c r="B1347" s="24">
        <v>45778</v>
      </c>
      <c r="C1347" s="40" t="s">
        <v>157</v>
      </c>
      <c r="D1347" s="14">
        <f>0.26*20+0.5</f>
        <v>5.7</v>
      </c>
      <c r="E1347" s="14">
        <v>2.4</v>
      </c>
      <c r="F1347" s="46">
        <v>1</v>
      </c>
      <c r="H1347" s="60">
        <f t="shared" si="234"/>
        <v>6.38</v>
      </c>
      <c r="I1347" s="47">
        <v>5</v>
      </c>
      <c r="J1347" s="14">
        <v>13.5</v>
      </c>
      <c r="K1347" s="48">
        <f t="shared" si="235"/>
        <v>0.527407407407407</v>
      </c>
      <c r="L1347" s="61">
        <f t="shared" si="236"/>
        <v>7.12</v>
      </c>
      <c r="M1347" s="46">
        <f t="shared" si="237"/>
        <v>31.9</v>
      </c>
    </row>
    <row r="1348" hidden="1" customHeight="1" outlineLevel="1" spans="1:17">
      <c r="A1348" s="64">
        <v>45792</v>
      </c>
      <c r="B1348" s="24">
        <v>45795</v>
      </c>
      <c r="C1348" s="13"/>
      <c r="D1348" s="14">
        <f t="shared" ref="D1348:D1362" si="238">0.26*20+0.8</f>
        <v>6</v>
      </c>
      <c r="E1348" s="14">
        <v>2</v>
      </c>
      <c r="F1348" s="46">
        <v>1</v>
      </c>
      <c r="H1348" s="60">
        <f t="shared" si="234"/>
        <v>6.6</v>
      </c>
      <c r="I1348" s="47">
        <v>5</v>
      </c>
      <c r="J1348" s="14">
        <v>13.5</v>
      </c>
      <c r="K1348" s="48">
        <f t="shared" si="235"/>
        <v>0.511111111111111</v>
      </c>
      <c r="L1348" s="61">
        <f t="shared" si="236"/>
        <v>6.9</v>
      </c>
      <c r="M1348" s="46">
        <f t="shared" si="237"/>
        <v>33</v>
      </c>
      <c r="Q1348" s="22"/>
    </row>
    <row r="1349" hidden="1" customHeight="1" outlineLevel="1" spans="1:17">
      <c r="A1349" s="64">
        <v>45800</v>
      </c>
      <c r="B1349" s="24">
        <v>45802</v>
      </c>
      <c r="C1349" s="13"/>
      <c r="D1349" s="14">
        <f t="shared" si="238"/>
        <v>6</v>
      </c>
      <c r="E1349" s="14">
        <v>3</v>
      </c>
      <c r="F1349" s="46">
        <v>2</v>
      </c>
      <c r="H1349" s="60">
        <f t="shared" si="234"/>
        <v>6.83333333333333</v>
      </c>
      <c r="I1349" s="47">
        <v>6</v>
      </c>
      <c r="J1349" s="14">
        <v>13.5</v>
      </c>
      <c r="K1349" s="48">
        <f t="shared" si="235"/>
        <v>0.493827160493827</v>
      </c>
      <c r="L1349" s="61">
        <f t="shared" si="236"/>
        <v>6.66666666666667</v>
      </c>
      <c r="M1349" s="46">
        <f t="shared" si="237"/>
        <v>41</v>
      </c>
      <c r="Q1349" s="22"/>
    </row>
    <row r="1350" hidden="1" customHeight="1" outlineLevel="1" spans="1:17">
      <c r="A1350" s="64">
        <v>45807</v>
      </c>
      <c r="B1350" s="24">
        <v>45809</v>
      </c>
      <c r="C1350" s="13"/>
      <c r="D1350" s="14">
        <f t="shared" si="238"/>
        <v>6</v>
      </c>
      <c r="E1350" s="14">
        <v>3</v>
      </c>
      <c r="F1350" s="46">
        <v>2</v>
      </c>
      <c r="H1350" s="60">
        <f t="shared" si="234"/>
        <v>6.55555555555556</v>
      </c>
      <c r="I1350" s="47">
        <v>9</v>
      </c>
      <c r="J1350" s="14">
        <v>13.5</v>
      </c>
      <c r="K1350" s="48">
        <f t="shared" si="235"/>
        <v>0.51440329218107</v>
      </c>
      <c r="L1350" s="61">
        <f t="shared" si="236"/>
        <v>6.94444444444444</v>
      </c>
      <c r="M1350" s="46">
        <f t="shared" si="237"/>
        <v>59</v>
      </c>
      <c r="Q1350" s="22"/>
    </row>
    <row r="1351" hidden="1" customHeight="1" outlineLevel="1" spans="1:17">
      <c r="A1351" s="64">
        <v>45807</v>
      </c>
      <c r="B1351" s="24">
        <v>45822</v>
      </c>
      <c r="C1351" s="13"/>
      <c r="D1351" s="14">
        <f t="shared" si="238"/>
        <v>6</v>
      </c>
      <c r="E1351" s="14">
        <v>0</v>
      </c>
      <c r="F1351" s="46">
        <v>1</v>
      </c>
      <c r="H1351" s="60">
        <f t="shared" si="234"/>
        <v>7</v>
      </c>
      <c r="I1351" s="47">
        <v>1</v>
      </c>
      <c r="J1351" s="14">
        <v>13.5</v>
      </c>
      <c r="K1351" s="48">
        <f t="shared" si="235"/>
        <v>0.481481481481481</v>
      </c>
      <c r="L1351" s="61">
        <f t="shared" si="236"/>
        <v>6.5</v>
      </c>
      <c r="M1351" s="46">
        <f t="shared" si="237"/>
        <v>7</v>
      </c>
      <c r="Q1351" s="22"/>
    </row>
    <row r="1352" hidden="1" customHeight="1" outlineLevel="1" spans="1:17">
      <c r="A1352" s="64">
        <v>45818</v>
      </c>
      <c r="B1352" s="24">
        <v>45822</v>
      </c>
      <c r="C1352" s="13"/>
      <c r="D1352" s="14">
        <f t="shared" si="238"/>
        <v>6</v>
      </c>
      <c r="E1352" s="14">
        <v>3</v>
      </c>
      <c r="F1352" s="46">
        <v>2</v>
      </c>
      <c r="H1352" s="60">
        <f t="shared" si="234"/>
        <v>6.38461538461539</v>
      </c>
      <c r="I1352" s="47">
        <v>13</v>
      </c>
      <c r="J1352" s="14">
        <v>13.5</v>
      </c>
      <c r="K1352" s="48">
        <f t="shared" si="235"/>
        <v>0.527065527065527</v>
      </c>
      <c r="L1352" s="61">
        <f t="shared" si="236"/>
        <v>7.11538461538461</v>
      </c>
      <c r="M1352" s="46">
        <f t="shared" si="237"/>
        <v>83</v>
      </c>
      <c r="Q1352" s="22"/>
    </row>
    <row r="1353" hidden="1" customHeight="1" outlineLevel="1" spans="1:17">
      <c r="A1353" s="64">
        <v>45829</v>
      </c>
      <c r="B1353" s="24">
        <v>45832</v>
      </c>
      <c r="C1353" s="13"/>
      <c r="D1353" s="14">
        <f t="shared" si="238"/>
        <v>6</v>
      </c>
      <c r="E1353" s="14">
        <v>3</v>
      </c>
      <c r="F1353" s="46">
        <v>0</v>
      </c>
      <c r="H1353" s="60">
        <f t="shared" si="234"/>
        <v>7</v>
      </c>
      <c r="I1353" s="47">
        <v>3</v>
      </c>
      <c r="J1353" s="14">
        <v>13.5</v>
      </c>
      <c r="K1353" s="48">
        <f t="shared" si="235"/>
        <v>0.481481481481481</v>
      </c>
      <c r="L1353" s="61">
        <f t="shared" si="236"/>
        <v>6.5</v>
      </c>
      <c r="M1353" s="46">
        <f t="shared" si="237"/>
        <v>21</v>
      </c>
      <c r="Q1353" s="22"/>
    </row>
    <row r="1354" hidden="1" customHeight="1" outlineLevel="1" spans="1:17">
      <c r="A1354" s="64">
        <v>45829</v>
      </c>
      <c r="B1354" s="24">
        <v>45838</v>
      </c>
      <c r="C1354" s="13"/>
      <c r="D1354" s="14">
        <f t="shared" si="238"/>
        <v>6</v>
      </c>
      <c r="E1354" s="14">
        <v>2</v>
      </c>
      <c r="F1354" s="46">
        <v>1</v>
      </c>
      <c r="H1354" s="60">
        <f t="shared" si="234"/>
        <v>9</v>
      </c>
      <c r="I1354" s="47">
        <v>1</v>
      </c>
      <c r="J1354" s="14">
        <v>13.5</v>
      </c>
      <c r="K1354" s="48">
        <f t="shared" si="235"/>
        <v>0.333333333333333</v>
      </c>
      <c r="L1354" s="61">
        <f t="shared" si="236"/>
        <v>4.5</v>
      </c>
      <c r="M1354" s="46">
        <f t="shared" si="237"/>
        <v>9</v>
      </c>
      <c r="Q1354" s="22"/>
    </row>
    <row r="1355" hidden="1" customHeight="1" outlineLevel="1" spans="1:17">
      <c r="A1355" s="64">
        <v>45838</v>
      </c>
      <c r="B1355" s="24">
        <v>45841</v>
      </c>
      <c r="C1355" s="13"/>
      <c r="D1355" s="14">
        <f t="shared" si="238"/>
        <v>6</v>
      </c>
      <c r="E1355" s="14">
        <v>3</v>
      </c>
      <c r="F1355" s="46">
        <v>1</v>
      </c>
      <c r="H1355" s="60">
        <f t="shared" si="234"/>
        <v>7.33333333333333</v>
      </c>
      <c r="I1355" s="47">
        <v>3</v>
      </c>
      <c r="J1355" s="14">
        <v>13.5</v>
      </c>
      <c r="K1355" s="48">
        <f t="shared" si="235"/>
        <v>0.45679012345679</v>
      </c>
      <c r="L1355" s="61">
        <f t="shared" si="236"/>
        <v>6.16666666666667</v>
      </c>
      <c r="M1355" s="46">
        <f t="shared" si="237"/>
        <v>22</v>
      </c>
      <c r="Q1355" s="22"/>
    </row>
    <row r="1356" hidden="1" customHeight="1" outlineLevel="1" spans="1:17">
      <c r="A1356" s="64">
        <v>45843</v>
      </c>
      <c r="B1356" s="24">
        <v>45844</v>
      </c>
      <c r="C1356" s="13"/>
      <c r="D1356" s="14">
        <f t="shared" si="238"/>
        <v>6</v>
      </c>
      <c r="E1356" s="14">
        <v>2</v>
      </c>
      <c r="F1356" s="46">
        <v>1</v>
      </c>
      <c r="H1356" s="60">
        <f t="shared" si="234"/>
        <v>6.75</v>
      </c>
      <c r="I1356" s="47">
        <v>4</v>
      </c>
      <c r="J1356" s="14">
        <v>13.5</v>
      </c>
      <c r="K1356" s="48">
        <f t="shared" si="235"/>
        <v>0.5</v>
      </c>
      <c r="L1356" s="61">
        <f t="shared" si="236"/>
        <v>6.75</v>
      </c>
      <c r="M1356" s="46">
        <f t="shared" si="237"/>
        <v>27</v>
      </c>
      <c r="Q1356" s="22"/>
    </row>
    <row r="1357" hidden="1" customHeight="1" outlineLevel="1" spans="1:17">
      <c r="A1357" s="64">
        <v>45849</v>
      </c>
      <c r="B1357" s="24">
        <v>45852</v>
      </c>
      <c r="C1357" s="13"/>
      <c r="D1357" s="14">
        <f t="shared" si="238"/>
        <v>6</v>
      </c>
      <c r="E1357" s="14">
        <v>1</v>
      </c>
      <c r="F1357" s="46">
        <v>1</v>
      </c>
      <c r="H1357" s="60">
        <f t="shared" si="234"/>
        <v>6.4</v>
      </c>
      <c r="I1357" s="47">
        <v>5</v>
      </c>
      <c r="J1357" s="14">
        <v>13.5</v>
      </c>
      <c r="K1357" s="48">
        <f t="shared" si="235"/>
        <v>0.525925925925926</v>
      </c>
      <c r="L1357" s="61">
        <f t="shared" si="236"/>
        <v>7.1</v>
      </c>
      <c r="M1357" s="46">
        <f t="shared" si="237"/>
        <v>32</v>
      </c>
      <c r="Q1357" s="22"/>
    </row>
    <row r="1358" hidden="1" customHeight="1" outlineLevel="1" spans="1:17">
      <c r="A1358" s="64">
        <v>45849</v>
      </c>
      <c r="B1358" s="24">
        <v>45856</v>
      </c>
      <c r="C1358" s="13"/>
      <c r="D1358" s="14">
        <f t="shared" si="238"/>
        <v>6</v>
      </c>
      <c r="E1358" s="14">
        <v>1</v>
      </c>
      <c r="F1358" s="46">
        <v>3.5</v>
      </c>
      <c r="H1358" s="60">
        <f t="shared" si="234"/>
        <v>6.9</v>
      </c>
      <c r="I1358" s="47">
        <v>5</v>
      </c>
      <c r="J1358" s="14">
        <v>13.5</v>
      </c>
      <c r="K1358" s="48">
        <f t="shared" si="235"/>
        <v>0.488888888888889</v>
      </c>
      <c r="L1358" s="61">
        <f t="shared" si="236"/>
        <v>6.6</v>
      </c>
      <c r="M1358" s="46">
        <f t="shared" si="237"/>
        <v>34.5</v>
      </c>
      <c r="Q1358" s="22"/>
    </row>
    <row r="1359" hidden="1" customHeight="1" outlineLevel="1" spans="1:17">
      <c r="A1359" s="64">
        <v>45859</v>
      </c>
      <c r="B1359" s="24">
        <v>45862</v>
      </c>
      <c r="C1359" s="13"/>
      <c r="D1359" s="14">
        <f t="shared" si="238"/>
        <v>6</v>
      </c>
      <c r="E1359" s="14">
        <v>3</v>
      </c>
      <c r="F1359" s="46">
        <v>1</v>
      </c>
      <c r="H1359" s="60">
        <f t="shared" si="234"/>
        <v>6.33333333333333</v>
      </c>
      <c r="I1359" s="47">
        <v>12</v>
      </c>
      <c r="J1359" s="14">
        <v>13.5</v>
      </c>
      <c r="K1359" s="48">
        <f t="shared" si="235"/>
        <v>0.530864197530864</v>
      </c>
      <c r="L1359" s="61">
        <f t="shared" si="236"/>
        <v>7.16666666666667</v>
      </c>
      <c r="M1359" s="46">
        <f t="shared" si="237"/>
        <v>76</v>
      </c>
      <c r="Q1359" s="22"/>
    </row>
    <row r="1360" hidden="1" customHeight="1" outlineLevel="1" spans="1:17">
      <c r="A1360" s="24">
        <v>45869</v>
      </c>
      <c r="B1360" s="24">
        <v>45871</v>
      </c>
      <c r="C1360" s="13"/>
      <c r="D1360" s="14">
        <f t="shared" si="238"/>
        <v>6</v>
      </c>
      <c r="E1360" s="14">
        <v>2</v>
      </c>
      <c r="F1360" s="46">
        <v>1</v>
      </c>
      <c r="H1360" s="60">
        <f t="shared" si="234"/>
        <v>6.3</v>
      </c>
      <c r="I1360" s="47">
        <v>10</v>
      </c>
      <c r="J1360" s="14">
        <v>13.5</v>
      </c>
      <c r="K1360" s="48">
        <f t="shared" si="235"/>
        <v>0.533333333333333</v>
      </c>
      <c r="L1360" s="61">
        <f t="shared" si="236"/>
        <v>7.2</v>
      </c>
      <c r="M1360" s="46">
        <f t="shared" si="237"/>
        <v>63</v>
      </c>
      <c r="Q1360" s="22"/>
    </row>
    <row r="1361" hidden="1" customHeight="1" outlineLevel="1" spans="1:17">
      <c r="A1361" s="24">
        <v>45869</v>
      </c>
      <c r="B1361" s="24">
        <v>45875</v>
      </c>
      <c r="C1361" s="13"/>
      <c r="D1361" s="14">
        <f t="shared" si="238"/>
        <v>6</v>
      </c>
      <c r="E1361" s="14">
        <v>0</v>
      </c>
      <c r="F1361" s="46">
        <v>2</v>
      </c>
      <c r="H1361" s="60">
        <f t="shared" si="234"/>
        <v>6.5</v>
      </c>
      <c r="I1361" s="47">
        <v>4</v>
      </c>
      <c r="J1361" s="14">
        <v>13.5</v>
      </c>
      <c r="K1361" s="48">
        <f t="shared" si="235"/>
        <v>0.518518518518518</v>
      </c>
      <c r="L1361" s="61">
        <f t="shared" si="236"/>
        <v>7</v>
      </c>
      <c r="M1361" s="46">
        <f t="shared" si="237"/>
        <v>26</v>
      </c>
      <c r="Q1361" s="22"/>
    </row>
    <row r="1362" hidden="1" customHeight="1" outlineLevel="1" spans="1:17">
      <c r="A1362" s="24">
        <v>45874</v>
      </c>
      <c r="B1362" s="24">
        <v>45877</v>
      </c>
      <c r="C1362" s="13"/>
      <c r="D1362" s="14">
        <f t="shared" si="238"/>
        <v>6</v>
      </c>
      <c r="E1362" s="14">
        <v>2</v>
      </c>
      <c r="F1362" s="46">
        <v>1</v>
      </c>
      <c r="H1362" s="60">
        <f t="shared" si="234"/>
        <v>6.42857142857143</v>
      </c>
      <c r="I1362" s="47">
        <v>7</v>
      </c>
      <c r="J1362" s="14">
        <v>8.27</v>
      </c>
      <c r="K1362" s="48">
        <f t="shared" si="235"/>
        <v>0.222663672482294</v>
      </c>
      <c r="L1362" s="61">
        <f t="shared" si="236"/>
        <v>1.84142857142857</v>
      </c>
      <c r="M1362" s="46">
        <f t="shared" si="237"/>
        <v>45</v>
      </c>
      <c r="Q1362" s="22"/>
    </row>
    <row r="1363" hidden="1" customHeight="1" outlineLevel="1" spans="1:17">
      <c r="A1363" s="40">
        <v>45880</v>
      </c>
      <c r="B1363" s="40">
        <v>45883</v>
      </c>
      <c r="C1363" s="40"/>
      <c r="D1363" s="14">
        <f>0.2*20+0.8</f>
        <v>4.8</v>
      </c>
      <c r="E1363" s="14">
        <v>3.5</v>
      </c>
      <c r="F1363" s="46">
        <v>1</v>
      </c>
      <c r="H1363" s="60">
        <f t="shared" si="234"/>
        <v>5.55</v>
      </c>
      <c r="I1363" s="47">
        <v>6</v>
      </c>
      <c r="J1363" s="14">
        <v>8.27</v>
      </c>
      <c r="K1363" s="48">
        <f t="shared" si="235"/>
        <v>0.328899637243047</v>
      </c>
      <c r="L1363" s="61">
        <f t="shared" si="236"/>
        <v>2.72</v>
      </c>
      <c r="M1363" s="46">
        <f t="shared" si="237"/>
        <v>33.3</v>
      </c>
      <c r="N1363" s="40"/>
      <c r="O1363" s="40"/>
      <c r="P1363" s="40"/>
      <c r="Q1363" s="22"/>
    </row>
    <row r="1364" hidden="1" customHeight="1" outlineLevel="1" spans="1:17">
      <c r="A1364" s="40">
        <v>45894</v>
      </c>
      <c r="B1364" s="40">
        <v>45897</v>
      </c>
      <c r="D1364" s="14">
        <f>0.18*20+0.8</f>
        <v>4.4</v>
      </c>
      <c r="E1364" s="14">
        <v>3</v>
      </c>
      <c r="F1364" s="46">
        <v>1</v>
      </c>
      <c r="H1364" s="60">
        <f t="shared" si="234"/>
        <v>4.73333333333333</v>
      </c>
      <c r="I1364" s="47">
        <v>12</v>
      </c>
      <c r="J1364" s="14">
        <v>8.27</v>
      </c>
      <c r="K1364" s="48">
        <f t="shared" si="235"/>
        <v>0.427650141072148</v>
      </c>
      <c r="L1364" s="61">
        <f t="shared" si="236"/>
        <v>3.53666666666667</v>
      </c>
      <c r="M1364" s="46">
        <f t="shared" si="237"/>
        <v>56.8</v>
      </c>
      <c r="N1364" s="40"/>
      <c r="O1364" s="40"/>
      <c r="P1364" s="40"/>
      <c r="Q1364" s="22"/>
    </row>
    <row r="1365" customHeight="1" collapsed="1" spans="1:17">
      <c r="A1365" s="64">
        <v>45775</v>
      </c>
      <c r="B1365" s="24">
        <v>45778</v>
      </c>
      <c r="C1365" s="26" t="s">
        <v>158</v>
      </c>
      <c r="D1365" s="14">
        <f>0.36*20+0.5</f>
        <v>7.7</v>
      </c>
      <c r="E1365" s="14">
        <v>2.4</v>
      </c>
      <c r="F1365" s="46">
        <v>1</v>
      </c>
      <c r="H1365" s="60">
        <f t="shared" si="234"/>
        <v>8.38</v>
      </c>
      <c r="I1365" s="47">
        <v>5</v>
      </c>
      <c r="J1365" s="14">
        <v>15.75</v>
      </c>
      <c r="K1365" s="48">
        <f t="shared" si="235"/>
        <v>0.467936507936508</v>
      </c>
      <c r="L1365" s="61">
        <f t="shared" si="236"/>
        <v>7.37</v>
      </c>
      <c r="M1365" s="46">
        <f t="shared" si="237"/>
        <v>41.9</v>
      </c>
      <c r="Q1365" s="64"/>
    </row>
    <row r="1366" hidden="1" customHeight="1" outlineLevel="1" spans="1:17">
      <c r="A1366" s="64">
        <v>45792</v>
      </c>
      <c r="B1366" s="24">
        <v>45795</v>
      </c>
      <c r="C1366" s="13"/>
      <c r="D1366" s="14">
        <f t="shared" ref="D1366:D1377" si="239">0.36*20+0.8</f>
        <v>8</v>
      </c>
      <c r="E1366" s="14">
        <v>2</v>
      </c>
      <c r="F1366" s="46">
        <v>1</v>
      </c>
      <c r="H1366" s="60">
        <f t="shared" si="234"/>
        <v>8.27272727272727</v>
      </c>
      <c r="I1366" s="47">
        <v>11</v>
      </c>
      <c r="J1366" s="14">
        <v>15.75</v>
      </c>
      <c r="K1366" s="48">
        <f t="shared" si="235"/>
        <v>0.474747474747475</v>
      </c>
      <c r="L1366" s="61">
        <f t="shared" si="236"/>
        <v>7.47727272727273</v>
      </c>
      <c r="M1366" s="46">
        <f t="shared" si="237"/>
        <v>91</v>
      </c>
      <c r="Q1366" s="64"/>
    </row>
    <row r="1367" hidden="1" customHeight="1" outlineLevel="1" spans="1:17">
      <c r="A1367" s="64">
        <v>45807</v>
      </c>
      <c r="B1367" s="24">
        <v>45809</v>
      </c>
      <c r="C1367" s="13"/>
      <c r="D1367" s="14">
        <f t="shared" si="239"/>
        <v>8</v>
      </c>
      <c r="E1367" s="14">
        <v>2</v>
      </c>
      <c r="F1367" s="46">
        <v>2</v>
      </c>
      <c r="H1367" s="60">
        <f t="shared" si="234"/>
        <v>8.8</v>
      </c>
      <c r="I1367" s="47">
        <v>5</v>
      </c>
      <c r="J1367" s="14">
        <v>15.75</v>
      </c>
      <c r="K1367" s="48">
        <f t="shared" si="235"/>
        <v>0.441269841269841</v>
      </c>
      <c r="L1367" s="61">
        <f t="shared" si="236"/>
        <v>6.95</v>
      </c>
      <c r="M1367" s="46">
        <f t="shared" si="237"/>
        <v>44</v>
      </c>
      <c r="Q1367" s="64"/>
    </row>
    <row r="1368" hidden="1" customHeight="1" outlineLevel="1" spans="1:17">
      <c r="A1368" s="64">
        <v>45813</v>
      </c>
      <c r="B1368" s="24">
        <v>45815</v>
      </c>
      <c r="C1368" s="13"/>
      <c r="D1368" s="14">
        <f t="shared" si="239"/>
        <v>8</v>
      </c>
      <c r="E1368" s="14">
        <v>3</v>
      </c>
      <c r="F1368" s="46">
        <v>2</v>
      </c>
      <c r="H1368" s="60">
        <f t="shared" si="234"/>
        <v>8.41666666666667</v>
      </c>
      <c r="I1368" s="47">
        <v>12</v>
      </c>
      <c r="J1368" s="14">
        <v>15.75</v>
      </c>
      <c r="K1368" s="48">
        <f t="shared" si="235"/>
        <v>0.465608465608466</v>
      </c>
      <c r="L1368" s="61">
        <f t="shared" si="236"/>
        <v>7.33333333333333</v>
      </c>
      <c r="M1368" s="46">
        <f t="shared" si="237"/>
        <v>101</v>
      </c>
      <c r="Q1368" s="64"/>
    </row>
    <row r="1369" hidden="1" customHeight="1" outlineLevel="1" spans="1:17">
      <c r="A1369" s="64">
        <v>45829</v>
      </c>
      <c r="B1369" s="24">
        <v>45832</v>
      </c>
      <c r="C1369" s="13"/>
      <c r="D1369" s="14">
        <f t="shared" si="239"/>
        <v>8</v>
      </c>
      <c r="E1369" s="14">
        <v>3</v>
      </c>
      <c r="F1369" s="46">
        <v>1</v>
      </c>
      <c r="H1369" s="60">
        <f t="shared" si="234"/>
        <v>9</v>
      </c>
      <c r="I1369" s="47">
        <v>4</v>
      </c>
      <c r="J1369" s="14">
        <v>15.75</v>
      </c>
      <c r="K1369" s="48">
        <f t="shared" si="235"/>
        <v>0.428571428571429</v>
      </c>
      <c r="L1369" s="61">
        <f t="shared" si="236"/>
        <v>6.75</v>
      </c>
      <c r="M1369" s="46">
        <f t="shared" si="237"/>
        <v>36</v>
      </c>
      <c r="Q1369" s="64"/>
    </row>
    <row r="1370" hidden="1" customHeight="1" outlineLevel="1" spans="1:17">
      <c r="A1370" s="64">
        <v>45829</v>
      </c>
      <c r="B1370" s="24">
        <v>45838</v>
      </c>
      <c r="C1370" s="13"/>
      <c r="D1370" s="14">
        <f t="shared" si="239"/>
        <v>8</v>
      </c>
      <c r="E1370" s="14">
        <v>3</v>
      </c>
      <c r="F1370" s="46">
        <v>1</v>
      </c>
      <c r="H1370" s="60">
        <f t="shared" si="234"/>
        <v>10</v>
      </c>
      <c r="I1370" s="47">
        <v>2</v>
      </c>
      <c r="J1370" s="14">
        <v>15.75</v>
      </c>
      <c r="K1370" s="48">
        <f t="shared" si="235"/>
        <v>0.365079365079365</v>
      </c>
      <c r="L1370" s="61">
        <f t="shared" si="236"/>
        <v>5.75</v>
      </c>
      <c r="M1370" s="46">
        <f t="shared" si="237"/>
        <v>20</v>
      </c>
      <c r="Q1370" s="64"/>
    </row>
    <row r="1371" hidden="1" customHeight="1" outlineLevel="1" spans="1:17">
      <c r="A1371" s="64">
        <v>45829</v>
      </c>
      <c r="B1371" s="24">
        <v>45840</v>
      </c>
      <c r="C1371" s="13"/>
      <c r="D1371" s="14">
        <f t="shared" si="239"/>
        <v>8</v>
      </c>
      <c r="E1371" s="14">
        <v>2</v>
      </c>
      <c r="F1371" s="46">
        <v>2</v>
      </c>
      <c r="H1371" s="60">
        <f t="shared" si="234"/>
        <v>9</v>
      </c>
      <c r="I1371" s="47">
        <v>4</v>
      </c>
      <c r="J1371" s="14">
        <v>15.75</v>
      </c>
      <c r="K1371" s="48">
        <f t="shared" si="235"/>
        <v>0.428571428571429</v>
      </c>
      <c r="L1371" s="61">
        <f t="shared" si="236"/>
        <v>6.75</v>
      </c>
      <c r="M1371" s="46">
        <f t="shared" si="237"/>
        <v>36</v>
      </c>
      <c r="Q1371" s="64"/>
    </row>
    <row r="1372" hidden="1" customHeight="1" outlineLevel="1" spans="1:17">
      <c r="A1372" s="64">
        <v>45843</v>
      </c>
      <c r="B1372" s="24">
        <v>45844</v>
      </c>
      <c r="C1372" s="13"/>
      <c r="D1372" s="14">
        <f t="shared" si="239"/>
        <v>8</v>
      </c>
      <c r="E1372" s="14">
        <v>2</v>
      </c>
      <c r="F1372" s="46">
        <v>2</v>
      </c>
      <c r="H1372" s="60">
        <f t="shared" si="234"/>
        <v>8.36363636363636</v>
      </c>
      <c r="I1372" s="47">
        <v>11</v>
      </c>
      <c r="J1372" s="14">
        <v>15.75</v>
      </c>
      <c r="K1372" s="48">
        <f t="shared" si="235"/>
        <v>0.468975468975469</v>
      </c>
      <c r="L1372" s="61">
        <f t="shared" si="236"/>
        <v>7.38636363636364</v>
      </c>
      <c r="M1372" s="46">
        <f t="shared" si="237"/>
        <v>92</v>
      </c>
      <c r="Q1372" s="64"/>
    </row>
    <row r="1373" hidden="1" customHeight="1" outlineLevel="1" spans="1:17">
      <c r="A1373" s="64">
        <v>45843</v>
      </c>
      <c r="B1373" s="24">
        <v>45850</v>
      </c>
      <c r="C1373" s="13"/>
      <c r="D1373" s="14">
        <f t="shared" si="239"/>
        <v>8</v>
      </c>
      <c r="E1373" s="14">
        <v>0</v>
      </c>
      <c r="F1373" s="46">
        <v>0</v>
      </c>
      <c r="H1373" s="60">
        <f t="shared" si="234"/>
        <v>8</v>
      </c>
      <c r="I1373" s="47">
        <v>1</v>
      </c>
      <c r="J1373" s="14">
        <v>15.75</v>
      </c>
      <c r="K1373" s="48">
        <f t="shared" si="235"/>
        <v>0.492063492063492</v>
      </c>
      <c r="L1373" s="61">
        <f t="shared" si="236"/>
        <v>7.75</v>
      </c>
      <c r="M1373" s="46">
        <f t="shared" si="237"/>
        <v>8</v>
      </c>
      <c r="Q1373" s="64"/>
    </row>
    <row r="1374" hidden="1" customHeight="1" outlineLevel="1" spans="1:17">
      <c r="A1374" s="64">
        <v>45849</v>
      </c>
      <c r="B1374" s="24">
        <v>45852</v>
      </c>
      <c r="C1374" s="13"/>
      <c r="D1374" s="14">
        <f t="shared" si="239"/>
        <v>8</v>
      </c>
      <c r="E1374" s="14">
        <v>1</v>
      </c>
      <c r="F1374" s="46">
        <v>1</v>
      </c>
      <c r="H1374" s="60">
        <f t="shared" si="234"/>
        <v>8.25</v>
      </c>
      <c r="I1374" s="47">
        <v>8</v>
      </c>
      <c r="J1374" s="14">
        <v>15.75</v>
      </c>
      <c r="K1374" s="48">
        <f t="shared" si="235"/>
        <v>0.476190476190476</v>
      </c>
      <c r="L1374" s="61">
        <f t="shared" si="236"/>
        <v>7.5</v>
      </c>
      <c r="M1374" s="46">
        <f t="shared" si="237"/>
        <v>66</v>
      </c>
      <c r="Q1374" s="64"/>
    </row>
    <row r="1375" hidden="1" customHeight="1" outlineLevel="1" spans="1:17">
      <c r="A1375" s="64">
        <v>45849</v>
      </c>
      <c r="B1375" s="24">
        <v>45861</v>
      </c>
      <c r="C1375" s="13"/>
      <c r="D1375" s="14">
        <f t="shared" si="239"/>
        <v>8</v>
      </c>
      <c r="E1375" s="14">
        <v>1</v>
      </c>
      <c r="F1375" s="46">
        <v>2</v>
      </c>
      <c r="H1375" s="60">
        <f t="shared" si="234"/>
        <v>8.75</v>
      </c>
      <c r="I1375" s="47">
        <v>4</v>
      </c>
      <c r="J1375" s="14">
        <v>15.75</v>
      </c>
      <c r="K1375" s="48">
        <f t="shared" si="235"/>
        <v>0.444444444444444</v>
      </c>
      <c r="L1375" s="61">
        <f t="shared" si="236"/>
        <v>7</v>
      </c>
      <c r="M1375" s="46">
        <f t="shared" si="237"/>
        <v>35</v>
      </c>
      <c r="Q1375" s="64"/>
    </row>
    <row r="1376" hidden="1" customHeight="1" outlineLevel="1" spans="1:17">
      <c r="A1376" s="24">
        <v>45869</v>
      </c>
      <c r="B1376" s="24">
        <v>45871</v>
      </c>
      <c r="C1376" s="13"/>
      <c r="D1376" s="14">
        <f t="shared" si="239"/>
        <v>8</v>
      </c>
      <c r="E1376" s="14">
        <v>6</v>
      </c>
      <c r="F1376" s="46">
        <v>1</v>
      </c>
      <c r="G1376" s="46"/>
      <c r="H1376" s="60">
        <f t="shared" si="234"/>
        <v>8.58333333333333</v>
      </c>
      <c r="I1376" s="47">
        <v>12</v>
      </c>
      <c r="J1376" s="14">
        <v>15.75</v>
      </c>
      <c r="K1376" s="48">
        <f t="shared" si="235"/>
        <v>0.455026455026455</v>
      </c>
      <c r="L1376" s="61">
        <f t="shared" si="236"/>
        <v>7.16666666666667</v>
      </c>
      <c r="M1376" s="46">
        <f t="shared" si="237"/>
        <v>103</v>
      </c>
      <c r="Q1376" s="64"/>
    </row>
    <row r="1377" hidden="1" customHeight="1" outlineLevel="1" spans="1:17">
      <c r="A1377" s="24">
        <v>45869</v>
      </c>
      <c r="B1377" s="24">
        <v>45876</v>
      </c>
      <c r="C1377" s="13"/>
      <c r="D1377" s="14">
        <f t="shared" si="239"/>
        <v>8</v>
      </c>
      <c r="E1377" s="14">
        <v>0</v>
      </c>
      <c r="F1377" s="46">
        <v>1</v>
      </c>
      <c r="G1377" s="46"/>
      <c r="H1377" s="60">
        <f t="shared" si="234"/>
        <v>8.5</v>
      </c>
      <c r="I1377" s="47">
        <v>2</v>
      </c>
      <c r="J1377" s="14">
        <v>15.75</v>
      </c>
      <c r="K1377" s="48">
        <f t="shared" si="235"/>
        <v>0.46031746031746</v>
      </c>
      <c r="L1377" s="61">
        <f t="shared" si="236"/>
        <v>7.25</v>
      </c>
      <c r="M1377" s="46">
        <f t="shared" si="237"/>
        <v>17</v>
      </c>
      <c r="Q1377" s="64"/>
    </row>
    <row r="1378" hidden="1" customHeight="1" outlineLevel="1" spans="1:17">
      <c r="A1378" s="40">
        <v>45880</v>
      </c>
      <c r="B1378" s="40">
        <v>45883</v>
      </c>
      <c r="C1378" s="14"/>
      <c r="D1378" s="14">
        <f>0.3*20+0.8</f>
        <v>6.8</v>
      </c>
      <c r="E1378" s="14">
        <v>3.5</v>
      </c>
      <c r="F1378" s="46">
        <v>1</v>
      </c>
      <c r="G1378" s="46"/>
      <c r="H1378" s="60">
        <f t="shared" si="234"/>
        <v>7.1</v>
      </c>
      <c r="I1378" s="47">
        <v>15</v>
      </c>
      <c r="J1378" s="14">
        <v>15.75</v>
      </c>
      <c r="K1378" s="48">
        <f t="shared" si="235"/>
        <v>0.549206349206349</v>
      </c>
      <c r="L1378" s="61">
        <f t="shared" si="236"/>
        <v>8.65</v>
      </c>
      <c r="M1378" s="46">
        <f t="shared" si="237"/>
        <v>106.5</v>
      </c>
      <c r="N1378" s="14"/>
      <c r="O1378" s="14"/>
      <c r="P1378" s="14"/>
    </row>
    <row r="1379" hidden="1" customHeight="1" outlineLevel="1" spans="1:17">
      <c r="A1379" s="40">
        <v>45894</v>
      </c>
      <c r="B1379" s="40">
        <v>45897</v>
      </c>
      <c r="D1379" s="14">
        <f>0.3*20+0.8</f>
        <v>6.8</v>
      </c>
      <c r="E1379" s="14">
        <v>3</v>
      </c>
      <c r="F1379" s="46">
        <v>1</v>
      </c>
      <c r="G1379" s="46"/>
      <c r="H1379" s="60">
        <f t="shared" si="234"/>
        <v>7.13333333333333</v>
      </c>
      <c r="I1379" s="47">
        <v>12</v>
      </c>
      <c r="J1379" s="14">
        <v>15.75</v>
      </c>
      <c r="K1379" s="48">
        <f t="shared" si="235"/>
        <v>0.547089947089947</v>
      </c>
      <c r="L1379" s="61">
        <f t="shared" si="236"/>
        <v>8.61666666666667</v>
      </c>
      <c r="M1379" s="46">
        <f t="shared" si="237"/>
        <v>85.6</v>
      </c>
      <c r="N1379" s="14"/>
      <c r="O1379" s="14"/>
      <c r="P1379" s="14"/>
    </row>
    <row r="1380" customHeight="1" collapsed="1" spans="1:17">
      <c r="A1380" s="64">
        <v>45775</v>
      </c>
      <c r="B1380" s="24">
        <v>45778</v>
      </c>
      <c r="C1380" s="13" t="s">
        <v>159</v>
      </c>
      <c r="D1380" s="14">
        <f>0.45*20+0.5</f>
        <v>9.5</v>
      </c>
      <c r="E1380" s="14">
        <v>2.4</v>
      </c>
      <c r="F1380" s="46">
        <v>1</v>
      </c>
      <c r="H1380" s="60">
        <f t="shared" si="234"/>
        <v>10.18</v>
      </c>
      <c r="I1380" s="47">
        <v>5</v>
      </c>
      <c r="J1380" s="14">
        <v>18</v>
      </c>
      <c r="K1380" s="48">
        <f t="shared" si="235"/>
        <v>0.434444444444444</v>
      </c>
      <c r="L1380" s="61">
        <f t="shared" si="236"/>
        <v>7.82</v>
      </c>
      <c r="M1380" s="46">
        <f t="shared" si="237"/>
        <v>50.9</v>
      </c>
      <c r="Q1380" s="64"/>
    </row>
    <row r="1381" hidden="1" customHeight="1" outlineLevel="1" spans="1:17">
      <c r="A1381" s="64">
        <v>45792</v>
      </c>
      <c r="B1381" s="24">
        <v>45795</v>
      </c>
      <c r="D1381" s="14">
        <f t="shared" ref="D1381:D1392" si="240">0.45*20+0.8</f>
        <v>9.8</v>
      </c>
      <c r="E1381" s="14">
        <v>2</v>
      </c>
      <c r="F1381" s="46">
        <v>1</v>
      </c>
      <c r="H1381" s="60">
        <f t="shared" si="234"/>
        <v>10.3</v>
      </c>
      <c r="I1381" s="47">
        <v>6</v>
      </c>
      <c r="J1381" s="14">
        <v>18</v>
      </c>
      <c r="K1381" s="48">
        <f t="shared" si="235"/>
        <v>0.427777777777778</v>
      </c>
      <c r="L1381" s="61">
        <f t="shared" si="236"/>
        <v>7.7</v>
      </c>
      <c r="M1381" s="46">
        <f t="shared" si="237"/>
        <v>61.8</v>
      </c>
      <c r="Q1381" s="64"/>
    </row>
    <row r="1382" hidden="1" customHeight="1" outlineLevel="1" spans="1:17">
      <c r="A1382" s="64">
        <v>45800</v>
      </c>
      <c r="B1382" s="24">
        <v>45802</v>
      </c>
      <c r="D1382" s="14">
        <f t="shared" si="240"/>
        <v>9.8</v>
      </c>
      <c r="E1382" s="14">
        <v>4</v>
      </c>
      <c r="F1382" s="46">
        <v>2</v>
      </c>
      <c r="H1382" s="60">
        <f t="shared" si="234"/>
        <v>10.4</v>
      </c>
      <c r="I1382" s="47">
        <v>10</v>
      </c>
      <c r="J1382" s="14">
        <v>18</v>
      </c>
      <c r="K1382" s="48">
        <f t="shared" si="235"/>
        <v>0.422222222222222</v>
      </c>
      <c r="L1382" s="61">
        <f t="shared" si="236"/>
        <v>7.6</v>
      </c>
      <c r="M1382" s="46">
        <f t="shared" si="237"/>
        <v>104</v>
      </c>
      <c r="Q1382" s="64"/>
    </row>
    <row r="1383" hidden="1" customHeight="1" outlineLevel="1" spans="1:17">
      <c r="A1383" s="64">
        <v>45813</v>
      </c>
      <c r="B1383" s="24">
        <v>45815</v>
      </c>
      <c r="D1383" s="14">
        <f t="shared" si="240"/>
        <v>9.8</v>
      </c>
      <c r="E1383" s="14">
        <v>3</v>
      </c>
      <c r="F1383" s="46">
        <v>2</v>
      </c>
      <c r="H1383" s="60">
        <f t="shared" si="234"/>
        <v>10.5142857142857</v>
      </c>
      <c r="I1383" s="47">
        <v>7</v>
      </c>
      <c r="J1383" s="14">
        <v>18</v>
      </c>
      <c r="K1383" s="48">
        <f t="shared" si="235"/>
        <v>0.415873015873016</v>
      </c>
      <c r="L1383" s="61">
        <f t="shared" si="236"/>
        <v>7.48571428571428</v>
      </c>
      <c r="M1383" s="46">
        <f t="shared" si="237"/>
        <v>73.6</v>
      </c>
      <c r="Q1383" s="64"/>
    </row>
    <row r="1384" hidden="1" customHeight="1" outlineLevel="1" spans="1:17">
      <c r="A1384" s="64">
        <v>45818</v>
      </c>
      <c r="B1384" s="24">
        <v>45822</v>
      </c>
      <c r="D1384" s="14">
        <f t="shared" si="240"/>
        <v>9.8</v>
      </c>
      <c r="E1384" s="14">
        <v>3</v>
      </c>
      <c r="F1384" s="46">
        <v>1</v>
      </c>
      <c r="H1384" s="60">
        <f t="shared" si="234"/>
        <v>10.6</v>
      </c>
      <c r="I1384" s="47">
        <v>5</v>
      </c>
      <c r="J1384" s="14">
        <v>18</v>
      </c>
      <c r="K1384" s="48">
        <f t="shared" si="235"/>
        <v>0.411111111111111</v>
      </c>
      <c r="L1384" s="61">
        <f t="shared" si="236"/>
        <v>7.4</v>
      </c>
      <c r="M1384" s="46">
        <f t="shared" si="237"/>
        <v>53</v>
      </c>
    </row>
    <row r="1385" hidden="1" customHeight="1" outlineLevel="1" spans="1:17">
      <c r="A1385" s="64">
        <v>45829</v>
      </c>
      <c r="B1385" s="24">
        <v>45832</v>
      </c>
      <c r="D1385" s="14">
        <f t="shared" si="240"/>
        <v>9.8</v>
      </c>
      <c r="E1385" s="14">
        <v>2</v>
      </c>
      <c r="F1385" s="46">
        <v>1</v>
      </c>
      <c r="H1385" s="60">
        <f t="shared" si="234"/>
        <v>10.55</v>
      </c>
      <c r="I1385" s="47">
        <v>4</v>
      </c>
      <c r="J1385" s="14">
        <v>18</v>
      </c>
      <c r="K1385" s="48">
        <f t="shared" si="235"/>
        <v>0.413888888888889</v>
      </c>
      <c r="L1385" s="61">
        <f t="shared" si="236"/>
        <v>7.45</v>
      </c>
      <c r="M1385" s="46">
        <f t="shared" si="237"/>
        <v>42.2</v>
      </c>
    </row>
    <row r="1386" hidden="1" customHeight="1" outlineLevel="1" spans="1:17">
      <c r="A1386" s="64">
        <v>45838</v>
      </c>
      <c r="B1386" s="24">
        <v>45841</v>
      </c>
      <c r="D1386" s="14">
        <f t="shared" si="240"/>
        <v>9.8</v>
      </c>
      <c r="E1386" s="14">
        <v>3</v>
      </c>
      <c r="F1386" s="46">
        <v>1</v>
      </c>
      <c r="H1386" s="60">
        <f t="shared" si="234"/>
        <v>10.4666666666667</v>
      </c>
      <c r="I1386" s="47">
        <v>6</v>
      </c>
      <c r="J1386" s="14">
        <v>18</v>
      </c>
      <c r="K1386" s="48">
        <f t="shared" si="235"/>
        <v>0.418518518518519</v>
      </c>
      <c r="L1386" s="61">
        <f t="shared" si="236"/>
        <v>7.53333333333333</v>
      </c>
      <c r="M1386" s="46">
        <f t="shared" si="237"/>
        <v>62.8</v>
      </c>
    </row>
    <row r="1387" hidden="1" customHeight="1" outlineLevel="1" spans="1:17">
      <c r="A1387" s="64">
        <v>45838</v>
      </c>
      <c r="B1387" s="24">
        <v>45846</v>
      </c>
      <c r="D1387" s="14">
        <f t="shared" si="240"/>
        <v>9.8</v>
      </c>
      <c r="E1387" s="14">
        <v>3</v>
      </c>
      <c r="F1387" s="46">
        <v>1</v>
      </c>
      <c r="H1387" s="60">
        <f t="shared" si="234"/>
        <v>13.8</v>
      </c>
      <c r="I1387" s="47">
        <v>1</v>
      </c>
      <c r="J1387" s="14">
        <v>18</v>
      </c>
      <c r="K1387" s="48">
        <f t="shared" si="235"/>
        <v>0.233333333333333</v>
      </c>
      <c r="L1387" s="61">
        <f t="shared" si="236"/>
        <v>4.2</v>
      </c>
      <c r="M1387" s="46">
        <f t="shared" si="237"/>
        <v>13.8</v>
      </c>
    </row>
    <row r="1388" hidden="1" customHeight="1" outlineLevel="1" spans="1:17">
      <c r="A1388" s="64">
        <v>45843</v>
      </c>
      <c r="B1388" s="24">
        <v>45846</v>
      </c>
      <c r="D1388" s="14">
        <f t="shared" si="240"/>
        <v>9.8</v>
      </c>
      <c r="E1388" s="14">
        <v>2</v>
      </c>
      <c r="F1388" s="46">
        <v>1</v>
      </c>
      <c r="H1388" s="60">
        <f t="shared" si="234"/>
        <v>11.3</v>
      </c>
      <c r="I1388" s="47">
        <v>2</v>
      </c>
      <c r="J1388" s="14">
        <v>18</v>
      </c>
      <c r="K1388" s="48">
        <f t="shared" si="235"/>
        <v>0.372222222222222</v>
      </c>
      <c r="L1388" s="61">
        <f t="shared" si="236"/>
        <v>6.7</v>
      </c>
      <c r="M1388" s="46">
        <f t="shared" si="237"/>
        <v>22.6</v>
      </c>
    </row>
    <row r="1389" hidden="1" customHeight="1" outlineLevel="1" spans="1:17">
      <c r="A1389" s="64">
        <v>45849</v>
      </c>
      <c r="B1389" s="24">
        <v>45855</v>
      </c>
      <c r="D1389" s="14">
        <f t="shared" si="240"/>
        <v>9.8</v>
      </c>
      <c r="E1389" s="14">
        <v>2</v>
      </c>
      <c r="F1389" s="46">
        <v>1</v>
      </c>
      <c r="H1389" s="60">
        <f t="shared" si="234"/>
        <v>10.1</v>
      </c>
      <c r="I1389" s="47">
        <v>10</v>
      </c>
      <c r="J1389" s="14">
        <v>18</v>
      </c>
      <c r="K1389" s="48">
        <f t="shared" si="235"/>
        <v>0.438888888888889</v>
      </c>
      <c r="L1389" s="61">
        <f t="shared" si="236"/>
        <v>7.9</v>
      </c>
      <c r="M1389" s="46">
        <f t="shared" si="237"/>
        <v>101</v>
      </c>
    </row>
    <row r="1390" hidden="1" customHeight="1" outlineLevel="1" spans="1:17">
      <c r="A1390" s="64">
        <v>45859</v>
      </c>
      <c r="B1390" s="24">
        <v>45862</v>
      </c>
      <c r="D1390" s="14">
        <f t="shared" si="240"/>
        <v>9.8</v>
      </c>
      <c r="E1390" s="14">
        <v>3</v>
      </c>
      <c r="F1390" s="46">
        <v>1</v>
      </c>
      <c r="H1390" s="60">
        <f t="shared" si="234"/>
        <v>10.8</v>
      </c>
      <c r="I1390" s="47">
        <v>4</v>
      </c>
      <c r="J1390" s="14">
        <v>18</v>
      </c>
      <c r="K1390" s="48">
        <f t="shared" si="235"/>
        <v>0.4</v>
      </c>
      <c r="L1390" s="61">
        <f t="shared" si="236"/>
        <v>7.2</v>
      </c>
      <c r="M1390" s="46">
        <f t="shared" si="237"/>
        <v>43.2</v>
      </c>
    </row>
    <row r="1391" hidden="1" customHeight="1" outlineLevel="1" spans="1:17">
      <c r="A1391" s="24">
        <v>45869</v>
      </c>
      <c r="B1391" s="24">
        <v>45871</v>
      </c>
      <c r="D1391" s="14">
        <f t="shared" si="240"/>
        <v>9.8</v>
      </c>
      <c r="E1391" s="14">
        <v>2</v>
      </c>
      <c r="F1391" s="46">
        <v>1</v>
      </c>
      <c r="H1391" s="60">
        <f t="shared" si="234"/>
        <v>10.55</v>
      </c>
      <c r="I1391" s="47">
        <v>4</v>
      </c>
      <c r="J1391" s="14">
        <v>18</v>
      </c>
      <c r="K1391" s="48">
        <f t="shared" si="235"/>
        <v>0.413888888888889</v>
      </c>
      <c r="L1391" s="61">
        <f t="shared" si="236"/>
        <v>7.45</v>
      </c>
      <c r="M1391" s="46">
        <f t="shared" si="237"/>
        <v>42.2</v>
      </c>
    </row>
    <row r="1392" hidden="1" customHeight="1" outlineLevel="1" spans="1:17">
      <c r="A1392" s="24">
        <v>45874</v>
      </c>
      <c r="B1392" s="24">
        <v>45877</v>
      </c>
      <c r="D1392" s="14">
        <f t="shared" si="240"/>
        <v>9.8</v>
      </c>
      <c r="E1392" s="14">
        <v>2</v>
      </c>
      <c r="F1392" s="46">
        <v>1</v>
      </c>
      <c r="H1392" s="60">
        <f t="shared" si="234"/>
        <v>10.05</v>
      </c>
      <c r="I1392" s="47">
        <v>12</v>
      </c>
      <c r="J1392" s="14">
        <v>18</v>
      </c>
      <c r="K1392" s="48">
        <f t="shared" si="235"/>
        <v>0.441666666666667</v>
      </c>
      <c r="L1392" s="61">
        <f t="shared" si="236"/>
        <v>7.95</v>
      </c>
      <c r="M1392" s="46">
        <f t="shared" si="237"/>
        <v>120.6</v>
      </c>
    </row>
    <row r="1393" hidden="1" customHeight="1" outlineLevel="1" spans="1:17">
      <c r="A1393" s="24">
        <v>45888</v>
      </c>
      <c r="B1393" s="24">
        <v>45890</v>
      </c>
      <c r="D1393" s="14">
        <f>0.37*20+0.8</f>
        <v>8.2</v>
      </c>
      <c r="E1393" s="14">
        <v>4</v>
      </c>
      <c r="F1393" s="46">
        <v>2</v>
      </c>
      <c r="H1393" s="60">
        <f t="shared" si="234"/>
        <v>8.6</v>
      </c>
      <c r="I1393" s="47">
        <v>15</v>
      </c>
      <c r="J1393" s="14">
        <v>18</v>
      </c>
      <c r="K1393" s="48">
        <f t="shared" si="235"/>
        <v>0.522222222222222</v>
      </c>
      <c r="L1393" s="61">
        <f t="shared" si="236"/>
        <v>9.4</v>
      </c>
      <c r="M1393" s="46">
        <f t="shared" si="237"/>
        <v>129</v>
      </c>
      <c r="Q1393" s="13" t="s">
        <v>160</v>
      </c>
    </row>
    <row r="1394" hidden="1" customHeight="1" outlineLevel="1" spans="1:17">
      <c r="A1394" s="24">
        <v>45894</v>
      </c>
      <c r="B1394" s="40">
        <v>45897</v>
      </c>
      <c r="D1394" s="14">
        <f>0.37*20+0.8</f>
        <v>8.2</v>
      </c>
      <c r="E1394" s="14">
        <v>1</v>
      </c>
      <c r="F1394" s="46">
        <v>1</v>
      </c>
      <c r="H1394" s="60">
        <f t="shared" si="234"/>
        <v>8.7</v>
      </c>
      <c r="I1394" s="47">
        <v>4</v>
      </c>
      <c r="J1394" s="14">
        <v>18</v>
      </c>
      <c r="K1394" s="48">
        <f t="shared" si="235"/>
        <v>0.516666666666667</v>
      </c>
      <c r="L1394" s="61">
        <f t="shared" si="236"/>
        <v>9.3</v>
      </c>
      <c r="M1394" s="46">
        <f t="shared" si="237"/>
        <v>34.8</v>
      </c>
    </row>
    <row r="1396" customHeight="1" collapsed="1" spans="1:17">
      <c r="A1396" s="64">
        <v>45832</v>
      </c>
      <c r="B1396" s="24">
        <v>45840</v>
      </c>
      <c r="C1396" s="13" t="s">
        <v>161</v>
      </c>
      <c r="D1396" s="14">
        <f>0.62*3</f>
        <v>1.86</v>
      </c>
      <c r="E1396" s="14">
        <v>0</v>
      </c>
      <c r="F1396" s="46">
        <v>2</v>
      </c>
      <c r="H1396" s="60">
        <f t="shared" ref="H1396:H1398" si="241">D1396+(E1396/I1396)+(F1396/I1396)</f>
        <v>2.26</v>
      </c>
      <c r="I1396" s="47">
        <v>5</v>
      </c>
      <c r="J1396" s="14">
        <v>16.9</v>
      </c>
      <c r="K1396" s="48">
        <f t="shared" ref="K1396:K1398" si="242">(J1396-H1396)/J1396</f>
        <v>0.866272189349112</v>
      </c>
      <c r="L1396" s="61">
        <f t="shared" ref="L1396:L1398" si="243">J1396-H1396</f>
        <v>14.64</v>
      </c>
      <c r="M1396" s="46">
        <f t="shared" ref="M1396:M1398" si="244">D1396*I1396+E1396+F1396</f>
        <v>11.3</v>
      </c>
      <c r="Q1396" s="13"/>
    </row>
    <row r="1397" hidden="1" customHeight="1" outlineLevel="1" spans="1:17">
      <c r="A1397" s="40">
        <v>45902</v>
      </c>
      <c r="B1397" s="40">
        <v>45906</v>
      </c>
      <c r="C1397" s="57"/>
      <c r="D1397" s="14">
        <f>0.7*3</f>
        <v>2.1</v>
      </c>
      <c r="E1397" s="14">
        <v>0</v>
      </c>
      <c r="F1397" s="46">
        <v>2</v>
      </c>
      <c r="H1397" s="60">
        <f t="shared" si="241"/>
        <v>2.35</v>
      </c>
      <c r="I1397" s="47">
        <v>8</v>
      </c>
      <c r="J1397" s="14">
        <v>16.9</v>
      </c>
      <c r="K1397" s="48">
        <f t="shared" si="242"/>
        <v>0.86094674556213</v>
      </c>
      <c r="L1397" s="61">
        <f t="shared" si="243"/>
        <v>14.55</v>
      </c>
      <c r="M1397" s="46">
        <f t="shared" si="244"/>
        <v>18.8</v>
      </c>
      <c r="N1397" s="57"/>
      <c r="O1397" s="57"/>
      <c r="P1397" s="57"/>
    </row>
    <row r="1398" customHeight="1" spans="1:17">
      <c r="A1398" s="64">
        <v>45746</v>
      </c>
      <c r="B1398" s="24"/>
      <c r="C1398" s="13" t="s">
        <v>162</v>
      </c>
      <c r="D1398" s="14">
        <f>0.7*3</f>
        <v>2.1</v>
      </c>
      <c r="E1398" s="14">
        <v>3</v>
      </c>
      <c r="H1398" s="60">
        <f t="shared" si="241"/>
        <v>2.4</v>
      </c>
      <c r="I1398" s="47">
        <v>10</v>
      </c>
      <c r="J1398" s="14">
        <v>9.27</v>
      </c>
      <c r="K1398" s="48">
        <f t="shared" si="242"/>
        <v>0.741100323624596</v>
      </c>
      <c r="L1398" s="61">
        <f t="shared" si="243"/>
        <v>6.87</v>
      </c>
      <c r="M1398" s="46">
        <f t="shared" si="244"/>
        <v>24</v>
      </c>
    </row>
    <row r="1400" customHeight="1" collapsed="1" spans="1:17">
      <c r="A1400" s="24">
        <v>45719</v>
      </c>
      <c r="B1400" s="37">
        <v>45726</v>
      </c>
      <c r="C1400" s="93" t="s">
        <v>163</v>
      </c>
      <c r="D1400" s="67">
        <f t="shared" ref="D1400:D1402" si="245">0.184*10</f>
        <v>1.84</v>
      </c>
      <c r="E1400" s="14">
        <v>0</v>
      </c>
      <c r="F1400" s="46">
        <v>1</v>
      </c>
      <c r="H1400" s="68">
        <f t="shared" ref="H1400:H1411" si="246">D1400+(E1400/I1400)+(F1400/I1400)</f>
        <v>1.94</v>
      </c>
      <c r="I1400" s="47">
        <v>10</v>
      </c>
      <c r="J1400" s="61">
        <v>10.8</v>
      </c>
      <c r="K1400" s="48">
        <f t="shared" ref="K1400:K1411" si="247">(J1400-H1400)/J1400</f>
        <v>0.82037037037037</v>
      </c>
      <c r="L1400" s="36">
        <f t="shared" ref="L1400:L1411" si="248">J1400-H1400</f>
        <v>8.86</v>
      </c>
      <c r="M1400" s="36">
        <f t="shared" ref="M1400:M1411" si="249">D1400*I1400+E1400+F1400</f>
        <v>19.4</v>
      </c>
    </row>
    <row r="1401" hidden="1" customHeight="1" outlineLevel="1" spans="1:17">
      <c r="A1401" s="24">
        <v>45874</v>
      </c>
      <c r="B1401" s="40">
        <v>45878</v>
      </c>
      <c r="C1401" s="16" t="str">
        <f>_xlfn.DISPIMG("ID_30FEF4260E7F47DF9D7ED48000543465",1)</f>
        <v>=DISPIMG("ID_30FEF4260E7F47DF9D7ED48000543465",1)</v>
      </c>
      <c r="D1401" s="67">
        <f t="shared" si="245"/>
        <v>1.84</v>
      </c>
      <c r="E1401" s="14">
        <v>4</v>
      </c>
      <c r="F1401" s="46">
        <v>1</v>
      </c>
      <c r="H1401" s="68">
        <f t="shared" si="246"/>
        <v>2.34</v>
      </c>
      <c r="I1401" s="47">
        <v>10</v>
      </c>
      <c r="J1401" s="61">
        <v>12.41</v>
      </c>
      <c r="K1401" s="48">
        <f t="shared" si="247"/>
        <v>0.811442385173247</v>
      </c>
      <c r="L1401" s="36">
        <f t="shared" si="248"/>
        <v>10.07</v>
      </c>
      <c r="M1401" s="36">
        <f t="shared" si="249"/>
        <v>23.4</v>
      </c>
    </row>
    <row r="1402" hidden="1" customHeight="1" outlineLevel="1" spans="1:17">
      <c r="A1402" s="24">
        <v>45939</v>
      </c>
      <c r="B1402" s="40">
        <v>45943</v>
      </c>
      <c r="C1402" s="22"/>
      <c r="D1402" s="67">
        <f t="shared" si="245"/>
        <v>1.84</v>
      </c>
      <c r="E1402" s="14">
        <v>6</v>
      </c>
      <c r="F1402" s="46">
        <v>2</v>
      </c>
      <c r="H1402" s="68">
        <f t="shared" si="246"/>
        <v>2.45538461538462</v>
      </c>
      <c r="I1402" s="47">
        <v>13</v>
      </c>
      <c r="J1402" s="61">
        <v>12.41</v>
      </c>
      <c r="K1402" s="48">
        <f t="shared" si="247"/>
        <v>0.802144672410587</v>
      </c>
      <c r="L1402" s="36">
        <f t="shared" si="248"/>
        <v>9.95461538461539</v>
      </c>
      <c r="M1402" s="36">
        <f t="shared" si="249"/>
        <v>31.92</v>
      </c>
    </row>
    <row r="1403" hidden="1" customHeight="1" outlineLevel="1" spans="1:17">
      <c r="A1403" s="24">
        <v>45719</v>
      </c>
      <c r="B1403" s="24">
        <v>45726</v>
      </c>
      <c r="C1403" s="93" t="s">
        <v>144</v>
      </c>
      <c r="D1403" s="67">
        <f>0.206*10</f>
        <v>2.06</v>
      </c>
      <c r="E1403" s="14">
        <v>0</v>
      </c>
      <c r="F1403" s="46">
        <v>1</v>
      </c>
      <c r="H1403" s="68">
        <f t="shared" si="246"/>
        <v>2.16</v>
      </c>
      <c r="I1403" s="47">
        <v>10</v>
      </c>
      <c r="J1403" s="61">
        <v>10.8</v>
      </c>
      <c r="K1403" s="48">
        <f t="shared" si="247"/>
        <v>0.8</v>
      </c>
      <c r="L1403" s="36">
        <f t="shared" si="248"/>
        <v>8.64</v>
      </c>
      <c r="M1403" s="36">
        <f t="shared" si="249"/>
        <v>21.6</v>
      </c>
    </row>
    <row r="1404" hidden="1" customHeight="1" outlineLevel="1" spans="1:17">
      <c r="A1404" s="24">
        <v>45719</v>
      </c>
      <c r="B1404" s="24">
        <v>45726</v>
      </c>
      <c r="C1404" s="93" t="s">
        <v>164</v>
      </c>
      <c r="D1404" s="67">
        <f t="shared" ref="D1404:D1407" si="250">0.43*10</f>
        <v>4.3</v>
      </c>
      <c r="E1404" s="14">
        <v>0</v>
      </c>
      <c r="F1404" s="46">
        <v>1</v>
      </c>
      <c r="H1404" s="68">
        <f t="shared" si="246"/>
        <v>4.4</v>
      </c>
      <c r="I1404" s="47">
        <v>10</v>
      </c>
      <c r="J1404" s="61">
        <v>16.2</v>
      </c>
      <c r="K1404" s="48">
        <f t="shared" si="247"/>
        <v>0.728395061728395</v>
      </c>
      <c r="L1404" s="36">
        <f t="shared" si="248"/>
        <v>11.8</v>
      </c>
      <c r="M1404" s="36">
        <f t="shared" si="249"/>
        <v>44</v>
      </c>
    </row>
    <row r="1405" hidden="1" customHeight="1" outlineLevel="1" spans="1:17">
      <c r="A1405" s="24">
        <v>45874</v>
      </c>
      <c r="B1405" s="40">
        <v>45878</v>
      </c>
      <c r="C1405" s="22"/>
      <c r="D1405" s="67">
        <f t="shared" si="250"/>
        <v>4.3</v>
      </c>
      <c r="E1405" s="14">
        <v>4</v>
      </c>
      <c r="F1405" s="46">
        <v>1</v>
      </c>
      <c r="H1405" s="68">
        <f t="shared" si="246"/>
        <v>4.8</v>
      </c>
      <c r="I1405" s="47">
        <v>10</v>
      </c>
      <c r="J1405" s="61">
        <v>17.81</v>
      </c>
      <c r="K1405" s="48">
        <f t="shared" si="247"/>
        <v>0.730488489612577</v>
      </c>
      <c r="L1405" s="36">
        <f t="shared" si="248"/>
        <v>13.01</v>
      </c>
      <c r="M1405" s="36">
        <f t="shared" si="249"/>
        <v>48</v>
      </c>
    </row>
    <row r="1406" hidden="1" customHeight="1" outlineLevel="1" spans="1:17">
      <c r="A1406" s="24">
        <v>45917</v>
      </c>
      <c r="B1406" s="24">
        <v>45920</v>
      </c>
      <c r="C1406" s="22"/>
      <c r="D1406" s="67">
        <f t="shared" si="250"/>
        <v>4.3</v>
      </c>
      <c r="E1406" s="14">
        <v>4</v>
      </c>
      <c r="F1406" s="46">
        <v>2</v>
      </c>
      <c r="H1406" s="68">
        <f t="shared" si="246"/>
        <v>4.9</v>
      </c>
      <c r="I1406" s="47">
        <v>10</v>
      </c>
      <c r="J1406" s="61">
        <v>17.81</v>
      </c>
      <c r="K1406" s="48">
        <f t="shared" si="247"/>
        <v>0.724873666479506</v>
      </c>
      <c r="L1406" s="36">
        <f t="shared" si="248"/>
        <v>12.91</v>
      </c>
      <c r="M1406" s="36">
        <f t="shared" si="249"/>
        <v>49</v>
      </c>
    </row>
    <row r="1407" hidden="1" customHeight="1" outlineLevel="1" spans="1:17">
      <c r="A1407" s="24">
        <v>45939</v>
      </c>
      <c r="B1407" s="40">
        <v>45943</v>
      </c>
      <c r="C1407" s="22"/>
      <c r="D1407" s="67">
        <f t="shared" si="250"/>
        <v>4.3</v>
      </c>
      <c r="E1407" s="14">
        <v>7</v>
      </c>
      <c r="F1407" s="46">
        <v>2</v>
      </c>
      <c r="H1407" s="68">
        <f t="shared" si="246"/>
        <v>4.77368421052632</v>
      </c>
      <c r="I1407" s="47">
        <v>19</v>
      </c>
      <c r="J1407" s="61">
        <v>17.81</v>
      </c>
      <c r="K1407" s="48">
        <f t="shared" si="247"/>
        <v>0.731966074647596</v>
      </c>
      <c r="L1407" s="36">
        <f t="shared" si="248"/>
        <v>13.0363157894737</v>
      </c>
      <c r="M1407" s="36">
        <f t="shared" si="249"/>
        <v>90.7</v>
      </c>
    </row>
    <row r="1408" hidden="1" customHeight="1" outlineLevel="1" spans="1:17">
      <c r="A1408" s="24">
        <v>45719</v>
      </c>
      <c r="B1408" s="24">
        <v>45726</v>
      </c>
      <c r="C1408" s="93" t="s">
        <v>165</v>
      </c>
      <c r="D1408" s="67">
        <f t="shared" ref="D1408:D1410" si="251">0.55*10</f>
        <v>5.5</v>
      </c>
      <c r="E1408" s="14">
        <v>0</v>
      </c>
      <c r="F1408" s="46">
        <v>1</v>
      </c>
      <c r="H1408" s="68">
        <f t="shared" si="246"/>
        <v>5.6</v>
      </c>
      <c r="I1408" s="47">
        <v>10</v>
      </c>
      <c r="J1408" s="61">
        <v>21.6</v>
      </c>
      <c r="K1408" s="48">
        <f t="shared" si="247"/>
        <v>0.740740740740741</v>
      </c>
      <c r="L1408" s="36">
        <f t="shared" si="248"/>
        <v>16</v>
      </c>
      <c r="M1408" s="36">
        <f t="shared" si="249"/>
        <v>56</v>
      </c>
    </row>
    <row r="1409" hidden="1" customHeight="1" outlineLevel="1" spans="1:13">
      <c r="A1409" s="24">
        <v>45874</v>
      </c>
      <c r="B1409" s="40">
        <v>45878</v>
      </c>
      <c r="D1409" s="67">
        <f t="shared" si="251"/>
        <v>5.5</v>
      </c>
      <c r="E1409" s="14">
        <v>4</v>
      </c>
      <c r="F1409" s="46">
        <v>1</v>
      </c>
      <c r="H1409" s="68">
        <f t="shared" si="246"/>
        <v>6.05555555555556</v>
      </c>
      <c r="I1409" s="47">
        <v>9</v>
      </c>
      <c r="J1409" s="61">
        <v>24.02</v>
      </c>
      <c r="K1409" s="48">
        <f t="shared" si="247"/>
        <v>0.747895272458137</v>
      </c>
      <c r="L1409" s="36">
        <f t="shared" si="248"/>
        <v>17.9644444444444</v>
      </c>
      <c r="M1409" s="36">
        <f t="shared" si="249"/>
        <v>54.5</v>
      </c>
    </row>
    <row r="1410" hidden="1" customHeight="1" outlineLevel="1" spans="1:13">
      <c r="A1410" s="24">
        <v>45917</v>
      </c>
      <c r="B1410" s="24">
        <v>45920</v>
      </c>
      <c r="D1410" s="67">
        <f t="shared" si="251"/>
        <v>5.5</v>
      </c>
      <c r="E1410" s="14">
        <v>4</v>
      </c>
      <c r="F1410" s="46">
        <v>2</v>
      </c>
      <c r="H1410" s="68">
        <f t="shared" si="246"/>
        <v>6.1</v>
      </c>
      <c r="I1410" s="47">
        <v>10</v>
      </c>
      <c r="J1410" s="61">
        <v>24.02</v>
      </c>
      <c r="K1410" s="48">
        <f t="shared" si="247"/>
        <v>0.746044962531224</v>
      </c>
      <c r="L1410" s="36">
        <f t="shared" si="248"/>
        <v>17.92</v>
      </c>
      <c r="M1410" s="36">
        <f t="shared" si="249"/>
        <v>61</v>
      </c>
    </row>
    <row r="1411" hidden="1" customHeight="1" outlineLevel="1" spans="1:13">
      <c r="A1411" s="24">
        <v>45917</v>
      </c>
      <c r="B1411" s="24">
        <v>45920</v>
      </c>
      <c r="C1411" s="93" t="s">
        <v>166</v>
      </c>
      <c r="D1411" s="67">
        <f>0.71*10</f>
        <v>7.1</v>
      </c>
      <c r="E1411" s="14">
        <v>4</v>
      </c>
      <c r="F1411" s="46">
        <v>2</v>
      </c>
      <c r="H1411" s="68">
        <f t="shared" si="246"/>
        <v>7.7</v>
      </c>
      <c r="I1411" s="47">
        <v>10</v>
      </c>
      <c r="J1411" s="61">
        <v>32.58</v>
      </c>
      <c r="K1411" s="48">
        <f t="shared" si="247"/>
        <v>0.76365868631062</v>
      </c>
      <c r="L1411" s="36">
        <f t="shared" si="248"/>
        <v>24.88</v>
      </c>
      <c r="M1411" s="36">
        <f t="shared" si="249"/>
        <v>77</v>
      </c>
    </row>
  </sheetData>
  <sheetProtection formatCells="0" insertHyperlinks="0" autoFilter="0"/>
  <mergeCells count="51">
    <mergeCell ref="A2:N2"/>
    <mergeCell ref="A134:N134"/>
    <mergeCell ref="A202:N202"/>
    <mergeCell ref="A229:N229"/>
    <mergeCell ref="A230:O230"/>
    <mergeCell ref="A312:O312"/>
    <mergeCell ref="A364:O364"/>
    <mergeCell ref="A390:N390"/>
    <mergeCell ref="A453:N453"/>
    <mergeCell ref="A564:N564"/>
    <mergeCell ref="A565:O565"/>
    <mergeCell ref="A586:O586"/>
    <mergeCell ref="A602:O602"/>
    <mergeCell ref="A619:O619"/>
    <mergeCell ref="A642:O642"/>
    <mergeCell ref="A658:O658"/>
    <mergeCell ref="A677:O677"/>
    <mergeCell ref="A703:N703"/>
    <mergeCell ref="A704:O704"/>
    <mergeCell ref="A723:O723"/>
    <mergeCell ref="A738:O738"/>
    <mergeCell ref="A754:N754"/>
    <mergeCell ref="A755:O755"/>
    <mergeCell ref="A777:O777"/>
    <mergeCell ref="A790:O790"/>
    <mergeCell ref="A815:O815"/>
    <mergeCell ref="A828:O828"/>
    <mergeCell ref="A843:N843"/>
    <mergeCell ref="A893:N893"/>
    <mergeCell ref="A898:N898"/>
    <mergeCell ref="A903:N903"/>
    <mergeCell ref="A923:N923"/>
    <mergeCell ref="A947:N947"/>
    <mergeCell ref="A975:Q975"/>
    <mergeCell ref="B23:B24"/>
    <mergeCell ref="B35:B36"/>
    <mergeCell ref="B238:B239"/>
    <mergeCell ref="B398:B399"/>
    <mergeCell ref="B1102:B1103"/>
    <mergeCell ref="B1173:B1174"/>
    <mergeCell ref="B1178:B1179"/>
    <mergeCell ref="B1183:B1184"/>
    <mergeCell ref="B1232:B1234"/>
    <mergeCell ref="F35:F36"/>
    <mergeCell ref="F238:F239"/>
    <mergeCell ref="F398:F399"/>
    <mergeCell ref="F1102:F1103"/>
    <mergeCell ref="F1173:F1174"/>
    <mergeCell ref="F1178:F1179"/>
    <mergeCell ref="F1183:F1184"/>
    <mergeCell ref="F1232:F1234"/>
  </mergeCells>
  <hyperlinks>
    <hyperlink ref="L1113" r:id="rId3" display="=J1113-H1113" tooltip="https://www.amazon.com/L-Lweik-Plastic-Washers-Amigurumi-Stuffed/dp/B08GCR475C"/>
    <hyperlink ref="L1114" r:id="rId3" display="=J1114-H1114" tooltip="https://www.amazon.com/L-Lweik-Plastic-Washers-Amigurumi-Stuffed/dp/B08GCR475C"/>
    <hyperlink ref="L1116" r:id="rId3" display="=J1116-H1116" tooltip="https://www.amazon.com/L-Lweik-Plastic-Washers-Amigurumi-Stuffed/dp/B08GCR475C"/>
    <hyperlink ref="L1115" r:id="rId3" display="=J1115-H1115" tooltip="https://www.amazon.com/L-Lweik-Plastic-Washers-Amigurumi-Stuffed/dp/B08GCR475C"/>
    <hyperlink ref="L1118" r:id="rId3" display="=J1118-H1118" tooltip="https://www.amazon.com/L-Lweik-Plastic-Washers-Amigurumi-Stuffed/dp/B08GCR475C"/>
    <hyperlink ref="L1117" r:id="rId3" display="=J1117-H1117" tooltip="https://www.amazon.com/L-Lweik-Plastic-Washers-Amigurumi-Stuffed/dp/B08GCR475C"/>
    <hyperlink ref="L1119" r:id="rId3" display="=J1119-H1119" tooltip="https://www.amazon.com/L-Lweik-Plastic-Washers-Amigurumi-Stuffed/dp/B08GCR475C"/>
    <hyperlink ref="L1120" r:id="rId3" display="=J1120-H1120" tooltip="https://www.amazon.com/L-Lweik-Plastic-Washers-Amigurumi-Stuffed/dp/B08GCR475C"/>
    <hyperlink ref="L1121" r:id="rId3" display="=J1121-H1121" tooltip="https://www.amazon.com/L-Lweik-Plastic-Washers-Amigurumi-Stuffed/dp/B08GCR475C"/>
    <hyperlink ref="L1122" r:id="rId3" display="=J1122-H1122" tooltip="https://www.amazon.com/L-Lweik-Plastic-Washers-Amigurumi-Stuffed/dp/B08GCR475C"/>
    <hyperlink ref="L1123" r:id="rId3" display="=J1123-H1123" tooltip="https://www.amazon.com/L-Lweik-Plastic-Washers-Amigurumi-Stuffed/dp/B08GCR475C"/>
    <hyperlink ref="L1124" r:id="rId3" display="=J1124-H1124" tooltip="https://www.amazon.com/L-Lweik-Plastic-Washers-Amigurumi-Stuffed/dp/B08GCR475C"/>
    <hyperlink ref="O979" r:id="rId4" display="https://www.amazon.com/dp/B0BRKSK745" tooltip="https://www.amazon.com/dp/B0BRKSK745"/>
    <hyperlink ref="L1127" r:id="rId3" display="=J1127-H1127" tooltip="https://www.amazon.com/L-Lweik-Plastic-Washers-Amigurumi-Stuffed/dp/B08GCR475C"/>
    <hyperlink ref="L1125" r:id="rId3" display="=J1125-H1125" tooltip="https://www.amazon.com/L-Lweik-Plastic-Washers-Amigurumi-Stuffed/dp/B08GCR475C"/>
    <hyperlink ref="L1126" r:id="rId3" display="=J1126-H1126" tooltip="https://www.amazon.com/L-Lweik-Plastic-Washers-Amigurumi-Stuffed/dp/B08GCR475C"/>
    <hyperlink ref="L1132" r:id="rId3" display="=J1132-H1132" tooltip="https://www.amazon.com/L-Lweik-Plastic-Washers-Amigurumi-Stuffed/dp/B08GCR475C"/>
    <hyperlink ref="L1128" r:id="rId3" display="=J1128-H1128" tooltip="https://www.amazon.com/L-Lweik-Plastic-Washers-Amigurumi-Stuffed/dp/B08GCR475C"/>
    <hyperlink ref="L1129" r:id="rId3" display="=J1129-H1129" tooltip="https://www.amazon.com/L-Lweik-Plastic-Washers-Amigurumi-Stuffed/dp/B08GCR475C"/>
    <hyperlink ref="L1130" r:id="rId3" display="=J1130-H1130" tooltip="https://www.amazon.com/L-Lweik-Plastic-Washers-Amigurumi-Stuffed/dp/B08GCR475C"/>
    <hyperlink ref="L1131" r:id="rId3" display="=J1131-H1131" tooltip="https://www.amazon.com/L-Lweik-Plastic-Washers-Amigurumi-Stuffed/dp/B08GCR475C"/>
    <hyperlink ref="L1133" r:id="rId3" display="=J1133-H1133" tooltip="https://www.amazon.com/L-Lweik-Plastic-Washers-Amigurumi-Stuffed/dp/B08GCR475C"/>
    <hyperlink ref="L1134" r:id="rId3" display="=J1134-H1134" tooltip="https://www.amazon.com/L-Lweik-Plastic-Washers-Amigurumi-Stuffed/dp/B08GCR475C"/>
    <hyperlink ref="L1136" r:id="rId3" display="=J1136-H1136" tooltip="https://www.amazon.com/L-Lweik-Plastic-Washers-Amigurumi-Stuffed/dp/B08GCR475C"/>
    <hyperlink ref="L1135" r:id="rId3" display="=J1135-H1135" tooltip="https://www.amazon.com/L-Lweik-Plastic-Washers-Amigurumi-Stuffed/dp/B08GCR475C"/>
    <hyperlink ref="L1137" r:id="rId3" display="=J1137-H1137" tooltip="https://www.amazon.com/L-Lweik-Plastic-Washers-Amigurumi-Stuffed/dp/B08GCR475C"/>
    <hyperlink ref="L1138" r:id="rId3" display="=J1138-H1138" tooltip="https://www.amazon.com/L-Lweik-Plastic-Washers-Amigurumi-Stuffed/dp/B08GCR475C"/>
    <hyperlink ref="L1139" r:id="rId3" display="=J1139-H1139" tooltip="https://www.amazon.com/L-Lweik-Plastic-Washers-Amigurumi-Stuffed/dp/B08GCR475C"/>
    <hyperlink ref="L1140" r:id="rId3" display="=J1140-H1140" tooltip="https://www.amazon.com/L-Lweik-Plastic-Washers-Amigurumi-Stuffed/dp/B08GCR475C"/>
    <hyperlink ref="L1141" r:id="rId3" display="=J1141-H1141" tooltip="https://www.amazon.com/L-Lweik-Plastic-Washers-Amigurumi-Stuffed/dp/B08GCR475C"/>
    <hyperlink ref="L1142" r:id="rId3" display="=J1142-H1142" tooltip="https://www.amazon.com/L-Lweik-Plastic-Washers-Amigurumi-Stuffed/dp/B08GCR475C"/>
    <hyperlink ref="L1143" r:id="rId3" display="=J1143-H1143" tooltip="https://www.amazon.com/L-Lweik-Plastic-Washers-Amigurumi-Stuffed/dp/B08GCR475C"/>
    <hyperlink ref="L1144" r:id="rId3" display="=J1144-H1144" tooltip="https://www.amazon.com/L-Lweik-Plastic-Washers-Amigurumi-Stuffed/dp/B08GCR475C"/>
    <hyperlink ref="L1145" r:id="rId3" display="=J1145-H1145" tooltip="https://www.amazon.com/L-Lweik-Plastic-Washers-Amigurumi-Stuffed/dp/B08GCR475C"/>
    <hyperlink ref="L1146" r:id="rId3" display="=J1146-H1146" tooltip="https://www.amazon.com/L-Lweik-Plastic-Washers-Amigurumi-Stuffed/dp/B08GCR475C"/>
    <hyperlink ref="L1147" r:id="rId3" display="=J1147-H1147" tooltip="https://www.amazon.com/L-Lweik-Plastic-Washers-Amigurumi-Stuffed/dp/B08GCR475C"/>
    <hyperlink ref="L1148" r:id="rId3" display="=J1148-H1148" tooltip="https://www.amazon.com/L-Lweik-Plastic-Washers-Amigurumi-Stuffed/dp/B08GCR475C"/>
    <hyperlink ref="Q1149" r:id="rId3" display="https://www.amazon.com/L-Lweik-Plastic-Washers-Amigurumi-Stuffed/dp/B08GCR475C" tooltip="https://www.amazon.com/L-Lweik-Plastic-Washers-Amigurumi-Stuffed/dp/B08GCR475C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workbookViewId="0">
      <pane ySplit="1" topLeftCell="A72" activePane="bottomLeft" state="frozen"/>
      <selection/>
      <selection pane="bottomLeft" activeCell="A72" sqref="A72:L72"/>
    </sheetView>
  </sheetViews>
  <sheetFormatPr defaultColWidth="11.3333333333333" defaultRowHeight="19.5" outlineLevelRow="3"/>
  <cols>
    <col min="1" max="1" width="8.44444444444444" style="16" customWidth="1"/>
    <col min="2" max="2" width="8" style="16" customWidth="1"/>
    <col min="3" max="3" width="8.22222222222222" style="16" customWidth="1"/>
    <col min="4" max="4" width="8" style="16" customWidth="1"/>
    <col min="5" max="5" width="11.3333333333333" style="16"/>
    <col min="6" max="6" width="10.7777777777778" style="16" customWidth="1"/>
    <col min="7" max="7" width="7.77777777777778" style="16" customWidth="1"/>
    <col min="8" max="8" width="8" style="16" customWidth="1"/>
    <col min="9" max="9" width="9.44444444444444" style="16" customWidth="1"/>
    <col min="10" max="10" width="9.22222222222222" style="16" customWidth="1"/>
    <col min="11" max="11" width="8.22222222222222" style="16" customWidth="1"/>
    <col min="12" max="12" width="11.3333333333333" style="16"/>
    <col min="13" max="13" width="7.77777777777778" style="16" customWidth="1"/>
    <col min="14" max="15" width="7.88888888888889" style="16" customWidth="1"/>
    <col min="16" max="16" width="8.33333333333333" style="16" customWidth="1"/>
    <col min="17" max="17" width="8.88888888888889" style="16" customWidth="1"/>
    <col min="18" max="18" width="5.66666666666667" style="16" customWidth="1"/>
    <col min="19" max="16384" width="11.3333333333333" style="16"/>
  </cols>
  <sheetData>
    <row r="1" s="41" customFormat="1" ht="24.75" customHeight="1" spans="1:18">
      <c r="A1" s="42" t="s">
        <v>167</v>
      </c>
      <c r="B1" s="42" t="s">
        <v>168</v>
      </c>
      <c r="C1" s="42" t="s">
        <v>169</v>
      </c>
      <c r="D1" s="42" t="s">
        <v>9</v>
      </c>
      <c r="E1" s="42" t="s">
        <v>170</v>
      </c>
      <c r="F1" s="42" t="s">
        <v>171</v>
      </c>
      <c r="G1" s="42" t="s">
        <v>172</v>
      </c>
      <c r="H1" s="42" t="s">
        <v>173</v>
      </c>
      <c r="I1" s="42" t="s">
        <v>174</v>
      </c>
      <c r="J1" s="42" t="s">
        <v>175</v>
      </c>
      <c r="K1" s="42" t="s">
        <v>176</v>
      </c>
      <c r="L1" s="42" t="s">
        <v>177</v>
      </c>
      <c r="M1" s="42" t="s">
        <v>11</v>
      </c>
      <c r="N1" s="42" t="s">
        <v>178</v>
      </c>
      <c r="P1" s="42" t="s">
        <v>179</v>
      </c>
      <c r="Q1" s="42" t="s">
        <v>180</v>
      </c>
      <c r="R1" s="42" t="s">
        <v>181</v>
      </c>
    </row>
    <row r="2" ht="21" customHeight="1" spans="1:18">
      <c r="A2" s="43">
        <v>45826</v>
      </c>
      <c r="B2" s="22" t="s">
        <v>182</v>
      </c>
      <c r="C2" s="16">
        <v>7.5</v>
      </c>
      <c r="D2" s="16">
        <v>99.33</v>
      </c>
      <c r="E2" s="16">
        <v>94.35</v>
      </c>
      <c r="F2" s="16">
        <v>0.0985</v>
      </c>
      <c r="G2" s="16">
        <v>5.3</v>
      </c>
      <c r="H2" s="16">
        <f>$P$2*F2</f>
        <v>7.092</v>
      </c>
      <c r="I2" s="16">
        <f>$Q$2</f>
        <v>5</v>
      </c>
      <c r="J2" s="16">
        <f>3.5*$R$2</f>
        <v>23.8</v>
      </c>
      <c r="L2" s="16">
        <f>C2+G2+H2+I2+J2</f>
        <v>48.692</v>
      </c>
      <c r="M2" s="16">
        <f>D2-L2</f>
        <v>50.638</v>
      </c>
      <c r="N2" s="44">
        <f>(M2-L2)/M2</f>
        <v>0.0384296378213986</v>
      </c>
      <c r="P2" s="16">
        <v>72</v>
      </c>
      <c r="Q2" s="16">
        <v>5</v>
      </c>
      <c r="R2" s="22">
        <v>6.8</v>
      </c>
    </row>
    <row r="3" spans="1:18">
      <c r="A3" s="43">
        <v>45826</v>
      </c>
      <c r="B3" s="22" t="s">
        <v>182</v>
      </c>
      <c r="C3" s="16">
        <v>7.5</v>
      </c>
      <c r="D3" s="16">
        <v>99.33</v>
      </c>
      <c r="E3" s="16">
        <v>94.35</v>
      </c>
      <c r="F3" s="16">
        <v>0.0985</v>
      </c>
      <c r="G3" s="16">
        <v>5.3</v>
      </c>
      <c r="H3" s="16">
        <f>$P$2*F3</f>
        <v>7.092</v>
      </c>
      <c r="I3" s="16">
        <f>$Q$2</f>
        <v>5</v>
      </c>
      <c r="J3" s="16">
        <f>3.5*$R$2</f>
        <v>23.8</v>
      </c>
      <c r="L3" s="16">
        <f>C3+G3+H3+I3+J3</f>
        <v>48.692</v>
      </c>
      <c r="M3" s="16">
        <f>D3-L3</f>
        <v>50.638</v>
      </c>
      <c r="N3" s="44">
        <f>(M3-L3)/M3</f>
        <v>0.0384296378213986</v>
      </c>
    </row>
    <row r="4" spans="1:18">
      <c r="B4" s="22" t="s">
        <v>183</v>
      </c>
      <c r="C4" s="16">
        <f>0.62*5</f>
        <v>3.1</v>
      </c>
      <c r="D4" s="16">
        <v>39</v>
      </c>
      <c r="E4" s="16">
        <f>D4*0.85</f>
        <v>33.15</v>
      </c>
      <c r="F4" s="16">
        <v>0.02</v>
      </c>
      <c r="H4" s="16">
        <f>$P$2*F4</f>
        <v>1.44</v>
      </c>
      <c r="I4" s="16">
        <f>$Q$2</f>
        <v>5</v>
      </c>
      <c r="J4" s="16">
        <f>2.5*$R$2</f>
        <v>17</v>
      </c>
      <c r="L4" s="16">
        <f>C4+G4+H4+I4+J4</f>
        <v>26.54</v>
      </c>
      <c r="M4" s="16">
        <f>D4-L4</f>
        <v>12.46</v>
      </c>
      <c r="N4" s="4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65"/>
  <sheetViews>
    <sheetView workbookViewId="0">
      <pane ySplit="1" topLeftCell="A621" activePane="bottomLeft" state="frozen"/>
      <selection/>
      <selection pane="bottomLeft" activeCell="A131" sqref="A131"/>
    </sheetView>
  </sheetViews>
  <sheetFormatPr defaultColWidth="7.11111111111111" defaultRowHeight="20" customHeight="1"/>
  <cols>
    <col min="1" max="1" width="7.66666666666667" style="16"/>
    <col min="2" max="2" width="7.88888888888889" style="28" customWidth="1"/>
    <col min="3" max="3" width="6.44444444444444" style="14" customWidth="1"/>
    <col min="4" max="11" width="5.88888888888889" style="28" customWidth="1"/>
    <col min="12" max="12" width="5.88888888888889" style="16" customWidth="1"/>
    <col min="13" max="49" width="5.88888888888889" style="28" customWidth="1"/>
    <col min="50" max="70" width="7.11111111111111" style="28"/>
    <col min="71" max="71" width="7.66666666666667" style="14" hidden="1" customWidth="1"/>
    <col min="72" max="72" width="7.44444444444444" style="14" hidden="1" customWidth="1"/>
    <col min="73" max="73" width="7" style="14" hidden="1" customWidth="1"/>
    <col min="74" max="74" width="6.77777777777778" style="14" hidden="1" customWidth="1"/>
    <col min="75" max="75" width="6.33333333333333" style="14" hidden="1" customWidth="1"/>
    <col min="76" max="76" width="7.11111111111111" style="28" customWidth="1"/>
    <col min="77" max="16384" width="7.11111111111111" style="28"/>
  </cols>
  <sheetData>
    <row r="1" ht="20.25" customHeight="1" spans="1:75">
      <c r="A1" s="10" t="s">
        <v>184</v>
      </c>
      <c r="B1" s="18" t="s">
        <v>185</v>
      </c>
      <c r="C1" s="11" t="s">
        <v>186</v>
      </c>
      <c r="D1" s="29">
        <f>SUM(C:C)</f>
        <v>2176.1</v>
      </c>
      <c r="E1" s="29"/>
      <c r="F1" s="29"/>
      <c r="G1" s="29"/>
      <c r="H1" s="29"/>
      <c r="I1" s="29"/>
      <c r="J1" s="29"/>
      <c r="K1" s="29"/>
      <c r="L1" s="30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31" t="s">
        <v>184</v>
      </c>
      <c r="BT1" s="18">
        <v>15</v>
      </c>
      <c r="BU1" s="18">
        <v>13</v>
      </c>
      <c r="BV1" s="32">
        <v>11</v>
      </c>
      <c r="BW1" s="18">
        <v>8</v>
      </c>
    </row>
    <row r="2" customHeight="1" spans="1:75">
      <c r="A2" s="24">
        <v>45444</v>
      </c>
      <c r="B2" s="13" t="s">
        <v>187</v>
      </c>
      <c r="C2" s="14">
        <v>7.5</v>
      </c>
      <c r="D2" s="28"/>
      <c r="E2" s="28"/>
      <c r="F2" s="28"/>
      <c r="G2" s="28"/>
      <c r="BS2" s="26"/>
      <c r="BT2" s="14">
        <v>2000</v>
      </c>
      <c r="BU2" s="14">
        <v>1000</v>
      </c>
    </row>
    <row r="3" customHeight="1" spans="1:75">
      <c r="A3" s="33">
        <v>45462</v>
      </c>
      <c r="B3" s="13" t="s">
        <v>188</v>
      </c>
      <c r="C3" s="14">
        <v>11</v>
      </c>
      <c r="BS3" s="34">
        <v>45504</v>
      </c>
      <c r="BT3" s="14">
        <v>1000</v>
      </c>
      <c r="BU3" s="14"/>
      <c r="BV3" s="35">
        <f>-(SUMIFS(库存!M:M,库存!A:A,"&gt;="&amp;DATE(YEAR(BS3),MONTH(BS3),1),库存!A:A,"&lt;="&amp;EOMONTH(BS3,0))+SUMIFS(物料!C:C,物料!A:A,"&gt;="&amp;DATE(YEAR(BS3),MONTH(BS3),1),物料!A:A,"&lt;="&amp;EOMONTH(BS3,0)))</f>
        <v>-1121.29</v>
      </c>
      <c r="BW3" s="36">
        <f t="shared" ref="BW3:BW29" si="0">SUM(BT4+BU4+BV3)</f>
        <v>1478.71</v>
      </c>
    </row>
    <row r="4" customHeight="1" spans="1:75">
      <c r="A4" s="24">
        <v>45502</v>
      </c>
      <c r="B4" s="13" t="s">
        <v>187</v>
      </c>
      <c r="C4" s="14">
        <v>6.4</v>
      </c>
      <c r="BS4" s="37">
        <v>45900</v>
      </c>
      <c r="BT4" s="14">
        <v>2600</v>
      </c>
      <c r="BV4" s="35">
        <f>-(SUMIFS(库存!M:M,库存!A:A,"&gt;="&amp;DATE(YEAR(BS4),MONTH(BS4),1),库存!A:A,"&lt;="&amp;EOMONTH(BS4,0))+SUMIFS(物料!C:C,物料!A:A,"&gt;="&amp;DATE(YEAR(BS4),MONTH(BS4),1),物料!A:A,"&lt;="&amp;EOMONTH(BS4,0)))</f>
        <v>-5542.88</v>
      </c>
      <c r="BW4" s="36">
        <f t="shared" si="0"/>
        <v>457.119999999999</v>
      </c>
    </row>
    <row r="5" customHeight="1" spans="1:75">
      <c r="A5" s="24">
        <v>45508</v>
      </c>
      <c r="B5" s="28" t="s">
        <v>189</v>
      </c>
      <c r="C5" s="14">
        <v>6.9</v>
      </c>
      <c r="BS5" s="37">
        <v>45565</v>
      </c>
      <c r="BT5" s="14">
        <v>6000</v>
      </c>
      <c r="BV5" s="35">
        <f>-(SUMIFS(库存!M:M,库存!A:A,"&gt;="&amp;DATE(YEAR(BS5),MONTH(BS5),1),库存!A:A,"&lt;="&amp;EOMONTH(BS5,0))+SUMIFS(物料!C:C,物料!A:A,"&gt;="&amp;DATE(YEAR(BS5),MONTH(BS5),1),物料!A:A,"&lt;="&amp;EOMONTH(BS5,0)))</f>
        <v>-3632.195</v>
      </c>
      <c r="BW5" s="36">
        <f t="shared" si="0"/>
        <v>3767.805</v>
      </c>
    </row>
    <row r="6" customHeight="1" spans="1:75">
      <c r="A6" s="24">
        <v>45521</v>
      </c>
      <c r="B6" s="13" t="s">
        <v>190</v>
      </c>
      <c r="C6" s="14">
        <v>6.4</v>
      </c>
      <c r="BS6" s="37">
        <v>45596</v>
      </c>
      <c r="BT6" s="14">
        <v>7400</v>
      </c>
      <c r="BV6" s="35">
        <f>-(SUMIFS(库存!M:M,库存!A:A,"&gt;="&amp;DATE(YEAR(BS6),MONTH(BS6),1),库存!A:A,"&lt;="&amp;EOMONTH(BS6,0))+SUMIFS(物料!C:C,物料!A:A,"&gt;="&amp;DATE(YEAR(BS6),MONTH(BS6),1),物料!A:A,"&lt;="&amp;EOMONTH(BS6,0)))</f>
        <v>-3160.2</v>
      </c>
      <c r="BW6" s="36">
        <f t="shared" si="0"/>
        <v>3839.8</v>
      </c>
    </row>
    <row r="7" customHeight="1" spans="1:75">
      <c r="A7" s="24">
        <v>45537</v>
      </c>
      <c r="B7" s="13" t="s">
        <v>187</v>
      </c>
      <c r="C7" s="14">
        <v>4.5</v>
      </c>
      <c r="BS7" s="37">
        <v>45626</v>
      </c>
      <c r="BT7" s="14">
        <v>7000</v>
      </c>
      <c r="BV7" s="35">
        <f>-(SUMIFS(库存!M:M,库存!A:A,"&gt;="&amp;DATE(YEAR(BS7),MONTH(BS7),1),库存!A:A,"&lt;="&amp;EOMONTH(BS7,0))+SUMIFS(物料!C:C,物料!A:A,"&gt;="&amp;DATE(YEAR(BS7),MONTH(BS7),1),物料!A:A,"&lt;="&amp;EOMONTH(BS7,0)))</f>
        <v>-3057.8</v>
      </c>
      <c r="BW7" s="36">
        <f t="shared" si="0"/>
        <v>3442.2</v>
      </c>
    </row>
    <row r="8" customHeight="1" spans="1:75">
      <c r="A8" s="24">
        <v>45548</v>
      </c>
      <c r="B8" s="13" t="s">
        <v>191</v>
      </c>
      <c r="C8" s="14">
        <v>8.4</v>
      </c>
      <c r="K8" s="13"/>
      <c r="BS8" s="37">
        <v>45657</v>
      </c>
      <c r="BT8" s="14">
        <v>6500</v>
      </c>
      <c r="BV8" s="35">
        <f>-(SUMIFS(库存!M:M,库存!A:A,"&gt;="&amp;DATE(YEAR(BS8),MONTH(BS8),1),库存!A:A,"&lt;="&amp;EOMONTH(BS8,0))+SUMIFS(物料!C:C,物料!A:A,"&gt;="&amp;DATE(YEAR(BS8),MONTH(BS8),1),物料!A:A,"&lt;="&amp;EOMONTH(BS8,0)))</f>
        <v>-6126.35</v>
      </c>
      <c r="BW8" s="36">
        <f t="shared" si="0"/>
        <v>5873.65</v>
      </c>
    </row>
    <row r="9" customHeight="1" spans="1:75">
      <c r="A9" s="24">
        <v>45555</v>
      </c>
      <c r="B9" s="28" t="s">
        <v>192</v>
      </c>
      <c r="C9" s="14">
        <v>7.6</v>
      </c>
      <c r="K9" s="13"/>
      <c r="BS9" s="37">
        <v>45688</v>
      </c>
      <c r="BT9" s="14">
        <v>12000</v>
      </c>
      <c r="BV9" s="35">
        <f>-(SUMIFS(库存!M:M,库存!A:A,"&gt;="&amp;DATE(YEAR(BS9),MONTH(BS9),1),库存!A:A,"&lt;="&amp;EOMONTH(BS9,0))+SUMIFS(物料!C:C,物料!A:A,"&gt;="&amp;DATE(YEAR(BS9),MONTH(BS9),1),物料!A:A,"&lt;="&amp;EOMONTH(BS9,0)))</f>
        <v>-9195.65</v>
      </c>
      <c r="BW9" s="36">
        <f t="shared" si="0"/>
        <v>5504.35</v>
      </c>
    </row>
    <row r="10" customHeight="1" spans="1:75">
      <c r="A10" s="24">
        <v>45559</v>
      </c>
      <c r="B10" s="13" t="s">
        <v>187</v>
      </c>
      <c r="C10" s="14">
        <v>4.2</v>
      </c>
      <c r="K10" s="13"/>
      <c r="BS10" s="37">
        <v>45716</v>
      </c>
      <c r="BT10" s="14">
        <v>14700</v>
      </c>
      <c r="BV10" s="35">
        <f>-(SUMIFS(库存!M:M,库存!A:A,"&gt;="&amp;DATE(YEAR(BS10),MONTH(BS10),1),库存!A:A,"&lt;="&amp;EOMONTH(BS10,0))+SUMIFS(物料!C:C,物料!A:A,"&gt;="&amp;DATE(YEAR(BS10),MONTH(BS10),1),物料!A:A,"&lt;="&amp;EOMONTH(BS10,0)))</f>
        <v>-10693.63</v>
      </c>
      <c r="BW10" s="36">
        <f t="shared" si="0"/>
        <v>7706.37</v>
      </c>
    </row>
    <row r="11" customHeight="1" spans="1:75">
      <c r="A11" s="24">
        <v>45582</v>
      </c>
      <c r="B11" s="28" t="s">
        <v>189</v>
      </c>
      <c r="C11" s="14">
        <v>5</v>
      </c>
      <c r="K11" s="13"/>
      <c r="BS11" s="37">
        <v>45747</v>
      </c>
      <c r="BT11" s="14">
        <v>18400</v>
      </c>
      <c r="BV11" s="35">
        <f>-(SUMIFS(库存!M:M,库存!A:A,"&gt;="&amp;DATE(YEAR(BS11),MONTH(BS11),1),库存!A:A,"&lt;="&amp;EOMONTH(BS11,0))+SUMIFS(物料!C:C,物料!A:A,"&gt;="&amp;DATE(YEAR(BS11),MONTH(BS11),1),物料!A:A,"&lt;="&amp;EOMONTH(BS11,0)))</f>
        <v>-6083.44</v>
      </c>
      <c r="BW11" s="36">
        <f t="shared" si="0"/>
        <v>8916.56</v>
      </c>
    </row>
    <row r="12" customHeight="1" spans="1:75">
      <c r="A12" s="24">
        <v>45587</v>
      </c>
      <c r="B12" s="13" t="s">
        <v>187</v>
      </c>
      <c r="C12" s="14">
        <v>4.8</v>
      </c>
      <c r="K12" s="13"/>
      <c r="BS12" s="37">
        <v>45777</v>
      </c>
      <c r="BT12" s="38">
        <v>15000</v>
      </c>
      <c r="BU12" s="38"/>
      <c r="BV12" s="35">
        <f>-(SUMIFS(库存!M:M,库存!A:A,"&gt;="&amp;DATE(YEAR(BS12),MONTH(BS12),1),库存!A:A,"&lt;="&amp;EOMONTH(BS12,0))+SUMIFS(物料!C:C,物料!A:A,"&gt;="&amp;DATE(YEAR(BS12),MONTH(BS12),1),物料!A:A,"&lt;="&amp;EOMONTH(BS12,0)))</f>
        <v>-4839.7</v>
      </c>
      <c r="BW12" s="36">
        <f t="shared" si="0"/>
        <v>6360.3</v>
      </c>
    </row>
    <row r="13" customHeight="1" spans="1:75">
      <c r="A13" s="24">
        <v>45601</v>
      </c>
      <c r="B13" s="13" t="s">
        <v>193</v>
      </c>
      <c r="C13" s="14">
        <v>13</v>
      </c>
      <c r="BS13" s="37">
        <v>45808</v>
      </c>
      <c r="BT13" s="14">
        <v>11200</v>
      </c>
      <c r="BV13" s="35">
        <f>-(SUMIFS(库存!M:M,库存!A:A,"&gt;="&amp;DATE(YEAR(BS13),MONTH(BS13),1),库存!A:A,"&lt;="&amp;EOMONTH(BS13,0))+SUMIFS(物料!C:C,物料!A:A,"&gt;="&amp;DATE(YEAR(BS13),MONTH(BS13),1),物料!A:A,"&lt;="&amp;EOMONTH(BS13,0)))</f>
        <v>-4798.84</v>
      </c>
      <c r="BW13" s="36">
        <f t="shared" si="0"/>
        <v>4701.16</v>
      </c>
    </row>
    <row r="14" customHeight="1" spans="1:75">
      <c r="A14" s="24">
        <v>45603</v>
      </c>
      <c r="B14" s="13" t="s">
        <v>194</v>
      </c>
      <c r="C14" s="14">
        <v>450</v>
      </c>
      <c r="BS14" s="37">
        <v>45838</v>
      </c>
      <c r="BT14" s="14">
        <v>9500</v>
      </c>
      <c r="BV14" s="35">
        <f>-(SUMIFS(库存!M:M,库存!A:A,"&gt;="&amp;DATE(YEAR(BS14),MONTH(BS14),1),库存!A:A,"&lt;="&amp;EOMONTH(BS14,0))+SUMIFS(物料!C:C,物料!A:A,"&gt;="&amp;DATE(YEAR(BS14),MONTH(BS14),1),物料!A:A,"&lt;="&amp;EOMONTH(BS14,0)))</f>
        <v>-5520.24</v>
      </c>
      <c r="BW14" s="36">
        <f t="shared" si="0"/>
        <v>6079.76</v>
      </c>
    </row>
    <row r="15" customHeight="1" spans="1:75">
      <c r="A15" s="24">
        <v>45610</v>
      </c>
      <c r="B15" s="13" t="s">
        <v>195</v>
      </c>
      <c r="C15" s="14">
        <v>-190</v>
      </c>
      <c r="BS15" s="37">
        <v>45869</v>
      </c>
      <c r="BT15" s="14">
        <v>11600</v>
      </c>
      <c r="BV15" s="35">
        <f>-(SUMIFS(库存!M:M,库存!A:A,"&gt;="&amp;DATE(YEAR(BS15),MONTH(BS15),1),库存!A:A,"&lt;="&amp;EOMONTH(BS15,0))+SUMIFS(物料!C:C,物料!A:A,"&gt;="&amp;DATE(YEAR(BS15),MONTH(BS15),1),物料!A:A,"&lt;="&amp;EOMONTH(BS15,0)))</f>
        <v>-6505.94</v>
      </c>
      <c r="BW15" s="36">
        <f t="shared" si="0"/>
        <v>6994.06</v>
      </c>
    </row>
    <row r="16" customHeight="1" spans="1:75">
      <c r="A16" s="24">
        <v>45624</v>
      </c>
      <c r="B16" s="13" t="s">
        <v>196</v>
      </c>
      <c r="C16" s="14">
        <v>13</v>
      </c>
      <c r="BS16" s="37">
        <v>45898</v>
      </c>
      <c r="BT16" s="14">
        <v>13000</v>
      </c>
      <c r="BU16" s="14">
        <v>500</v>
      </c>
      <c r="BV16" s="35">
        <f>-(SUMIFS(库存!M:M,库存!A:A,"&gt;="&amp;DATE(YEAR(BS16),MONTH(BS16),1),库存!A:A,"&lt;="&amp;EOMONTH(BS16,0))+SUMIFS(物料!C:C,物料!A:A,"&gt;="&amp;DATE(YEAR(BS16),MONTH(BS16),1),物料!A:A,"&lt;="&amp;EOMONTH(BS16,0)))</f>
        <v>-5542.88</v>
      </c>
      <c r="BW16" s="36">
        <f t="shared" si="0"/>
        <v>5957.12</v>
      </c>
    </row>
    <row r="17" customHeight="1" spans="1:77">
      <c r="A17" s="24">
        <v>45632</v>
      </c>
      <c r="B17" s="13" t="s">
        <v>187</v>
      </c>
      <c r="C17" s="26">
        <v>7.8</v>
      </c>
      <c r="K17" s="13"/>
      <c r="BS17" s="37">
        <v>45930</v>
      </c>
      <c r="BT17" s="14">
        <v>9900</v>
      </c>
      <c r="BU17" s="14">
        <v>1600</v>
      </c>
      <c r="BV17" s="35">
        <f>-(SUMIFS(库存!M:M,库存!A:A,"&gt;="&amp;DATE(YEAR(BS17),MONTH(BS17),1),库存!A:A,"&lt;="&amp;EOMONTH(BS17,0))+SUMIFS(物料!C:C,物料!A:A,"&gt;="&amp;DATE(YEAR(BS17),MONTH(BS17),1),物料!A:A,"&lt;="&amp;EOMONTH(BS17,0)))</f>
        <v>-4907.52</v>
      </c>
      <c r="BW17" s="36">
        <f t="shared" si="0"/>
        <v>4592.48</v>
      </c>
    </row>
    <row r="18" ht="20.25" customHeight="1" spans="1:77">
      <c r="A18" s="24">
        <v>45635</v>
      </c>
      <c r="B18" s="13" t="s">
        <v>196</v>
      </c>
      <c r="C18" s="14">
        <v>7.8</v>
      </c>
      <c r="K18" s="13"/>
      <c r="BS18" s="37">
        <v>45961</v>
      </c>
      <c r="BT18" s="14">
        <v>7500</v>
      </c>
      <c r="BU18" s="14">
        <v>2000</v>
      </c>
      <c r="BV18" s="35">
        <f>-(SUMIFS(库存!M:M,库存!A:A,"&gt;="&amp;DATE(YEAR(BS18),MONTH(BS18),1),库存!A:A,"&lt;="&amp;EOMONTH(BS18,0))+SUMIFS(物料!C:C,物料!A:A,"&gt;="&amp;DATE(YEAR(BS18),MONTH(BS18),1),物料!A:A,"&lt;="&amp;EOMONTH(BS18,0)))</f>
        <v>-4272</v>
      </c>
      <c r="BW18" s="36">
        <f t="shared" si="0"/>
        <v>6528</v>
      </c>
      <c r="BX18" s="39"/>
      <c r="BY18" s="39"/>
    </row>
    <row r="19" customHeight="1" spans="1:77">
      <c r="A19" s="24">
        <v>45635</v>
      </c>
      <c r="B19" s="13" t="s">
        <v>197</v>
      </c>
      <c r="C19" s="14">
        <v>10</v>
      </c>
      <c r="K19" s="13"/>
      <c r="BS19" s="37">
        <v>45991</v>
      </c>
      <c r="BT19" s="14">
        <v>9300</v>
      </c>
      <c r="BU19" s="14">
        <v>1500</v>
      </c>
      <c r="BV19" s="35">
        <f>-(SUMIFS(库存!M:M,库存!A:A,"&gt;="&amp;DATE(YEAR(BS19),MONTH(BS19),1),库存!A:A,"&lt;="&amp;EOMONTH(BS19,0))+SUMIFS(物料!C:C,物料!A:A,"&gt;="&amp;DATE(YEAR(BS19),MONTH(BS19),1),物料!A:A,"&lt;="&amp;EOMONTH(BS19,0)))</f>
        <v>-6382.26</v>
      </c>
      <c r="BW19" s="36">
        <f t="shared" si="0"/>
        <v>5117.74</v>
      </c>
      <c r="BX19" s="39"/>
      <c r="BY19" s="39"/>
    </row>
    <row r="20" customHeight="1" spans="1:77">
      <c r="A20" s="24">
        <v>45644</v>
      </c>
      <c r="B20" s="13" t="s">
        <v>190</v>
      </c>
      <c r="C20" s="14">
        <v>16.6</v>
      </c>
      <c r="K20" s="13"/>
      <c r="BS20" s="37">
        <v>46022</v>
      </c>
      <c r="BT20" s="14">
        <v>10400</v>
      </c>
      <c r="BU20" s="14">
        <v>1100</v>
      </c>
      <c r="BV20" s="35">
        <f>-(SUMIFS(库存!M:M,库存!A:A,"&gt;="&amp;DATE(YEAR(BS20),MONTH(BS20),1),库存!A:A,"&lt;="&amp;EOMONTH(BS20,0))+SUMIFS(物料!C:C,物料!A:A,"&gt;="&amp;DATE(YEAR(BS20),MONTH(BS20),1),物料!A:A,"&lt;="&amp;EOMONTH(BS20,0)))</f>
        <v>-3991.78</v>
      </c>
      <c r="BW20" s="36">
        <f t="shared" si="0"/>
        <v>8408.22</v>
      </c>
      <c r="BX20" s="39"/>
      <c r="BY20" s="39"/>
    </row>
    <row r="21" customHeight="1" spans="1:77">
      <c r="A21" s="24">
        <v>45648</v>
      </c>
      <c r="B21" s="28" t="s">
        <v>189</v>
      </c>
      <c r="C21" s="14">
        <v>12.2</v>
      </c>
      <c r="BS21" s="37">
        <v>46053</v>
      </c>
      <c r="BT21" s="14">
        <v>11000</v>
      </c>
      <c r="BU21" s="14">
        <v>1400</v>
      </c>
      <c r="BV21" s="35">
        <f>-(SUMIFS(库存!M:M,库存!A:A,"&gt;="&amp;DATE(YEAR(BS21),MONTH(BS21),1),库存!A:A,"&lt;="&amp;EOMONTH(BS21,0))+SUMIFS(物料!C:C,物料!A:A,"&gt;="&amp;DATE(YEAR(BS21),MONTH(BS21),1),物料!A:A,"&lt;="&amp;EOMONTH(BS21,0)))</f>
        <v>-5734.42</v>
      </c>
      <c r="BW21" s="36">
        <f t="shared" si="0"/>
        <v>4065.58</v>
      </c>
      <c r="BX21" s="39"/>
      <c r="BY21" s="39"/>
    </row>
    <row r="22" customHeight="1" spans="1:77">
      <c r="A22" s="24">
        <v>45650</v>
      </c>
      <c r="B22" s="13" t="s">
        <v>198</v>
      </c>
      <c r="C22" s="14">
        <v>150</v>
      </c>
      <c r="BS22" s="40">
        <v>46081</v>
      </c>
      <c r="BT22" s="14">
        <v>8800</v>
      </c>
      <c r="BU22" s="14">
        <v>1000</v>
      </c>
      <c r="BV22" s="35">
        <f>-(SUMIFS(库存!M:M,库存!A:A,"&gt;="&amp;DATE(YEAR(BS22),MONTH(BS22),1),库存!A:A,"&lt;="&amp;EOMONTH(BS22,0))+SUMIFS(物料!C:C,物料!A:A,"&gt;="&amp;DATE(YEAR(BS22),MONTH(BS22),1),物料!A:A,"&lt;="&amp;EOMONTH(BS22,0)))</f>
        <v>-3612.84</v>
      </c>
      <c r="BW22" s="36">
        <f t="shared" si="0"/>
        <v>6187.16</v>
      </c>
      <c r="BX22" s="39"/>
      <c r="BY22" s="39"/>
    </row>
    <row r="23" customHeight="1" spans="1:77">
      <c r="A23" s="24">
        <v>45650</v>
      </c>
      <c r="B23" s="28" t="s">
        <v>192</v>
      </c>
      <c r="C23" s="14">
        <v>9</v>
      </c>
      <c r="BS23" s="37">
        <v>46112</v>
      </c>
      <c r="BT23" s="14">
        <v>8600</v>
      </c>
      <c r="BU23" s="14">
        <v>1200</v>
      </c>
      <c r="BV23" s="35">
        <f>-(SUMIFS(库存!M:M,库存!A:A,"&gt;="&amp;DATE(YEAR(BS23),MONTH(BS23),1),库存!A:A,"&lt;="&amp;EOMONTH(BS23,0))+SUMIFS(物料!C:C,物料!A:A,"&gt;="&amp;DATE(YEAR(BS23),MONTH(BS23),1),物料!A:A,"&lt;="&amp;EOMONTH(BS23,0)))</f>
        <v>-2897.24</v>
      </c>
      <c r="BW23" s="36">
        <f t="shared" si="0"/>
        <v>5002.76</v>
      </c>
      <c r="BX23" s="39"/>
      <c r="BY23" s="39"/>
    </row>
    <row r="24" customHeight="1" spans="1:77">
      <c r="A24" s="24">
        <v>46021</v>
      </c>
      <c r="B24" s="13" t="s">
        <v>187</v>
      </c>
      <c r="C24" s="14">
        <v>3</v>
      </c>
      <c r="BS24" s="37">
        <v>46139</v>
      </c>
      <c r="BT24" s="14">
        <v>7100</v>
      </c>
      <c r="BU24" s="14">
        <v>800</v>
      </c>
      <c r="BV24" s="35">
        <f>-(SUMIFS(库存!M:M,库存!A:A,"&gt;="&amp;DATE(YEAR(BS24),MONTH(BS24),1),库存!A:A,"&lt;="&amp;EOMONTH(BS24,0))+SUMIFS(物料!C:C,物料!A:A,"&gt;="&amp;DATE(YEAR(BS24),MONTH(BS24),1),物料!A:A,"&lt;="&amp;EOMONTH(BS24,0)))</f>
        <v>-1552.86</v>
      </c>
      <c r="BW24" s="36">
        <f t="shared" si="0"/>
        <v>4047.14</v>
      </c>
      <c r="BX24" s="39"/>
      <c r="BY24" s="39"/>
    </row>
    <row r="25" customHeight="1" spans="1:77">
      <c r="A25" s="24">
        <v>45664</v>
      </c>
      <c r="B25" s="13" t="s">
        <v>187</v>
      </c>
      <c r="C25" s="14">
        <v>7</v>
      </c>
      <c r="BS25" s="37">
        <v>46173</v>
      </c>
      <c r="BT25" s="14">
        <v>5100</v>
      </c>
      <c r="BU25" s="14">
        <v>500</v>
      </c>
      <c r="BV25" s="35">
        <f>-(SUMIFS(库存!M:M,库存!A:A,"&gt;="&amp;DATE(YEAR(BS25),MONTH(BS25),1),库存!A:A,"&lt;="&amp;EOMONTH(BS25,0))+SUMIFS(物料!C:C,物料!A:A,"&gt;="&amp;DATE(YEAR(BS25),MONTH(BS25),1),物料!A:A,"&lt;="&amp;EOMONTH(BS25,0)))</f>
        <v>-1804.6</v>
      </c>
      <c r="BW25" s="36">
        <f t="shared" si="0"/>
        <v>2595.4</v>
      </c>
      <c r="BX25" s="39"/>
      <c r="BY25" s="39"/>
    </row>
    <row r="26" customHeight="1" spans="1:77">
      <c r="A26" s="24">
        <v>45663</v>
      </c>
      <c r="B26" s="13" t="s">
        <v>199</v>
      </c>
      <c r="C26" s="14">
        <v>11</v>
      </c>
      <c r="BS26" s="37">
        <v>46203</v>
      </c>
      <c r="BT26" s="14">
        <v>4000</v>
      </c>
      <c r="BU26" s="14">
        <v>400</v>
      </c>
      <c r="BV26" s="35">
        <f>-(SUMIFS(库存!M:M,库存!A:A,"&gt;="&amp;DATE(YEAR(BS26),MONTH(BS26),1),库存!A:A,"&lt;="&amp;EOMONTH(BS26,0))+SUMIFS(物料!C:C,物料!A:A,"&gt;="&amp;DATE(YEAR(BS26),MONTH(BS26),1),物料!A:A,"&lt;="&amp;EOMONTH(BS26,0)))</f>
        <v>-1697</v>
      </c>
      <c r="BW26" s="36">
        <f t="shared" si="0"/>
        <v>1603</v>
      </c>
      <c r="BX26" s="39"/>
      <c r="BY26" s="39"/>
    </row>
    <row r="27" customHeight="1" spans="1:77">
      <c r="A27" s="24">
        <v>45666</v>
      </c>
      <c r="B27" s="28" t="s">
        <v>192</v>
      </c>
      <c r="C27" s="14">
        <v>8.5</v>
      </c>
      <c r="BS27" s="37">
        <v>46231</v>
      </c>
      <c r="BT27" s="14">
        <v>3300</v>
      </c>
      <c r="BU27" s="14">
        <v>0</v>
      </c>
      <c r="BV27" s="35">
        <f>-(SUMIFS(库存!M:M,库存!A:A,"&gt;="&amp;DATE(YEAR(BS27),MONTH(BS27),1),库存!A:A,"&lt;="&amp;EOMONTH(BS27,0))+SUMIFS(物料!C:C,物料!A:A,"&gt;="&amp;DATE(YEAR(BS27),MONTH(BS27),1),物料!A:A,"&lt;="&amp;EOMONTH(BS27,0)))</f>
        <v>-2310.7</v>
      </c>
      <c r="BW27" s="36">
        <f t="shared" si="0"/>
        <v>1712.3</v>
      </c>
    </row>
    <row r="28" customHeight="1" spans="1:77">
      <c r="A28" s="24">
        <v>45667</v>
      </c>
      <c r="B28" s="13" t="s">
        <v>200</v>
      </c>
      <c r="C28" s="14">
        <v>120</v>
      </c>
      <c r="BS28" s="37">
        <v>46265</v>
      </c>
      <c r="BT28" s="14">
        <v>3900</v>
      </c>
      <c r="BU28" s="14">
        <v>123</v>
      </c>
      <c r="BV28" s="35">
        <f>-(SUMIFS(库存!M:M,库存!A:A,"&gt;="&amp;DATE(YEAR(BS28),MONTH(BS28),1),库存!A:A,"&lt;="&amp;EOMONTH(BS28,0))+SUMIFS(物料!C:C,物料!A:A,"&gt;="&amp;DATE(YEAR(BS28),MONTH(BS28),1),物料!A:A,"&lt;="&amp;EOMONTH(BS28,0)))</f>
        <v>-1742.3</v>
      </c>
      <c r="BW28" s="36">
        <f t="shared" si="0"/>
        <v>2557.7</v>
      </c>
    </row>
    <row r="29" customHeight="1" spans="1:77">
      <c r="A29" s="24">
        <v>45674</v>
      </c>
      <c r="B29" s="13" t="s">
        <v>187</v>
      </c>
      <c r="C29" s="14">
        <v>8</v>
      </c>
      <c r="BS29" s="37">
        <v>46295</v>
      </c>
      <c r="BT29" s="14">
        <v>4300</v>
      </c>
      <c r="BU29" s="14">
        <v>0</v>
      </c>
      <c r="BV29" s="35">
        <f>-(SUMIFS(库存!M:M,库存!A:A,"&gt;="&amp;DATE(YEAR(BS29),MONTH(BS29),1),库存!A:A,"&lt;="&amp;EOMONTH(BS29,0))+SUMIFS(物料!C:C,物料!A:A,"&gt;="&amp;DATE(YEAR(BS29),MONTH(BS29),1),物料!A:A,"&lt;="&amp;EOMONTH(BS29,0)))</f>
        <v>-1910.6</v>
      </c>
      <c r="BW29" s="36">
        <f t="shared" si="0"/>
        <v>-1910.6</v>
      </c>
    </row>
    <row r="30" customHeight="1" spans="1:77">
      <c r="A30" s="24">
        <v>45711</v>
      </c>
      <c r="B30" s="13" t="s">
        <v>201</v>
      </c>
      <c r="C30" s="14">
        <v>20</v>
      </c>
    </row>
    <row r="31" customHeight="1" spans="1:77">
      <c r="A31" s="24">
        <v>45717</v>
      </c>
      <c r="B31" s="13" t="s">
        <v>187</v>
      </c>
      <c r="C31" s="14">
        <v>7</v>
      </c>
    </row>
    <row r="32" customHeight="1" spans="1:77">
      <c r="A32" s="24">
        <v>45726</v>
      </c>
      <c r="B32" s="13" t="s">
        <v>202</v>
      </c>
      <c r="C32" s="14">
        <v>80</v>
      </c>
    </row>
    <row r="33" customHeight="1" spans="1:3">
      <c r="A33" s="24">
        <v>45730</v>
      </c>
      <c r="B33" s="13" t="s">
        <v>187</v>
      </c>
      <c r="C33" s="14">
        <v>13</v>
      </c>
    </row>
    <row r="34" customHeight="1" spans="1:3">
      <c r="A34" s="24">
        <v>45748</v>
      </c>
      <c r="B34" s="28" t="s">
        <v>192</v>
      </c>
      <c r="C34" s="14">
        <v>6</v>
      </c>
    </row>
    <row r="35" customHeight="1" spans="1:3">
      <c r="A35" s="24">
        <v>45752</v>
      </c>
      <c r="B35" s="13" t="s">
        <v>190</v>
      </c>
      <c r="C35" s="14">
        <v>4</v>
      </c>
    </row>
    <row r="36" customHeight="1" spans="1:3">
      <c r="A36" s="24">
        <v>45755</v>
      </c>
      <c r="B36" s="13" t="s">
        <v>203</v>
      </c>
      <c r="C36" s="14">
        <v>20</v>
      </c>
    </row>
    <row r="37" customHeight="1" spans="1:3">
      <c r="A37" s="24">
        <v>45769</v>
      </c>
      <c r="B37" s="13" t="s">
        <v>187</v>
      </c>
      <c r="C37" s="14">
        <v>4</v>
      </c>
    </row>
    <row r="38" customHeight="1" spans="1:3">
      <c r="A38" s="24">
        <v>45772</v>
      </c>
      <c r="B38" s="13" t="s">
        <v>204</v>
      </c>
      <c r="C38" s="14">
        <v>100</v>
      </c>
    </row>
    <row r="39" customHeight="1" spans="1:3">
      <c r="A39" s="24">
        <v>45805</v>
      </c>
      <c r="B39" s="13" t="s">
        <v>205</v>
      </c>
      <c r="C39" s="14">
        <v>190</v>
      </c>
    </row>
    <row r="40" customHeight="1" spans="1:3">
      <c r="A40" s="24">
        <v>45806</v>
      </c>
      <c r="B40" s="13" t="s">
        <v>187</v>
      </c>
      <c r="C40" s="14">
        <v>7</v>
      </c>
    </row>
    <row r="41" customHeight="1" spans="1:3">
      <c r="A41" s="24">
        <v>45818</v>
      </c>
      <c r="B41" s="13" t="s">
        <v>187</v>
      </c>
      <c r="C41" s="14">
        <v>7</v>
      </c>
    </row>
    <row r="42" customHeight="1" spans="1:3">
      <c r="A42" s="24">
        <v>45823</v>
      </c>
      <c r="B42" s="28" t="s">
        <v>192</v>
      </c>
      <c r="C42" s="14">
        <v>5</v>
      </c>
    </row>
    <row r="43" customHeight="1" spans="1:3">
      <c r="A43" s="24">
        <v>45824</v>
      </c>
      <c r="B43" s="13" t="s">
        <v>204</v>
      </c>
      <c r="C43" s="14">
        <v>50</v>
      </c>
    </row>
    <row r="44" customHeight="1" spans="1:3">
      <c r="A44" s="24">
        <v>45824</v>
      </c>
      <c r="B44" s="13" t="s">
        <v>206</v>
      </c>
      <c r="C44" s="14">
        <v>20</v>
      </c>
    </row>
    <row r="45" customHeight="1" spans="1:3">
      <c r="A45" s="24">
        <v>45851</v>
      </c>
      <c r="B45" s="13" t="s">
        <v>190</v>
      </c>
      <c r="C45" s="14">
        <v>17</v>
      </c>
    </row>
    <row r="46" customHeight="1" spans="1:3">
      <c r="A46" s="24">
        <v>45865</v>
      </c>
      <c r="B46" s="13" t="s">
        <v>194</v>
      </c>
      <c r="C46" s="14">
        <v>145</v>
      </c>
    </row>
    <row r="47" customHeight="1" spans="1:3">
      <c r="A47" s="24">
        <v>45875</v>
      </c>
      <c r="B47" s="13" t="s">
        <v>187</v>
      </c>
      <c r="C47" s="14">
        <v>20</v>
      </c>
    </row>
    <row r="48" customHeight="1" spans="1:3">
      <c r="A48" s="24">
        <v>45909</v>
      </c>
      <c r="B48" s="13" t="s">
        <v>187</v>
      </c>
      <c r="C48" s="14">
        <v>3</v>
      </c>
    </row>
    <row r="49" customHeight="1" spans="1:3">
      <c r="A49" s="24">
        <v>45910</v>
      </c>
      <c r="B49" s="13" t="s">
        <v>189</v>
      </c>
      <c r="C49" s="14">
        <v>6.3</v>
      </c>
    </row>
    <row r="50" customHeight="1" spans="1:3">
      <c r="A50" s="24">
        <v>45930</v>
      </c>
      <c r="B50" s="13" t="s">
        <v>190</v>
      </c>
      <c r="C50" s="14">
        <v>17</v>
      </c>
    </row>
    <row r="51" customHeight="1" spans="1:3">
      <c r="A51" s="24">
        <v>45963</v>
      </c>
      <c r="B51" s="13" t="s">
        <v>187</v>
      </c>
      <c r="C51" s="14">
        <v>15</v>
      </c>
    </row>
    <row r="52" customHeight="1" spans="1:3">
      <c r="A52" s="24">
        <v>45972</v>
      </c>
      <c r="B52" s="13" t="s">
        <v>200</v>
      </c>
      <c r="C52" s="14">
        <v>139</v>
      </c>
    </row>
    <row r="53" customHeight="1" spans="1:3">
      <c r="A53" s="24">
        <v>45986</v>
      </c>
      <c r="B53" s="13" t="s">
        <v>190</v>
      </c>
      <c r="C53" s="14">
        <v>14</v>
      </c>
    </row>
    <row r="54" customHeight="1" spans="1:3">
      <c r="A54" s="24">
        <v>46001</v>
      </c>
      <c r="B54" s="13" t="s">
        <v>187</v>
      </c>
      <c r="C54" s="14">
        <v>8</v>
      </c>
    </row>
    <row r="55" customHeight="1" spans="1:3">
      <c r="A55" s="24">
        <v>46016</v>
      </c>
      <c r="B55" s="13" t="s">
        <v>189</v>
      </c>
      <c r="C55" s="14">
        <v>6.5</v>
      </c>
    </row>
    <row r="56" customHeight="1" spans="1:3">
      <c r="A56" s="24">
        <v>46017</v>
      </c>
      <c r="B56" s="13" t="s">
        <v>187</v>
      </c>
      <c r="C56" s="14">
        <v>5</v>
      </c>
    </row>
    <row r="57" customHeight="1" spans="1:3">
      <c r="A57" s="24">
        <v>46021</v>
      </c>
      <c r="B57" s="13" t="s">
        <v>207</v>
      </c>
      <c r="C57" s="14">
        <v>45</v>
      </c>
    </row>
    <row r="58" customHeight="1" spans="1:3">
      <c r="A58" s="24">
        <v>46043</v>
      </c>
      <c r="B58" s="13" t="s">
        <v>190</v>
      </c>
      <c r="C58" s="14">
        <v>5.7</v>
      </c>
    </row>
    <row r="59" customHeight="1" spans="1:3">
      <c r="A59" s="24">
        <v>46059</v>
      </c>
      <c r="B59" s="13" t="s">
        <v>187</v>
      </c>
      <c r="C59" s="14">
        <v>8</v>
      </c>
    </row>
    <row r="60" customHeight="1" spans="1:3">
      <c r="A60" s="24">
        <v>46100</v>
      </c>
      <c r="B60" s="13" t="s">
        <v>187</v>
      </c>
      <c r="C60" s="14">
        <v>8</v>
      </c>
    </row>
    <row r="61" customHeight="1" spans="1:3">
      <c r="A61" s="24">
        <v>46105</v>
      </c>
      <c r="B61" s="13" t="s">
        <v>208</v>
      </c>
      <c r="C61" s="14">
        <v>60</v>
      </c>
    </row>
    <row r="62" customHeight="1" spans="1:3">
      <c r="A62" s="24">
        <v>46113</v>
      </c>
      <c r="B62" s="13" t="s">
        <v>209</v>
      </c>
      <c r="C62" s="14">
        <v>3</v>
      </c>
    </row>
    <row r="63" customHeight="1" spans="1:3">
      <c r="A63" s="24">
        <v>46113</v>
      </c>
      <c r="B63" s="22" t="s">
        <v>189</v>
      </c>
      <c r="C63" s="14">
        <v>8</v>
      </c>
    </row>
    <row r="64" customHeight="1" spans="1:3">
      <c r="A64" s="24">
        <v>46176</v>
      </c>
      <c r="B64" s="13" t="s">
        <v>205</v>
      </c>
      <c r="C64" s="14">
        <v>190</v>
      </c>
    </row>
    <row r="65" customHeight="1" spans="1:3">
      <c r="A65" s="24">
        <v>46176</v>
      </c>
      <c r="B65" s="13" t="s">
        <v>205</v>
      </c>
      <c r="C65" s="14">
        <v>190</v>
      </c>
    </row>
  </sheetData>
  <sheetProtection formatCells="0" insertHyperlinks="0" autoFilter="0"/>
  <conditionalFormatting sqref="C2:C1000">
    <cfRule type="cellIs" dxfId="0" priority="1" operator="greaterThan">
      <formula>100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pane xSplit="1" ySplit="1" topLeftCell="BK22" activePane="bottomRight" state="frozen"/>
      <selection/>
      <selection pane="topRight"/>
      <selection pane="bottomLeft"/>
      <selection pane="bottomRight" activeCell="BK22" sqref="BK22"/>
    </sheetView>
  </sheetViews>
  <sheetFormatPr defaultColWidth="11.3333333333333" defaultRowHeight="19.5"/>
  <cols>
    <col min="1" max="1" width="7.55555555555556" style="16" customWidth="1"/>
    <col min="2" max="3" width="7.77777777777778" style="16" customWidth="1"/>
    <col min="4" max="4" width="8.11111111111111" style="16" customWidth="1"/>
    <col min="5" max="5" width="7.66666666666667" style="16" customWidth="1"/>
    <col min="6" max="8" width="7.77777777777778" style="16" customWidth="1"/>
    <col min="9" max="9" width="7.66666666666667" style="16" customWidth="1"/>
    <col min="10" max="10" width="11.7407407407407" style="16" customWidth="1"/>
    <col min="11" max="11" width="11.1111111111111" style="17" customWidth="1"/>
    <col min="12" max="12" width="10.8888888888889" style="17" customWidth="1"/>
    <col min="13" max="13" width="6.22222222222222" style="16" customWidth="1"/>
    <col min="14" max="14" width="8.44444444444444" style="16" customWidth="1"/>
    <col min="15" max="15" width="7.88888888888889" style="14" customWidth="1"/>
    <col min="16" max="16384" width="11.3333333333333" style="16"/>
  </cols>
  <sheetData>
    <row r="1" s="15" customFormat="1" ht="42.75" customHeight="1" spans="1:15">
      <c r="A1" s="18" t="s">
        <v>210</v>
      </c>
      <c r="B1" s="18" t="s">
        <v>211</v>
      </c>
      <c r="C1" s="18" t="s">
        <v>212</v>
      </c>
      <c r="D1" s="18" t="s">
        <v>213</v>
      </c>
      <c r="E1" s="18" t="s">
        <v>214</v>
      </c>
      <c r="F1" s="19" t="s">
        <v>215</v>
      </c>
      <c r="G1" s="20" t="s">
        <v>216</v>
      </c>
      <c r="H1" s="18" t="s">
        <v>217</v>
      </c>
      <c r="I1" s="18" t="s">
        <v>218</v>
      </c>
      <c r="J1" s="18" t="s">
        <v>219</v>
      </c>
      <c r="K1" s="21" t="s">
        <v>220</v>
      </c>
      <c r="L1" s="21" t="s">
        <v>221</v>
      </c>
      <c r="M1" s="18" t="s">
        <v>3</v>
      </c>
      <c r="N1" s="18" t="s">
        <v>222</v>
      </c>
      <c r="O1" s="18" t="s">
        <v>223</v>
      </c>
    </row>
    <row r="2" s="16" customFormat="1" ht="23.25" customHeight="1" spans="1:15">
      <c r="A2" s="22" t="s">
        <v>183</v>
      </c>
      <c r="B2" s="23">
        <v>82</v>
      </c>
      <c r="C2" s="23">
        <v>400</v>
      </c>
      <c r="D2" s="23">
        <v>313</v>
      </c>
      <c r="E2" s="23">
        <v>100</v>
      </c>
      <c r="F2" s="16">
        <v>400</v>
      </c>
      <c r="G2" s="16">
        <v>5</v>
      </c>
      <c r="H2" s="16">
        <v>2</v>
      </c>
      <c r="I2" s="16">
        <v>5</v>
      </c>
      <c r="J2" s="24">
        <v>46103</v>
      </c>
      <c r="K2" s="25">
        <f ca="1" t="shared" ref="K2:K8" si="0">(J2-TODAY()+G2+H2+I2)*(B2/7)-(D2+E2+F2)</f>
        <v>-3144.14285714286</v>
      </c>
      <c r="L2" s="25">
        <f ca="1" t="shared" ref="L2:L8" si="1">(J2-TODAY()+G2+H2+I2)*(C2/30)-(D2+E2+F2)</f>
        <v>-3466.33333333333</v>
      </c>
      <c r="M2" s="16">
        <v>1.86</v>
      </c>
      <c r="N2" s="25">
        <f ca="1" t="shared" ref="N2:N8" si="2">(K2+L2)/2*M2</f>
        <v>-6147.74285714286</v>
      </c>
      <c r="O2" s="26" t="s">
        <v>224</v>
      </c>
    </row>
    <row r="3" s="16" customFormat="1" ht="23.25" customHeight="1" spans="1:15">
      <c r="A3" s="22" t="s">
        <v>225</v>
      </c>
      <c r="B3" s="16">
        <v>48</v>
      </c>
      <c r="C3" s="16">
        <v>219</v>
      </c>
      <c r="D3" s="16">
        <v>118</v>
      </c>
      <c r="E3" s="16">
        <v>98</v>
      </c>
      <c r="F3" s="16">
        <v>50</v>
      </c>
      <c r="G3" s="16">
        <v>2</v>
      </c>
      <c r="H3" s="16">
        <v>2</v>
      </c>
      <c r="I3" s="16">
        <v>5</v>
      </c>
      <c r="J3" s="24">
        <v>46091</v>
      </c>
      <c r="K3" s="25">
        <f ca="1" t="shared" si="0"/>
        <v>-1733.42857142857</v>
      </c>
      <c r="L3" s="25">
        <f ca="1" t="shared" si="1"/>
        <v>-1828.2</v>
      </c>
      <c r="M3" s="16">
        <v>7.5</v>
      </c>
      <c r="N3" s="25">
        <f ca="1" t="shared" si="2"/>
        <v>-13356.1071428571</v>
      </c>
      <c r="O3" s="26" t="s">
        <v>224</v>
      </c>
    </row>
    <row r="4" s="16" customFormat="1" ht="23.25" customHeight="1" spans="1:15">
      <c r="A4" s="22" t="s">
        <v>226</v>
      </c>
      <c r="B4" s="23">
        <v>7</v>
      </c>
      <c r="C4" s="23">
        <v>24</v>
      </c>
      <c r="D4" s="23">
        <v>25</v>
      </c>
      <c r="E4" s="23">
        <v>0</v>
      </c>
      <c r="F4" s="16">
        <v>0</v>
      </c>
      <c r="G4" s="16">
        <v>3</v>
      </c>
      <c r="H4" s="16">
        <v>3</v>
      </c>
      <c r="I4" s="16">
        <v>5</v>
      </c>
      <c r="J4" s="24">
        <v>46091</v>
      </c>
      <c r="K4" s="25">
        <f ca="1" t="shared" si="0"/>
        <v>-237</v>
      </c>
      <c r="L4" s="25">
        <f ca="1" t="shared" si="1"/>
        <v>-194.6</v>
      </c>
      <c r="M4" s="16">
        <v>5.5</v>
      </c>
      <c r="N4" s="25">
        <f ca="1" t="shared" si="2"/>
        <v>-1186.9</v>
      </c>
      <c r="O4" s="14"/>
    </row>
    <row r="5" s="16" customFormat="1" ht="23.25" customHeight="1" spans="1:15">
      <c r="A5" s="22" t="s">
        <v>227</v>
      </c>
      <c r="B5" s="27">
        <v>1</v>
      </c>
      <c r="C5" s="27">
        <v>7</v>
      </c>
      <c r="D5" s="27">
        <v>11</v>
      </c>
      <c r="E5" s="16">
        <v>0</v>
      </c>
      <c r="F5" s="16">
        <v>0</v>
      </c>
      <c r="G5" s="16">
        <v>3</v>
      </c>
      <c r="H5" s="16">
        <v>3</v>
      </c>
      <c r="I5" s="16">
        <v>5</v>
      </c>
      <c r="J5" s="24">
        <v>46091</v>
      </c>
      <c r="K5" s="25">
        <f ca="1" t="shared" si="0"/>
        <v>-41.2857142857143</v>
      </c>
      <c r="L5" s="25">
        <f ca="1" t="shared" si="1"/>
        <v>-60.4666666666667</v>
      </c>
      <c r="M5" s="16">
        <v>5.5</v>
      </c>
      <c r="N5" s="25">
        <f ca="1" t="shared" si="2"/>
        <v>-279.819047619048</v>
      </c>
      <c r="O5" s="14"/>
    </row>
    <row r="6" s="16" customFormat="1" ht="23.25" customHeight="1" spans="1:15">
      <c r="A6" s="22" t="s">
        <v>228</v>
      </c>
      <c r="B6" s="27">
        <v>0</v>
      </c>
      <c r="C6" s="27">
        <v>5</v>
      </c>
      <c r="D6" s="27">
        <v>15</v>
      </c>
      <c r="E6" s="16">
        <v>0</v>
      </c>
      <c r="F6" s="16">
        <v>0</v>
      </c>
      <c r="G6" s="16">
        <v>3</v>
      </c>
      <c r="H6" s="16">
        <v>3</v>
      </c>
      <c r="I6" s="16">
        <v>5</v>
      </c>
      <c r="J6" s="24">
        <v>46091</v>
      </c>
      <c r="K6" s="25">
        <f ca="1" t="shared" si="0"/>
        <v>-15</v>
      </c>
      <c r="L6" s="25">
        <f ca="1" t="shared" si="1"/>
        <v>-50.3333333333333</v>
      </c>
      <c r="M6" s="16">
        <v>3.3</v>
      </c>
      <c r="N6" s="25">
        <f ca="1" t="shared" si="2"/>
        <v>-107.8</v>
      </c>
      <c r="O6" s="14"/>
    </row>
    <row r="7" s="16" customFormat="1" ht="23.25" customHeight="1" spans="1:15">
      <c r="A7" s="22" t="s">
        <v>229</v>
      </c>
      <c r="B7" s="23">
        <v>19</v>
      </c>
      <c r="C7" s="23">
        <v>86</v>
      </c>
      <c r="D7" s="23">
        <v>43</v>
      </c>
      <c r="E7" s="16">
        <v>0</v>
      </c>
      <c r="F7" s="16">
        <v>0</v>
      </c>
      <c r="G7" s="16">
        <v>2</v>
      </c>
      <c r="H7" s="16">
        <v>2</v>
      </c>
      <c r="I7" s="16">
        <v>5</v>
      </c>
      <c r="J7" s="24">
        <v>46086</v>
      </c>
      <c r="K7" s="25">
        <f ca="1" t="shared" si="0"/>
        <v>-637.428571428571</v>
      </c>
      <c r="L7" s="25">
        <f ca="1" t="shared" si="1"/>
        <v>-670.8</v>
      </c>
      <c r="M7" s="16">
        <v>10</v>
      </c>
      <c r="N7" s="25">
        <f ca="1" t="shared" si="2"/>
        <v>-6541.14285714286</v>
      </c>
      <c r="O7" s="26" t="s">
        <v>224</v>
      </c>
    </row>
    <row r="8" s="16" customFormat="1" ht="23.25" customHeight="1" spans="1:15">
      <c r="A8" s="22" t="s">
        <v>230</v>
      </c>
      <c r="B8" s="16">
        <v>8</v>
      </c>
      <c r="C8" s="16">
        <v>32</v>
      </c>
      <c r="D8" s="16">
        <v>11</v>
      </c>
      <c r="E8" s="16">
        <v>10</v>
      </c>
      <c r="F8" s="16">
        <v>0</v>
      </c>
      <c r="G8" s="16">
        <v>3</v>
      </c>
      <c r="H8" s="16">
        <v>3</v>
      </c>
      <c r="I8" s="16">
        <v>5</v>
      </c>
      <c r="J8" s="24">
        <v>46086</v>
      </c>
      <c r="K8" s="25">
        <f ca="1" t="shared" si="0"/>
        <v>-269</v>
      </c>
      <c r="L8" s="25">
        <f ca="1" t="shared" si="1"/>
        <v>-252.466666666667</v>
      </c>
      <c r="M8" s="16">
        <v>21.5</v>
      </c>
      <c r="N8" s="25">
        <f ca="1" t="shared" si="2"/>
        <v>-5605.76666666667</v>
      </c>
      <c r="O8" s="14"/>
    </row>
    <row r="9" s="16" customFormat="1" ht="23.25" customHeight="1" spans="1:15">
      <c r="K9" s="25"/>
      <c r="L9" s="25"/>
      <c r="O9" s="14"/>
    </row>
    <row r="10" s="16" customFormat="1" ht="23.25" customHeight="1" spans="1:15">
      <c r="K10" s="25"/>
      <c r="L10" s="25"/>
      <c r="O10" s="14"/>
    </row>
    <row r="11" s="16" customFormat="1" ht="23.25" customHeight="1" spans="1:15">
      <c r="K11" s="25"/>
      <c r="L11" s="25"/>
      <c r="O11" s="14"/>
    </row>
    <row r="12" s="16" customFormat="1" spans="1:15">
      <c r="K12" s="25"/>
      <c r="L12" s="25"/>
      <c r="O12" s="14"/>
    </row>
    <row r="13" s="16" customFormat="1" spans="1:15">
      <c r="K13" s="25"/>
      <c r="L13" s="25"/>
      <c r="O13" s="14"/>
    </row>
    <row r="14" s="16" customFormat="1" spans="1:15">
      <c r="K14" s="25"/>
      <c r="L14" s="25"/>
      <c r="O14" s="14"/>
    </row>
    <row r="15" spans="1:15">
      <c r="K15" s="25"/>
      <c r="L15" s="25"/>
    </row>
    <row r="16" spans="1:15">
      <c r="K16" s="25"/>
      <c r="L16" s="25"/>
    </row>
    <row r="17" spans="11:12">
      <c r="K17" s="25"/>
      <c r="L17" s="25"/>
    </row>
    <row r="18" spans="11:12">
      <c r="K18" s="25"/>
      <c r="L18" s="25"/>
    </row>
    <row r="19" spans="11:12">
      <c r="K19" s="25"/>
      <c r="L19" s="25"/>
    </row>
    <row r="20" spans="11:12">
      <c r="K20" s="25"/>
      <c r="L20" s="25"/>
    </row>
    <row r="21" spans="11:12">
      <c r="K21" s="25"/>
      <c r="L21" s="2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opLeftCell="A223" workbookViewId="0">
      <selection activeCell="A223" sqref="$A223:$XFD223"/>
    </sheetView>
  </sheetViews>
  <sheetFormatPr defaultColWidth="11.3333333333333" defaultRowHeight="15" outlineLevelRow="2" outlineLevelCol="2"/>
  <cols>
    <col min="1" max="1" width="9.44444444444444" style="9" customWidth="1"/>
    <col min="2" max="3" width="8.11111111111111" style="1" customWidth="1"/>
    <col min="4" max="16384" width="11.3333333333333" style="1"/>
  </cols>
  <sheetData>
    <row r="1" ht="18" spans="1:3">
      <c r="A1" s="10" t="s">
        <v>184</v>
      </c>
      <c r="B1" s="11" t="s">
        <v>185</v>
      </c>
      <c r="C1" s="11" t="s">
        <v>186</v>
      </c>
    </row>
    <row r="2" ht="19.5" spans="1:3">
      <c r="A2" s="12">
        <v>45644</v>
      </c>
      <c r="B2" s="13"/>
      <c r="C2" s="14"/>
    </row>
    <row r="3" ht="15.75" spans="1:3">
      <c r="B3" s="3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date" operator="greaterThanOrEqual" allowBlank="1" showErrorMessage="1" errorTitle="输入内容有误" error="请输入正确的日期" sqref="A2:A1048576">
      <formula1>1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zoomScale="87" zoomScaleNormal="87" workbookViewId="0">
      <pane ySplit="1" topLeftCell="A2" activePane="bottomLeft" state="frozen"/>
      <selection/>
      <selection pane="bottomLeft" activeCell="O276" sqref="O276:AB276"/>
    </sheetView>
  </sheetViews>
  <sheetFormatPr defaultColWidth="11.3333333333333" defaultRowHeight="15"/>
  <cols>
    <col min="1" max="1" width="7.9037037037037" style="1" customWidth="1"/>
    <col min="2" max="3" width="7.14074074074074" style="2" customWidth="1"/>
    <col min="4" max="16384" width="11.3333333333333" style="1"/>
  </cols>
  <sheetData>
    <row r="1" ht="15.75" spans="1:13">
      <c r="A1" s="3" t="s">
        <v>185</v>
      </c>
      <c r="B1" s="4" t="s">
        <v>231</v>
      </c>
      <c r="C1" s="2">
        <f>SUM(B:B)</f>
        <v>2840</v>
      </c>
    </row>
    <row r="2" spans="1:13">
      <c r="A2" s="1" t="s">
        <v>232</v>
      </c>
      <c r="B2" s="2">
        <v>1500</v>
      </c>
    </row>
    <row r="3" ht="15.75" spans="1:13">
      <c r="A3" s="3" t="s">
        <v>233</v>
      </c>
      <c r="B3" s="2">
        <v>1000</v>
      </c>
    </row>
    <row r="4" ht="15.75" spans="1:13">
      <c r="A4" s="3" t="s">
        <v>234</v>
      </c>
      <c r="B4" s="2">
        <v>300</v>
      </c>
    </row>
    <row r="5" ht="15.75" spans="1:13">
      <c r="A5" s="3" t="s">
        <v>235</v>
      </c>
      <c r="B5" s="2">
        <v>40</v>
      </c>
    </row>
    <row r="7" ht="15.75" spans="1:13">
      <c r="H7" s="5"/>
      <c r="I7" s="5"/>
      <c r="J7" s="6"/>
      <c r="K7" s="7"/>
      <c r="L7" s="5"/>
      <c r="M7" s="8"/>
    </row>
    <row r="8" ht="15.75" spans="1:13">
      <c r="H8" s="5"/>
      <c r="I8" s="5"/>
      <c r="J8" s="6"/>
      <c r="K8" s="7"/>
      <c r="L8" s="5"/>
      <c r="M8" s="8"/>
    </row>
    <row r="9" ht="15.75" spans="1:13">
      <c r="H9" s="5"/>
      <c r="I9" s="5"/>
      <c r="J9" s="6"/>
      <c r="K9" s="7"/>
      <c r="L9" s="5"/>
      <c r="M9" s="8"/>
    </row>
    <row r="10" ht="15.75" spans="1:13">
      <c r="H10" s="5"/>
      <c r="I10" s="5"/>
      <c r="J10" s="6"/>
      <c r="K10" s="7"/>
      <c r="L10" s="5"/>
      <c r="M10" s="8"/>
    </row>
    <row r="11" ht="15.75" spans="1:13">
      <c r="H11" s="5"/>
      <c r="I11" s="5"/>
      <c r="J11" s="6"/>
      <c r="K11" s="7"/>
      <c r="L11" s="5"/>
      <c r="M11" s="8"/>
    </row>
    <row r="12" ht="15.75" spans="1:13">
      <c r="H12" s="5"/>
      <c r="I12" s="5"/>
      <c r="J12" s="6"/>
      <c r="K12" s="7"/>
      <c r="L12" s="5"/>
      <c r="M12" s="8"/>
    </row>
    <row r="13" ht="15.75" spans="1:13">
      <c r="H13" s="5"/>
      <c r="I13" s="5"/>
      <c r="J13" s="6"/>
      <c r="K13" s="7"/>
      <c r="L13" s="5"/>
      <c r="M13" s="8"/>
    </row>
    <row r="14" ht="15.75" spans="1:13">
      <c r="H14" s="5"/>
      <c r="I14" s="5"/>
      <c r="J14" s="6"/>
      <c r="K14" s="7"/>
      <c r="L14" s="5"/>
      <c r="M14" s="8"/>
    </row>
    <row r="15" ht="15.75" spans="1:13">
      <c r="H15" s="5"/>
      <c r="I15" s="5"/>
      <c r="J15" s="6"/>
      <c r="K15" s="7"/>
      <c r="L15" s="5"/>
      <c r="M15" s="8"/>
    </row>
    <row r="16" ht="15.75" spans="1:13">
      <c r="H16" s="5"/>
      <c r="I16" s="5"/>
      <c r="J16" s="6"/>
      <c r="K16" s="7"/>
      <c r="L16" s="5"/>
      <c r="M16" s="8"/>
    </row>
    <row r="17" ht="15.75" spans="8:13">
      <c r="H17" s="5"/>
      <c r="I17" s="5"/>
      <c r="J17" s="6"/>
      <c r="K17" s="7"/>
      <c r="L17" s="5"/>
      <c r="M17" s="8"/>
    </row>
    <row r="18" ht="15.75" spans="8:13">
      <c r="H18" s="5"/>
      <c r="I18" s="5"/>
      <c r="J18" s="6"/>
      <c r="K18" s="7"/>
      <c r="L18" s="5"/>
      <c r="M18" s="8"/>
    </row>
    <row r="19" ht="15.75" spans="8:13">
      <c r="H19" s="5"/>
      <c r="I19" s="5"/>
      <c r="J19" s="6"/>
      <c r="K19" s="7"/>
      <c r="L19" s="5"/>
      <c r="M19" s="8"/>
    </row>
    <row r="20" ht="15.75" spans="8:13">
      <c r="H20" s="5"/>
      <c r="I20" s="5"/>
      <c r="J20" s="6"/>
      <c r="K20" s="7"/>
      <c r="L20" s="5"/>
      <c r="M20" s="8"/>
    </row>
    <row r="21" ht="15.75" spans="8:13">
      <c r="H21" s="5"/>
      <c r="I21" s="5"/>
      <c r="J21" s="6"/>
      <c r="K21" s="7"/>
      <c r="L21" s="5"/>
      <c r="M21" s="8"/>
    </row>
    <row r="22" ht="15.75" spans="8:13">
      <c r="H22" s="5"/>
      <c r="I22" s="5"/>
      <c r="J22" s="6"/>
      <c r="K22" s="7"/>
      <c r="L22" s="5"/>
      <c r="M22" s="8"/>
    </row>
    <row r="23" ht="15.75" spans="8:13">
      <c r="H23" s="5"/>
      <c r="I23" s="5"/>
      <c r="J23" s="6"/>
      <c r="K23" s="7"/>
      <c r="L23" s="5"/>
      <c r="M23" s="8"/>
    </row>
    <row r="24" ht="15.75" spans="8:13">
      <c r="H24" s="5"/>
      <c r="I24" s="5"/>
      <c r="J24" s="6"/>
      <c r="K24" s="7"/>
      <c r="L24" s="5"/>
      <c r="M24" s="8"/>
    </row>
    <row r="25" ht="15.75" spans="8:13">
      <c r="H25" s="5"/>
      <c r="I25" s="5"/>
      <c r="J25" s="6"/>
      <c r="K25" s="7"/>
      <c r="L25" s="5"/>
      <c r="M25" s="8"/>
    </row>
    <row r="26" ht="15.75" spans="8:13">
      <c r="H26" s="5"/>
      <c r="I26" s="5"/>
      <c r="J26" s="6"/>
      <c r="K26" s="7"/>
      <c r="L26" s="5"/>
      <c r="M26" s="8"/>
    </row>
    <row r="27" ht="15.75" spans="8:13">
      <c r="H27" s="5"/>
      <c r="I27" s="5"/>
      <c r="J27" s="6"/>
      <c r="K27" s="7"/>
      <c r="L27" s="5"/>
      <c r="M27" s="8"/>
    </row>
    <row r="28" ht="15.75" spans="8:13">
      <c r="H28" s="5"/>
      <c r="I28" s="5"/>
      <c r="J28" s="6"/>
      <c r="K28" s="7"/>
      <c r="L28" s="5"/>
      <c r="M28" s="8"/>
    </row>
    <row r="29" ht="15.75" spans="8:13">
      <c r="H29" s="5"/>
      <c r="I29" s="5"/>
      <c r="J29" s="6"/>
      <c r="K29" s="7"/>
      <c r="L29" s="5"/>
      <c r="M29" s="8"/>
    </row>
    <row r="30" ht="15.75" spans="8:13">
      <c r="H30" s="5"/>
      <c r="I30" s="5"/>
      <c r="J30" s="6"/>
      <c r="K30" s="7"/>
      <c r="L30" s="5"/>
      <c r="M30" s="8"/>
    </row>
    <row r="31" ht="15.75" spans="8:13">
      <c r="H31" s="5"/>
      <c r="I31" s="5"/>
      <c r="J31" s="6"/>
      <c r="K31" s="7"/>
      <c r="L31" s="5"/>
      <c r="M31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2">
    <commentChains s:ref="J724" rgbClr="FF0000">
      <unresolved/>
      <resolved>
        <commentChain chainId="c50d0c33d35094f9d0caa443e3b6d29d30222ed4">
          <item id="c2637be30d9385f82fda40310b7fa1d9bb75c4c9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25" rgbClr="FF0000">
      <unresolved/>
      <resolved>
        <commentChain chainId="c3e3374a3b4dabf286f23797f3a0ea3ef6d69657">
          <item id="ac640d13a14d24a9e37cb1e75b389d187c231245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26" rgbClr="FF0000">
      <unresolved/>
      <resolved>
        <commentChain chainId="50e7c5d2d2601f6cea396d034f4acc31500c9b1d">
          <item id="04e6ef1ce023bc7e510b4089570907ad02ec75be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27" rgbClr="FF0000">
      <unresolved/>
      <resolved>
        <commentChain chainId="39a8c6967a42e20c7dd0dc325fd3ac05092b849f">
          <item id="2e27b72d840bbe91fb9a8563edf453003da5a7a3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28" rgbClr="FF0000">
      <unresolved/>
      <resolved>
        <commentChain chainId="48c6423b2d0452497045de1da9fb3bee0950f220">
          <item id="8b70e752815b6a7ca7c3dfa3256196ed52cd2df1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29" rgbClr="FF0000">
      <unresolved/>
      <resolved>
        <commentChain chainId="cc84e5a60e9d9b9435a6e8182d479a5147c1ebf7">
          <item id="f7a64b363cde358e9df58c75c7847508ccdc9788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30" rgbClr="FF0000">
      <unresolved/>
      <resolved>
        <commentChain chainId="5c24c18185c264679d2de993c3391a636be7a1c5">
          <item id="5c83097f7492aeffb512e46eb0c48905507375e1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31" rgbClr="FF0000">
      <unresolved/>
      <resolved>
        <commentChain chainId="3e4f46c3351221ac1b0f14184236ed72e4be8d2b">
          <item id="603ad2d5f27efd29d1995fdaebd9ba59c231bc03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32" rgbClr="FF0000">
      <unresolved/>
      <resolved>
        <commentChain chainId="9f4e344ef125fecbce72f04c45e00571efc2378d">
          <item id="df7a19c46f0d478e34a385e0ce2de02631bc9ae1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33" rgbClr="FF0000">
      <unresolved/>
      <resolved>
        <commentChain chainId="68a232f8bd1929ee2bb24acb742609bbbbad07cc">
          <item id="ab22a326df16a24df0574c4c8f836e91625705df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34" rgbClr="FF0000">
      <unresolved/>
      <resolved>
        <commentChain chainId="17d740a83abc86c5d5f0316673bae0c44b73782a">
          <item id="6170a5c74b28b9aa8862f25322617b15f09c423d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35" rgbClr="FF0000">
      <unresolved/>
      <resolved>
        <commentChain chainId="19a104ac27e01990d348e917e2a16d70483630c1">
          <item id="56a3406e40f769bcf9fd93fb821d016dafc56955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36" rgbClr="FF0000">
      <unresolved/>
      <resolved>
        <commentChain chainId="480056334e3cceb255ad664a54dccf1359903aa5">
          <item id="324bd32627627dc6b1f1bc8de21e9a3637fa497e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  <commentChains s:ref="J737" rgbClr="FF0000">
      <unresolved/>
      <resolved>
        <commentChain chainId="db9cea2de3af3e74afba4281d616270177464c78">
          <item id="89051900f71c1bd2fd9fb6b7e55b3f6f4f36c893" userID="2171930" userName="rw1019" dateTime="2025-02-19T07:10:03" isNormal="0">
            <s:text>
              <s:r>
                <s:t xml:space="preserve">18mm</s:t>
              </s:r>
            </s:text>
          </item>
        </commentChain>
      </resolved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WWO_wpscloud_20261009125621-c73fd9270f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库存</vt:lpstr>
      <vt:lpstr>Y2</vt:lpstr>
      <vt:lpstr>物料</vt:lpstr>
      <vt:lpstr>春节备货</vt:lpstr>
      <vt:lpstr>TK</vt:lpstr>
      <vt:lpstr>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2026-10-19T17:31:17Z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8075ECA01E39F49565E3D56AA3C0E5EF_41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