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iCloudDrive\1 Courses\Private Company Valuation\"/>
    </mc:Choice>
  </mc:AlternateContent>
  <xr:revisionPtr revIDLastSave="0" documentId="13_ncr:1_{250FD8F4-A8E4-4A69-A491-6FEF5D959740}" xr6:coauthVersionLast="45" xr6:coauthVersionMax="45" xr10:uidLastSave="{00000000-0000-0000-0000-000000000000}"/>
  <bookViews>
    <workbookView xWindow="-120" yWindow="480" windowWidth="29040" windowHeight="15840" xr2:uid="{7BCF6FBF-2CCC-458F-A3D2-A67C33648159}"/>
  </bookViews>
  <sheets>
    <sheet name="Input &amp; Output" sheetId="5" r:id="rId1"/>
    <sheet name="Dashboard &amp; Assump." sheetId="1" r:id="rId2"/>
    <sheet name="Cases" sheetId="3" r:id="rId3"/>
    <sheet name="Models" sheetId="4" r:id="rId4"/>
    <sheet name="Distribution Mode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3" l="1"/>
  <c r="B2" i="2"/>
  <c r="J2" i="1"/>
  <c r="X49" i="1" l="1"/>
  <c r="X47" i="1" s="1"/>
  <c r="X48" i="1" s="1"/>
  <c r="X35" i="1"/>
  <c r="X40" i="1" s="1"/>
  <c r="W35" i="1"/>
  <c r="W45" i="1" s="1"/>
  <c r="W46" i="1"/>
  <c r="W49" i="1"/>
  <c r="W50" i="1" s="1"/>
  <c r="W51" i="1" s="1"/>
  <c r="W54" i="1" s="1"/>
  <c r="L20" i="3"/>
  <c r="P31" i="3" s="1"/>
  <c r="V49" i="1"/>
  <c r="V50" i="1" s="1"/>
  <c r="V51" i="1" s="1"/>
  <c r="V54" i="1" s="1"/>
  <c r="U49" i="1"/>
  <c r="U47" i="1" s="1"/>
  <c r="U48" i="1" s="1"/>
  <c r="T49" i="1"/>
  <c r="T50" i="1" s="1"/>
  <c r="T51" i="1" s="1"/>
  <c r="T54" i="1" s="1"/>
  <c r="V46" i="1"/>
  <c r="U46" i="1"/>
  <c r="V35" i="1"/>
  <c r="V45" i="1" s="1"/>
  <c r="U35" i="1"/>
  <c r="U40" i="1" s="1"/>
  <c r="T35" i="1"/>
  <c r="T40" i="1" s="1"/>
  <c r="K7" i="3"/>
  <c r="K6" i="3"/>
  <c r="K4" i="3"/>
  <c r="P115" i="3"/>
  <c r="O115" i="3"/>
  <c r="O116" i="3" s="1"/>
  <c r="O117" i="3" s="1"/>
  <c r="O120" i="3" s="1"/>
  <c r="N115" i="3"/>
  <c r="N116" i="3" s="1"/>
  <c r="N117" i="3" s="1"/>
  <c r="N120" i="3" s="1"/>
  <c r="M115" i="3"/>
  <c r="M113" i="3" s="1"/>
  <c r="M114" i="3" s="1"/>
  <c r="L115" i="3"/>
  <c r="O113" i="3"/>
  <c r="O114" i="3" s="1"/>
  <c r="O112" i="3"/>
  <c r="N112" i="3"/>
  <c r="M112" i="3"/>
  <c r="P101" i="3"/>
  <c r="P106" i="3" s="1"/>
  <c r="O101" i="3"/>
  <c r="O106" i="3" s="1"/>
  <c r="N101" i="3"/>
  <c r="N111" i="3" s="1"/>
  <c r="M101" i="3"/>
  <c r="L101" i="3"/>
  <c r="L111" i="3" s="1"/>
  <c r="P90" i="3"/>
  <c r="P88" i="3" s="1"/>
  <c r="P89" i="3" s="1"/>
  <c r="O90" i="3"/>
  <c r="O91" i="3" s="1"/>
  <c r="O92" i="3" s="1"/>
  <c r="O95" i="3" s="1"/>
  <c r="N90" i="3"/>
  <c r="N88" i="3" s="1"/>
  <c r="N89" i="3" s="1"/>
  <c r="M90" i="3"/>
  <c r="L90" i="3"/>
  <c r="L91" i="3" s="1"/>
  <c r="L92" i="3" s="1"/>
  <c r="L95" i="3" s="1"/>
  <c r="O87" i="3"/>
  <c r="N87" i="3"/>
  <c r="M87" i="3"/>
  <c r="P76" i="3"/>
  <c r="P81" i="3" s="1"/>
  <c r="O76" i="3"/>
  <c r="O86" i="3" s="1"/>
  <c r="N76" i="3"/>
  <c r="M76" i="3"/>
  <c r="M81" i="3" s="1"/>
  <c r="L76" i="3"/>
  <c r="L81" i="3" s="1"/>
  <c r="P65" i="3"/>
  <c r="P66" i="3" s="1"/>
  <c r="P67" i="3" s="1"/>
  <c r="P70" i="3" s="1"/>
  <c r="O65" i="3"/>
  <c r="O63" i="3" s="1"/>
  <c r="O64" i="3" s="1"/>
  <c r="N65" i="3"/>
  <c r="M65" i="3"/>
  <c r="M66" i="3" s="1"/>
  <c r="M67" i="3" s="1"/>
  <c r="M70" i="3" s="1"/>
  <c r="L65" i="3"/>
  <c r="L66" i="3" s="1"/>
  <c r="L67" i="3" s="1"/>
  <c r="L70" i="3" s="1"/>
  <c r="O62" i="3"/>
  <c r="N62" i="3"/>
  <c r="M62" i="3"/>
  <c r="P51" i="3"/>
  <c r="P61" i="3" s="1"/>
  <c r="O51" i="3"/>
  <c r="N51" i="3"/>
  <c r="N61" i="3" s="1"/>
  <c r="M51" i="3"/>
  <c r="M56" i="3" s="1"/>
  <c r="L51" i="3"/>
  <c r="L61" i="3" s="1"/>
  <c r="X98" i="2"/>
  <c r="W98" i="2"/>
  <c r="V98" i="2"/>
  <c r="U98" i="2"/>
  <c r="U107" i="2" s="1"/>
  <c r="U311" i="2" s="1"/>
  <c r="T98" i="2"/>
  <c r="S98" i="2"/>
  <c r="R98" i="2"/>
  <c r="Q98" i="2"/>
  <c r="Q107" i="2" s="1"/>
  <c r="Q311" i="2" s="1"/>
  <c r="P98" i="2"/>
  <c r="O98" i="2"/>
  <c r="N98" i="2"/>
  <c r="M98" i="2"/>
  <c r="M107" i="2" s="1"/>
  <c r="M311" i="2" s="1"/>
  <c r="L98" i="2"/>
  <c r="K98" i="2"/>
  <c r="J98" i="2"/>
  <c r="I98" i="2"/>
  <c r="I107" i="2" s="1"/>
  <c r="I311" i="2" s="1"/>
  <c r="H98" i="2"/>
  <c r="G98" i="2"/>
  <c r="F98" i="2"/>
  <c r="E98" i="2"/>
  <c r="E107" i="2" s="1"/>
  <c r="E311" i="2" s="1"/>
  <c r="D98" i="2"/>
  <c r="C98" i="2"/>
  <c r="X107" i="2"/>
  <c r="X311" i="2" s="1"/>
  <c r="W107" i="2"/>
  <c r="W311" i="2" s="1"/>
  <c r="V107" i="2"/>
  <c r="V311" i="2" s="1"/>
  <c r="T107" i="2"/>
  <c r="T311" i="2" s="1"/>
  <c r="S107" i="2"/>
  <c r="S311" i="2" s="1"/>
  <c r="R107" i="2"/>
  <c r="R311" i="2" s="1"/>
  <c r="P107" i="2"/>
  <c r="P311" i="2" s="1"/>
  <c r="O107" i="2"/>
  <c r="O311" i="2" s="1"/>
  <c r="N107" i="2"/>
  <c r="N311" i="2" s="1"/>
  <c r="L107" i="2"/>
  <c r="L311" i="2" s="1"/>
  <c r="K107" i="2"/>
  <c r="K311" i="2" s="1"/>
  <c r="J107" i="2"/>
  <c r="J311" i="2" s="1"/>
  <c r="H107" i="2"/>
  <c r="H311" i="2" s="1"/>
  <c r="G107" i="2"/>
  <c r="G311" i="2" s="1"/>
  <c r="F107" i="2"/>
  <c r="F311" i="2" s="1"/>
  <c r="D107" i="2"/>
  <c r="D311" i="2" s="1"/>
  <c r="C107" i="2"/>
  <c r="C311" i="2" s="1"/>
  <c r="C21" i="2"/>
  <c r="C54" i="2" s="1"/>
  <c r="C177" i="2" s="1"/>
  <c r="Q25" i="1"/>
  <c r="L33" i="3" s="1"/>
  <c r="H77" i="2"/>
  <c r="L77" i="2" s="1"/>
  <c r="P77" i="2" s="1"/>
  <c r="T77" i="2" s="1"/>
  <c r="X80" i="2"/>
  <c r="N36" i="3" l="1"/>
  <c r="L31" i="3"/>
  <c r="N45" i="3"/>
  <c r="L43" i="3"/>
  <c r="M43" i="3"/>
  <c r="T45" i="1"/>
  <c r="X45" i="1"/>
  <c r="X46" i="1" s="1"/>
  <c r="P37" i="3" s="1"/>
  <c r="W39" i="1"/>
  <c r="O28" i="3" s="1"/>
  <c r="O40" i="3"/>
  <c r="N23" i="3"/>
  <c r="N25" i="3"/>
  <c r="P48" i="1" s="1"/>
  <c r="N31" i="3"/>
  <c r="L37" i="3"/>
  <c r="M37" i="3"/>
  <c r="O41" i="3"/>
  <c r="M24" i="3"/>
  <c r="K47" i="1" s="1"/>
  <c r="L25" i="3"/>
  <c r="P46" i="1" s="1"/>
  <c r="N35" i="3"/>
  <c r="N37" i="3"/>
  <c r="M44" i="3"/>
  <c r="N22" i="3"/>
  <c r="O48" i="1" s="1"/>
  <c r="N24" i="3"/>
  <c r="N26" i="3"/>
  <c r="Q48" i="1" s="1"/>
  <c r="C299" i="2" s="1"/>
  <c r="L24" i="3"/>
  <c r="K46" i="1" s="1"/>
  <c r="M35" i="3"/>
  <c r="P43" i="3"/>
  <c r="M22" i="3"/>
  <c r="O47" i="1" s="1"/>
  <c r="M26" i="3"/>
  <c r="Q47" i="1" s="1"/>
  <c r="C300" i="2" s="1"/>
  <c r="M29" i="3"/>
  <c r="M39" i="3"/>
  <c r="L29" i="3"/>
  <c r="L42" i="3"/>
  <c r="M38" i="3"/>
  <c r="N40" i="3"/>
  <c r="P44" i="3"/>
  <c r="M23" i="3"/>
  <c r="M25" i="3"/>
  <c r="P47" i="1" s="1"/>
  <c r="M31" i="3"/>
  <c r="M33" i="3" s="1"/>
  <c r="L35" i="3"/>
  <c r="L40" i="3"/>
  <c r="O35" i="3"/>
  <c r="O36" i="3"/>
  <c r="O37" i="3"/>
  <c r="P39" i="3"/>
  <c r="P40" i="3"/>
  <c r="N42" i="3"/>
  <c r="N43" i="3"/>
  <c r="N44" i="3"/>
  <c r="O45" i="3"/>
  <c r="O22" i="3"/>
  <c r="O49" i="1" s="1"/>
  <c r="O23" i="3"/>
  <c r="O24" i="3"/>
  <c r="K49" i="1" s="1"/>
  <c r="O25" i="3"/>
  <c r="P49" i="1" s="1"/>
  <c r="O26" i="3"/>
  <c r="Q49" i="1" s="1"/>
  <c r="C298" i="2" s="1"/>
  <c r="O31" i="3"/>
  <c r="L22" i="3"/>
  <c r="O46" i="1" s="1"/>
  <c r="L26" i="3"/>
  <c r="Q46" i="1" s="1"/>
  <c r="C301" i="2" s="1"/>
  <c r="L44" i="3"/>
  <c r="L23" i="3"/>
  <c r="C81" i="2" s="1"/>
  <c r="L28" i="3"/>
  <c r="L36" i="3"/>
  <c r="L41" i="3"/>
  <c r="L45" i="3"/>
  <c r="P35" i="3"/>
  <c r="P36" i="3"/>
  <c r="P38" i="3"/>
  <c r="M40" i="3"/>
  <c r="N41" i="3"/>
  <c r="O42" i="3"/>
  <c r="O43" i="3"/>
  <c r="O44" i="3"/>
  <c r="P22" i="3"/>
  <c r="O50" i="1" s="1"/>
  <c r="P23" i="3"/>
  <c r="P24" i="3"/>
  <c r="K50" i="1" s="1"/>
  <c r="P25" i="3"/>
  <c r="P50" i="1" s="1"/>
  <c r="C193" i="2" s="1"/>
  <c r="P26" i="3"/>
  <c r="Q50" i="1" s="1"/>
  <c r="P29" i="3"/>
  <c r="X50" i="1"/>
  <c r="X51" i="1" s="1"/>
  <c r="X54" i="1" s="1"/>
  <c r="P45" i="3" s="1"/>
  <c r="X39" i="1"/>
  <c r="P28" i="3" s="1"/>
  <c r="W40" i="1"/>
  <c r="O29" i="3" s="1"/>
  <c r="W47" i="1"/>
  <c r="W48" i="1" s="1"/>
  <c r="O39" i="3" s="1"/>
  <c r="V47" i="1"/>
  <c r="V39" i="1"/>
  <c r="N28" i="3" s="1"/>
  <c r="V40" i="1"/>
  <c r="N29" i="3" s="1"/>
  <c r="U45" i="1"/>
  <c r="M36" i="3" s="1"/>
  <c r="T47" i="1"/>
  <c r="T48" i="1" s="1"/>
  <c r="L39" i="3" s="1"/>
  <c r="U50" i="1"/>
  <c r="U39" i="1"/>
  <c r="M28" i="3" s="1"/>
  <c r="N113" i="3"/>
  <c r="N114" i="3" s="1"/>
  <c r="M63" i="3"/>
  <c r="M64" i="3" s="1"/>
  <c r="L88" i="3"/>
  <c r="L89" i="3" s="1"/>
  <c r="P91" i="3"/>
  <c r="P92" i="3" s="1"/>
  <c r="P95" i="3" s="1"/>
  <c r="L63" i="3"/>
  <c r="L64" i="3" s="1"/>
  <c r="N80" i="3"/>
  <c r="L106" i="3"/>
  <c r="M61" i="3"/>
  <c r="P111" i="3"/>
  <c r="O111" i="3"/>
  <c r="O66" i="3"/>
  <c r="O67" i="3" s="1"/>
  <c r="O70" i="3" s="1"/>
  <c r="P86" i="3"/>
  <c r="P87" i="3" s="1"/>
  <c r="O88" i="3"/>
  <c r="O89" i="3" s="1"/>
  <c r="N55" i="3"/>
  <c r="N56" i="3"/>
  <c r="L86" i="3"/>
  <c r="N91" i="3"/>
  <c r="N92" i="3" s="1"/>
  <c r="N95" i="3" s="1"/>
  <c r="L56" i="3"/>
  <c r="O81" i="3"/>
  <c r="N106" i="3"/>
  <c r="M116" i="3"/>
  <c r="M117" i="3" s="1"/>
  <c r="M120" i="3" s="1"/>
  <c r="P56" i="3"/>
  <c r="P63" i="3"/>
  <c r="P64" i="3" s="1"/>
  <c r="M80" i="3"/>
  <c r="M86" i="3"/>
  <c r="P105" i="3"/>
  <c r="K48" i="1"/>
  <c r="O61" i="3"/>
  <c r="O56" i="3"/>
  <c r="N86" i="3"/>
  <c r="N81" i="3"/>
  <c r="M88" i="3"/>
  <c r="M89" i="3" s="1"/>
  <c r="M91" i="3"/>
  <c r="M92" i="3" s="1"/>
  <c r="M95" i="3" s="1"/>
  <c r="L113" i="3"/>
  <c r="L114" i="3" s="1"/>
  <c r="L116" i="3"/>
  <c r="L117" i="3" s="1"/>
  <c r="L120" i="3" s="1"/>
  <c r="P113" i="3"/>
  <c r="P114" i="3" s="1"/>
  <c r="P116" i="3"/>
  <c r="P117" i="3" s="1"/>
  <c r="P120" i="3" s="1"/>
  <c r="O55" i="3"/>
  <c r="N63" i="3"/>
  <c r="N64" i="3" s="1"/>
  <c r="N66" i="3"/>
  <c r="M111" i="3"/>
  <c r="M106" i="3"/>
  <c r="M105" i="3"/>
  <c r="P55" i="3"/>
  <c r="O80" i="3"/>
  <c r="N105" i="3"/>
  <c r="M55" i="3"/>
  <c r="O105" i="3"/>
  <c r="P80" i="3"/>
  <c r="D21" i="2"/>
  <c r="P34" i="1"/>
  <c r="C79" i="2"/>
  <c r="D79" i="2" s="1"/>
  <c r="E79" i="2" s="1"/>
  <c r="E82" i="2" l="1"/>
  <c r="L38" i="3"/>
  <c r="P41" i="3"/>
  <c r="P42" i="3"/>
  <c r="V48" i="1"/>
  <c r="N39" i="3" s="1"/>
  <c r="N38" i="3"/>
  <c r="O38" i="3"/>
  <c r="N33" i="3"/>
  <c r="E83" i="2" s="1"/>
  <c r="D82" i="2"/>
  <c r="U51" i="1"/>
  <c r="M41" i="3"/>
  <c r="P112" i="3"/>
  <c r="P62" i="3"/>
  <c r="N67" i="3"/>
  <c r="U154" i="2"/>
  <c r="Q154" i="2"/>
  <c r="M154" i="2"/>
  <c r="I154" i="2"/>
  <c r="E154" i="2"/>
  <c r="W154" i="2"/>
  <c r="O154" i="2"/>
  <c r="K154" i="2"/>
  <c r="V154" i="2"/>
  <c r="N154" i="2"/>
  <c r="F154" i="2"/>
  <c r="X154" i="2"/>
  <c r="T154" i="2"/>
  <c r="P154" i="2"/>
  <c r="L154" i="2"/>
  <c r="H154" i="2"/>
  <c r="D154" i="2"/>
  <c r="S154" i="2"/>
  <c r="G154" i="2"/>
  <c r="R154" i="2"/>
  <c r="J154" i="2"/>
  <c r="X81" i="2"/>
  <c r="X99" i="2"/>
  <c r="T99" i="2"/>
  <c r="P99" i="2"/>
  <c r="L99" i="2"/>
  <c r="H99" i="2"/>
  <c r="D99" i="2"/>
  <c r="W99" i="2"/>
  <c r="S99" i="2"/>
  <c r="O99" i="2"/>
  <c r="K99" i="2"/>
  <c r="G99" i="2"/>
  <c r="C99" i="2"/>
  <c r="V99" i="2"/>
  <c r="R99" i="2"/>
  <c r="N99" i="2"/>
  <c r="J99" i="2"/>
  <c r="F99" i="2"/>
  <c r="U99" i="2"/>
  <c r="Q99" i="2"/>
  <c r="M99" i="2"/>
  <c r="I99" i="2"/>
  <c r="E99" i="2"/>
  <c r="W163" i="2"/>
  <c r="S163" i="2"/>
  <c r="O163" i="2"/>
  <c r="K163" i="2"/>
  <c r="G163" i="2"/>
  <c r="Q163" i="2"/>
  <c r="I163" i="2"/>
  <c r="T163" i="2"/>
  <c r="L163" i="2"/>
  <c r="D163" i="2"/>
  <c r="V163" i="2"/>
  <c r="R163" i="2"/>
  <c r="N163" i="2"/>
  <c r="J163" i="2"/>
  <c r="F163" i="2"/>
  <c r="C163" i="2"/>
  <c r="U163" i="2"/>
  <c r="M163" i="2"/>
  <c r="E163" i="2"/>
  <c r="X163" i="2"/>
  <c r="P163" i="2"/>
  <c r="H163" i="2"/>
  <c r="C154" i="2"/>
  <c r="X145" i="2"/>
  <c r="T145" i="2"/>
  <c r="P145" i="2"/>
  <c r="L145" i="2"/>
  <c r="H145" i="2"/>
  <c r="D145" i="2"/>
  <c r="W145" i="2"/>
  <c r="S145" i="2"/>
  <c r="O145" i="2"/>
  <c r="K145" i="2"/>
  <c r="G145" i="2"/>
  <c r="C145" i="2"/>
  <c r="V145" i="2"/>
  <c r="R145" i="2"/>
  <c r="N145" i="2"/>
  <c r="J145" i="2"/>
  <c r="F145" i="2"/>
  <c r="U145" i="2"/>
  <c r="Q145" i="2"/>
  <c r="M145" i="2"/>
  <c r="I145" i="2"/>
  <c r="E145" i="2"/>
  <c r="X136" i="2"/>
  <c r="T136" i="2"/>
  <c r="P136" i="2"/>
  <c r="L136" i="2"/>
  <c r="H136" i="2"/>
  <c r="D136" i="2"/>
  <c r="W136" i="2"/>
  <c r="S136" i="2"/>
  <c r="O136" i="2"/>
  <c r="K136" i="2"/>
  <c r="G136" i="2"/>
  <c r="Q136" i="2"/>
  <c r="I136" i="2"/>
  <c r="C136" i="2"/>
  <c r="V136" i="2"/>
  <c r="R136" i="2"/>
  <c r="N136" i="2"/>
  <c r="J136" i="2"/>
  <c r="F136" i="2"/>
  <c r="U136" i="2"/>
  <c r="M136" i="2"/>
  <c r="E136" i="2"/>
  <c r="V127" i="2"/>
  <c r="R127" i="2"/>
  <c r="N127" i="2"/>
  <c r="J127" i="2"/>
  <c r="F127" i="2"/>
  <c r="S127" i="2"/>
  <c r="U127" i="2"/>
  <c r="Q127" i="2"/>
  <c r="M127" i="2"/>
  <c r="I127" i="2"/>
  <c r="E127" i="2"/>
  <c r="W127" i="2"/>
  <c r="O127" i="2"/>
  <c r="K127" i="2"/>
  <c r="G127" i="2"/>
  <c r="X127" i="2"/>
  <c r="T127" i="2"/>
  <c r="P127" i="2"/>
  <c r="L127" i="2"/>
  <c r="H127" i="2"/>
  <c r="D127" i="2"/>
  <c r="C127" i="2"/>
  <c r="M45" i="1"/>
  <c r="L45" i="1"/>
  <c r="N45" i="1" s="1"/>
  <c r="D54" i="2"/>
  <c r="D177" i="2" s="1"/>
  <c r="E21" i="2"/>
  <c r="X213" i="2"/>
  <c r="T213" i="2"/>
  <c r="P213" i="2"/>
  <c r="L213" i="2"/>
  <c r="H213" i="2"/>
  <c r="D213" i="2"/>
  <c r="W213" i="2"/>
  <c r="S213" i="2"/>
  <c r="O213" i="2"/>
  <c r="K213" i="2"/>
  <c r="G213" i="2"/>
  <c r="C213" i="2"/>
  <c r="V213" i="2"/>
  <c r="R213" i="2"/>
  <c r="N213" i="2"/>
  <c r="J213" i="2"/>
  <c r="F213" i="2"/>
  <c r="U213" i="2"/>
  <c r="Q213" i="2"/>
  <c r="M213" i="2"/>
  <c r="I213" i="2"/>
  <c r="E213" i="2"/>
  <c r="X253" i="2"/>
  <c r="T253" i="2"/>
  <c r="P253" i="2"/>
  <c r="L253" i="2"/>
  <c r="H253" i="2"/>
  <c r="D253" i="2"/>
  <c r="W253" i="2"/>
  <c r="S253" i="2"/>
  <c r="O253" i="2"/>
  <c r="K253" i="2"/>
  <c r="G253" i="2"/>
  <c r="C253" i="2"/>
  <c r="V253" i="2"/>
  <c r="R253" i="2"/>
  <c r="N253" i="2"/>
  <c r="J253" i="2"/>
  <c r="F253" i="2"/>
  <c r="U253" i="2"/>
  <c r="Q253" i="2"/>
  <c r="M253" i="2"/>
  <c r="I253" i="2"/>
  <c r="E253" i="2"/>
  <c r="V233" i="2"/>
  <c r="R233" i="2"/>
  <c r="N233" i="2"/>
  <c r="J233" i="2"/>
  <c r="F233" i="2"/>
  <c r="U233" i="2"/>
  <c r="Q233" i="2"/>
  <c r="M233" i="2"/>
  <c r="I233" i="2"/>
  <c r="E233" i="2"/>
  <c r="X233" i="2"/>
  <c r="T233" i="2"/>
  <c r="P233" i="2"/>
  <c r="L233" i="2"/>
  <c r="H233" i="2"/>
  <c r="D233" i="2"/>
  <c r="W233" i="2"/>
  <c r="S233" i="2"/>
  <c r="O233" i="2"/>
  <c r="K233" i="2"/>
  <c r="G233" i="2"/>
  <c r="C233" i="2"/>
  <c r="V273" i="2"/>
  <c r="R273" i="2"/>
  <c r="N273" i="2"/>
  <c r="J273" i="2"/>
  <c r="F273" i="2"/>
  <c r="U273" i="2"/>
  <c r="Q273" i="2"/>
  <c r="M273" i="2"/>
  <c r="I273" i="2"/>
  <c r="E273" i="2"/>
  <c r="X273" i="2"/>
  <c r="T273" i="2"/>
  <c r="P273" i="2"/>
  <c r="L273" i="2"/>
  <c r="H273" i="2"/>
  <c r="D273" i="2"/>
  <c r="W273" i="2"/>
  <c r="S273" i="2"/>
  <c r="O273" i="2"/>
  <c r="K273" i="2"/>
  <c r="G273" i="2"/>
  <c r="C273" i="2"/>
  <c r="D300" i="2"/>
  <c r="C262" i="2"/>
  <c r="D301" i="2"/>
  <c r="C282" i="2"/>
  <c r="D299" i="2"/>
  <c r="C242" i="2"/>
  <c r="D298" i="2"/>
  <c r="C222" i="2"/>
  <c r="C297" i="2"/>
  <c r="C202" i="2" s="1"/>
  <c r="V193" i="2"/>
  <c r="R193" i="2"/>
  <c r="N193" i="2"/>
  <c r="J193" i="2"/>
  <c r="F193" i="2"/>
  <c r="K193" i="2"/>
  <c r="U193" i="2"/>
  <c r="Q193" i="2"/>
  <c r="M193" i="2"/>
  <c r="I193" i="2"/>
  <c r="E193" i="2"/>
  <c r="X193" i="2"/>
  <c r="T193" i="2"/>
  <c r="P193" i="2"/>
  <c r="L193" i="2"/>
  <c r="H193" i="2"/>
  <c r="D193" i="2"/>
  <c r="W193" i="2"/>
  <c r="S193" i="2"/>
  <c r="O193" i="2"/>
  <c r="G193" i="2"/>
  <c r="F79" i="2"/>
  <c r="O33" i="3" l="1"/>
  <c r="E84" i="2" s="1"/>
  <c r="F83" i="2"/>
  <c r="D83" i="2"/>
  <c r="C82" i="2"/>
  <c r="F82" i="2"/>
  <c r="U54" i="1"/>
  <c r="M45" i="3" s="1"/>
  <c r="M42" i="3"/>
  <c r="P33" i="3"/>
  <c r="P35" i="1"/>
  <c r="L46" i="1" s="1"/>
  <c r="N46" i="1" s="1"/>
  <c r="N70" i="3"/>
  <c r="K35" i="1"/>
  <c r="F21" i="2"/>
  <c r="E54" i="2"/>
  <c r="E177" i="2" s="1"/>
  <c r="E298" i="2"/>
  <c r="D222" i="2"/>
  <c r="E301" i="2"/>
  <c r="D282" i="2"/>
  <c r="D297" i="2"/>
  <c r="D202" i="2" s="1"/>
  <c r="E299" i="2"/>
  <c r="D242" i="2"/>
  <c r="E300" i="2"/>
  <c r="D262" i="2"/>
  <c r="C186" i="2"/>
  <c r="G79" i="2"/>
  <c r="K34" i="1"/>
  <c r="D84" i="2" l="1"/>
  <c r="G84" i="2"/>
  <c r="M46" i="1"/>
  <c r="G82" i="2"/>
  <c r="G83" i="2"/>
  <c r="D85" i="2" a="1"/>
  <c r="D85" i="2" s="1"/>
  <c r="C85" i="2" a="1"/>
  <c r="C85" i="2" s="1"/>
  <c r="F85" i="2" a="1"/>
  <c r="F85" i="2" s="1"/>
  <c r="E85" i="2" a="1"/>
  <c r="E85" i="2" s="1"/>
  <c r="G85" i="2" a="1"/>
  <c r="G85" i="2" s="1"/>
  <c r="K40" i="1"/>
  <c r="V128" i="2"/>
  <c r="V129" i="2" s="1"/>
  <c r="R128" i="2"/>
  <c r="R129" i="2" s="1"/>
  <c r="N128" i="2"/>
  <c r="N129" i="2" s="1"/>
  <c r="J128" i="2"/>
  <c r="J129" i="2" s="1"/>
  <c r="F128" i="2"/>
  <c r="F129" i="2" s="1"/>
  <c r="K128" i="2"/>
  <c r="K129" i="2" s="1"/>
  <c r="U128" i="2"/>
  <c r="U129" i="2" s="1"/>
  <c r="Q128" i="2"/>
  <c r="Q129" i="2" s="1"/>
  <c r="M128" i="2"/>
  <c r="M129" i="2" s="1"/>
  <c r="I128" i="2"/>
  <c r="I129" i="2" s="1"/>
  <c r="E128" i="2"/>
  <c r="E129" i="2" s="1"/>
  <c r="C128" i="2"/>
  <c r="C129" i="2" s="1"/>
  <c r="W128" i="2"/>
  <c r="W129" i="2" s="1"/>
  <c r="S128" i="2"/>
  <c r="S129" i="2" s="1"/>
  <c r="O128" i="2"/>
  <c r="O129" i="2" s="1"/>
  <c r="G128" i="2"/>
  <c r="G129" i="2" s="1"/>
  <c r="X128" i="2"/>
  <c r="X129" i="2" s="1"/>
  <c r="T128" i="2"/>
  <c r="T129" i="2" s="1"/>
  <c r="P128" i="2"/>
  <c r="P129" i="2" s="1"/>
  <c r="L128" i="2"/>
  <c r="L129" i="2" s="1"/>
  <c r="H128" i="2"/>
  <c r="H129" i="2" s="1"/>
  <c r="D128" i="2"/>
  <c r="D129" i="2" s="1"/>
  <c r="G21" i="2"/>
  <c r="F54" i="2"/>
  <c r="F177" i="2" s="1"/>
  <c r="F300" i="2"/>
  <c r="E262" i="2"/>
  <c r="E297" i="2"/>
  <c r="E202" i="2" s="1"/>
  <c r="F301" i="2"/>
  <c r="E282" i="2"/>
  <c r="F299" i="2"/>
  <c r="E242" i="2"/>
  <c r="F298" i="2"/>
  <c r="E222" i="2"/>
  <c r="D186" i="2"/>
  <c r="H79" i="2"/>
  <c r="H82" i="2" s="1"/>
  <c r="H85" i="2" l="1" a="1"/>
  <c r="H85" i="2" s="1"/>
  <c r="G86" i="2"/>
  <c r="H21" i="2"/>
  <c r="G54" i="2"/>
  <c r="G177" i="2" s="1"/>
  <c r="G299" i="2"/>
  <c r="F242" i="2"/>
  <c r="F297" i="2"/>
  <c r="F202" i="2" s="1"/>
  <c r="G298" i="2"/>
  <c r="F222" i="2"/>
  <c r="G301" i="2"/>
  <c r="F282" i="2"/>
  <c r="G300" i="2"/>
  <c r="F262" i="2"/>
  <c r="E186" i="2"/>
  <c r="D86" i="2"/>
  <c r="E86" i="2"/>
  <c r="I79" i="2"/>
  <c r="I82" i="2" l="1"/>
  <c r="I83" i="2"/>
  <c r="I84" i="2"/>
  <c r="I85" i="2" a="1"/>
  <c r="I85" i="2" s="1"/>
  <c r="I21" i="2"/>
  <c r="H54" i="2"/>
  <c r="H177" i="2" s="1"/>
  <c r="H301" i="2"/>
  <c r="G282" i="2"/>
  <c r="G297" i="2"/>
  <c r="G202" i="2" s="1"/>
  <c r="H300" i="2"/>
  <c r="G262" i="2"/>
  <c r="H298" i="2"/>
  <c r="G222" i="2"/>
  <c r="H299" i="2"/>
  <c r="G242" i="2"/>
  <c r="F186" i="2"/>
  <c r="J79" i="2"/>
  <c r="J82" i="2" l="1"/>
  <c r="J83" i="2"/>
  <c r="J84" i="2"/>
  <c r="J85" i="2" a="1"/>
  <c r="J85" i="2" s="1"/>
  <c r="J21" i="2"/>
  <c r="I54" i="2"/>
  <c r="I177" i="2" s="1"/>
  <c r="I298" i="2"/>
  <c r="H222" i="2"/>
  <c r="H297" i="2"/>
  <c r="H202" i="2" s="1"/>
  <c r="I299" i="2"/>
  <c r="H242" i="2"/>
  <c r="I300" i="2"/>
  <c r="H262" i="2"/>
  <c r="I301" i="2"/>
  <c r="H282" i="2"/>
  <c r="G186" i="2"/>
  <c r="K79" i="2"/>
  <c r="I86" i="2"/>
  <c r="K82" i="2" l="1"/>
  <c r="K85" i="2" a="1"/>
  <c r="K85" i="2" s="1"/>
  <c r="K21" i="2"/>
  <c r="J54" i="2"/>
  <c r="J177" i="2" s="1"/>
  <c r="J300" i="2"/>
  <c r="I262" i="2"/>
  <c r="I297" i="2"/>
  <c r="I202" i="2" s="1"/>
  <c r="J301" i="2"/>
  <c r="I282" i="2"/>
  <c r="J299" i="2"/>
  <c r="I242" i="2"/>
  <c r="J298" i="2"/>
  <c r="I222" i="2"/>
  <c r="H186" i="2"/>
  <c r="J86" i="2"/>
  <c r="L79" i="2"/>
  <c r="L82" i="2" l="1"/>
  <c r="L83" i="2"/>
  <c r="L84" i="2"/>
  <c r="L85" i="2" a="1"/>
  <c r="L85" i="2" s="1"/>
  <c r="L21" i="2"/>
  <c r="K54" i="2"/>
  <c r="K177" i="2" s="1"/>
  <c r="K299" i="2"/>
  <c r="J242" i="2"/>
  <c r="J297" i="2"/>
  <c r="J202" i="2" s="1"/>
  <c r="K298" i="2"/>
  <c r="J222" i="2"/>
  <c r="K301" i="2"/>
  <c r="J282" i="2"/>
  <c r="K300" i="2"/>
  <c r="J262" i="2"/>
  <c r="I186" i="2"/>
  <c r="M79" i="2"/>
  <c r="M82" i="2" l="1"/>
  <c r="M85" i="2" a="1"/>
  <c r="M85" i="2" s="1"/>
  <c r="M21" i="2"/>
  <c r="L54" i="2"/>
  <c r="L177" i="2" s="1"/>
  <c r="L301" i="2"/>
  <c r="K282" i="2"/>
  <c r="K297" i="2"/>
  <c r="K202" i="2" s="1"/>
  <c r="L300" i="2"/>
  <c r="K262" i="2"/>
  <c r="L298" i="2"/>
  <c r="K222" i="2"/>
  <c r="L299" i="2"/>
  <c r="K242" i="2"/>
  <c r="J186" i="2"/>
  <c r="L86" i="2"/>
  <c r="N79" i="2"/>
  <c r="N82" i="2" l="1"/>
  <c r="N83" i="2"/>
  <c r="N84" i="2"/>
  <c r="N85" i="2" a="1"/>
  <c r="N85" i="2" s="1"/>
  <c r="N21" i="2"/>
  <c r="M54" i="2"/>
  <c r="M177" i="2" s="1"/>
  <c r="L297" i="2"/>
  <c r="L202" i="2" s="1"/>
  <c r="M298" i="2"/>
  <c r="L222" i="2"/>
  <c r="M299" i="2"/>
  <c r="L242" i="2"/>
  <c r="M300" i="2"/>
  <c r="L262" i="2"/>
  <c r="M301" i="2"/>
  <c r="L282" i="2"/>
  <c r="K186" i="2"/>
  <c r="O79" i="2"/>
  <c r="O82" i="2" l="1"/>
  <c r="O83" i="2"/>
  <c r="O84" i="2"/>
  <c r="O85" i="2" a="1"/>
  <c r="O85" i="2" s="1"/>
  <c r="O21" i="2"/>
  <c r="N54" i="2"/>
  <c r="N177" i="2" s="1"/>
  <c r="N300" i="2"/>
  <c r="M262" i="2"/>
  <c r="N298" i="2"/>
  <c r="M222" i="2"/>
  <c r="N301" i="2"/>
  <c r="M282" i="2"/>
  <c r="N299" i="2"/>
  <c r="M242" i="2"/>
  <c r="M297" i="2"/>
  <c r="M202" i="2" s="1"/>
  <c r="L186" i="2"/>
  <c r="N86" i="2"/>
  <c r="P79" i="2"/>
  <c r="P82" i="2" l="1"/>
  <c r="P83" i="2"/>
  <c r="P85" i="2" a="1"/>
  <c r="P85" i="2" s="1"/>
  <c r="P21" i="2"/>
  <c r="O54" i="2"/>
  <c r="O177" i="2" s="1"/>
  <c r="O299" i="2"/>
  <c r="N242" i="2"/>
  <c r="O298" i="2"/>
  <c r="N222" i="2"/>
  <c r="N297" i="2"/>
  <c r="N202" i="2" s="1"/>
  <c r="O301" i="2"/>
  <c r="N282" i="2"/>
  <c r="O300" i="2"/>
  <c r="N262" i="2"/>
  <c r="M186" i="2"/>
  <c r="O86" i="2"/>
  <c r="Q79" i="2"/>
  <c r="Q82" i="2" l="1"/>
  <c r="Q83" i="2"/>
  <c r="Q84" i="2"/>
  <c r="Q85" i="2" a="1"/>
  <c r="Q85" i="2" s="1"/>
  <c r="Q21" i="2"/>
  <c r="P54" i="2"/>
  <c r="P177" i="2" s="1"/>
  <c r="P301" i="2"/>
  <c r="O282" i="2"/>
  <c r="P298" i="2"/>
  <c r="O222" i="2"/>
  <c r="P300" i="2"/>
  <c r="O262" i="2"/>
  <c r="O297" i="2"/>
  <c r="O202" i="2" s="1"/>
  <c r="P299" i="2"/>
  <c r="O242" i="2"/>
  <c r="N186" i="2"/>
  <c r="R79" i="2"/>
  <c r="R82" i="2" l="1"/>
  <c r="R83" i="2"/>
  <c r="R85" i="2" a="1"/>
  <c r="R85" i="2" s="1"/>
  <c r="R21" i="2"/>
  <c r="Q54" i="2"/>
  <c r="Q177" i="2" s="1"/>
  <c r="Q298" i="2"/>
  <c r="P222" i="2"/>
  <c r="P297" i="2"/>
  <c r="P202" i="2" s="1"/>
  <c r="Q299" i="2"/>
  <c r="P242" i="2"/>
  <c r="Q300" i="2"/>
  <c r="P262" i="2"/>
  <c r="Q301" i="2"/>
  <c r="P282" i="2"/>
  <c r="O186" i="2"/>
  <c r="Q86" i="2"/>
  <c r="S79" i="2"/>
  <c r="S82" i="2" l="1"/>
  <c r="S83" i="2"/>
  <c r="S84" i="2"/>
  <c r="S85" i="2" a="1"/>
  <c r="S85" i="2" s="1"/>
  <c r="S21" i="2"/>
  <c r="R54" i="2"/>
  <c r="R177" i="2" s="1"/>
  <c r="R300" i="2"/>
  <c r="Q262" i="2"/>
  <c r="Q297" i="2"/>
  <c r="Q202" i="2" s="1"/>
  <c r="R301" i="2"/>
  <c r="Q282" i="2"/>
  <c r="R299" i="2"/>
  <c r="Q242" i="2"/>
  <c r="R298" i="2"/>
  <c r="Q222" i="2"/>
  <c r="P186" i="2"/>
  <c r="T79" i="2"/>
  <c r="T82" i="2" l="1"/>
  <c r="T83" i="2"/>
  <c r="T84" i="2"/>
  <c r="T85" i="2" a="1"/>
  <c r="T85" i="2" s="1"/>
  <c r="T21" i="2"/>
  <c r="S54" i="2"/>
  <c r="S177" i="2" s="1"/>
  <c r="S299" i="2"/>
  <c r="R242" i="2"/>
  <c r="R297" i="2"/>
  <c r="R202" i="2" s="1"/>
  <c r="S298" i="2"/>
  <c r="R222" i="2"/>
  <c r="S301" i="2"/>
  <c r="R282" i="2"/>
  <c r="S300" i="2"/>
  <c r="R262" i="2"/>
  <c r="Q186" i="2"/>
  <c r="U79" i="2"/>
  <c r="S86" i="2"/>
  <c r="U82" i="2" l="1"/>
  <c r="U83" i="2"/>
  <c r="U84" i="2"/>
  <c r="U21" i="2"/>
  <c r="T54" i="2"/>
  <c r="T177" i="2" s="1"/>
  <c r="T301" i="2"/>
  <c r="S282" i="2"/>
  <c r="S297" i="2"/>
  <c r="S202" i="2" s="1"/>
  <c r="T300" i="2"/>
  <c r="S262" i="2"/>
  <c r="T298" i="2"/>
  <c r="S222" i="2"/>
  <c r="T299" i="2"/>
  <c r="S242" i="2"/>
  <c r="R186" i="2"/>
  <c r="T86" i="2"/>
  <c r="V79" i="2"/>
  <c r="V82" i="2" l="1"/>
  <c r="V83" i="2"/>
  <c r="V84" i="2"/>
  <c r="V85" i="2" a="1"/>
  <c r="V85" i="2" s="1"/>
  <c r="V21" i="2"/>
  <c r="U54" i="2"/>
  <c r="U177" i="2" s="1"/>
  <c r="U298" i="2"/>
  <c r="T222" i="2"/>
  <c r="T297" i="2"/>
  <c r="T202" i="2" s="1"/>
  <c r="U299" i="2"/>
  <c r="T242" i="2"/>
  <c r="U300" i="2"/>
  <c r="T262" i="2"/>
  <c r="U301" i="2"/>
  <c r="T282" i="2"/>
  <c r="S186" i="2"/>
  <c r="W79" i="2"/>
  <c r="W82" i="2" l="1"/>
  <c r="W83" i="2"/>
  <c r="W84" i="2"/>
  <c r="W85" i="2" a="1"/>
  <c r="W85" i="2" s="1"/>
  <c r="W21" i="2"/>
  <c r="V54" i="2"/>
  <c r="V177" i="2" s="1"/>
  <c r="V300" i="2"/>
  <c r="U262" i="2"/>
  <c r="U297" i="2"/>
  <c r="U202" i="2" s="1"/>
  <c r="V301" i="2"/>
  <c r="U282" i="2"/>
  <c r="V299" i="2"/>
  <c r="U242" i="2"/>
  <c r="V298" i="2"/>
  <c r="U222" i="2"/>
  <c r="T186" i="2"/>
  <c r="V86" i="2"/>
  <c r="X21" i="2" l="1"/>
  <c r="X54" i="2" s="1"/>
  <c r="X177" i="2" s="1"/>
  <c r="W54" i="2"/>
  <c r="W177" i="2" s="1"/>
  <c r="V297" i="2"/>
  <c r="V202" i="2" s="1"/>
  <c r="W299" i="2"/>
  <c r="V242" i="2"/>
  <c r="W298" i="2"/>
  <c r="V222" i="2"/>
  <c r="W301" i="2"/>
  <c r="V282" i="2"/>
  <c r="W300" i="2"/>
  <c r="V262" i="2"/>
  <c r="U186" i="2"/>
  <c r="X82" i="2"/>
  <c r="H83" i="2" l="1"/>
  <c r="K83" i="2"/>
  <c r="M83" i="2"/>
  <c r="C83" i="2"/>
  <c r="P36" i="1"/>
  <c r="L47" i="1" s="1"/>
  <c r="N47" i="1" s="1"/>
  <c r="X301" i="2"/>
  <c r="X282" i="2" s="1"/>
  <c r="W282" i="2"/>
  <c r="X299" i="2"/>
  <c r="X242" i="2" s="1"/>
  <c r="W242" i="2"/>
  <c r="X300" i="2"/>
  <c r="X262" i="2" s="1"/>
  <c r="W262" i="2"/>
  <c r="X298" i="2"/>
  <c r="X222" i="2" s="1"/>
  <c r="W222" i="2"/>
  <c r="W297" i="2"/>
  <c r="W202" i="2" s="1"/>
  <c r="V186" i="2"/>
  <c r="L36" i="1"/>
  <c r="M47" i="1" l="1"/>
  <c r="X297" i="2"/>
  <c r="X202" i="2" s="1"/>
  <c r="W186" i="2"/>
  <c r="X83" i="2"/>
  <c r="L34" i="1"/>
  <c r="L35" i="1"/>
  <c r="K84" i="2" l="1"/>
  <c r="K86" i="2" s="1"/>
  <c r="F84" i="2"/>
  <c r="F86" i="2" s="1"/>
  <c r="P84" i="2"/>
  <c r="P86" i="2" s="1"/>
  <c r="C84" i="2"/>
  <c r="C86" i="2" s="1"/>
  <c r="M84" i="2"/>
  <c r="R84" i="2"/>
  <c r="H84" i="2"/>
  <c r="H86" i="2" s="1"/>
  <c r="U137" i="2"/>
  <c r="U138" i="2" s="1"/>
  <c r="Q137" i="2"/>
  <c r="Q138" i="2" s="1"/>
  <c r="M137" i="2"/>
  <c r="M138" i="2" s="1"/>
  <c r="I137" i="2"/>
  <c r="I138" i="2" s="1"/>
  <c r="E137" i="2"/>
  <c r="E138" i="2" s="1"/>
  <c r="X137" i="2"/>
  <c r="X138" i="2" s="1"/>
  <c r="T137" i="2"/>
  <c r="T138" i="2" s="1"/>
  <c r="P137" i="2"/>
  <c r="P138" i="2" s="1"/>
  <c r="L137" i="2"/>
  <c r="L138" i="2" s="1"/>
  <c r="H137" i="2"/>
  <c r="H138" i="2" s="1"/>
  <c r="D137" i="2"/>
  <c r="D138" i="2" s="1"/>
  <c r="V137" i="2"/>
  <c r="V138" i="2" s="1"/>
  <c r="N137" i="2"/>
  <c r="N138" i="2" s="1"/>
  <c r="J137" i="2"/>
  <c r="J138" i="2" s="1"/>
  <c r="W137" i="2"/>
  <c r="W138" i="2" s="1"/>
  <c r="S137" i="2"/>
  <c r="S138" i="2" s="1"/>
  <c r="O137" i="2"/>
  <c r="O138" i="2" s="1"/>
  <c r="K137" i="2"/>
  <c r="K138" i="2" s="1"/>
  <c r="G137" i="2"/>
  <c r="G138" i="2" s="1"/>
  <c r="C137" i="2"/>
  <c r="C138" i="2" s="1"/>
  <c r="R137" i="2"/>
  <c r="R138" i="2" s="1"/>
  <c r="F137" i="2"/>
  <c r="F138" i="2" s="1"/>
  <c r="X186" i="2"/>
  <c r="P37" i="1"/>
  <c r="L40" i="1"/>
  <c r="M37" i="1"/>
  <c r="M36" i="1"/>
  <c r="M35" i="1"/>
  <c r="M34" i="1"/>
  <c r="D100" i="2" l="1"/>
  <c r="D116" i="2"/>
  <c r="M100" i="2"/>
  <c r="M116" i="2"/>
  <c r="K100" i="2"/>
  <c r="K116" i="2"/>
  <c r="H100" i="2"/>
  <c r="H116" i="2"/>
  <c r="Q100" i="2"/>
  <c r="Q116" i="2"/>
  <c r="R100" i="2"/>
  <c r="R116" i="2"/>
  <c r="O100" i="2"/>
  <c r="O116" i="2"/>
  <c r="N100" i="2"/>
  <c r="N116" i="2"/>
  <c r="L100" i="2"/>
  <c r="L116" i="2"/>
  <c r="E100" i="2"/>
  <c r="E116" i="2"/>
  <c r="U100" i="2"/>
  <c r="U116" i="2"/>
  <c r="G100" i="2"/>
  <c r="G116" i="2"/>
  <c r="W100" i="2"/>
  <c r="W116" i="2"/>
  <c r="T100" i="2"/>
  <c r="T116" i="2"/>
  <c r="F100" i="2"/>
  <c r="F116" i="2"/>
  <c r="J100" i="2"/>
  <c r="J116" i="2"/>
  <c r="X100" i="2"/>
  <c r="X116" i="2"/>
  <c r="C100" i="2"/>
  <c r="S100" i="2"/>
  <c r="S116" i="2"/>
  <c r="V100" i="2"/>
  <c r="V116" i="2"/>
  <c r="P100" i="2"/>
  <c r="P116" i="2"/>
  <c r="I100" i="2"/>
  <c r="I116" i="2"/>
  <c r="M48" i="1"/>
  <c r="L48" i="1"/>
  <c r="N48" i="1" s="1"/>
  <c r="M40" i="1"/>
  <c r="X84" i="2"/>
  <c r="R86" i="2" l="1"/>
  <c r="U85" i="2" a="1"/>
  <c r="U85" i="2" s="1"/>
  <c r="U86" i="2" s="1"/>
  <c r="M86" i="2"/>
  <c r="V146" i="2"/>
  <c r="V147" i="2" s="1"/>
  <c r="R146" i="2"/>
  <c r="R147" i="2" s="1"/>
  <c r="N146" i="2"/>
  <c r="N147" i="2" s="1"/>
  <c r="J146" i="2"/>
  <c r="J147" i="2" s="1"/>
  <c r="F146" i="2"/>
  <c r="F147" i="2" s="1"/>
  <c r="U146" i="2"/>
  <c r="U147" i="2" s="1"/>
  <c r="Q146" i="2"/>
  <c r="Q147" i="2" s="1"/>
  <c r="M146" i="2"/>
  <c r="M147" i="2" s="1"/>
  <c r="I146" i="2"/>
  <c r="I147" i="2" s="1"/>
  <c r="E146" i="2"/>
  <c r="E147" i="2" s="1"/>
  <c r="X146" i="2"/>
  <c r="X147" i="2" s="1"/>
  <c r="T146" i="2"/>
  <c r="T147" i="2" s="1"/>
  <c r="P146" i="2"/>
  <c r="P147" i="2" s="1"/>
  <c r="L146" i="2"/>
  <c r="L147" i="2" s="1"/>
  <c r="H146" i="2"/>
  <c r="H147" i="2" s="1"/>
  <c r="D146" i="2"/>
  <c r="D147" i="2" s="1"/>
  <c r="W146" i="2"/>
  <c r="W147" i="2" s="1"/>
  <c r="S146" i="2"/>
  <c r="S147" i="2" s="1"/>
  <c r="O146" i="2"/>
  <c r="O147" i="2" s="1"/>
  <c r="K146" i="2"/>
  <c r="K147" i="2" s="1"/>
  <c r="G146" i="2"/>
  <c r="G147" i="2" s="1"/>
  <c r="C146" i="2"/>
  <c r="C147" i="2" s="1"/>
  <c r="N35" i="1"/>
  <c r="P38" i="1"/>
  <c r="L49" i="1" s="1"/>
  <c r="N49" i="1" s="1"/>
  <c r="N34" i="1"/>
  <c r="N37" i="1"/>
  <c r="N38" i="1"/>
  <c r="N36" i="1"/>
  <c r="K155" i="2" l="1"/>
  <c r="K156" i="2" s="1"/>
  <c r="Q155" i="2"/>
  <c r="Q156" i="2" s="1"/>
  <c r="L101" i="2"/>
  <c r="R101" i="2"/>
  <c r="G101" i="2"/>
  <c r="W101" i="2"/>
  <c r="P101" i="2"/>
  <c r="I101" i="2"/>
  <c r="F101" i="2"/>
  <c r="V101" i="2"/>
  <c r="O101" i="2"/>
  <c r="H101" i="2"/>
  <c r="X101" i="2"/>
  <c r="Q101" i="2"/>
  <c r="C101" i="2"/>
  <c r="E101" i="2"/>
  <c r="U101" i="2"/>
  <c r="K101" i="2"/>
  <c r="D101" i="2"/>
  <c r="T101" i="2"/>
  <c r="M101" i="2"/>
  <c r="J101" i="2"/>
  <c r="S101" i="2"/>
  <c r="N101" i="2"/>
  <c r="N40" i="1"/>
  <c r="M49" i="1"/>
  <c r="X85" i="2"/>
  <c r="W86" i="2"/>
  <c r="W155" i="2" l="1"/>
  <c r="W156" i="2" s="1"/>
  <c r="W102" i="2" s="1"/>
  <c r="P155" i="2"/>
  <c r="P156" i="2" s="1"/>
  <c r="O155" i="2"/>
  <c r="O156" i="2" s="1"/>
  <c r="O102" i="2" s="1"/>
  <c r="T155" i="2"/>
  <c r="T156" i="2" s="1"/>
  <c r="T102" i="2" s="1"/>
  <c r="U155" i="2"/>
  <c r="U156" i="2" s="1"/>
  <c r="U102" i="2" s="1"/>
  <c r="L155" i="2"/>
  <c r="L156" i="2" s="1"/>
  <c r="L102" i="2" s="1"/>
  <c r="D155" i="2"/>
  <c r="D156" i="2" s="1"/>
  <c r="D102" i="2" s="1"/>
  <c r="M155" i="2"/>
  <c r="M156" i="2" s="1"/>
  <c r="M102" i="2" s="1"/>
  <c r="F155" i="2"/>
  <c r="F156" i="2" s="1"/>
  <c r="F102" i="2" s="1"/>
  <c r="E155" i="2"/>
  <c r="E156" i="2" s="1"/>
  <c r="E102" i="2" s="1"/>
  <c r="J155" i="2"/>
  <c r="J156" i="2" s="1"/>
  <c r="J102" i="2" s="1"/>
  <c r="N155" i="2"/>
  <c r="N156" i="2" s="1"/>
  <c r="N102" i="2" s="1"/>
  <c r="V155" i="2"/>
  <c r="V156" i="2" s="1"/>
  <c r="V102" i="2" s="1"/>
  <c r="R155" i="2"/>
  <c r="R156" i="2" s="1"/>
  <c r="R102" i="2" s="1"/>
  <c r="C155" i="2"/>
  <c r="C156" i="2" s="1"/>
  <c r="C102" i="2" s="1"/>
  <c r="G155" i="2"/>
  <c r="G156" i="2" s="1"/>
  <c r="G102" i="2" s="1"/>
  <c r="S155" i="2"/>
  <c r="S156" i="2" s="1"/>
  <c r="S102" i="2" s="1"/>
  <c r="H155" i="2"/>
  <c r="H156" i="2" s="1"/>
  <c r="H102" i="2" s="1"/>
  <c r="I155" i="2"/>
  <c r="I156" i="2" s="1"/>
  <c r="I102" i="2" s="1"/>
  <c r="X155" i="2"/>
  <c r="X156" i="2" s="1"/>
  <c r="X102" i="2" s="1"/>
  <c r="K102" i="2"/>
  <c r="P102" i="2"/>
  <c r="Q102" i="2"/>
  <c r="P39" i="1"/>
  <c r="O37" i="1"/>
  <c r="O39" i="1"/>
  <c r="O38" i="1"/>
  <c r="O35" i="1"/>
  <c r="O34" i="1"/>
  <c r="X86" i="2"/>
  <c r="O36" i="1"/>
  <c r="M50" i="1" l="1"/>
  <c r="L50" i="1"/>
  <c r="N50" i="1" s="1"/>
  <c r="P40" i="1"/>
  <c r="V178" i="2"/>
  <c r="V179" i="2" s="1"/>
  <c r="R178" i="2"/>
  <c r="R179" i="2" s="1"/>
  <c r="N178" i="2"/>
  <c r="N179" i="2" s="1"/>
  <c r="J178" i="2"/>
  <c r="J179" i="2" s="1"/>
  <c r="F178" i="2"/>
  <c r="F179" i="2" s="1"/>
  <c r="U178" i="2"/>
  <c r="U179" i="2" s="1"/>
  <c r="Q178" i="2"/>
  <c r="Q179" i="2" s="1"/>
  <c r="M178" i="2"/>
  <c r="M179" i="2" s="1"/>
  <c r="I178" i="2"/>
  <c r="I179" i="2" s="1"/>
  <c r="E178" i="2"/>
  <c r="E179" i="2" s="1"/>
  <c r="C178" i="2"/>
  <c r="C179" i="2" s="1"/>
  <c r="W178" i="2"/>
  <c r="W179" i="2" s="1"/>
  <c r="O178" i="2"/>
  <c r="O179" i="2" s="1"/>
  <c r="G178" i="2"/>
  <c r="G179" i="2" s="1"/>
  <c r="X178" i="2"/>
  <c r="X179" i="2" s="1"/>
  <c r="T178" i="2"/>
  <c r="T179" i="2" s="1"/>
  <c r="P178" i="2"/>
  <c r="P179" i="2" s="1"/>
  <c r="L178" i="2"/>
  <c r="L179" i="2" s="1"/>
  <c r="H178" i="2"/>
  <c r="H179" i="2" s="1"/>
  <c r="D178" i="2"/>
  <c r="D179" i="2" s="1"/>
  <c r="S178" i="2"/>
  <c r="S179" i="2" s="1"/>
  <c r="K178" i="2"/>
  <c r="K179" i="2" s="1"/>
  <c r="O40" i="1"/>
  <c r="V164" i="2" l="1"/>
  <c r="V165" i="2" s="1"/>
  <c r="U164" i="2"/>
  <c r="U165" i="2" s="1"/>
  <c r="X164" i="2"/>
  <c r="X165" i="2" s="1"/>
  <c r="R164" i="2"/>
  <c r="R165" i="2" s="1"/>
  <c r="N164" i="2"/>
  <c r="N165" i="2" s="1"/>
  <c r="J164" i="2"/>
  <c r="J165" i="2" s="1"/>
  <c r="F164" i="2"/>
  <c r="F165" i="2" s="1"/>
  <c r="C164" i="2"/>
  <c r="C165" i="2" s="1"/>
  <c r="P164" i="2"/>
  <c r="P165" i="2" s="1"/>
  <c r="L164" i="2"/>
  <c r="L165" i="2" s="1"/>
  <c r="D164" i="2"/>
  <c r="D165" i="2" s="1"/>
  <c r="O164" i="2"/>
  <c r="O165" i="2" s="1"/>
  <c r="G164" i="2"/>
  <c r="G165" i="2" s="1"/>
  <c r="W164" i="2"/>
  <c r="W165" i="2" s="1"/>
  <c r="Q164" i="2"/>
  <c r="Q165" i="2" s="1"/>
  <c r="M164" i="2"/>
  <c r="M165" i="2" s="1"/>
  <c r="I164" i="2"/>
  <c r="I165" i="2" s="1"/>
  <c r="E164" i="2"/>
  <c r="E165" i="2" s="1"/>
  <c r="T164" i="2"/>
  <c r="T165" i="2" s="1"/>
  <c r="H164" i="2"/>
  <c r="H165" i="2" s="1"/>
  <c r="S164" i="2"/>
  <c r="S165" i="2" s="1"/>
  <c r="K164" i="2"/>
  <c r="K165" i="2" s="1"/>
  <c r="C25" i="2"/>
  <c r="C95" i="2"/>
  <c r="K25" i="2"/>
  <c r="K95" i="2"/>
  <c r="K197" i="2" s="1"/>
  <c r="L25" i="2"/>
  <c r="L95" i="2"/>
  <c r="L197" i="2" s="1"/>
  <c r="G25" i="2"/>
  <c r="G95" i="2"/>
  <c r="G197" i="2" s="1"/>
  <c r="E25" i="2"/>
  <c r="E95" i="2"/>
  <c r="E197" i="2" s="1"/>
  <c r="U25" i="2"/>
  <c r="U95" i="2"/>
  <c r="U197" i="2" s="1"/>
  <c r="R25" i="2"/>
  <c r="R95" i="2"/>
  <c r="R197" i="2" s="1"/>
  <c r="X25" i="2"/>
  <c r="X95" i="2"/>
  <c r="X197" i="2" s="1"/>
  <c r="Q25" i="2"/>
  <c r="Q95" i="2"/>
  <c r="Q197" i="2" s="1"/>
  <c r="S25" i="2"/>
  <c r="S95" i="2"/>
  <c r="S197" i="2" s="1"/>
  <c r="P25" i="2"/>
  <c r="P95" i="2"/>
  <c r="P197" i="2" s="1"/>
  <c r="O25" i="2"/>
  <c r="O95" i="2"/>
  <c r="O197" i="2" s="1"/>
  <c r="I25" i="2"/>
  <c r="I95" i="2"/>
  <c r="I197" i="2" s="1"/>
  <c r="F25" i="2"/>
  <c r="F95" i="2"/>
  <c r="F197" i="2" s="1"/>
  <c r="V25" i="2"/>
  <c r="V95" i="2"/>
  <c r="V197" i="2" s="1"/>
  <c r="H25" i="2"/>
  <c r="H95" i="2"/>
  <c r="H197" i="2" s="1"/>
  <c r="N25" i="2"/>
  <c r="N95" i="2"/>
  <c r="N197" i="2" s="1"/>
  <c r="D25" i="2"/>
  <c r="D95" i="2"/>
  <c r="D197" i="2" s="1"/>
  <c r="T25" i="2"/>
  <c r="T95" i="2"/>
  <c r="T197" i="2" s="1"/>
  <c r="W25" i="2"/>
  <c r="W95" i="2"/>
  <c r="W197" i="2" s="1"/>
  <c r="M25" i="2"/>
  <c r="M95" i="2"/>
  <c r="M197" i="2" s="1"/>
  <c r="J25" i="2"/>
  <c r="J95" i="2"/>
  <c r="J197" i="2" s="1"/>
  <c r="W257" i="2"/>
  <c r="W237" i="2"/>
  <c r="W277" i="2"/>
  <c r="W217" i="2"/>
  <c r="J277" i="2"/>
  <c r="J257" i="2"/>
  <c r="J237" i="2"/>
  <c r="J217" i="2"/>
  <c r="H257" i="2"/>
  <c r="H277" i="2"/>
  <c r="H217" i="2"/>
  <c r="H237" i="2"/>
  <c r="X257" i="2"/>
  <c r="X237" i="2"/>
  <c r="X277" i="2"/>
  <c r="X217" i="2"/>
  <c r="C257" i="2"/>
  <c r="C277" i="2"/>
  <c r="C217" i="2"/>
  <c r="C237" i="2"/>
  <c r="Q277" i="2"/>
  <c r="Q257" i="2"/>
  <c r="Q237" i="2"/>
  <c r="Q217" i="2"/>
  <c r="N277" i="2"/>
  <c r="N257" i="2"/>
  <c r="N237" i="2"/>
  <c r="N217" i="2"/>
  <c r="T257" i="2"/>
  <c r="T277" i="2"/>
  <c r="T217" i="2"/>
  <c r="T237" i="2"/>
  <c r="K257" i="2"/>
  <c r="K217" i="2"/>
  <c r="K237" i="2"/>
  <c r="K277" i="2"/>
  <c r="L257" i="2"/>
  <c r="L277" i="2"/>
  <c r="L217" i="2"/>
  <c r="L237" i="2"/>
  <c r="G257" i="2"/>
  <c r="G277" i="2"/>
  <c r="G217" i="2"/>
  <c r="G237" i="2"/>
  <c r="E277" i="2"/>
  <c r="E237" i="2"/>
  <c r="E257" i="2"/>
  <c r="E217" i="2"/>
  <c r="U277" i="2"/>
  <c r="U237" i="2"/>
  <c r="U257" i="2"/>
  <c r="U217" i="2"/>
  <c r="R277" i="2"/>
  <c r="R257" i="2"/>
  <c r="R237" i="2"/>
  <c r="R217" i="2"/>
  <c r="D257" i="2"/>
  <c r="D277" i="2"/>
  <c r="D217" i="2"/>
  <c r="D237" i="2"/>
  <c r="M277" i="2"/>
  <c r="M257" i="2"/>
  <c r="M237" i="2"/>
  <c r="M217" i="2"/>
  <c r="S257" i="2"/>
  <c r="S277" i="2"/>
  <c r="S217" i="2"/>
  <c r="S237" i="2"/>
  <c r="P257" i="2"/>
  <c r="P277" i="2"/>
  <c r="P217" i="2"/>
  <c r="P237" i="2"/>
  <c r="O257" i="2"/>
  <c r="O217" i="2"/>
  <c r="O277" i="2"/>
  <c r="O237" i="2"/>
  <c r="I277" i="2"/>
  <c r="I237" i="2"/>
  <c r="I257" i="2"/>
  <c r="I217" i="2"/>
  <c r="F277" i="2"/>
  <c r="F257" i="2"/>
  <c r="F237" i="2"/>
  <c r="F217" i="2"/>
  <c r="V277" i="2"/>
  <c r="V257" i="2"/>
  <c r="V237" i="2"/>
  <c r="V217" i="2"/>
  <c r="C197" i="2" l="1"/>
  <c r="C157" i="2"/>
  <c r="C158" i="2" s="1"/>
  <c r="D103" i="2"/>
  <c r="K103" i="2"/>
  <c r="E103" i="2"/>
  <c r="W103" i="2"/>
  <c r="L103" i="2"/>
  <c r="J103" i="2"/>
  <c r="U103" i="2"/>
  <c r="Q103" i="2"/>
  <c r="X103" i="2"/>
  <c r="S103" i="2"/>
  <c r="I103" i="2"/>
  <c r="G103" i="2"/>
  <c r="P103" i="2"/>
  <c r="N103" i="2"/>
  <c r="V103" i="2"/>
  <c r="T103" i="2"/>
  <c r="F103" i="2"/>
  <c r="H103" i="2"/>
  <c r="M103" i="2"/>
  <c r="O103" i="2"/>
  <c r="C103" i="2"/>
  <c r="R103" i="2"/>
  <c r="T157" i="2"/>
  <c r="T166" i="2"/>
  <c r="N157" i="2"/>
  <c r="N166" i="2"/>
  <c r="I157" i="2"/>
  <c r="I166" i="2"/>
  <c r="Q157" i="2"/>
  <c r="Q166" i="2"/>
  <c r="E157" i="2"/>
  <c r="E166" i="2"/>
  <c r="J157" i="2"/>
  <c r="J166" i="2"/>
  <c r="W157" i="2"/>
  <c r="W166" i="2"/>
  <c r="D157" i="2"/>
  <c r="D166" i="2"/>
  <c r="H157" i="2"/>
  <c r="H166" i="2"/>
  <c r="F157" i="2"/>
  <c r="F166" i="2"/>
  <c r="O157" i="2"/>
  <c r="O166" i="2"/>
  <c r="S157" i="2"/>
  <c r="S166" i="2"/>
  <c r="X157" i="2"/>
  <c r="X166" i="2"/>
  <c r="U157" i="2"/>
  <c r="U166" i="2"/>
  <c r="G157" i="2"/>
  <c r="G166" i="2"/>
  <c r="K157" i="2"/>
  <c r="K166" i="2"/>
  <c r="M157" i="2"/>
  <c r="M166" i="2"/>
  <c r="V157" i="2"/>
  <c r="V166" i="2"/>
  <c r="P157" i="2"/>
  <c r="P166" i="2"/>
  <c r="R157" i="2"/>
  <c r="R166" i="2"/>
  <c r="L157" i="2"/>
  <c r="L166" i="2"/>
  <c r="C166" i="2"/>
  <c r="J139" i="2"/>
  <c r="J140" i="2" s="1"/>
  <c r="J148" i="2"/>
  <c r="W139" i="2"/>
  <c r="W140" i="2" s="1"/>
  <c r="W148" i="2"/>
  <c r="D139" i="2"/>
  <c r="D140" i="2" s="1"/>
  <c r="D148" i="2"/>
  <c r="H139" i="2"/>
  <c r="H140" i="2" s="1"/>
  <c r="H148" i="2"/>
  <c r="F139" i="2"/>
  <c r="F140" i="2" s="1"/>
  <c r="F148" i="2"/>
  <c r="O139" i="2"/>
  <c r="O140" i="2" s="1"/>
  <c r="O148" i="2"/>
  <c r="S139" i="2"/>
  <c r="S140" i="2" s="1"/>
  <c r="S148" i="2"/>
  <c r="X139" i="2"/>
  <c r="X140" i="2" s="1"/>
  <c r="X148" i="2"/>
  <c r="U139" i="2"/>
  <c r="U140" i="2" s="1"/>
  <c r="U148" i="2"/>
  <c r="G139" i="2"/>
  <c r="G140" i="2" s="1"/>
  <c r="G148" i="2"/>
  <c r="K139" i="2"/>
  <c r="K140" i="2" s="1"/>
  <c r="K148" i="2"/>
  <c r="M139" i="2"/>
  <c r="M140" i="2" s="1"/>
  <c r="M148" i="2"/>
  <c r="T139" i="2"/>
  <c r="T140" i="2" s="1"/>
  <c r="T148" i="2"/>
  <c r="N139" i="2"/>
  <c r="N140" i="2" s="1"/>
  <c r="N148" i="2"/>
  <c r="V139" i="2"/>
  <c r="V140" i="2" s="1"/>
  <c r="V148" i="2"/>
  <c r="I139" i="2"/>
  <c r="I140" i="2" s="1"/>
  <c r="I148" i="2"/>
  <c r="P139" i="2"/>
  <c r="P140" i="2" s="1"/>
  <c r="P148" i="2"/>
  <c r="Q139" i="2"/>
  <c r="Q140" i="2" s="1"/>
  <c r="Q148" i="2"/>
  <c r="R139" i="2"/>
  <c r="R140" i="2" s="1"/>
  <c r="R148" i="2"/>
  <c r="E139" i="2"/>
  <c r="E140" i="2" s="1"/>
  <c r="E148" i="2"/>
  <c r="L139" i="2"/>
  <c r="L140" i="2" s="1"/>
  <c r="L148" i="2"/>
  <c r="C139" i="2"/>
  <c r="C140" i="2" s="1"/>
  <c r="C148" i="2"/>
  <c r="J130" i="2"/>
  <c r="J131" i="2" s="1"/>
  <c r="W130" i="2"/>
  <c r="W131" i="2" s="1"/>
  <c r="D130" i="2"/>
  <c r="D131" i="2" s="1"/>
  <c r="H130" i="2"/>
  <c r="H131" i="2" s="1"/>
  <c r="F130" i="2"/>
  <c r="F131" i="2" s="1"/>
  <c r="O130" i="2"/>
  <c r="O131" i="2" s="1"/>
  <c r="S130" i="2"/>
  <c r="S131" i="2" s="1"/>
  <c r="X130" i="2"/>
  <c r="X131" i="2" s="1"/>
  <c r="U130" i="2"/>
  <c r="U131" i="2" s="1"/>
  <c r="G130" i="2"/>
  <c r="G131" i="2" s="1"/>
  <c r="K130" i="2"/>
  <c r="K131" i="2" s="1"/>
  <c r="M130" i="2"/>
  <c r="M131" i="2" s="1"/>
  <c r="T130" i="2"/>
  <c r="T131" i="2" s="1"/>
  <c r="N130" i="2"/>
  <c r="N131" i="2" s="1"/>
  <c r="V130" i="2"/>
  <c r="V131" i="2" s="1"/>
  <c r="I130" i="2"/>
  <c r="I131" i="2" s="1"/>
  <c r="P130" i="2"/>
  <c r="P131" i="2" s="1"/>
  <c r="Q130" i="2"/>
  <c r="Q131" i="2" s="1"/>
  <c r="R130" i="2"/>
  <c r="R131" i="2" s="1"/>
  <c r="E130" i="2"/>
  <c r="E131" i="2" s="1"/>
  <c r="L130" i="2"/>
  <c r="L131" i="2" s="1"/>
  <c r="C130" i="2"/>
  <c r="C131" i="2" s="1"/>
  <c r="C120" i="2" l="1"/>
  <c r="C212" i="2" s="1"/>
  <c r="E119" i="2"/>
  <c r="E232" i="2" s="1"/>
  <c r="E149" i="2"/>
  <c r="E150" i="2" s="1"/>
  <c r="E110" i="2" s="1"/>
  <c r="N119" i="2"/>
  <c r="N232" i="2" s="1"/>
  <c r="N149" i="2"/>
  <c r="N150" i="2" s="1"/>
  <c r="N110" i="2" s="1"/>
  <c r="G119" i="2"/>
  <c r="G232" i="2" s="1"/>
  <c r="G149" i="2"/>
  <c r="G150" i="2" s="1"/>
  <c r="G110" i="2" s="1"/>
  <c r="H119" i="2"/>
  <c r="H232" i="2" s="1"/>
  <c r="H149" i="2"/>
  <c r="H150" i="2" s="1"/>
  <c r="H110" i="2" s="1"/>
  <c r="C121" i="2"/>
  <c r="C192" i="2" s="1"/>
  <c r="C167" i="2"/>
  <c r="C168" i="2" s="1"/>
  <c r="C112" i="2" s="1"/>
  <c r="V121" i="2"/>
  <c r="V192" i="2" s="1"/>
  <c r="V167" i="2"/>
  <c r="V168" i="2" s="1"/>
  <c r="V112" i="2" s="1"/>
  <c r="S121" i="2"/>
  <c r="S192" i="2" s="1"/>
  <c r="S167" i="2"/>
  <c r="S168" i="2" s="1"/>
  <c r="S112" i="2" s="1"/>
  <c r="D121" i="2"/>
  <c r="D192" i="2" s="1"/>
  <c r="D167" i="2"/>
  <c r="D168" i="2" s="1"/>
  <c r="D112" i="2" s="1"/>
  <c r="J121" i="2"/>
  <c r="J192" i="2" s="1"/>
  <c r="J167" i="2"/>
  <c r="J168" i="2" s="1"/>
  <c r="J112" i="2" s="1"/>
  <c r="R120" i="2"/>
  <c r="R212" i="2" s="1"/>
  <c r="R158" i="2"/>
  <c r="R159" i="2" s="1"/>
  <c r="R111" i="2" s="1"/>
  <c r="V120" i="2"/>
  <c r="V212" i="2" s="1"/>
  <c r="V158" i="2"/>
  <c r="V159" i="2" s="1"/>
  <c r="V111" i="2" s="1"/>
  <c r="K120" i="2"/>
  <c r="K212" i="2" s="1"/>
  <c r="K158" i="2"/>
  <c r="K159" i="2" s="1"/>
  <c r="K111" i="2" s="1"/>
  <c r="U120" i="2"/>
  <c r="U212" i="2" s="1"/>
  <c r="U158" i="2"/>
  <c r="U159" i="2" s="1"/>
  <c r="U111" i="2" s="1"/>
  <c r="S120" i="2"/>
  <c r="S212" i="2" s="1"/>
  <c r="S158" i="2"/>
  <c r="S159" i="2" s="1"/>
  <c r="S111" i="2" s="1"/>
  <c r="F120" i="2"/>
  <c r="F212" i="2" s="1"/>
  <c r="F158" i="2"/>
  <c r="F159" i="2" s="1"/>
  <c r="F111" i="2" s="1"/>
  <c r="D120" i="2"/>
  <c r="D212" i="2" s="1"/>
  <c r="D158" i="2"/>
  <c r="D159" i="2" s="1"/>
  <c r="D111" i="2" s="1"/>
  <c r="J120" i="2"/>
  <c r="J212" i="2" s="1"/>
  <c r="J158" i="2"/>
  <c r="J159" i="2" s="1"/>
  <c r="J111" i="2" s="1"/>
  <c r="Q120" i="2"/>
  <c r="Q212" i="2" s="1"/>
  <c r="Q158" i="2"/>
  <c r="Q159" i="2" s="1"/>
  <c r="Q111" i="2" s="1"/>
  <c r="N120" i="2"/>
  <c r="N212" i="2" s="1"/>
  <c r="N158" i="2"/>
  <c r="N159" i="2" s="1"/>
  <c r="N111" i="2" s="1"/>
  <c r="C119" i="2"/>
  <c r="C232" i="2" s="1"/>
  <c r="C149" i="2"/>
  <c r="C150" i="2" s="1"/>
  <c r="C110" i="2" s="1"/>
  <c r="I119" i="2"/>
  <c r="I232" i="2" s="1"/>
  <c r="I149" i="2"/>
  <c r="I150" i="2" s="1"/>
  <c r="I110" i="2" s="1"/>
  <c r="O119" i="2"/>
  <c r="O232" i="2" s="1"/>
  <c r="O149" i="2"/>
  <c r="O150" i="2" s="1"/>
  <c r="O110" i="2" s="1"/>
  <c r="K121" i="2"/>
  <c r="K192" i="2" s="1"/>
  <c r="K167" i="2"/>
  <c r="K168" i="2" s="1"/>
  <c r="K112" i="2" s="1"/>
  <c r="L119" i="2"/>
  <c r="L232" i="2" s="1"/>
  <c r="L149" i="2"/>
  <c r="L150" i="2" s="1"/>
  <c r="L110" i="2" s="1"/>
  <c r="R119" i="2"/>
  <c r="R232" i="2" s="1"/>
  <c r="R149" i="2"/>
  <c r="R150" i="2" s="1"/>
  <c r="R110" i="2" s="1"/>
  <c r="P119" i="2"/>
  <c r="P232" i="2" s="1"/>
  <c r="P149" i="2"/>
  <c r="P150" i="2" s="1"/>
  <c r="P110" i="2" s="1"/>
  <c r="V119" i="2"/>
  <c r="V232" i="2" s="1"/>
  <c r="V149" i="2"/>
  <c r="V150" i="2" s="1"/>
  <c r="V110" i="2" s="1"/>
  <c r="T119" i="2"/>
  <c r="T232" i="2" s="1"/>
  <c r="T149" i="2"/>
  <c r="T150" i="2" s="1"/>
  <c r="T110" i="2" s="1"/>
  <c r="K119" i="2"/>
  <c r="K232" i="2" s="1"/>
  <c r="K149" i="2"/>
  <c r="K150" i="2" s="1"/>
  <c r="K110" i="2" s="1"/>
  <c r="U119" i="2"/>
  <c r="U232" i="2" s="1"/>
  <c r="U149" i="2"/>
  <c r="U150" i="2" s="1"/>
  <c r="U110" i="2" s="1"/>
  <c r="S119" i="2"/>
  <c r="S232" i="2" s="1"/>
  <c r="S149" i="2"/>
  <c r="S150" i="2" s="1"/>
  <c r="S110" i="2" s="1"/>
  <c r="F119" i="2"/>
  <c r="F232" i="2" s="1"/>
  <c r="F149" i="2"/>
  <c r="F150" i="2" s="1"/>
  <c r="F110" i="2" s="1"/>
  <c r="D119" i="2"/>
  <c r="D232" i="2" s="1"/>
  <c r="D149" i="2"/>
  <c r="D150" i="2" s="1"/>
  <c r="D110" i="2" s="1"/>
  <c r="J119" i="2"/>
  <c r="J232" i="2" s="1"/>
  <c r="J149" i="2"/>
  <c r="J150" i="2" s="1"/>
  <c r="J110" i="2" s="1"/>
  <c r="L121" i="2"/>
  <c r="L192" i="2" s="1"/>
  <c r="L167" i="2"/>
  <c r="L168" i="2" s="1"/>
  <c r="L112" i="2" s="1"/>
  <c r="P121" i="2"/>
  <c r="P192" i="2" s="1"/>
  <c r="P167" i="2"/>
  <c r="P168" i="2" s="1"/>
  <c r="P112" i="2" s="1"/>
  <c r="M121" i="2"/>
  <c r="M192" i="2" s="1"/>
  <c r="M167" i="2"/>
  <c r="M168" i="2" s="1"/>
  <c r="M112" i="2" s="1"/>
  <c r="G121" i="2"/>
  <c r="G192" i="2" s="1"/>
  <c r="G167" i="2"/>
  <c r="G168" i="2" s="1"/>
  <c r="G112" i="2" s="1"/>
  <c r="X121" i="2"/>
  <c r="X192" i="2" s="1"/>
  <c r="X167" i="2"/>
  <c r="X168" i="2" s="1"/>
  <c r="X112" i="2" s="1"/>
  <c r="O121" i="2"/>
  <c r="O192" i="2" s="1"/>
  <c r="O167" i="2"/>
  <c r="O168" i="2" s="1"/>
  <c r="O112" i="2" s="1"/>
  <c r="H121" i="2"/>
  <c r="H192" i="2" s="1"/>
  <c r="H167" i="2"/>
  <c r="H168" i="2" s="1"/>
  <c r="H112" i="2" s="1"/>
  <c r="W121" i="2"/>
  <c r="W192" i="2" s="1"/>
  <c r="W167" i="2"/>
  <c r="W168" i="2" s="1"/>
  <c r="W112" i="2" s="1"/>
  <c r="E121" i="2"/>
  <c r="E192" i="2" s="1"/>
  <c r="E167" i="2"/>
  <c r="E168" i="2" s="1"/>
  <c r="E112" i="2" s="1"/>
  <c r="I121" i="2"/>
  <c r="I192" i="2" s="1"/>
  <c r="I167" i="2"/>
  <c r="I168" i="2" s="1"/>
  <c r="I112" i="2" s="1"/>
  <c r="T121" i="2"/>
  <c r="T192" i="2" s="1"/>
  <c r="T167" i="2"/>
  <c r="T168" i="2" s="1"/>
  <c r="T112" i="2" s="1"/>
  <c r="Q119" i="2"/>
  <c r="Q232" i="2" s="1"/>
  <c r="Q149" i="2"/>
  <c r="Q150" i="2" s="1"/>
  <c r="Q110" i="2" s="1"/>
  <c r="M119" i="2"/>
  <c r="M232" i="2" s="1"/>
  <c r="M149" i="2"/>
  <c r="M150" i="2" s="1"/>
  <c r="M110" i="2" s="1"/>
  <c r="X119" i="2"/>
  <c r="X232" i="2" s="1"/>
  <c r="X149" i="2"/>
  <c r="X150" i="2" s="1"/>
  <c r="X110" i="2" s="1"/>
  <c r="W119" i="2"/>
  <c r="W232" i="2" s="1"/>
  <c r="W149" i="2"/>
  <c r="W150" i="2" s="1"/>
  <c r="W110" i="2" s="1"/>
  <c r="R121" i="2"/>
  <c r="R192" i="2" s="1"/>
  <c r="R167" i="2"/>
  <c r="R168" i="2" s="1"/>
  <c r="R112" i="2" s="1"/>
  <c r="U121" i="2"/>
  <c r="U192" i="2" s="1"/>
  <c r="U167" i="2"/>
  <c r="U168" i="2" s="1"/>
  <c r="U112" i="2" s="1"/>
  <c r="F121" i="2"/>
  <c r="F192" i="2" s="1"/>
  <c r="F167" i="2"/>
  <c r="F168" i="2" s="1"/>
  <c r="F112" i="2" s="1"/>
  <c r="Q121" i="2"/>
  <c r="Q192" i="2" s="1"/>
  <c r="Q167" i="2"/>
  <c r="Q168" i="2" s="1"/>
  <c r="Q112" i="2" s="1"/>
  <c r="N121" i="2"/>
  <c r="N192" i="2" s="1"/>
  <c r="N167" i="2"/>
  <c r="N168" i="2" s="1"/>
  <c r="N112" i="2" s="1"/>
  <c r="L120" i="2"/>
  <c r="L212" i="2" s="1"/>
  <c r="L158" i="2"/>
  <c r="L159" i="2" s="1"/>
  <c r="L111" i="2" s="1"/>
  <c r="P120" i="2"/>
  <c r="P212" i="2" s="1"/>
  <c r="P158" i="2"/>
  <c r="P159" i="2" s="1"/>
  <c r="P111" i="2" s="1"/>
  <c r="M120" i="2"/>
  <c r="M212" i="2" s="1"/>
  <c r="M158" i="2"/>
  <c r="M159" i="2" s="1"/>
  <c r="M111" i="2" s="1"/>
  <c r="G120" i="2"/>
  <c r="G212" i="2" s="1"/>
  <c r="G158" i="2"/>
  <c r="G159" i="2" s="1"/>
  <c r="G111" i="2" s="1"/>
  <c r="X120" i="2"/>
  <c r="X212" i="2" s="1"/>
  <c r="X158" i="2"/>
  <c r="X159" i="2" s="1"/>
  <c r="X111" i="2" s="1"/>
  <c r="O120" i="2"/>
  <c r="O212" i="2" s="1"/>
  <c r="O158" i="2"/>
  <c r="O159" i="2" s="1"/>
  <c r="O111" i="2" s="1"/>
  <c r="H120" i="2"/>
  <c r="H212" i="2" s="1"/>
  <c r="H158" i="2"/>
  <c r="H159" i="2" s="1"/>
  <c r="H111" i="2" s="1"/>
  <c r="W120" i="2"/>
  <c r="W212" i="2" s="1"/>
  <c r="W158" i="2"/>
  <c r="W159" i="2" s="1"/>
  <c r="W111" i="2" s="1"/>
  <c r="E120" i="2"/>
  <c r="E212" i="2" s="1"/>
  <c r="E158" i="2"/>
  <c r="E159" i="2" s="1"/>
  <c r="E111" i="2" s="1"/>
  <c r="I120" i="2"/>
  <c r="I212" i="2" s="1"/>
  <c r="I158" i="2"/>
  <c r="I159" i="2" s="1"/>
  <c r="I111" i="2" s="1"/>
  <c r="T120" i="2"/>
  <c r="T212" i="2" s="1"/>
  <c r="T158" i="2"/>
  <c r="T159" i="2" s="1"/>
  <c r="T111" i="2" s="1"/>
  <c r="G132" i="2"/>
  <c r="G117" i="2"/>
  <c r="G272" i="2" s="1"/>
  <c r="W132" i="2"/>
  <c r="W108" i="2" s="1"/>
  <c r="W117" i="2"/>
  <c r="W272" i="2" s="1"/>
  <c r="L132" i="2"/>
  <c r="L117" i="2"/>
  <c r="L272" i="2" s="1"/>
  <c r="P132" i="2"/>
  <c r="P117" i="2"/>
  <c r="P272" i="2" s="1"/>
  <c r="T132" i="2"/>
  <c r="T117" i="2"/>
  <c r="T272" i="2" s="1"/>
  <c r="U132" i="2"/>
  <c r="U117" i="2"/>
  <c r="U272" i="2" s="1"/>
  <c r="F132" i="2"/>
  <c r="F117" i="2"/>
  <c r="F272" i="2" s="1"/>
  <c r="J132" i="2"/>
  <c r="J117" i="2"/>
  <c r="J272" i="2" s="1"/>
  <c r="C141" i="2"/>
  <c r="C118" i="2"/>
  <c r="C252" i="2" s="1"/>
  <c r="E141" i="2"/>
  <c r="E118" i="2"/>
  <c r="E252" i="2" s="1"/>
  <c r="Q141" i="2"/>
  <c r="Q118" i="2"/>
  <c r="Q252" i="2" s="1"/>
  <c r="I141" i="2"/>
  <c r="I118" i="2"/>
  <c r="I252" i="2" s="1"/>
  <c r="N141" i="2"/>
  <c r="N118" i="2"/>
  <c r="N252" i="2" s="1"/>
  <c r="M141" i="2"/>
  <c r="M118" i="2"/>
  <c r="M252" i="2" s="1"/>
  <c r="G141" i="2"/>
  <c r="G118" i="2"/>
  <c r="G252" i="2" s="1"/>
  <c r="X141" i="2"/>
  <c r="X118" i="2"/>
  <c r="X252" i="2" s="1"/>
  <c r="O141" i="2"/>
  <c r="O118" i="2"/>
  <c r="O252" i="2" s="1"/>
  <c r="H141" i="2"/>
  <c r="H118" i="2"/>
  <c r="H252" i="2" s="1"/>
  <c r="W141" i="2"/>
  <c r="W118" i="2"/>
  <c r="W252" i="2" s="1"/>
  <c r="Q132" i="2"/>
  <c r="Q117" i="2"/>
  <c r="Q272" i="2" s="1"/>
  <c r="E132" i="2"/>
  <c r="E117" i="2"/>
  <c r="E272" i="2" s="1"/>
  <c r="I132" i="2"/>
  <c r="I108" i="2" s="1"/>
  <c r="I117" i="2"/>
  <c r="I272" i="2" s="1"/>
  <c r="M132" i="2"/>
  <c r="M117" i="2"/>
  <c r="M272" i="2" s="1"/>
  <c r="X132" i="2"/>
  <c r="X108" i="2" s="1"/>
  <c r="X117" i="2"/>
  <c r="X272" i="2" s="1"/>
  <c r="H132" i="2"/>
  <c r="H117" i="2"/>
  <c r="H272" i="2" s="1"/>
  <c r="C132" i="2"/>
  <c r="C108" i="2" s="1"/>
  <c r="C117" i="2"/>
  <c r="C272" i="2" s="1"/>
  <c r="N132" i="2"/>
  <c r="N117" i="2"/>
  <c r="N272" i="2" s="1"/>
  <c r="O132" i="2"/>
  <c r="O117" i="2"/>
  <c r="O272" i="2" s="1"/>
  <c r="R132" i="2"/>
  <c r="R117" i="2"/>
  <c r="R272" i="2" s="1"/>
  <c r="V132" i="2"/>
  <c r="V117" i="2"/>
  <c r="V272" i="2" s="1"/>
  <c r="K132" i="2"/>
  <c r="K117" i="2"/>
  <c r="K272" i="2" s="1"/>
  <c r="S132" i="2"/>
  <c r="S117" i="2"/>
  <c r="S272" i="2" s="1"/>
  <c r="D132" i="2"/>
  <c r="D117" i="2"/>
  <c r="D272" i="2" s="1"/>
  <c r="L141" i="2"/>
  <c r="L118" i="2"/>
  <c r="L252" i="2" s="1"/>
  <c r="R141" i="2"/>
  <c r="R118" i="2"/>
  <c r="R252" i="2" s="1"/>
  <c r="P141" i="2"/>
  <c r="P118" i="2"/>
  <c r="P252" i="2" s="1"/>
  <c r="V141" i="2"/>
  <c r="V118" i="2"/>
  <c r="V252" i="2" s="1"/>
  <c r="T141" i="2"/>
  <c r="T118" i="2"/>
  <c r="T252" i="2" s="1"/>
  <c r="K141" i="2"/>
  <c r="K118" i="2"/>
  <c r="K252" i="2" s="1"/>
  <c r="U141" i="2"/>
  <c r="U118" i="2"/>
  <c r="U252" i="2" s="1"/>
  <c r="S141" i="2"/>
  <c r="S118" i="2"/>
  <c r="S252" i="2" s="1"/>
  <c r="F141" i="2"/>
  <c r="F118" i="2"/>
  <c r="F252" i="2" s="1"/>
  <c r="D141" i="2"/>
  <c r="D118" i="2"/>
  <c r="D252" i="2" s="1"/>
  <c r="J141" i="2"/>
  <c r="J118" i="2"/>
  <c r="J252" i="2" s="1"/>
  <c r="C159" i="2"/>
  <c r="C111" i="2" s="1"/>
  <c r="I104" i="2"/>
  <c r="X104" i="2"/>
  <c r="C104" i="2"/>
  <c r="W104" i="2"/>
  <c r="D104" i="2" l="1"/>
  <c r="D108" i="2"/>
  <c r="D271" i="2" s="1"/>
  <c r="D276" i="2" s="1"/>
  <c r="D278" i="2" s="1"/>
  <c r="R104" i="2"/>
  <c r="R108" i="2"/>
  <c r="R271" i="2" s="1"/>
  <c r="R276" i="2" s="1"/>
  <c r="R278" i="2" s="1"/>
  <c r="H104" i="2"/>
  <c r="H108" i="2"/>
  <c r="E104" i="2"/>
  <c r="E108" i="2"/>
  <c r="E271" i="2" s="1"/>
  <c r="E276" i="2" s="1"/>
  <c r="E278" i="2" s="1"/>
  <c r="T104" i="2"/>
  <c r="T108" i="2"/>
  <c r="T271" i="2" s="1"/>
  <c r="T276" i="2" s="1"/>
  <c r="T278" i="2" s="1"/>
  <c r="G104" i="2"/>
  <c r="G108" i="2"/>
  <c r="G271" i="2" s="1"/>
  <c r="G276" i="2" s="1"/>
  <c r="G278" i="2" s="1"/>
  <c r="K104" i="2"/>
  <c r="K108" i="2"/>
  <c r="K271" i="2" s="1"/>
  <c r="N104" i="2"/>
  <c r="N108" i="2"/>
  <c r="M104" i="2"/>
  <c r="M108" i="2"/>
  <c r="M271" i="2" s="1"/>
  <c r="M276" i="2" s="1"/>
  <c r="M278" i="2" s="1"/>
  <c r="F104" i="2"/>
  <c r="F108" i="2"/>
  <c r="F271" i="2" s="1"/>
  <c r="F276" i="2" s="1"/>
  <c r="F278" i="2" s="1"/>
  <c r="L104" i="2"/>
  <c r="L108" i="2"/>
  <c r="L271" i="2" s="1"/>
  <c r="L276" i="2" s="1"/>
  <c r="L278" i="2" s="1"/>
  <c r="S104" i="2"/>
  <c r="S108" i="2"/>
  <c r="S271" i="2" s="1"/>
  <c r="S276" i="2" s="1"/>
  <c r="S278" i="2" s="1"/>
  <c r="V104" i="2"/>
  <c r="V108" i="2"/>
  <c r="V271" i="2" s="1"/>
  <c r="V276" i="2" s="1"/>
  <c r="V278" i="2" s="1"/>
  <c r="O104" i="2"/>
  <c r="O108" i="2"/>
  <c r="Q104" i="2"/>
  <c r="Q108" i="2"/>
  <c r="Q271" i="2" s="1"/>
  <c r="Q276" i="2" s="1"/>
  <c r="Q278" i="2" s="1"/>
  <c r="J104" i="2"/>
  <c r="J108" i="2"/>
  <c r="J271" i="2" s="1"/>
  <c r="J276" i="2" s="1"/>
  <c r="J278" i="2" s="1"/>
  <c r="U104" i="2"/>
  <c r="U108" i="2"/>
  <c r="U271" i="2" s="1"/>
  <c r="U276" i="2" s="1"/>
  <c r="U278" i="2" s="1"/>
  <c r="P104" i="2"/>
  <c r="P108" i="2"/>
  <c r="P271" i="2" s="1"/>
  <c r="P276" i="2" s="1"/>
  <c r="P278" i="2" s="1"/>
  <c r="J109" i="2"/>
  <c r="J251" i="2" s="1"/>
  <c r="J256" i="2" s="1"/>
  <c r="J258" i="2" s="1"/>
  <c r="U109" i="2"/>
  <c r="U251" i="2" s="1"/>
  <c r="U256" i="2" s="1"/>
  <c r="U258" i="2" s="1"/>
  <c r="L109" i="2"/>
  <c r="L251" i="2" s="1"/>
  <c r="L256" i="2" s="1"/>
  <c r="L258" i="2" s="1"/>
  <c r="H271" i="2"/>
  <c r="H276" i="2" s="1"/>
  <c r="H278" i="2" s="1"/>
  <c r="H109" i="2"/>
  <c r="H251" i="2" s="1"/>
  <c r="H256" i="2" s="1"/>
  <c r="H258" i="2" s="1"/>
  <c r="X109" i="2"/>
  <c r="X251" i="2" s="1"/>
  <c r="X256" i="2" s="1"/>
  <c r="X258" i="2" s="1"/>
  <c r="M109" i="2"/>
  <c r="M251" i="2" s="1"/>
  <c r="M256" i="2" s="1"/>
  <c r="M258" i="2" s="1"/>
  <c r="E109" i="2"/>
  <c r="E251" i="2" s="1"/>
  <c r="E256" i="2" s="1"/>
  <c r="E258" i="2" s="1"/>
  <c r="F109" i="2"/>
  <c r="F251" i="2" s="1"/>
  <c r="F256" i="2" s="1"/>
  <c r="F258" i="2" s="1"/>
  <c r="T109" i="2"/>
  <c r="T251" i="2" s="1"/>
  <c r="T256" i="2" s="1"/>
  <c r="T258" i="2" s="1"/>
  <c r="P109" i="2"/>
  <c r="P251" i="2" s="1"/>
  <c r="P256" i="2" s="1"/>
  <c r="P258" i="2" s="1"/>
  <c r="I109" i="2"/>
  <c r="I251" i="2" s="1"/>
  <c r="I256" i="2" s="1"/>
  <c r="I258" i="2" s="1"/>
  <c r="D109" i="2"/>
  <c r="S109" i="2"/>
  <c r="K109" i="2"/>
  <c r="V109" i="2"/>
  <c r="R109" i="2"/>
  <c r="W109" i="2"/>
  <c r="O109" i="2"/>
  <c r="O251" i="2" s="1"/>
  <c r="O256" i="2" s="1"/>
  <c r="O258" i="2" s="1"/>
  <c r="G109" i="2"/>
  <c r="N109" i="2"/>
  <c r="N251" i="2" s="1"/>
  <c r="N256" i="2" s="1"/>
  <c r="N258" i="2" s="1"/>
  <c r="Q109" i="2"/>
  <c r="C271" i="2"/>
  <c r="C276" i="2" s="1"/>
  <c r="C278" i="2" s="1"/>
  <c r="C109" i="2"/>
  <c r="J231" i="2"/>
  <c r="J236" i="2" s="1"/>
  <c r="J238" i="2" s="1"/>
  <c r="P231" i="2"/>
  <c r="P236" i="2" s="1"/>
  <c r="P238" i="2" s="1"/>
  <c r="K231" i="2"/>
  <c r="K236" i="2" s="1"/>
  <c r="K238" i="2" s="1"/>
  <c r="G231" i="2"/>
  <c r="G236" i="2" s="1"/>
  <c r="G238" i="2" s="1"/>
  <c r="X231" i="2"/>
  <c r="X236" i="2" s="1"/>
  <c r="X238" i="2" s="1"/>
  <c r="E231" i="2"/>
  <c r="E236" i="2" s="1"/>
  <c r="E238" i="2" s="1"/>
  <c r="F231" i="2"/>
  <c r="F236" i="2" s="1"/>
  <c r="F238" i="2" s="1"/>
  <c r="L231" i="2"/>
  <c r="L236" i="2" s="1"/>
  <c r="L238" i="2" s="1"/>
  <c r="V231" i="2"/>
  <c r="V236" i="2" s="1"/>
  <c r="V238" i="2" s="1"/>
  <c r="M231" i="2"/>
  <c r="M236" i="2" s="1"/>
  <c r="M238" i="2" s="1"/>
  <c r="O231" i="2"/>
  <c r="O236" i="2" s="1"/>
  <c r="O238" i="2" s="1"/>
  <c r="U231" i="2"/>
  <c r="U236" i="2" s="1"/>
  <c r="U238" i="2" s="1"/>
  <c r="D231" i="2"/>
  <c r="D236" i="2" s="1"/>
  <c r="D238" i="2" s="1"/>
  <c r="R231" i="2"/>
  <c r="R236" i="2" s="1"/>
  <c r="R238" i="2" s="1"/>
  <c r="X271" i="2"/>
  <c r="X276" i="2" s="1"/>
  <c r="X278" i="2" s="1"/>
  <c r="I271" i="2"/>
  <c r="I276" i="2" s="1"/>
  <c r="I278" i="2" s="1"/>
  <c r="C231" i="2"/>
  <c r="C236" i="2" s="1"/>
  <c r="C238" i="2" s="1"/>
  <c r="H231" i="2"/>
  <c r="H236" i="2" s="1"/>
  <c r="H238" i="2" s="1"/>
  <c r="N231" i="2"/>
  <c r="N236" i="2" s="1"/>
  <c r="N238" i="2" s="1"/>
  <c r="T231" i="2"/>
  <c r="T236" i="2" s="1"/>
  <c r="T238" i="2" s="1"/>
  <c r="S231" i="2"/>
  <c r="S236" i="2" s="1"/>
  <c r="S238" i="2" s="1"/>
  <c r="W231" i="2"/>
  <c r="W236" i="2" s="1"/>
  <c r="W238" i="2" s="1"/>
  <c r="I231" i="2"/>
  <c r="I236" i="2" s="1"/>
  <c r="I238" i="2" s="1"/>
  <c r="Q231" i="2"/>
  <c r="Q236" i="2" s="1"/>
  <c r="Q238" i="2" s="1"/>
  <c r="W271" i="2"/>
  <c r="W276" i="2" s="1"/>
  <c r="W278" i="2" s="1"/>
  <c r="I191" i="2"/>
  <c r="I196" i="2" s="1"/>
  <c r="I198" i="2" s="1"/>
  <c r="C191" i="2"/>
  <c r="C196" i="2" s="1"/>
  <c r="C198" i="2" s="1"/>
  <c r="N191" i="2"/>
  <c r="N196" i="2" s="1"/>
  <c r="N198" i="2" s="1"/>
  <c r="E191" i="2"/>
  <c r="E196" i="2" s="1"/>
  <c r="E198" i="2" s="1"/>
  <c r="X191" i="2"/>
  <c r="X196" i="2" s="1"/>
  <c r="X198" i="2" s="1"/>
  <c r="P191" i="2"/>
  <c r="P196" i="2" s="1"/>
  <c r="P198" i="2" s="1"/>
  <c r="F191" i="2"/>
  <c r="F196" i="2" s="1"/>
  <c r="F198" i="2" s="1"/>
  <c r="R191" i="2"/>
  <c r="R196" i="2" s="1"/>
  <c r="R198" i="2" s="1"/>
  <c r="K191" i="2"/>
  <c r="K196" i="2" s="1"/>
  <c r="K198" i="2" s="1"/>
  <c r="O191" i="2"/>
  <c r="O196" i="2" s="1"/>
  <c r="O198" i="2" s="1"/>
  <c r="M191" i="2"/>
  <c r="M196" i="2" s="1"/>
  <c r="M198" i="2" s="1"/>
  <c r="D191" i="2"/>
  <c r="D196" i="2" s="1"/>
  <c r="D198" i="2" s="1"/>
  <c r="W191" i="2"/>
  <c r="W196" i="2" s="1"/>
  <c r="W198" i="2" s="1"/>
  <c r="G191" i="2"/>
  <c r="G196" i="2" s="1"/>
  <c r="G198" i="2" s="1"/>
  <c r="L191" i="2"/>
  <c r="L196" i="2" s="1"/>
  <c r="L198" i="2" s="1"/>
  <c r="U191" i="2"/>
  <c r="U196" i="2" s="1"/>
  <c r="U198" i="2" s="1"/>
  <c r="J191" i="2"/>
  <c r="J196" i="2" s="1"/>
  <c r="J198" i="2" s="1"/>
  <c r="V191" i="2"/>
  <c r="V196" i="2" s="1"/>
  <c r="V198" i="2" s="1"/>
  <c r="S191" i="2"/>
  <c r="S196" i="2" s="1"/>
  <c r="S198" i="2" s="1"/>
  <c r="T191" i="2"/>
  <c r="T196" i="2" s="1"/>
  <c r="T198" i="2" s="1"/>
  <c r="H191" i="2"/>
  <c r="H196" i="2" s="1"/>
  <c r="H198" i="2" s="1"/>
  <c r="Q191" i="2"/>
  <c r="Q196" i="2" s="1"/>
  <c r="Q198" i="2" s="1"/>
  <c r="O211" i="2"/>
  <c r="O216" i="2" s="1"/>
  <c r="O218" i="2" s="1"/>
  <c r="W211" i="2"/>
  <c r="W216" i="2" s="1"/>
  <c r="W218" i="2" s="1"/>
  <c r="G211" i="2"/>
  <c r="G216" i="2" s="1"/>
  <c r="G218" i="2" s="1"/>
  <c r="Q211" i="2"/>
  <c r="Q216" i="2" s="1"/>
  <c r="Q218" i="2" s="1"/>
  <c r="D211" i="2"/>
  <c r="D216" i="2" s="1"/>
  <c r="D218" i="2" s="1"/>
  <c r="T211" i="2"/>
  <c r="T216" i="2" s="1"/>
  <c r="T218" i="2" s="1"/>
  <c r="H211" i="2"/>
  <c r="H216" i="2" s="1"/>
  <c r="H218" i="2" s="1"/>
  <c r="J211" i="2"/>
  <c r="J216" i="2" s="1"/>
  <c r="J218" i="2" s="1"/>
  <c r="M211" i="2"/>
  <c r="M216" i="2" s="1"/>
  <c r="M218" i="2" s="1"/>
  <c r="S211" i="2"/>
  <c r="S216" i="2" s="1"/>
  <c r="S218" i="2" s="1"/>
  <c r="V211" i="2"/>
  <c r="V216" i="2" s="1"/>
  <c r="V218" i="2" s="1"/>
  <c r="I211" i="2"/>
  <c r="I216" i="2" s="1"/>
  <c r="I218" i="2" s="1"/>
  <c r="F211" i="2"/>
  <c r="F216" i="2" s="1"/>
  <c r="F218" i="2" s="1"/>
  <c r="P211" i="2"/>
  <c r="P216" i="2" s="1"/>
  <c r="P218" i="2" s="1"/>
  <c r="K211" i="2"/>
  <c r="K216" i="2" s="1"/>
  <c r="K218" i="2" s="1"/>
  <c r="C211" i="2"/>
  <c r="C216" i="2" s="1"/>
  <c r="C218" i="2" s="1"/>
  <c r="E211" i="2"/>
  <c r="E216" i="2" s="1"/>
  <c r="E218" i="2" s="1"/>
  <c r="X211" i="2"/>
  <c r="X216" i="2" s="1"/>
  <c r="X218" i="2" s="1"/>
  <c r="U211" i="2"/>
  <c r="U216" i="2" s="1"/>
  <c r="U218" i="2" s="1"/>
  <c r="R211" i="2"/>
  <c r="R216" i="2" s="1"/>
  <c r="R218" i="2" s="1"/>
  <c r="L211" i="2"/>
  <c r="L216" i="2" s="1"/>
  <c r="L218" i="2" s="1"/>
  <c r="N211" i="2"/>
  <c r="N216" i="2" s="1"/>
  <c r="N218" i="2" s="1"/>
  <c r="X234" i="2" l="1"/>
  <c r="X240" i="2" s="1"/>
  <c r="X241" i="2" s="1"/>
  <c r="X292" i="2" s="1"/>
  <c r="X306" i="2" s="1"/>
  <c r="X314" i="2" s="1"/>
  <c r="K276" i="2"/>
  <c r="K278" i="2" s="1"/>
  <c r="K274" i="2"/>
  <c r="P234" i="2"/>
  <c r="P240" i="2" s="1"/>
  <c r="P241" i="2" s="1"/>
  <c r="P292" i="2" s="1"/>
  <c r="P306" i="2" s="1"/>
  <c r="P314" i="2" s="1"/>
  <c r="V234" i="2"/>
  <c r="V240" i="2" s="1"/>
  <c r="V241" i="2" s="1"/>
  <c r="V292" i="2" s="1"/>
  <c r="V306" i="2" s="1"/>
  <c r="V314" i="2" s="1"/>
  <c r="I234" i="2"/>
  <c r="I240" i="2" s="1"/>
  <c r="I241" i="2" s="1"/>
  <c r="I292" i="2" s="1"/>
  <c r="I306" i="2" s="1"/>
  <c r="I314" i="2" s="1"/>
  <c r="L234" i="2"/>
  <c r="L240" i="2" s="1"/>
  <c r="L241" i="2" s="1"/>
  <c r="L292" i="2" s="1"/>
  <c r="L306" i="2" s="1"/>
  <c r="L314" i="2" s="1"/>
  <c r="S234" i="2"/>
  <c r="S240" i="2" s="1"/>
  <c r="S241" i="2" s="1"/>
  <c r="S292" i="2" s="1"/>
  <c r="S306" i="2" s="1"/>
  <c r="S314" i="2" s="1"/>
  <c r="L254" i="2"/>
  <c r="L260" i="2" s="1"/>
  <c r="L261" i="2" s="1"/>
  <c r="L293" i="2" s="1"/>
  <c r="L307" i="2" s="1"/>
  <c r="L313" i="2" s="1"/>
  <c r="U194" i="2"/>
  <c r="U200" i="2" s="1"/>
  <c r="U187" i="2" s="1"/>
  <c r="S194" i="2"/>
  <c r="S200" i="2" s="1"/>
  <c r="S187" i="2" s="1"/>
  <c r="O254" i="2"/>
  <c r="O260" i="2" s="1"/>
  <c r="O261" i="2" s="1"/>
  <c r="O293" i="2" s="1"/>
  <c r="O307" i="2" s="1"/>
  <c r="O313" i="2" s="1"/>
  <c r="N194" i="2"/>
  <c r="N200" i="2" s="1"/>
  <c r="N187" i="2" s="1"/>
  <c r="M194" i="2"/>
  <c r="M200" i="2" s="1"/>
  <c r="M187" i="2" s="1"/>
  <c r="J254" i="2"/>
  <c r="J260" i="2" s="1"/>
  <c r="J261" i="2" s="1"/>
  <c r="J293" i="2" s="1"/>
  <c r="J307" i="2" s="1"/>
  <c r="J313" i="2" s="1"/>
  <c r="F194" i="2"/>
  <c r="F200" i="2" s="1"/>
  <c r="F187" i="2" s="1"/>
  <c r="L194" i="2"/>
  <c r="L200" i="2" s="1"/>
  <c r="L187" i="2" s="1"/>
  <c r="O214" i="2"/>
  <c r="O220" i="2" s="1"/>
  <c r="O221" i="2" s="1"/>
  <c r="O291" i="2" s="1"/>
  <c r="O305" i="2" s="1"/>
  <c r="O315" i="2" s="1"/>
  <c r="O234" i="2"/>
  <c r="O240" i="2" s="1"/>
  <c r="O241" i="2" s="1"/>
  <c r="O292" i="2" s="1"/>
  <c r="O306" i="2" s="1"/>
  <c r="O314" i="2" s="1"/>
  <c r="P274" i="2"/>
  <c r="P280" i="2" s="1"/>
  <c r="P281" i="2" s="1"/>
  <c r="P294" i="2" s="1"/>
  <c r="P308" i="2" s="1"/>
  <c r="P312" i="2" s="1"/>
  <c r="X254" i="2"/>
  <c r="X260" i="2" s="1"/>
  <c r="X261" i="2" s="1"/>
  <c r="X293" i="2" s="1"/>
  <c r="X307" i="2" s="1"/>
  <c r="X313" i="2" s="1"/>
  <c r="R194" i="2"/>
  <c r="R200" i="2" s="1"/>
  <c r="R187" i="2" s="1"/>
  <c r="W214" i="2"/>
  <c r="W220" i="2" s="1"/>
  <c r="W221" i="2" s="1"/>
  <c r="W291" i="2" s="1"/>
  <c r="W305" i="2" s="1"/>
  <c r="W315" i="2" s="1"/>
  <c r="D214" i="2"/>
  <c r="D220" i="2" s="1"/>
  <c r="D221" i="2" s="1"/>
  <c r="D291" i="2" s="1"/>
  <c r="D305" i="2" s="1"/>
  <c r="D315" i="2" s="1"/>
  <c r="D194" i="2"/>
  <c r="D200" i="2" s="1"/>
  <c r="D187" i="2" s="1"/>
  <c r="I274" i="2"/>
  <c r="I280" i="2" s="1"/>
  <c r="I281" i="2" s="1"/>
  <c r="I294" i="2" s="1"/>
  <c r="I308" i="2" s="1"/>
  <c r="I312" i="2" s="1"/>
  <c r="G234" i="2"/>
  <c r="G240" i="2" s="1"/>
  <c r="G241" i="2" s="1"/>
  <c r="G292" i="2" s="1"/>
  <c r="G306" i="2" s="1"/>
  <c r="G314" i="2" s="1"/>
  <c r="L274" i="2"/>
  <c r="L280" i="2" s="1"/>
  <c r="L281" i="2" s="1"/>
  <c r="L294" i="2" s="1"/>
  <c r="L308" i="2" s="1"/>
  <c r="L312" i="2" s="1"/>
  <c r="U274" i="2"/>
  <c r="U280" i="2" s="1"/>
  <c r="U281" i="2" s="1"/>
  <c r="U294" i="2" s="1"/>
  <c r="U308" i="2" s="1"/>
  <c r="U312" i="2" s="1"/>
  <c r="O194" i="2"/>
  <c r="O200" i="2" s="1"/>
  <c r="O187" i="2" s="1"/>
  <c r="M234" i="2"/>
  <c r="M240" i="2" s="1"/>
  <c r="M241" i="2" s="1"/>
  <c r="M292" i="2" s="1"/>
  <c r="M306" i="2" s="1"/>
  <c r="M314" i="2" s="1"/>
  <c r="E274" i="2"/>
  <c r="E280" i="2" s="1"/>
  <c r="E281" i="2" s="1"/>
  <c r="E294" i="2" s="1"/>
  <c r="E308" i="2" s="1"/>
  <c r="E312" i="2" s="1"/>
  <c r="C194" i="2"/>
  <c r="C200" i="2" s="1"/>
  <c r="C187" i="2" s="1"/>
  <c r="X274" i="2"/>
  <c r="X280" i="2" s="1"/>
  <c r="X281" i="2" s="1"/>
  <c r="X294" i="2" s="1"/>
  <c r="X308" i="2" s="1"/>
  <c r="X312" i="2" s="1"/>
  <c r="V194" i="2"/>
  <c r="V200" i="2" s="1"/>
  <c r="V187" i="2" s="1"/>
  <c r="R234" i="2"/>
  <c r="R240" i="2" s="1"/>
  <c r="R241" i="2" s="1"/>
  <c r="R292" i="2" s="1"/>
  <c r="R306" i="2" s="1"/>
  <c r="R314" i="2" s="1"/>
  <c r="E254" i="2"/>
  <c r="E260" i="2" s="1"/>
  <c r="E261" i="2" s="1"/>
  <c r="E293" i="2" s="1"/>
  <c r="E307" i="2" s="1"/>
  <c r="E313" i="2" s="1"/>
  <c r="R274" i="2"/>
  <c r="R280" i="2" s="1"/>
  <c r="R281" i="2" s="1"/>
  <c r="R294" i="2" s="1"/>
  <c r="R308" i="2" s="1"/>
  <c r="R312" i="2" s="1"/>
  <c r="J234" i="2"/>
  <c r="J240" i="2" s="1"/>
  <c r="J241" i="2" s="1"/>
  <c r="J292" i="2" s="1"/>
  <c r="J306" i="2" s="1"/>
  <c r="J314" i="2" s="1"/>
  <c r="T254" i="2"/>
  <c r="T260" i="2" s="1"/>
  <c r="T261" i="2" s="1"/>
  <c r="T293" i="2" s="1"/>
  <c r="T307" i="2" s="1"/>
  <c r="T313" i="2" s="1"/>
  <c r="T274" i="2"/>
  <c r="T280" i="2" s="1"/>
  <c r="T281" i="2" s="1"/>
  <c r="T294" i="2" s="1"/>
  <c r="T308" i="2" s="1"/>
  <c r="T312" i="2" s="1"/>
  <c r="P194" i="2"/>
  <c r="P200" i="2" s="1"/>
  <c r="P187" i="2" s="1"/>
  <c r="N234" i="2"/>
  <c r="N240" i="2" s="1"/>
  <c r="N241" i="2" s="1"/>
  <c r="N292" i="2" s="1"/>
  <c r="N306" i="2" s="1"/>
  <c r="N314" i="2" s="1"/>
  <c r="J214" i="2"/>
  <c r="J220" i="2" s="1"/>
  <c r="J221" i="2" s="1"/>
  <c r="J291" i="2" s="1"/>
  <c r="J305" i="2" s="1"/>
  <c r="Q194" i="2"/>
  <c r="Q200" i="2" s="1"/>
  <c r="Q187" i="2" s="1"/>
  <c r="W274" i="2"/>
  <c r="W280" i="2" s="1"/>
  <c r="W281" i="2" s="1"/>
  <c r="W294" i="2" s="1"/>
  <c r="W308" i="2" s="1"/>
  <c r="W312" i="2" s="1"/>
  <c r="W234" i="2"/>
  <c r="W240" i="2" s="1"/>
  <c r="W241" i="2" s="1"/>
  <c r="W292" i="2" s="1"/>
  <c r="W306" i="2" s="1"/>
  <c r="W314" i="2" s="1"/>
  <c r="T234" i="2"/>
  <c r="T240" i="2" s="1"/>
  <c r="T241" i="2" s="1"/>
  <c r="T292" i="2" s="1"/>
  <c r="T306" i="2" s="1"/>
  <c r="T314" i="2" s="1"/>
  <c r="N254" i="2"/>
  <c r="N260" i="2" s="1"/>
  <c r="N261" i="2" s="1"/>
  <c r="N293" i="2" s="1"/>
  <c r="N307" i="2" s="1"/>
  <c r="N313" i="2" s="1"/>
  <c r="F234" i="2"/>
  <c r="F240" i="2" s="1"/>
  <c r="F241" i="2" s="1"/>
  <c r="F292" i="2" s="1"/>
  <c r="F306" i="2" s="1"/>
  <c r="F314" i="2" s="1"/>
  <c r="D274" i="2"/>
  <c r="D280" i="2" s="1"/>
  <c r="D281" i="2" s="1"/>
  <c r="D294" i="2" s="1"/>
  <c r="D308" i="2" s="1"/>
  <c r="D312" i="2" s="1"/>
  <c r="E194" i="2"/>
  <c r="E200" i="2" s="1"/>
  <c r="E187" i="2" s="1"/>
  <c r="C234" i="2"/>
  <c r="C240" i="2" s="1"/>
  <c r="C241" i="2" s="1"/>
  <c r="C292" i="2" s="1"/>
  <c r="C306" i="2" s="1"/>
  <c r="C314" i="2" s="1"/>
  <c r="K234" i="2"/>
  <c r="K240" i="2" s="1"/>
  <c r="K241" i="2" s="1"/>
  <c r="K292" i="2" s="1"/>
  <c r="K306" i="2" s="1"/>
  <c r="K314" i="2" s="1"/>
  <c r="H254" i="2"/>
  <c r="H260" i="2" s="1"/>
  <c r="H261" i="2" s="1"/>
  <c r="H293" i="2" s="1"/>
  <c r="H307" i="2" s="1"/>
  <c r="H313" i="2" s="1"/>
  <c r="H274" i="2"/>
  <c r="H280" i="2" s="1"/>
  <c r="H281" i="2" s="1"/>
  <c r="H294" i="2" s="1"/>
  <c r="H308" i="2" s="1"/>
  <c r="H312" i="2" s="1"/>
  <c r="T194" i="2"/>
  <c r="T200" i="2" s="1"/>
  <c r="T187" i="2" s="1"/>
  <c r="I214" i="2"/>
  <c r="I220" i="2" s="1"/>
  <c r="I221" i="2" s="1"/>
  <c r="I291" i="2" s="1"/>
  <c r="I305" i="2" s="1"/>
  <c r="I315" i="2" s="1"/>
  <c r="U234" i="2"/>
  <c r="U240" i="2" s="1"/>
  <c r="U241" i="2" s="1"/>
  <c r="U292" i="2" s="1"/>
  <c r="U306" i="2" s="1"/>
  <c r="U314" i="2" s="1"/>
  <c r="U254" i="2"/>
  <c r="U260" i="2" s="1"/>
  <c r="U261" i="2" s="1"/>
  <c r="U293" i="2" s="1"/>
  <c r="U307" i="2" s="1"/>
  <c r="U313" i="2" s="1"/>
  <c r="H234" i="2"/>
  <c r="H240" i="2" s="1"/>
  <c r="H241" i="2" s="1"/>
  <c r="H292" i="2" s="1"/>
  <c r="H306" i="2" s="1"/>
  <c r="H314" i="2" s="1"/>
  <c r="M214" i="2"/>
  <c r="M220" i="2" s="1"/>
  <c r="M221" i="2" s="1"/>
  <c r="M291" i="2" s="1"/>
  <c r="M305" i="2" s="1"/>
  <c r="M315" i="2" s="1"/>
  <c r="G194" i="2"/>
  <c r="G200" i="2" s="1"/>
  <c r="G187" i="2" s="1"/>
  <c r="P254" i="2"/>
  <c r="P260" i="2" s="1"/>
  <c r="P261" i="2" s="1"/>
  <c r="P293" i="2" s="1"/>
  <c r="P307" i="2" s="1"/>
  <c r="P313" i="2" s="1"/>
  <c r="W194" i="2"/>
  <c r="W200" i="2" s="1"/>
  <c r="W187" i="2" s="1"/>
  <c r="N214" i="2"/>
  <c r="N220" i="2" s="1"/>
  <c r="N221" i="2" s="1"/>
  <c r="N291" i="2" s="1"/>
  <c r="N305" i="2" s="1"/>
  <c r="N315" i="2" s="1"/>
  <c r="X194" i="2"/>
  <c r="X200" i="2" s="1"/>
  <c r="X201" i="2" s="1"/>
  <c r="X290" i="2" s="1"/>
  <c r="X304" i="2" s="1"/>
  <c r="X316" i="2" s="1"/>
  <c r="I254" i="2"/>
  <c r="I260" i="2" s="1"/>
  <c r="I261" i="2" s="1"/>
  <c r="I293" i="2" s="1"/>
  <c r="I307" i="2" s="1"/>
  <c r="I313" i="2" s="1"/>
  <c r="F274" i="2"/>
  <c r="F280" i="2" s="1"/>
  <c r="F281" i="2" s="1"/>
  <c r="F294" i="2" s="1"/>
  <c r="F308" i="2" s="1"/>
  <c r="F312" i="2" s="1"/>
  <c r="M274" i="2"/>
  <c r="M280" i="2" s="1"/>
  <c r="M281" i="2" s="1"/>
  <c r="M294" i="2" s="1"/>
  <c r="M308" i="2" s="1"/>
  <c r="M312" i="2" s="1"/>
  <c r="K194" i="2"/>
  <c r="K200" i="2" s="1"/>
  <c r="K187" i="2" s="1"/>
  <c r="H194" i="2"/>
  <c r="H200" i="2" s="1"/>
  <c r="H187" i="2" s="1"/>
  <c r="I194" i="2"/>
  <c r="I200" i="2" s="1"/>
  <c r="I187" i="2" s="1"/>
  <c r="E234" i="2"/>
  <c r="E240" i="2" s="1"/>
  <c r="E241" i="2" s="1"/>
  <c r="E292" i="2" s="1"/>
  <c r="E306" i="2" s="1"/>
  <c r="E314" i="2" s="1"/>
  <c r="M254" i="2"/>
  <c r="M260" i="2" s="1"/>
  <c r="M261" i="2" s="1"/>
  <c r="M293" i="2" s="1"/>
  <c r="M307" i="2" s="1"/>
  <c r="M313" i="2" s="1"/>
  <c r="Q234" i="2"/>
  <c r="Q240" i="2" s="1"/>
  <c r="Q241" i="2" s="1"/>
  <c r="Q292" i="2" s="1"/>
  <c r="Q306" i="2" s="1"/>
  <c r="Q314" i="2" s="1"/>
  <c r="G274" i="2"/>
  <c r="G280" i="2" s="1"/>
  <c r="G281" i="2" s="1"/>
  <c r="G294" i="2" s="1"/>
  <c r="G308" i="2" s="1"/>
  <c r="G312" i="2" s="1"/>
  <c r="X214" i="2"/>
  <c r="X220" i="2" s="1"/>
  <c r="X221" i="2" s="1"/>
  <c r="X291" i="2" s="1"/>
  <c r="X305" i="2" s="1"/>
  <c r="J194" i="2"/>
  <c r="J200" i="2" s="1"/>
  <c r="J201" i="2" s="1"/>
  <c r="J290" i="2" s="1"/>
  <c r="J304" i="2" s="1"/>
  <c r="J316" i="2" s="1"/>
  <c r="D234" i="2"/>
  <c r="D240" i="2" s="1"/>
  <c r="D241" i="2" s="1"/>
  <c r="D292" i="2" s="1"/>
  <c r="D306" i="2" s="1"/>
  <c r="D314" i="2" s="1"/>
  <c r="J274" i="2"/>
  <c r="J280" i="2" s="1"/>
  <c r="J281" i="2" s="1"/>
  <c r="J294" i="2" s="1"/>
  <c r="J308" i="2" s="1"/>
  <c r="J312" i="2" s="1"/>
  <c r="F254" i="2"/>
  <c r="F260" i="2" s="1"/>
  <c r="F261" i="2" s="1"/>
  <c r="F293" i="2" s="1"/>
  <c r="F307" i="2" s="1"/>
  <c r="F313" i="2" s="1"/>
  <c r="K251" i="2"/>
  <c r="K256" i="2" s="1"/>
  <c r="K258" i="2" s="1"/>
  <c r="G251" i="2"/>
  <c r="G256" i="2" s="1"/>
  <c r="G258" i="2" s="1"/>
  <c r="N271" i="2"/>
  <c r="N276" i="2" s="1"/>
  <c r="N278" i="2" s="1"/>
  <c r="V274" i="2"/>
  <c r="V280" i="2" s="1"/>
  <c r="V281" i="2" s="1"/>
  <c r="V294" i="2" s="1"/>
  <c r="V308" i="2" s="1"/>
  <c r="V312" i="2" s="1"/>
  <c r="S251" i="2"/>
  <c r="S256" i="2" s="1"/>
  <c r="S258" i="2" s="1"/>
  <c r="W251" i="2"/>
  <c r="W256" i="2" s="1"/>
  <c r="W258" i="2" s="1"/>
  <c r="S274" i="2"/>
  <c r="S280" i="2" s="1"/>
  <c r="S281" i="2" s="1"/>
  <c r="S294" i="2" s="1"/>
  <c r="S308" i="2" s="1"/>
  <c r="S312" i="2" s="1"/>
  <c r="R251" i="2"/>
  <c r="R256" i="2" s="1"/>
  <c r="R258" i="2" s="1"/>
  <c r="D251" i="2"/>
  <c r="D256" i="2" s="1"/>
  <c r="D258" i="2" s="1"/>
  <c r="Q274" i="2"/>
  <c r="Q280" i="2" s="1"/>
  <c r="Q281" i="2" s="1"/>
  <c r="Q294" i="2" s="1"/>
  <c r="Q308" i="2" s="1"/>
  <c r="Q312" i="2" s="1"/>
  <c r="V251" i="2"/>
  <c r="V256" i="2" s="1"/>
  <c r="V258" i="2" s="1"/>
  <c r="C251" i="2"/>
  <c r="C256" i="2" s="1"/>
  <c r="C258" i="2" s="1"/>
  <c r="Q251" i="2"/>
  <c r="Q256" i="2" s="1"/>
  <c r="Q258" i="2" s="1"/>
  <c r="O271" i="2"/>
  <c r="O276" i="2" s="1"/>
  <c r="O278" i="2" s="1"/>
  <c r="C274" i="2"/>
  <c r="C280" i="2" s="1"/>
  <c r="C281" i="2" s="1"/>
  <c r="C294" i="2" s="1"/>
  <c r="C308" i="2" s="1"/>
  <c r="C312" i="2" s="1"/>
  <c r="U214" i="2"/>
  <c r="U220" i="2" s="1"/>
  <c r="U221" i="2" s="1"/>
  <c r="U291" i="2" s="1"/>
  <c r="U305" i="2" s="1"/>
  <c r="U315" i="2" s="1"/>
  <c r="P214" i="2"/>
  <c r="P220" i="2" s="1"/>
  <c r="P221" i="2" s="1"/>
  <c r="P291" i="2" s="1"/>
  <c r="P305" i="2" s="1"/>
  <c r="P315" i="2" s="1"/>
  <c r="L214" i="2"/>
  <c r="L220" i="2" s="1"/>
  <c r="L221" i="2" s="1"/>
  <c r="L291" i="2" s="1"/>
  <c r="L305" i="2" s="1"/>
  <c r="L315" i="2" s="1"/>
  <c r="T214" i="2"/>
  <c r="T220" i="2" s="1"/>
  <c r="T221" i="2" s="1"/>
  <c r="T291" i="2" s="1"/>
  <c r="T305" i="2" s="1"/>
  <c r="T315" i="2" s="1"/>
  <c r="R214" i="2"/>
  <c r="R220" i="2" s="1"/>
  <c r="R221" i="2" s="1"/>
  <c r="R291" i="2" s="1"/>
  <c r="R305" i="2" s="1"/>
  <c r="R315" i="2" s="1"/>
  <c r="F214" i="2"/>
  <c r="F220" i="2" s="1"/>
  <c r="F221" i="2" s="1"/>
  <c r="F291" i="2" s="1"/>
  <c r="F305" i="2" s="1"/>
  <c r="F315" i="2" s="1"/>
  <c r="V214" i="2"/>
  <c r="V220" i="2" s="1"/>
  <c r="V221" i="2" s="1"/>
  <c r="V291" i="2" s="1"/>
  <c r="V305" i="2" s="1"/>
  <c r="V315" i="2" s="1"/>
  <c r="G214" i="2"/>
  <c r="G220" i="2" s="1"/>
  <c r="G221" i="2" s="1"/>
  <c r="G291" i="2" s="1"/>
  <c r="G305" i="2" s="1"/>
  <c r="G315" i="2" s="1"/>
  <c r="Q214" i="2"/>
  <c r="Q220" i="2" s="1"/>
  <c r="Q221" i="2" s="1"/>
  <c r="Q291" i="2" s="1"/>
  <c r="Q305" i="2" s="1"/>
  <c r="Q315" i="2" s="1"/>
  <c r="E214" i="2"/>
  <c r="E220" i="2" s="1"/>
  <c r="E221" i="2" s="1"/>
  <c r="E291" i="2" s="1"/>
  <c r="E305" i="2" s="1"/>
  <c r="E315" i="2" s="1"/>
  <c r="H214" i="2"/>
  <c r="H220" i="2" s="1"/>
  <c r="H221" i="2" s="1"/>
  <c r="H291" i="2" s="1"/>
  <c r="H305" i="2" s="1"/>
  <c r="H315" i="2" s="1"/>
  <c r="C214" i="2"/>
  <c r="C220" i="2" s="1"/>
  <c r="C221" i="2" s="1"/>
  <c r="C291" i="2" s="1"/>
  <c r="C305" i="2" s="1"/>
  <c r="C315" i="2" s="1"/>
  <c r="S214" i="2"/>
  <c r="S220" i="2" s="1"/>
  <c r="S221" i="2" s="1"/>
  <c r="S291" i="2" s="1"/>
  <c r="S305" i="2" s="1"/>
  <c r="S315" i="2" s="1"/>
  <c r="K214" i="2"/>
  <c r="K220" i="2" s="1"/>
  <c r="K221" i="2" s="1"/>
  <c r="K291" i="2" s="1"/>
  <c r="K305" i="2" s="1"/>
  <c r="K315" i="2" s="1"/>
  <c r="F201" i="2"/>
  <c r="F290" i="2" s="1"/>
  <c r="F304" i="2" s="1"/>
  <c r="F316" i="2" s="1"/>
  <c r="K280" i="2" l="1"/>
  <c r="K281" i="2" s="1"/>
  <c r="K294" i="2" s="1"/>
  <c r="K308" i="2" s="1"/>
  <c r="K312" i="2" s="1"/>
  <c r="Q201" i="2"/>
  <c r="Q290" i="2" s="1"/>
  <c r="Q304" i="2" s="1"/>
  <c r="Q316" i="2" s="1"/>
  <c r="E201" i="2"/>
  <c r="E290" i="2" s="1"/>
  <c r="E304" i="2" s="1"/>
  <c r="E316" i="2" s="1"/>
  <c r="N201" i="2"/>
  <c r="N290" i="2" s="1"/>
  <c r="N304" i="2" s="1"/>
  <c r="D201" i="2"/>
  <c r="D290" i="2" s="1"/>
  <c r="D304" i="2" s="1"/>
  <c r="W201" i="2"/>
  <c r="W290" i="2" s="1"/>
  <c r="W304" i="2" s="1"/>
  <c r="W316" i="2" s="1"/>
  <c r="I201" i="2"/>
  <c r="I290" i="2" s="1"/>
  <c r="I304" i="2" s="1"/>
  <c r="I316" i="2" s="1"/>
  <c r="I317" i="2" s="1"/>
  <c r="L201" i="2"/>
  <c r="L290" i="2" s="1"/>
  <c r="L304" i="2" s="1"/>
  <c r="L316" i="2" s="1"/>
  <c r="L317" i="2" s="1"/>
  <c r="T201" i="2"/>
  <c r="T290" i="2" s="1"/>
  <c r="T304" i="2" s="1"/>
  <c r="T316" i="2" s="1"/>
  <c r="T317" i="2" s="1"/>
  <c r="C201" i="2"/>
  <c r="C290" i="2" s="1"/>
  <c r="C304" i="2" s="1"/>
  <c r="C316" i="2" s="1"/>
  <c r="H201" i="2"/>
  <c r="H290" i="2" s="1"/>
  <c r="H304" i="2" s="1"/>
  <c r="H316" i="2" s="1"/>
  <c r="H317" i="2" s="1"/>
  <c r="M201" i="2"/>
  <c r="M290" i="2" s="1"/>
  <c r="M304" i="2" s="1"/>
  <c r="M316" i="2" s="1"/>
  <c r="M317" i="2" s="1"/>
  <c r="U201" i="2"/>
  <c r="U290" i="2" s="1"/>
  <c r="U304" i="2" s="1"/>
  <c r="U316" i="2" s="1"/>
  <c r="U317" i="2" s="1"/>
  <c r="P201" i="2"/>
  <c r="P290" i="2" s="1"/>
  <c r="P304" i="2" s="1"/>
  <c r="P316" i="2" s="1"/>
  <c r="P317" i="2" s="1"/>
  <c r="V201" i="2"/>
  <c r="V290" i="2" s="1"/>
  <c r="V304" i="2" s="1"/>
  <c r="V316" i="2" s="1"/>
  <c r="O201" i="2"/>
  <c r="O290" i="2" s="1"/>
  <c r="O304" i="2" s="1"/>
  <c r="O316" i="2" s="1"/>
  <c r="R201" i="2"/>
  <c r="R290" i="2" s="1"/>
  <c r="R304" i="2" s="1"/>
  <c r="R316" i="2" s="1"/>
  <c r="K201" i="2"/>
  <c r="K290" i="2" s="1"/>
  <c r="K304" i="2" s="1"/>
  <c r="K316" i="2" s="1"/>
  <c r="S201" i="2"/>
  <c r="S290" i="2" s="1"/>
  <c r="S304" i="2" s="1"/>
  <c r="S316" i="2" s="1"/>
  <c r="G201" i="2"/>
  <c r="G290" i="2" s="1"/>
  <c r="G304" i="2" s="1"/>
  <c r="G316" i="2" s="1"/>
  <c r="N274" i="2"/>
  <c r="N280" i="2" s="1"/>
  <c r="N281" i="2" s="1"/>
  <c r="N294" i="2" s="1"/>
  <c r="N308" i="2" s="1"/>
  <c r="N312" i="2" s="1"/>
  <c r="V254" i="2"/>
  <c r="V260" i="2" s="1"/>
  <c r="V261" i="2" s="1"/>
  <c r="V293" i="2" s="1"/>
  <c r="V307" i="2" s="1"/>
  <c r="V313" i="2" s="1"/>
  <c r="C254" i="2"/>
  <c r="C260" i="2" s="1"/>
  <c r="C261" i="2" s="1"/>
  <c r="C293" i="2" s="1"/>
  <c r="C307" i="2" s="1"/>
  <c r="C313" i="2" s="1"/>
  <c r="R254" i="2"/>
  <c r="R260" i="2" s="1"/>
  <c r="R261" i="2" s="1"/>
  <c r="R293" i="2" s="1"/>
  <c r="R307" i="2" s="1"/>
  <c r="R313" i="2" s="1"/>
  <c r="X187" i="2"/>
  <c r="X188" i="2" s="1"/>
  <c r="X206" i="2" s="1"/>
  <c r="X207" i="2" s="1"/>
  <c r="X56" i="2" s="1"/>
  <c r="S254" i="2"/>
  <c r="S260" i="2" s="1"/>
  <c r="S261" i="2" s="1"/>
  <c r="S293" i="2" s="1"/>
  <c r="S307" i="2" s="1"/>
  <c r="S313" i="2" s="1"/>
  <c r="G254" i="2"/>
  <c r="G260" i="2" s="1"/>
  <c r="G261" i="2" s="1"/>
  <c r="G293" i="2" s="1"/>
  <c r="G307" i="2" s="1"/>
  <c r="G313" i="2" s="1"/>
  <c r="O274" i="2"/>
  <c r="O280" i="2" s="1"/>
  <c r="O281" i="2" s="1"/>
  <c r="O294" i="2" s="1"/>
  <c r="O308" i="2" s="1"/>
  <c r="O312" i="2" s="1"/>
  <c r="J187" i="2"/>
  <c r="J55" i="2" s="1"/>
  <c r="K254" i="2"/>
  <c r="K260" i="2" s="1"/>
  <c r="K261" i="2" s="1"/>
  <c r="K293" i="2" s="1"/>
  <c r="K307" i="2" s="1"/>
  <c r="K313" i="2" s="1"/>
  <c r="Q254" i="2"/>
  <c r="Q260" i="2" s="1"/>
  <c r="Q261" i="2" s="1"/>
  <c r="Q293" i="2" s="1"/>
  <c r="Q307" i="2" s="1"/>
  <c r="Q313" i="2" s="1"/>
  <c r="W254" i="2"/>
  <c r="W260" i="2" s="1"/>
  <c r="W261" i="2" s="1"/>
  <c r="W293" i="2" s="1"/>
  <c r="W307" i="2" s="1"/>
  <c r="W313" i="2" s="1"/>
  <c r="D254" i="2"/>
  <c r="D260" i="2" s="1"/>
  <c r="D261" i="2" s="1"/>
  <c r="D293" i="2" s="1"/>
  <c r="D307" i="2" s="1"/>
  <c r="D313" i="2" s="1"/>
  <c r="X315" i="2"/>
  <c r="X317" i="2" s="1"/>
  <c r="J315" i="2"/>
  <c r="J317" i="2" s="1"/>
  <c r="N316" i="2"/>
  <c r="D316" i="2"/>
  <c r="F317" i="2"/>
  <c r="E317" i="2"/>
  <c r="D188" i="2"/>
  <c r="D206" i="2" s="1"/>
  <c r="D55" i="2"/>
  <c r="E188" i="2"/>
  <c r="E206" i="2" s="1"/>
  <c r="E55" i="2"/>
  <c r="L188" i="2"/>
  <c r="L206" i="2" s="1"/>
  <c r="L55" i="2"/>
  <c r="T188" i="2"/>
  <c r="T206" i="2" s="1"/>
  <c r="T55" i="2"/>
  <c r="Q188" i="2"/>
  <c r="Q206" i="2" s="1"/>
  <c r="Q55" i="2"/>
  <c r="H188" i="2"/>
  <c r="H206" i="2" s="1"/>
  <c r="H55" i="2"/>
  <c r="G188" i="2"/>
  <c r="G206" i="2" s="1"/>
  <c r="G55" i="2"/>
  <c r="F55" i="2"/>
  <c r="F188" i="2"/>
  <c r="F206" i="2" s="1"/>
  <c r="K188" i="2"/>
  <c r="K206" i="2" s="1"/>
  <c r="K55" i="2"/>
  <c r="O188" i="2"/>
  <c r="O206" i="2" s="1"/>
  <c r="O55" i="2"/>
  <c r="R55" i="2"/>
  <c r="R188" i="2"/>
  <c r="R206" i="2" s="1"/>
  <c r="I188" i="2"/>
  <c r="I206" i="2" s="1"/>
  <c r="I55" i="2"/>
  <c r="M188" i="2"/>
  <c r="M206" i="2" s="1"/>
  <c r="M55" i="2"/>
  <c r="W55" i="2"/>
  <c r="W188" i="2"/>
  <c r="W206" i="2" s="1"/>
  <c r="U188" i="2"/>
  <c r="U206" i="2" s="1"/>
  <c r="U55" i="2"/>
  <c r="P188" i="2"/>
  <c r="P206" i="2" s="1"/>
  <c r="P55" i="2"/>
  <c r="N188" i="2"/>
  <c r="N206" i="2" s="1"/>
  <c r="N55" i="2"/>
  <c r="S188" i="2"/>
  <c r="S206" i="2" s="1"/>
  <c r="S55" i="2"/>
  <c r="V188" i="2"/>
  <c r="V206" i="2" s="1"/>
  <c r="V55" i="2"/>
  <c r="C188" i="2"/>
  <c r="C206" i="2" s="1"/>
  <c r="C207" i="2" s="1"/>
  <c r="C56" i="2" s="1"/>
  <c r="C55" i="2"/>
  <c r="W317" i="2" l="1"/>
  <c r="Q317" i="2"/>
  <c r="C317" i="2"/>
  <c r="K317" i="2"/>
  <c r="O317" i="2"/>
  <c r="R317" i="2"/>
  <c r="V317" i="2"/>
  <c r="G317" i="2"/>
  <c r="S317" i="2"/>
  <c r="X55" i="2"/>
  <c r="N317" i="2"/>
  <c r="J188" i="2"/>
  <c r="J206" i="2" s="1"/>
  <c r="J207" i="2" s="1"/>
  <c r="J56" i="2" s="1"/>
  <c r="D317" i="2"/>
  <c r="X208" i="2"/>
  <c r="X226" i="2" s="1"/>
  <c r="X227" i="2" s="1"/>
  <c r="X57" i="2" s="1"/>
  <c r="D207" i="2"/>
  <c r="D56" i="2" s="1"/>
  <c r="V207" i="2"/>
  <c r="V56" i="2" s="1"/>
  <c r="U207" i="2"/>
  <c r="U56" i="2" s="1"/>
  <c r="G207" i="2"/>
  <c r="G56" i="2" s="1"/>
  <c r="Q207" i="2"/>
  <c r="Q56" i="2" s="1"/>
  <c r="S207" i="2"/>
  <c r="S56" i="2" s="1"/>
  <c r="P207" i="2"/>
  <c r="P56" i="2" s="1"/>
  <c r="I207" i="2"/>
  <c r="I56" i="2" s="1"/>
  <c r="O207" i="2"/>
  <c r="O56" i="2" s="1"/>
  <c r="N207" i="2"/>
  <c r="N56" i="2" s="1"/>
  <c r="M207" i="2"/>
  <c r="M56" i="2" s="1"/>
  <c r="K207" i="2"/>
  <c r="K56" i="2" s="1"/>
  <c r="W207" i="2"/>
  <c r="W56" i="2" s="1"/>
  <c r="F207" i="2"/>
  <c r="F56" i="2" s="1"/>
  <c r="L207" i="2"/>
  <c r="L56" i="2" s="1"/>
  <c r="R207" i="2"/>
  <c r="R56" i="2" s="1"/>
  <c r="H207" i="2"/>
  <c r="H56" i="2" s="1"/>
  <c r="T207" i="2"/>
  <c r="T56" i="2" s="1"/>
  <c r="E207" i="2"/>
  <c r="E56" i="2" s="1"/>
  <c r="C208" i="2"/>
  <c r="C226" i="2" s="1"/>
  <c r="C227" i="2" s="1"/>
  <c r="C57" i="2" s="1"/>
  <c r="J208" i="2" l="1"/>
  <c r="J226" i="2" s="1"/>
  <c r="J227" i="2" s="1"/>
  <c r="J57" i="2" s="1"/>
  <c r="X228" i="2"/>
  <c r="X246" i="2" s="1"/>
  <c r="X247" i="2" s="1"/>
  <c r="X248" i="2" s="1"/>
  <c r="X266" i="2" s="1"/>
  <c r="X267" i="2" s="1"/>
  <c r="X59" i="2" s="1"/>
  <c r="K208" i="2"/>
  <c r="K226" i="2" s="1"/>
  <c r="R208" i="2"/>
  <c r="R226" i="2" s="1"/>
  <c r="R227" i="2" s="1"/>
  <c r="R57" i="2" s="1"/>
  <c r="I208" i="2"/>
  <c r="I226" i="2" s="1"/>
  <c r="I227" i="2" s="1"/>
  <c r="I57" i="2" s="1"/>
  <c r="T208" i="2"/>
  <c r="T226" i="2" s="1"/>
  <c r="T227" i="2" s="1"/>
  <c r="T57" i="2" s="1"/>
  <c r="N208" i="2"/>
  <c r="N226" i="2" s="1"/>
  <c r="N227" i="2" s="1"/>
  <c r="N57" i="2" s="1"/>
  <c r="V208" i="2"/>
  <c r="V226" i="2" s="1"/>
  <c r="G208" i="2"/>
  <c r="G226" i="2" s="1"/>
  <c r="G227" i="2" s="1"/>
  <c r="G57" i="2" s="1"/>
  <c r="F208" i="2"/>
  <c r="F226" i="2" s="1"/>
  <c r="F227" i="2" s="1"/>
  <c r="F57" i="2" s="1"/>
  <c r="S208" i="2"/>
  <c r="S226" i="2" s="1"/>
  <c r="S227" i="2" s="1"/>
  <c r="S57" i="2" s="1"/>
  <c r="E208" i="2"/>
  <c r="E226" i="2" s="1"/>
  <c r="E227" i="2" s="1"/>
  <c r="E57" i="2" s="1"/>
  <c r="H208" i="2"/>
  <c r="H226" i="2" s="1"/>
  <c r="H227" i="2" s="1"/>
  <c r="H57" i="2" s="1"/>
  <c r="L208" i="2"/>
  <c r="L226" i="2" s="1"/>
  <c r="W208" i="2"/>
  <c r="W226" i="2" s="1"/>
  <c r="M208" i="2"/>
  <c r="M226" i="2" s="1"/>
  <c r="M227" i="2" s="1"/>
  <c r="O208" i="2"/>
  <c r="O226" i="2" s="1"/>
  <c r="O227" i="2" s="1"/>
  <c r="O57" i="2" s="1"/>
  <c r="P208" i="2"/>
  <c r="P226" i="2" s="1"/>
  <c r="P227" i="2" s="1"/>
  <c r="P57" i="2" s="1"/>
  <c r="Q208" i="2"/>
  <c r="Q226" i="2" s="1"/>
  <c r="Q227" i="2" s="1"/>
  <c r="U208" i="2"/>
  <c r="U226" i="2" s="1"/>
  <c r="U227" i="2" s="1"/>
  <c r="D208" i="2"/>
  <c r="D226" i="2" s="1"/>
  <c r="L227" i="2"/>
  <c r="L57" i="2" s="1"/>
  <c r="K227" i="2"/>
  <c r="K57" i="2" s="1"/>
  <c r="V227" i="2"/>
  <c r="V57" i="2" s="1"/>
  <c r="C228" i="2"/>
  <c r="C246" i="2" s="1"/>
  <c r="C247" i="2" s="1"/>
  <c r="C58" i="2" s="1"/>
  <c r="J228" i="2" l="1"/>
  <c r="J246" i="2" s="1"/>
  <c r="J247" i="2" s="1"/>
  <c r="J58" i="2" s="1"/>
  <c r="X58" i="2"/>
  <c r="X61" i="2" s="1"/>
  <c r="X321" i="2" s="1"/>
  <c r="X323" i="2" s="1"/>
  <c r="X66" i="2" s="1"/>
  <c r="X27" i="2" s="1"/>
  <c r="X268" i="2"/>
  <c r="I228" i="2"/>
  <c r="I246" i="2" s="1"/>
  <c r="I247" i="2" s="1"/>
  <c r="I58" i="2" s="1"/>
  <c r="R228" i="2"/>
  <c r="R246" i="2" s="1"/>
  <c r="R247" i="2" s="1"/>
  <c r="R58" i="2" s="1"/>
  <c r="C248" i="2"/>
  <c r="C266" i="2" s="1"/>
  <c r="C267" i="2" s="1"/>
  <c r="C59" i="2" s="1"/>
  <c r="C61" i="2" s="1"/>
  <c r="K228" i="2"/>
  <c r="K246" i="2" s="1"/>
  <c r="K247" i="2" s="1"/>
  <c r="K58" i="2" s="1"/>
  <c r="O228" i="2"/>
  <c r="O246" i="2" s="1"/>
  <c r="O247" i="2" s="1"/>
  <c r="O58" i="2" s="1"/>
  <c r="V228" i="2"/>
  <c r="V246" i="2" s="1"/>
  <c r="V247" i="2" s="1"/>
  <c r="V58" i="2" s="1"/>
  <c r="U57" i="2"/>
  <c r="U228" i="2"/>
  <c r="U246" i="2" s="1"/>
  <c r="U247" i="2" s="1"/>
  <c r="U58" i="2" s="1"/>
  <c r="M57" i="2"/>
  <c r="M228" i="2"/>
  <c r="M246" i="2" s="1"/>
  <c r="M247" i="2" s="1"/>
  <c r="M58" i="2" s="1"/>
  <c r="G228" i="2"/>
  <c r="G246" i="2" s="1"/>
  <c r="G247" i="2" s="1"/>
  <c r="E228" i="2"/>
  <c r="E246" i="2" s="1"/>
  <c r="E247" i="2" s="1"/>
  <c r="E58" i="2" s="1"/>
  <c r="S228" i="2"/>
  <c r="S246" i="2" s="1"/>
  <c r="S247" i="2" s="1"/>
  <c r="S58" i="2" s="1"/>
  <c r="N228" i="2"/>
  <c r="N246" i="2" s="1"/>
  <c r="N247" i="2" s="1"/>
  <c r="F228" i="2"/>
  <c r="F246" i="2" s="1"/>
  <c r="F247" i="2" s="1"/>
  <c r="F58" i="2" s="1"/>
  <c r="T228" i="2"/>
  <c r="T246" i="2" s="1"/>
  <c r="T247" i="2" s="1"/>
  <c r="T58" i="2" s="1"/>
  <c r="L228" i="2"/>
  <c r="L246" i="2" s="1"/>
  <c r="L247" i="2" s="1"/>
  <c r="L58" i="2" s="1"/>
  <c r="Q57" i="2"/>
  <c r="Q228" i="2"/>
  <c r="Q246" i="2" s="1"/>
  <c r="Q247" i="2" s="1"/>
  <c r="Q58" i="2" s="1"/>
  <c r="P228" i="2"/>
  <c r="P246" i="2" s="1"/>
  <c r="P247" i="2" s="1"/>
  <c r="P58" i="2" s="1"/>
  <c r="D227" i="2"/>
  <c r="D57" i="2" s="1"/>
  <c r="W227" i="2"/>
  <c r="W57" i="2" s="1"/>
  <c r="H228" i="2"/>
  <c r="H246" i="2" s="1"/>
  <c r="H247" i="2" s="1"/>
  <c r="H58" i="2" s="1"/>
  <c r="X36" i="2" l="1"/>
  <c r="X44" i="2"/>
  <c r="Q35" i="1" s="1"/>
  <c r="X327" i="2"/>
  <c r="X62" i="2" s="1"/>
  <c r="X31" i="2" s="1"/>
  <c r="X324" i="2"/>
  <c r="X65" i="2" s="1"/>
  <c r="X28" i="2" s="1"/>
  <c r="X322" i="2"/>
  <c r="X67" i="2" s="1"/>
  <c r="X26" i="2" s="1"/>
  <c r="X326" i="2"/>
  <c r="X63" i="2" s="1"/>
  <c r="X30" i="2" s="1"/>
  <c r="X325" i="2"/>
  <c r="X64" i="2" s="1"/>
  <c r="X29" i="2" s="1"/>
  <c r="J248" i="2"/>
  <c r="J266" i="2" s="1"/>
  <c r="J267" i="2" s="1"/>
  <c r="J59" i="2" s="1"/>
  <c r="J61" i="2" s="1"/>
  <c r="J321" i="2" s="1"/>
  <c r="C268" i="2"/>
  <c r="V248" i="2"/>
  <c r="V266" i="2" s="1"/>
  <c r="V267" i="2" s="1"/>
  <c r="V59" i="2" s="1"/>
  <c r="V61" i="2" s="1"/>
  <c r="T248" i="2"/>
  <c r="T266" i="2" s="1"/>
  <c r="T267" i="2" s="1"/>
  <c r="T59" i="2" s="1"/>
  <c r="T61" i="2" s="1"/>
  <c r="T321" i="2" s="1"/>
  <c r="U248" i="2"/>
  <c r="U266" i="2" s="1"/>
  <c r="U267" i="2" s="1"/>
  <c r="U59" i="2" s="1"/>
  <c r="U61" i="2" s="1"/>
  <c r="U321" i="2" s="1"/>
  <c r="Q248" i="2"/>
  <c r="Q266" i="2" s="1"/>
  <c r="Q267" i="2" s="1"/>
  <c r="Q59" i="2" s="1"/>
  <c r="Q61" i="2" s="1"/>
  <c r="Q321" i="2" s="1"/>
  <c r="K248" i="2"/>
  <c r="K266" i="2" s="1"/>
  <c r="K267" i="2" s="1"/>
  <c r="K59" i="2" s="1"/>
  <c r="K61" i="2" s="1"/>
  <c r="O248" i="2"/>
  <c r="O266" i="2" s="1"/>
  <c r="O267" i="2" s="1"/>
  <c r="O59" i="2" s="1"/>
  <c r="O61" i="2" s="1"/>
  <c r="O321" i="2" s="1"/>
  <c r="G58" i="2"/>
  <c r="G248" i="2"/>
  <c r="G266" i="2" s="1"/>
  <c r="G267" i="2" s="1"/>
  <c r="G59" i="2" s="1"/>
  <c r="S248" i="2"/>
  <c r="S266" i="2" s="1"/>
  <c r="S267" i="2" s="1"/>
  <c r="S59" i="2" s="1"/>
  <c r="S61" i="2" s="1"/>
  <c r="S321" i="2" s="1"/>
  <c r="R248" i="2"/>
  <c r="R266" i="2" s="1"/>
  <c r="R267" i="2" s="1"/>
  <c r="R59" i="2" s="1"/>
  <c r="R61" i="2" s="1"/>
  <c r="N58" i="2"/>
  <c r="N248" i="2"/>
  <c r="N266" i="2" s="1"/>
  <c r="N267" i="2" s="1"/>
  <c r="N59" i="2" s="1"/>
  <c r="M248" i="2"/>
  <c r="M266" i="2" s="1"/>
  <c r="M267" i="2" s="1"/>
  <c r="M59" i="2" s="1"/>
  <c r="M61" i="2" s="1"/>
  <c r="M321" i="2" s="1"/>
  <c r="E248" i="2"/>
  <c r="E266" i="2" s="1"/>
  <c r="E267" i="2" s="1"/>
  <c r="E59" i="2" s="1"/>
  <c r="E61" i="2" s="1"/>
  <c r="E321" i="2" s="1"/>
  <c r="E327" i="2" s="1"/>
  <c r="E62" i="2" s="1"/>
  <c r="E31" i="2" s="1"/>
  <c r="W228" i="2"/>
  <c r="W246" i="2" s="1"/>
  <c r="W247" i="2" s="1"/>
  <c r="W58" i="2" s="1"/>
  <c r="F248" i="2"/>
  <c r="F266" i="2" s="1"/>
  <c r="F267" i="2" s="1"/>
  <c r="H248" i="2"/>
  <c r="H266" i="2" s="1"/>
  <c r="H267" i="2" s="1"/>
  <c r="H59" i="2" s="1"/>
  <c r="H61" i="2" s="1"/>
  <c r="H321" i="2" s="1"/>
  <c r="P248" i="2"/>
  <c r="P266" i="2" s="1"/>
  <c r="P267" i="2" s="1"/>
  <c r="I248" i="2"/>
  <c r="I266" i="2" s="1"/>
  <c r="I267" i="2" s="1"/>
  <c r="I59" i="2" s="1"/>
  <c r="I61" i="2" s="1"/>
  <c r="I321" i="2" s="1"/>
  <c r="L248" i="2"/>
  <c r="L266" i="2" s="1"/>
  <c r="D228" i="2"/>
  <c r="D246" i="2" s="1"/>
  <c r="C321" i="2"/>
  <c r="C323" i="2" s="1"/>
  <c r="C66" i="2" s="1"/>
  <c r="C27" i="2" s="1"/>
  <c r="E40" i="2" l="1"/>
  <c r="E48" i="2"/>
  <c r="X39" i="2"/>
  <c r="X47" i="2"/>
  <c r="Q38" i="1" s="1"/>
  <c r="C36" i="2"/>
  <c r="C44" i="2"/>
  <c r="X38" i="2"/>
  <c r="X46" i="2"/>
  <c r="Q37" i="1" s="1"/>
  <c r="X32" i="2"/>
  <c r="X43" i="2"/>
  <c r="Q34" i="1" s="1"/>
  <c r="X40" i="2"/>
  <c r="X48" i="2"/>
  <c r="Q39" i="1" s="1"/>
  <c r="X37" i="2"/>
  <c r="X45" i="2"/>
  <c r="Q36" i="1" s="1"/>
  <c r="R268" i="2"/>
  <c r="X68" i="2"/>
  <c r="X35" i="2"/>
  <c r="J323" i="2"/>
  <c r="J66" i="2" s="1"/>
  <c r="J27" i="2" s="1"/>
  <c r="J327" i="2"/>
  <c r="J62" i="2" s="1"/>
  <c r="J31" i="2" s="1"/>
  <c r="J324" i="2"/>
  <c r="J65" i="2" s="1"/>
  <c r="J28" i="2" s="1"/>
  <c r="J326" i="2"/>
  <c r="J63" i="2" s="1"/>
  <c r="J30" i="2" s="1"/>
  <c r="J325" i="2"/>
  <c r="J64" i="2" s="1"/>
  <c r="J29" i="2" s="1"/>
  <c r="J322" i="2"/>
  <c r="J67" i="2" s="1"/>
  <c r="J26" i="2" s="1"/>
  <c r="J268" i="2"/>
  <c r="N61" i="2"/>
  <c r="N321" i="2" s="1"/>
  <c r="G61" i="2"/>
  <c r="G321" i="2" s="1"/>
  <c r="N268" i="2"/>
  <c r="W248" i="2"/>
  <c r="W266" i="2" s="1"/>
  <c r="K268" i="2"/>
  <c r="G268" i="2"/>
  <c r="S268" i="2"/>
  <c r="L267" i="2"/>
  <c r="L59" i="2" s="1"/>
  <c r="L61" i="2" s="1"/>
  <c r="L321" i="2" s="1"/>
  <c r="L323" i="2" s="1"/>
  <c r="L66" i="2" s="1"/>
  <c r="L27" i="2" s="1"/>
  <c r="F59" i="2"/>
  <c r="F61" i="2" s="1"/>
  <c r="F321" i="2" s="1"/>
  <c r="F323" i="2" s="1"/>
  <c r="F66" i="2" s="1"/>
  <c r="F27" i="2" s="1"/>
  <c r="F268" i="2"/>
  <c r="P59" i="2"/>
  <c r="P61" i="2" s="1"/>
  <c r="P321" i="2" s="1"/>
  <c r="P326" i="2" s="1"/>
  <c r="P63" i="2" s="1"/>
  <c r="P30" i="2" s="1"/>
  <c r="P268" i="2"/>
  <c r="O268" i="2"/>
  <c r="D247" i="2"/>
  <c r="D58" i="2" s="1"/>
  <c r="U268" i="2"/>
  <c r="Q268" i="2"/>
  <c r="I268" i="2"/>
  <c r="H268" i="2"/>
  <c r="V268" i="2"/>
  <c r="W267" i="2"/>
  <c r="W59" i="2" s="1"/>
  <c r="W61" i="2" s="1"/>
  <c r="W321" i="2" s="1"/>
  <c r="V321" i="2"/>
  <c r="T323" i="2"/>
  <c r="T66" i="2" s="1"/>
  <c r="T27" i="2" s="1"/>
  <c r="T326" i="2"/>
  <c r="T63" i="2" s="1"/>
  <c r="T30" i="2" s="1"/>
  <c r="T324" i="2"/>
  <c r="T65" i="2" s="1"/>
  <c r="T28" i="2" s="1"/>
  <c r="T325" i="2"/>
  <c r="T64" i="2" s="1"/>
  <c r="T29" i="2" s="1"/>
  <c r="T327" i="2"/>
  <c r="T62" i="2" s="1"/>
  <c r="T31" i="2" s="1"/>
  <c r="T322" i="2"/>
  <c r="T67" i="2" s="1"/>
  <c r="T26" i="2" s="1"/>
  <c r="M324" i="2"/>
  <c r="M65" i="2" s="1"/>
  <c r="M28" i="2" s="1"/>
  <c r="M322" i="2"/>
  <c r="M67" i="2" s="1"/>
  <c r="M26" i="2" s="1"/>
  <c r="M323" i="2"/>
  <c r="M66" i="2" s="1"/>
  <c r="M27" i="2" s="1"/>
  <c r="M326" i="2"/>
  <c r="M63" i="2" s="1"/>
  <c r="M30" i="2" s="1"/>
  <c r="M327" i="2"/>
  <c r="M62" i="2" s="1"/>
  <c r="M31" i="2" s="1"/>
  <c r="M325" i="2"/>
  <c r="M64" i="2" s="1"/>
  <c r="M29" i="2" s="1"/>
  <c r="E322" i="2"/>
  <c r="E67" i="2" s="1"/>
  <c r="E26" i="2" s="1"/>
  <c r="R321" i="2"/>
  <c r="E326" i="2"/>
  <c r="E63" i="2" s="1"/>
  <c r="E30" i="2" s="1"/>
  <c r="E324" i="2"/>
  <c r="E65" i="2" s="1"/>
  <c r="E28" i="2" s="1"/>
  <c r="K321" i="2"/>
  <c r="O322" i="2"/>
  <c r="O67" i="2" s="1"/>
  <c r="O26" i="2" s="1"/>
  <c r="O327" i="2"/>
  <c r="O62" i="2" s="1"/>
  <c r="O324" i="2"/>
  <c r="O65" i="2" s="1"/>
  <c r="O28" i="2" s="1"/>
  <c r="O323" i="2"/>
  <c r="O66" i="2" s="1"/>
  <c r="O27" i="2" s="1"/>
  <c r="O325" i="2"/>
  <c r="O64" i="2" s="1"/>
  <c r="O29" i="2" s="1"/>
  <c r="O326" i="2"/>
  <c r="O63" i="2" s="1"/>
  <c r="O30" i="2" s="1"/>
  <c r="S326" i="2"/>
  <c r="S63" i="2" s="1"/>
  <c r="S30" i="2" s="1"/>
  <c r="S322" i="2"/>
  <c r="S67" i="2" s="1"/>
  <c r="S26" i="2" s="1"/>
  <c r="S325" i="2"/>
  <c r="S64" i="2" s="1"/>
  <c r="S29" i="2" s="1"/>
  <c r="S324" i="2"/>
  <c r="S65" i="2" s="1"/>
  <c r="S28" i="2" s="1"/>
  <c r="S323" i="2"/>
  <c r="S66" i="2" s="1"/>
  <c r="S27" i="2" s="1"/>
  <c r="S327" i="2"/>
  <c r="S62" i="2" s="1"/>
  <c r="E323" i="2"/>
  <c r="E66" i="2" s="1"/>
  <c r="E27" i="2" s="1"/>
  <c r="E325" i="2"/>
  <c r="E64" i="2" s="1"/>
  <c r="E29" i="2" s="1"/>
  <c r="U327" i="2"/>
  <c r="U62" i="2" s="1"/>
  <c r="U325" i="2"/>
  <c r="U64" i="2" s="1"/>
  <c r="U29" i="2" s="1"/>
  <c r="U324" i="2"/>
  <c r="U65" i="2" s="1"/>
  <c r="U28" i="2" s="1"/>
  <c r="U322" i="2"/>
  <c r="U67" i="2" s="1"/>
  <c r="U26" i="2" s="1"/>
  <c r="U326" i="2"/>
  <c r="U63" i="2" s="1"/>
  <c r="U30" i="2" s="1"/>
  <c r="U323" i="2"/>
  <c r="U66" i="2" s="1"/>
  <c r="U27" i="2" s="1"/>
  <c r="Q326" i="2"/>
  <c r="Q63" i="2" s="1"/>
  <c r="Q30" i="2" s="1"/>
  <c r="Q323" i="2"/>
  <c r="Q66" i="2" s="1"/>
  <c r="Q27" i="2" s="1"/>
  <c r="Q322" i="2"/>
  <c r="Q67" i="2" s="1"/>
  <c r="Q26" i="2" s="1"/>
  <c r="Q325" i="2"/>
  <c r="Q64" i="2" s="1"/>
  <c r="Q29" i="2" s="1"/>
  <c r="Q327" i="2"/>
  <c r="Q62" i="2" s="1"/>
  <c r="Q324" i="2"/>
  <c r="Q65" i="2" s="1"/>
  <c r="Q28" i="2" s="1"/>
  <c r="I323" i="2"/>
  <c r="I66" i="2" s="1"/>
  <c r="I27" i="2" s="1"/>
  <c r="I326" i="2"/>
  <c r="I63" i="2" s="1"/>
  <c r="I30" i="2" s="1"/>
  <c r="I327" i="2"/>
  <c r="I62" i="2" s="1"/>
  <c r="I325" i="2"/>
  <c r="I64" i="2" s="1"/>
  <c r="I29" i="2" s="1"/>
  <c r="I324" i="2"/>
  <c r="I65" i="2" s="1"/>
  <c r="I28" i="2" s="1"/>
  <c r="I322" i="2"/>
  <c r="I67" i="2" s="1"/>
  <c r="I26" i="2" s="1"/>
  <c r="H326" i="2"/>
  <c r="H63" i="2" s="1"/>
  <c r="H30" i="2" s="1"/>
  <c r="H322" i="2"/>
  <c r="H67" i="2" s="1"/>
  <c r="H26" i="2" s="1"/>
  <c r="H325" i="2"/>
  <c r="H64" i="2" s="1"/>
  <c r="H29" i="2" s="1"/>
  <c r="H327" i="2"/>
  <c r="H62" i="2" s="1"/>
  <c r="H324" i="2"/>
  <c r="H65" i="2" s="1"/>
  <c r="H28" i="2" s="1"/>
  <c r="H323" i="2"/>
  <c r="H66" i="2" s="1"/>
  <c r="H27" i="2" s="1"/>
  <c r="T268" i="2"/>
  <c r="E268" i="2"/>
  <c r="M268" i="2"/>
  <c r="C326" i="2"/>
  <c r="C63" i="2" s="1"/>
  <c r="C30" i="2" s="1"/>
  <c r="C325" i="2"/>
  <c r="C64" i="2" s="1"/>
  <c r="C29" i="2" s="1"/>
  <c r="C327" i="2"/>
  <c r="C62" i="2" s="1"/>
  <c r="C31" i="2" s="1"/>
  <c r="C322" i="2"/>
  <c r="C67" i="2" s="1"/>
  <c r="C26" i="2" s="1"/>
  <c r="C324" i="2"/>
  <c r="C65" i="2" s="1"/>
  <c r="C28" i="2" s="1"/>
  <c r="H37" i="2" l="1"/>
  <c r="H45" i="2"/>
  <c r="U37" i="2"/>
  <c r="U45" i="2"/>
  <c r="S38" i="2"/>
  <c r="S46" i="2"/>
  <c r="O43" i="2"/>
  <c r="T32" i="2"/>
  <c r="T43" i="2"/>
  <c r="P39" i="2"/>
  <c r="P47" i="2"/>
  <c r="J43" i="2"/>
  <c r="J32" i="2"/>
  <c r="J40" i="2"/>
  <c r="J48" i="2"/>
  <c r="C40" i="2"/>
  <c r="C48" i="2"/>
  <c r="I43" i="2"/>
  <c r="I39" i="2"/>
  <c r="I47" i="2"/>
  <c r="Q38" i="2"/>
  <c r="Q46" i="2"/>
  <c r="U36" i="2"/>
  <c r="U44" i="2"/>
  <c r="U38" i="2"/>
  <c r="U46" i="2"/>
  <c r="S43" i="2"/>
  <c r="O36" i="2"/>
  <c r="O44" i="2"/>
  <c r="E35" i="2"/>
  <c r="E32" i="2"/>
  <c r="E43" i="2"/>
  <c r="M36" i="2"/>
  <c r="M44" i="2"/>
  <c r="T40" i="2"/>
  <c r="T48" i="2"/>
  <c r="T36" i="2"/>
  <c r="T44" i="2"/>
  <c r="J38" i="2"/>
  <c r="J46" i="2"/>
  <c r="J36" i="2"/>
  <c r="J44" i="2"/>
  <c r="C32" i="2"/>
  <c r="C43" i="2"/>
  <c r="H39" i="2"/>
  <c r="H47" i="2"/>
  <c r="Q39" i="2"/>
  <c r="Q47" i="2"/>
  <c r="E36" i="2"/>
  <c r="E44" i="2"/>
  <c r="O38" i="2"/>
  <c r="O46" i="2"/>
  <c r="M39" i="2"/>
  <c r="M47" i="2"/>
  <c r="T39" i="2"/>
  <c r="T47" i="2"/>
  <c r="C38" i="2"/>
  <c r="C46" i="2"/>
  <c r="H38" i="2"/>
  <c r="H46" i="2"/>
  <c r="I37" i="2"/>
  <c r="I45" i="2"/>
  <c r="I36" i="2"/>
  <c r="I44" i="2"/>
  <c r="Q43" i="2"/>
  <c r="U39" i="2"/>
  <c r="U47" i="2"/>
  <c r="S36" i="2"/>
  <c r="S44" i="2"/>
  <c r="S39" i="2"/>
  <c r="S47" i="2"/>
  <c r="O37" i="2"/>
  <c r="O45" i="2"/>
  <c r="E37" i="2"/>
  <c r="E45" i="2"/>
  <c r="M38" i="2"/>
  <c r="M46" i="2"/>
  <c r="M35" i="2"/>
  <c r="M32" i="2"/>
  <c r="M43" i="2"/>
  <c r="T38" i="2"/>
  <c r="T46" i="2"/>
  <c r="F36" i="2"/>
  <c r="F44" i="2"/>
  <c r="J39" i="2"/>
  <c r="J47" i="2"/>
  <c r="C37" i="2"/>
  <c r="C45" i="2"/>
  <c r="C39" i="2"/>
  <c r="C47" i="2"/>
  <c r="H36" i="2"/>
  <c r="H44" i="2"/>
  <c r="H43" i="2"/>
  <c r="I38" i="2"/>
  <c r="I46" i="2"/>
  <c r="Q37" i="2"/>
  <c r="Q45" i="2"/>
  <c r="Q36" i="2"/>
  <c r="Q44" i="2"/>
  <c r="U43" i="2"/>
  <c r="E38" i="2"/>
  <c r="E46" i="2"/>
  <c r="S37" i="2"/>
  <c r="S45" i="2"/>
  <c r="O39" i="2"/>
  <c r="O47" i="2"/>
  <c r="E39" i="2"/>
  <c r="E47" i="2"/>
  <c r="M40" i="2"/>
  <c r="M48" i="2"/>
  <c r="M37" i="2"/>
  <c r="M45" i="2"/>
  <c r="T37" i="2"/>
  <c r="T45" i="2"/>
  <c r="L36" i="2"/>
  <c r="L44" i="2"/>
  <c r="J37" i="2"/>
  <c r="J45" i="2"/>
  <c r="J35" i="2"/>
  <c r="J68" i="2"/>
  <c r="F326" i="2"/>
  <c r="F63" i="2" s="1"/>
  <c r="F30" i="2" s="1"/>
  <c r="F322" i="2"/>
  <c r="F67" i="2" s="1"/>
  <c r="F26" i="2" s="1"/>
  <c r="L325" i="2"/>
  <c r="L64" i="2" s="1"/>
  <c r="L29" i="2" s="1"/>
  <c r="L327" i="2"/>
  <c r="L62" i="2" s="1"/>
  <c r="L31" i="2" s="1"/>
  <c r="L324" i="2"/>
  <c r="L65" i="2" s="1"/>
  <c r="L28" i="2" s="1"/>
  <c r="F327" i="2"/>
  <c r="F62" i="2" s="1"/>
  <c r="F31" i="2" s="1"/>
  <c r="F324" i="2"/>
  <c r="F65" i="2" s="1"/>
  <c r="F28" i="2" s="1"/>
  <c r="F325" i="2"/>
  <c r="F64" i="2" s="1"/>
  <c r="F29" i="2" s="1"/>
  <c r="L326" i="2"/>
  <c r="L63" i="2" s="1"/>
  <c r="L30" i="2" s="1"/>
  <c r="L322" i="2"/>
  <c r="L67" i="2" s="1"/>
  <c r="L26" i="2" s="1"/>
  <c r="L268" i="2"/>
  <c r="D248" i="2"/>
  <c r="D266" i="2" s="1"/>
  <c r="D267" i="2" s="1"/>
  <c r="D59" i="2" s="1"/>
  <c r="D61" i="2" s="1"/>
  <c r="P322" i="2"/>
  <c r="P67" i="2" s="1"/>
  <c r="P26" i="2" s="1"/>
  <c r="P325" i="2"/>
  <c r="P64" i="2" s="1"/>
  <c r="P29" i="2" s="1"/>
  <c r="P327" i="2"/>
  <c r="P62" i="2" s="1"/>
  <c r="P323" i="2"/>
  <c r="P66" i="2" s="1"/>
  <c r="P27" i="2" s="1"/>
  <c r="P324" i="2"/>
  <c r="P65" i="2" s="1"/>
  <c r="P28" i="2" s="1"/>
  <c r="W324" i="2"/>
  <c r="W65" i="2" s="1"/>
  <c r="W28" i="2" s="1"/>
  <c r="W325" i="2"/>
  <c r="W64" i="2" s="1"/>
  <c r="W29" i="2" s="1"/>
  <c r="W326" i="2"/>
  <c r="W63" i="2" s="1"/>
  <c r="W30" i="2" s="1"/>
  <c r="W323" i="2"/>
  <c r="W66" i="2" s="1"/>
  <c r="W27" i="2" s="1"/>
  <c r="W327" i="2"/>
  <c r="W62" i="2" s="1"/>
  <c r="W31" i="2" s="1"/>
  <c r="W322" i="2"/>
  <c r="W67" i="2" s="1"/>
  <c r="W26" i="2" s="1"/>
  <c r="T68" i="2"/>
  <c r="W268" i="2"/>
  <c r="Q35" i="2"/>
  <c r="U31" i="2"/>
  <c r="U68" i="2"/>
  <c r="O35" i="2"/>
  <c r="S31" i="2"/>
  <c r="S68" i="2"/>
  <c r="I31" i="2"/>
  <c r="I32" i="2" s="1"/>
  <c r="I68" i="2"/>
  <c r="T35" i="2"/>
  <c r="H35" i="2"/>
  <c r="U35" i="2"/>
  <c r="M68" i="2"/>
  <c r="S35" i="2"/>
  <c r="N327" i="2"/>
  <c r="N62" i="2" s="1"/>
  <c r="N323" i="2"/>
  <c r="N66" i="2" s="1"/>
  <c r="N27" i="2" s="1"/>
  <c r="N322" i="2"/>
  <c r="N67" i="2" s="1"/>
  <c r="N26" i="2" s="1"/>
  <c r="N326" i="2"/>
  <c r="N63" i="2" s="1"/>
  <c r="N30" i="2" s="1"/>
  <c r="N324" i="2"/>
  <c r="N65" i="2" s="1"/>
  <c r="N28" i="2" s="1"/>
  <c r="N325" i="2"/>
  <c r="N64" i="2" s="1"/>
  <c r="N29" i="2" s="1"/>
  <c r="E68" i="2"/>
  <c r="Q31" i="2"/>
  <c r="Q68" i="2"/>
  <c r="K327" i="2"/>
  <c r="K62" i="2" s="1"/>
  <c r="K324" i="2"/>
  <c r="K65" i="2" s="1"/>
  <c r="K28" i="2" s="1"/>
  <c r="K322" i="2"/>
  <c r="K67" i="2" s="1"/>
  <c r="K26" i="2" s="1"/>
  <c r="K325" i="2"/>
  <c r="K64" i="2" s="1"/>
  <c r="K29" i="2" s="1"/>
  <c r="K326" i="2"/>
  <c r="K63" i="2" s="1"/>
  <c r="K30" i="2" s="1"/>
  <c r="K323" i="2"/>
  <c r="K66" i="2" s="1"/>
  <c r="K27" i="2" s="1"/>
  <c r="H31" i="2"/>
  <c r="H68" i="2"/>
  <c r="I35" i="2"/>
  <c r="O31" i="2"/>
  <c r="O32" i="2" s="1"/>
  <c r="O68" i="2"/>
  <c r="R325" i="2"/>
  <c r="R64" i="2" s="1"/>
  <c r="R29" i="2" s="1"/>
  <c r="R326" i="2"/>
  <c r="R63" i="2" s="1"/>
  <c r="R30" i="2" s="1"/>
  <c r="R323" i="2"/>
  <c r="R66" i="2" s="1"/>
  <c r="R27" i="2" s="1"/>
  <c r="R322" i="2"/>
  <c r="R67" i="2" s="1"/>
  <c r="R26" i="2" s="1"/>
  <c r="R327" i="2"/>
  <c r="R62" i="2" s="1"/>
  <c r="R324" i="2"/>
  <c r="R65" i="2" s="1"/>
  <c r="R28" i="2" s="1"/>
  <c r="G324" i="2"/>
  <c r="G65" i="2" s="1"/>
  <c r="G28" i="2" s="1"/>
  <c r="G326" i="2"/>
  <c r="G63" i="2" s="1"/>
  <c r="G30" i="2" s="1"/>
  <c r="G325" i="2"/>
  <c r="G64" i="2" s="1"/>
  <c r="G29" i="2" s="1"/>
  <c r="G322" i="2"/>
  <c r="G67" i="2" s="1"/>
  <c r="G26" i="2" s="1"/>
  <c r="G327" i="2"/>
  <c r="G62" i="2" s="1"/>
  <c r="G323" i="2"/>
  <c r="G66" i="2" s="1"/>
  <c r="G27" i="2" s="1"/>
  <c r="V325" i="2"/>
  <c r="V64" i="2" s="1"/>
  <c r="V29" i="2" s="1"/>
  <c r="V323" i="2"/>
  <c r="V66" i="2" s="1"/>
  <c r="V27" i="2" s="1"/>
  <c r="V322" i="2"/>
  <c r="V67" i="2" s="1"/>
  <c r="V26" i="2" s="1"/>
  <c r="V324" i="2"/>
  <c r="V65" i="2" s="1"/>
  <c r="V28" i="2" s="1"/>
  <c r="V326" i="2"/>
  <c r="V63" i="2" s="1"/>
  <c r="V30" i="2" s="1"/>
  <c r="V327" i="2"/>
  <c r="V62" i="2" s="1"/>
  <c r="C35" i="2"/>
  <c r="C68" i="2"/>
  <c r="G43" i="2" l="1"/>
  <c r="K39" i="2"/>
  <c r="K47" i="2"/>
  <c r="V38" i="2"/>
  <c r="V46" i="2"/>
  <c r="R38" i="2"/>
  <c r="R46" i="2"/>
  <c r="K38" i="2"/>
  <c r="K46" i="2"/>
  <c r="N37" i="2"/>
  <c r="N45" i="2"/>
  <c r="V37" i="2"/>
  <c r="V45" i="2"/>
  <c r="G36" i="2"/>
  <c r="G44" i="2"/>
  <c r="G39" i="2"/>
  <c r="G47" i="2"/>
  <c r="R43" i="2"/>
  <c r="H40" i="2"/>
  <c r="H48" i="2"/>
  <c r="K43" i="2"/>
  <c r="Q40" i="2"/>
  <c r="Q48" i="2"/>
  <c r="N39" i="2"/>
  <c r="N47" i="2"/>
  <c r="S40" i="2"/>
  <c r="S48" i="2"/>
  <c r="W40" i="2"/>
  <c r="W48" i="2"/>
  <c r="W37" i="2"/>
  <c r="W45" i="2"/>
  <c r="P38" i="2"/>
  <c r="P46" i="2"/>
  <c r="L32" i="2"/>
  <c r="L43" i="2"/>
  <c r="F40" i="2"/>
  <c r="F48" i="2"/>
  <c r="F35" i="2"/>
  <c r="F43" i="2"/>
  <c r="F32" i="2"/>
  <c r="V43" i="2"/>
  <c r="G37" i="2"/>
  <c r="G45" i="2"/>
  <c r="R36" i="2"/>
  <c r="R44" i="2"/>
  <c r="O40" i="2"/>
  <c r="O48" i="2"/>
  <c r="K36" i="2"/>
  <c r="K44" i="2"/>
  <c r="K37" i="2"/>
  <c r="K45" i="2"/>
  <c r="N43" i="2"/>
  <c r="W36" i="2"/>
  <c r="W44" i="2"/>
  <c r="P37" i="2"/>
  <c r="P45" i="2"/>
  <c r="P43" i="2"/>
  <c r="L39" i="2"/>
  <c r="L47" i="2"/>
  <c r="L37" i="2"/>
  <c r="L45" i="2"/>
  <c r="F39" i="2"/>
  <c r="F47" i="2"/>
  <c r="R37" i="2"/>
  <c r="R45" i="2"/>
  <c r="N38" i="2"/>
  <c r="N46" i="2"/>
  <c r="N36" i="2"/>
  <c r="N44" i="2"/>
  <c r="I40" i="2"/>
  <c r="I48" i="2"/>
  <c r="W39" i="2"/>
  <c r="W47" i="2"/>
  <c r="P36" i="2"/>
  <c r="P44" i="2"/>
  <c r="F38" i="2"/>
  <c r="F46" i="2"/>
  <c r="L40" i="2"/>
  <c r="L48" i="2"/>
  <c r="S32" i="2"/>
  <c r="V36" i="2"/>
  <c r="V44" i="2"/>
  <c r="R39" i="2"/>
  <c r="R47" i="2"/>
  <c r="V39" i="2"/>
  <c r="V47" i="2"/>
  <c r="G38" i="2"/>
  <c r="G46" i="2"/>
  <c r="U40" i="2"/>
  <c r="U48" i="2"/>
  <c r="W43" i="2"/>
  <c r="W32" i="2"/>
  <c r="W38" i="2"/>
  <c r="W46" i="2"/>
  <c r="F37" i="2"/>
  <c r="F45" i="2"/>
  <c r="L38" i="2"/>
  <c r="L46" i="2"/>
  <c r="U32" i="2"/>
  <c r="H32" i="2"/>
  <c r="Q32" i="2"/>
  <c r="L35" i="2"/>
  <c r="F68" i="2"/>
  <c r="L68" i="2"/>
  <c r="P31" i="2"/>
  <c r="P68" i="2"/>
  <c r="P35" i="2"/>
  <c r="W68" i="2"/>
  <c r="W35" i="2"/>
  <c r="D321" i="2"/>
  <c r="D268" i="2"/>
  <c r="V31" i="2"/>
  <c r="V68" i="2"/>
  <c r="G31" i="2"/>
  <c r="G32" i="2" s="1"/>
  <c r="G68" i="2"/>
  <c r="R31" i="2"/>
  <c r="R32" i="2" s="1"/>
  <c r="R68" i="2"/>
  <c r="N35" i="2"/>
  <c r="K35" i="2"/>
  <c r="G35" i="2"/>
  <c r="R35" i="2"/>
  <c r="N31" i="2"/>
  <c r="N68" i="2"/>
  <c r="V35" i="2"/>
  <c r="K31" i="2"/>
  <c r="K32" i="2" s="1"/>
  <c r="K68" i="2"/>
  <c r="N40" i="2" l="1"/>
  <c r="N48" i="2"/>
  <c r="P40" i="2"/>
  <c r="P48" i="2"/>
  <c r="K40" i="2"/>
  <c r="K48" i="2"/>
  <c r="R40" i="2"/>
  <c r="R48" i="2"/>
  <c r="V40" i="2"/>
  <c r="V48" i="2"/>
  <c r="P32" i="2"/>
  <c r="G40" i="2"/>
  <c r="G48" i="2"/>
  <c r="N32" i="2"/>
  <c r="V32" i="2"/>
  <c r="D325" i="2"/>
  <c r="D64" i="2" s="1"/>
  <c r="D29" i="2" s="1"/>
  <c r="D322" i="2"/>
  <c r="D67" i="2" s="1"/>
  <c r="D26" i="2" s="1"/>
  <c r="D327" i="2"/>
  <c r="D62" i="2" s="1"/>
  <c r="D326" i="2"/>
  <c r="D63" i="2" s="1"/>
  <c r="D30" i="2" s="1"/>
  <c r="D324" i="2"/>
  <c r="D65" i="2" s="1"/>
  <c r="D28" i="2" s="1"/>
  <c r="D323" i="2"/>
  <c r="D66" i="2" s="1"/>
  <c r="D27" i="2" s="1"/>
  <c r="D36" i="2" l="1"/>
  <c r="D44" i="2"/>
  <c r="D37" i="2"/>
  <c r="D45" i="2"/>
  <c r="D38" i="2"/>
  <c r="D46" i="2"/>
  <c r="D39" i="2"/>
  <c r="D47" i="2"/>
  <c r="D43" i="2"/>
  <c r="D31" i="2"/>
  <c r="D32" i="2" s="1"/>
  <c r="D68" i="2"/>
  <c r="D35" i="2"/>
  <c r="D40" i="2" l="1"/>
  <c r="D4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<sst xmlns="http://schemas.openxmlformats.org/spreadsheetml/2006/main" count="498" uniqueCount="175">
  <si>
    <t>Base Case</t>
  </si>
  <si>
    <t>Q1</t>
  </si>
  <si>
    <t>Q2</t>
  </si>
  <si>
    <t>Q3</t>
  </si>
  <si>
    <t>Q4</t>
  </si>
  <si>
    <t>Seed</t>
  </si>
  <si>
    <t>Series A</t>
  </si>
  <si>
    <t>Series B</t>
  </si>
  <si>
    <t>Series C</t>
  </si>
  <si>
    <t>Series D</t>
  </si>
  <si>
    <t>Raised</t>
  </si>
  <si>
    <t>%-Age</t>
  </si>
  <si>
    <t>Pre-Money</t>
  </si>
  <si>
    <t>Post-Money</t>
  </si>
  <si>
    <t>Round by Round Multiple</t>
  </si>
  <si>
    <t>Quarters between financing</t>
  </si>
  <si>
    <t>Revenue</t>
  </si>
  <si>
    <t>Pre-Money Multiple</t>
  </si>
  <si>
    <t>Between Rounds CAGR</t>
  </si>
  <si>
    <t>Inter Round Burn</t>
  </si>
  <si>
    <t>Inter Round Opex</t>
  </si>
  <si>
    <t>Quarterly Opex</t>
  </si>
  <si>
    <t>Annualized Opex</t>
  </si>
  <si>
    <t>% FTE</t>
  </si>
  <si>
    <t>Cost per FTE (in m)</t>
  </si>
  <si>
    <t>FTE</t>
  </si>
  <si>
    <t xml:space="preserve"> </t>
  </si>
  <si>
    <t>Bull Case</t>
  </si>
  <si>
    <t>Bear Case</t>
  </si>
  <si>
    <t>Class Liquidation Preference</t>
  </si>
  <si>
    <t>Participating Preferred?</t>
  </si>
  <si>
    <t>Quarterly Burn</t>
  </si>
  <si>
    <t>Common</t>
  </si>
  <si>
    <t>Seed Transaction Date</t>
  </si>
  <si>
    <t>FDS</t>
  </si>
  <si>
    <t>Case Switch</t>
  </si>
  <si>
    <t>Trans. DT</t>
  </si>
  <si>
    <t>Company Name</t>
  </si>
  <si>
    <t>Year Founded</t>
  </si>
  <si>
    <t>Sugarfree Ventures</t>
  </si>
  <si>
    <t>Current Valuation Assumptions</t>
  </si>
  <si>
    <t>Sh.Pr.</t>
  </si>
  <si>
    <t>Total</t>
  </si>
  <si>
    <t>Val. (m)</t>
  </si>
  <si>
    <t>Basic Company Information</t>
  </si>
  <si>
    <t>Assumptions</t>
  </si>
  <si>
    <t>Liq Pref</t>
  </si>
  <si>
    <t>Total Proceeds</t>
  </si>
  <si>
    <t>Sh. Price</t>
  </si>
  <si>
    <t>Liq. Pref</t>
  </si>
  <si>
    <t>Proceeds Available</t>
  </si>
  <si>
    <t>Purch. Pr. / Sh.</t>
  </si>
  <si>
    <t>Liq. P. Value</t>
  </si>
  <si>
    <t>Liq. Preference</t>
  </si>
  <si>
    <t>Pro Rata</t>
  </si>
  <si>
    <t>Value</t>
  </si>
  <si>
    <t>Liq. Pref Drawn</t>
  </si>
  <si>
    <t>Proceeds Remaining</t>
  </si>
  <si>
    <t>LP to Series D</t>
  </si>
  <si>
    <t>LP to Series C</t>
  </si>
  <si>
    <t>LP to Series B</t>
  </si>
  <si>
    <t>LP to Series A</t>
  </si>
  <si>
    <t>LP to Series Seed</t>
  </si>
  <si>
    <t>Post LP Proceeds</t>
  </si>
  <si>
    <t>Left</t>
  </si>
  <si>
    <t>LP to Common</t>
  </si>
  <si>
    <t>Detail Calculation - Liquidation Waterfall</t>
  </si>
  <si>
    <t>Investors who drew Liquidation Preference</t>
  </si>
  <si>
    <t>Investors with Participating Preferred Structure</t>
  </si>
  <si>
    <t>Investor Shares Cancelled (0 = Cancel , 1 = Pro Rata Participation)</t>
  </si>
  <si>
    <t>Resulting Proceeds from Pro Rata</t>
  </si>
  <si>
    <t>Detail Calculation - Cancellation of Shares and Pro Rata Calculation</t>
  </si>
  <si>
    <t>Cap Table Summary</t>
  </si>
  <si>
    <t>Capitalization</t>
  </si>
  <si>
    <t>Distributions</t>
  </si>
  <si>
    <t>Core Assumptions</t>
  </si>
  <si>
    <t>Waterfall Summary</t>
  </si>
  <si>
    <t>Min Exit EV</t>
  </si>
  <si>
    <t>Increment</t>
  </si>
  <si>
    <t>Dashboard</t>
  </si>
  <si>
    <t>Timeline of Fundraising</t>
  </si>
  <si>
    <t>% Ownership Taken</t>
  </si>
  <si>
    <t>Liquidation Preference</t>
  </si>
  <si>
    <t>UniKorn, Inc.</t>
  </si>
  <si>
    <t>Waterfall Calculations</t>
  </si>
  <si>
    <t>Post Cancellation Cap Table</t>
  </si>
  <si>
    <t>Max. 
Proceeds</t>
  </si>
  <si>
    <t>Ser. A</t>
  </si>
  <si>
    <t>Ser. B</t>
  </si>
  <si>
    <t>Ser. C</t>
  </si>
  <si>
    <t>Ser. D</t>
  </si>
  <si>
    <t>Sh. Held</t>
  </si>
  <si>
    <t>Share Price</t>
  </si>
  <si>
    <t>Pre-Dilution Cap Table</t>
  </si>
  <si>
    <t>Seed Protection</t>
  </si>
  <si>
    <t>Original Shares</t>
  </si>
  <si>
    <t>New Sh. Price</t>
  </si>
  <si>
    <t>New Shares</t>
  </si>
  <si>
    <t>Resulting new shares</t>
  </si>
  <si>
    <t>Post-Dilution Cap Table</t>
  </si>
  <si>
    <t>Series A Protection</t>
  </si>
  <si>
    <t>Series B Protection</t>
  </si>
  <si>
    <t>Invest</t>
  </si>
  <si>
    <t>Orig. Sh. Price</t>
  </si>
  <si>
    <t>Series C Protection</t>
  </si>
  <si>
    <t>Series D Protection</t>
  </si>
  <si>
    <t>Post-Dilution Share Price</t>
  </si>
  <si>
    <t>Original Cap Table based on Case (No Anti Dilution)</t>
  </si>
  <si>
    <t>Dilution Protection - Full Rachet</t>
  </si>
  <si>
    <t>Invest 000's</t>
  </si>
  <si>
    <t>Partic. Pref.</t>
  </si>
  <si>
    <t>Total Sh. Out.</t>
  </si>
  <si>
    <t>Cap Table Overview</t>
  </si>
  <si>
    <t>Proceeds by Share Class - Based on Exit Valuation (Total Proceeds)</t>
  </si>
  <si>
    <t>Exit Val. / Total Proceeds</t>
  </si>
  <si>
    <t>Playground</t>
  </si>
  <si>
    <t>Financing Round Switches</t>
  </si>
  <si>
    <t>Live Case Selector</t>
  </si>
  <si>
    <r>
      <t xml:space="preserve">Financing and Growth Assumptions </t>
    </r>
    <r>
      <rPr>
        <b/>
        <sz val="9"/>
        <color theme="0"/>
        <rFont val="Arial Narrow"/>
        <family val="2"/>
      </rPr>
      <t>(Scenarios in "Cases", this is for "Playground")</t>
    </r>
  </si>
  <si>
    <t>Here we build out scenarios for the Exit Valuation to see what happens to every shareholder in case of an Exit</t>
  </si>
  <si>
    <t>Returns (in € Million)</t>
  </si>
  <si>
    <t>Share Price (in €)</t>
  </si>
  <si>
    <t>Money Multiple (Cash-on-Cash, MOIC)</t>
  </si>
  <si>
    <r>
      <t xml:space="preserve">Share in Proceeds </t>
    </r>
    <r>
      <rPr>
        <i/>
        <sz val="8"/>
        <color theme="1"/>
        <rFont val="Arial"/>
        <family val="2"/>
      </rPr>
      <t>[Not equal to fully diluted shares due to liquidation preferences and Anti-Dilution]</t>
    </r>
  </si>
  <si>
    <t>Here we look at the results from the Exit waterfall. Exit proceeds flow from the highest share class first. The remaining proceeds after liquidation preferences go to the Pro-Rata Share distribution (based on fully diluted shares.)</t>
  </si>
  <si>
    <t>Here we calculate the Fully Diluted Shares based on the Assumptions in our Case.</t>
  </si>
  <si>
    <t>To give an Example of Anti-Dilution, we modelled a post-dilution shareprice. If the Exit share price is below anyones investment share price, they all get more shares based on the initial investment. We don't model Anti-Dilution between rounds !!</t>
  </si>
  <si>
    <t>Full Ratched Anti-Dilution Overview</t>
  </si>
  <si>
    <t>Full Ratched Anti-Dilution - Calculations</t>
  </si>
  <si>
    <t>Here we calculate the proceeds from the liquidation preference. In case (1), without "participation preferred", the investor only uses his Liq. Preference if he does not get more on a pro-rata basis. In case (2) with participating preferred, he gets both Liq. Pref. and Pro-Rata.</t>
  </si>
  <si>
    <t xml:space="preserve">We say the investor "Draws" the liquidation preference if he chooses to use it. Without participating preferred, the use of the preference means that his shares are cancelled in the pro-rata calculation. </t>
  </si>
  <si>
    <t xml:space="preserve">Here we check if an investor drew the liquidation preference and if we have to cancel his shares. In that case, we calculate a new cap table for the pro-rata proceeds. </t>
  </si>
  <si>
    <t>If the investor is participating preferred, the shares are not cancelled.</t>
  </si>
  <si>
    <t>Switch off Rounds</t>
  </si>
  <si>
    <t>Author: Ben Scherer</t>
  </si>
  <si>
    <t>Cash Raised in the round</t>
  </si>
  <si>
    <t>Target Stake of Investor</t>
  </si>
  <si>
    <t>Implied Pre-Money Valuation (for Share Price)</t>
  </si>
  <si>
    <t>Configuration of Liquidation Preference</t>
  </si>
  <si>
    <t>Does it participate ex-LP?</t>
  </si>
  <si>
    <t>Value Accretion from Round to Round (Sanity Check)</t>
  </si>
  <si>
    <t>Post Money (to assess Exit Valuation)</t>
  </si>
  <si>
    <t>Used to calculate investment date</t>
  </si>
  <si>
    <t>Not modelled, can be used for Case Valuation</t>
  </si>
  <si>
    <t>Version</t>
  </si>
  <si>
    <t>Date</t>
  </si>
  <si>
    <t>27.09.2020</t>
  </si>
  <si>
    <t>Author</t>
  </si>
  <si>
    <t>Ben Scherer</t>
  </si>
  <si>
    <t>Exit Distribution Simulation Model</t>
  </si>
  <si>
    <t>© 2020, Sugarfree Ventures</t>
  </si>
  <si>
    <t>Contact</t>
  </si>
  <si>
    <t>ben@sugarfree.entures</t>
  </si>
  <si>
    <t>Website</t>
  </si>
  <si>
    <t>www.sugarfree.ventures</t>
  </si>
  <si>
    <t>This model shall help evaluate different investment strategies and their impact on the final exit proceeds to different stakeholders</t>
  </si>
  <si>
    <t>- Can cover 3-4 cases</t>
  </si>
  <si>
    <t>- Models Full Ratchet Anti Dilution in Exit</t>
  </si>
  <si>
    <t>- Models Liquidation Preferences and Participating Preferred Structure</t>
  </si>
  <si>
    <t>- Easily turn on / off financing rounds with simple switch</t>
  </si>
  <si>
    <t>- Return calculation per Share Class. Investors need to analyse their allocation for each share class to calculate returns</t>
  </si>
  <si>
    <t>- Does not model other dilutive instruments (convertibles, options, etc.)</t>
  </si>
  <si>
    <t>By assigning probabilities to cases, implied financing scenarios and probabilities of return distributions, this can be used</t>
  </si>
  <si>
    <t>as an entry point for a Option Tree-based valuation (Input to PWERM or OPM)</t>
  </si>
  <si>
    <t>The model can be used to configure 3 operating cases for a company and look at distributions under different Exit Valuations.</t>
  </si>
  <si>
    <t>Pre-Money Rev Multiple</t>
  </si>
  <si>
    <t>Pro Rata to Series D</t>
  </si>
  <si>
    <t>Pro Rata to Series C</t>
  </si>
  <si>
    <t>Pro Rata to Series B</t>
  </si>
  <si>
    <t>Pro Rata to Series A</t>
  </si>
  <si>
    <t>Pro Rata to Series Seed</t>
  </si>
  <si>
    <t>Is participating?</t>
  </si>
  <si>
    <t>LP Amount Drawn</t>
  </si>
  <si>
    <t>Is LP drawn?</t>
  </si>
  <si>
    <t>Tot. 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</si>
</sst>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6" formatCode="0.0%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0.0&quot;x&quot;"/>
    <numFmt numFmtId="171" formatCode="0.0&quot;x &quot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8" tint="0.39997558519241921"/>
      <name val="Arial Narrow"/>
      <family val="2"/>
    </font>
    <font>
      <sz val="11"/>
      <color theme="1" tint="0.34998626667073579"/>
      <name val="Arial Narrow"/>
      <family val="2"/>
    </font>
    <font>
      <sz val="14"/>
      <color theme="0"/>
      <name val="Arial Narrow"/>
      <family val="2"/>
    </font>
    <font>
      <b/>
      <sz val="20"/>
      <color theme="8" tint="-0.499984740745262"/>
      <name val="Arial Narrow"/>
      <family val="2"/>
    </font>
    <font>
      <b/>
      <sz val="12"/>
      <color theme="0"/>
      <name val="Arial"/>
      <family val="2"/>
    </font>
    <font>
      <i/>
      <sz val="8"/>
      <color theme="1"/>
      <name val="Arial"/>
      <family val="2"/>
    </font>
    <font>
      <b/>
      <sz val="9"/>
      <color theme="0"/>
      <name val="Arial Narrow"/>
      <family val="2"/>
    </font>
    <font>
      <sz val="9"/>
      <color theme="1"/>
      <name val="Arial Narrow"/>
      <family val="2"/>
    </font>
    <font>
      <sz val="9"/>
      <color theme="0"/>
      <name val="Arial Narrow"/>
      <family val="2"/>
    </font>
    <font>
      <sz val="8"/>
      <color theme="1"/>
      <name val="Arial Narrow"/>
      <family val="2"/>
    </font>
    <font>
      <u/>
      <sz val="11"/>
      <color theme="1"/>
      <name val="Arial Narrow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20"/>
      <color theme="0"/>
      <name val="Arial Narrow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29">
    <xf numFmtId="0" fontId="0" fillId="0" borderId="0" xfId="0"/>
    <xf numFmtId="43" fontId="0" fillId="0" borderId="0" xfId="1" applyFont="1"/>
    <xf numFmtId="4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right"/>
    </xf>
    <xf numFmtId="43" fontId="6" fillId="0" borderId="0" xfId="1" applyFont="1"/>
    <xf numFmtId="9" fontId="6" fillId="0" borderId="0" xfId="0" applyNumberFormat="1" applyFont="1"/>
    <xf numFmtId="43" fontId="6" fillId="0" borderId="0" xfId="0" applyNumberFormat="1" applyFont="1"/>
    <xf numFmtId="9" fontId="6" fillId="0" borderId="0" xfId="2" applyFont="1"/>
    <xf numFmtId="0" fontId="6" fillId="2" borderId="0" xfId="0" applyFont="1" applyFill="1"/>
    <xf numFmtId="14" fontId="6" fillId="0" borderId="0" xfId="1" applyNumberFormat="1" applyFont="1"/>
    <xf numFmtId="166" fontId="6" fillId="0" borderId="0" xfId="2" applyNumberFormat="1" applyFont="1"/>
    <xf numFmtId="0" fontId="6" fillId="0" borderId="0" xfId="0" applyFont="1" applyBorder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2" borderId="0" xfId="0" applyFont="1" applyFill="1"/>
    <xf numFmtId="14" fontId="10" fillId="0" borderId="1" xfId="0" applyNumberFormat="1" applyFont="1" applyBorder="1"/>
    <xf numFmtId="0" fontId="6" fillId="0" borderId="3" xfId="0" applyFont="1" applyBorder="1"/>
    <xf numFmtId="168" fontId="6" fillId="0" borderId="0" xfId="1" applyNumberFormat="1" applyFont="1" applyBorder="1"/>
    <xf numFmtId="168" fontId="6" fillId="0" borderId="0" xfId="1" applyNumberFormat="1" applyFont="1"/>
    <xf numFmtId="168" fontId="6" fillId="3" borderId="4" xfId="1" applyNumberFormat="1" applyFont="1" applyFill="1" applyBorder="1"/>
    <xf numFmtId="0" fontId="6" fillId="0" borderId="6" xfId="0" applyFont="1" applyBorder="1"/>
    <xf numFmtId="0" fontId="6" fillId="0" borderId="7" xfId="0" applyFont="1" applyBorder="1"/>
    <xf numFmtId="168" fontId="6" fillId="0" borderId="8" xfId="1" applyNumberFormat="1" applyFont="1" applyBorder="1"/>
    <xf numFmtId="168" fontId="6" fillId="0" borderId="9" xfId="1" applyNumberFormat="1" applyFont="1" applyBorder="1"/>
    <xf numFmtId="168" fontId="6" fillId="0" borderId="7" xfId="1" applyNumberFormat="1" applyFont="1" applyBorder="1"/>
    <xf numFmtId="0" fontId="11" fillId="4" borderId="0" xfId="0" applyFont="1" applyFill="1"/>
    <xf numFmtId="0" fontId="0" fillId="4" borderId="0" xfId="0" applyFill="1"/>
    <xf numFmtId="0" fontId="3" fillId="4" borderId="0" xfId="0" applyFont="1" applyFill="1"/>
    <xf numFmtId="0" fontId="6" fillId="0" borderId="10" xfId="0" applyFont="1" applyBorder="1" applyAlignment="1">
      <alignment horizontal="right"/>
    </xf>
    <xf numFmtId="166" fontId="6" fillId="0" borderId="11" xfId="0" applyNumberFormat="1" applyFont="1" applyBorder="1"/>
    <xf numFmtId="168" fontId="6" fillId="0" borderId="11" xfId="1" applyNumberFormat="1" applyFont="1" applyBorder="1"/>
    <xf numFmtId="0" fontId="6" fillId="0" borderId="10" xfId="0" applyFont="1" applyBorder="1"/>
    <xf numFmtId="169" fontId="6" fillId="0" borderId="0" xfId="1" applyNumberFormat="1" applyFont="1"/>
    <xf numFmtId="0" fontId="12" fillId="2" borderId="0" xfId="0" applyFont="1" applyFill="1"/>
    <xf numFmtId="168" fontId="6" fillId="0" borderId="12" xfId="1" applyNumberFormat="1" applyFont="1" applyBorder="1"/>
    <xf numFmtId="170" fontId="6" fillId="0" borderId="0" xfId="1" applyNumberFormat="1" applyFont="1"/>
    <xf numFmtId="0" fontId="2" fillId="4" borderId="0" xfId="0" applyFont="1" applyFill="1"/>
    <xf numFmtId="0" fontId="4" fillId="4" borderId="0" xfId="0" applyFont="1" applyFill="1"/>
    <xf numFmtId="168" fontId="0" fillId="0" borderId="0" xfId="0" applyNumberFormat="1"/>
    <xf numFmtId="168" fontId="0" fillId="0" borderId="0" xfId="1" applyNumberFormat="1" applyFont="1"/>
    <xf numFmtId="0" fontId="0" fillId="0" borderId="11" xfId="0" applyBorder="1"/>
    <xf numFmtId="0" fontId="0" fillId="2" borderId="0" xfId="0" applyFill="1"/>
    <xf numFmtId="43" fontId="0" fillId="0" borderId="11" xfId="0" applyNumberFormat="1" applyBorder="1"/>
    <xf numFmtId="168" fontId="0" fillId="0" borderId="11" xfId="1" applyNumberFormat="1" applyFont="1" applyBorder="1"/>
    <xf numFmtId="168" fontId="0" fillId="2" borderId="0" xfId="1" applyNumberFormat="1" applyFont="1" applyFill="1"/>
    <xf numFmtId="0" fontId="0" fillId="0" borderId="13" xfId="0" applyBorder="1"/>
    <xf numFmtId="0" fontId="0" fillId="0" borderId="13" xfId="0" applyFont="1" applyBorder="1"/>
    <xf numFmtId="168" fontId="0" fillId="0" borderId="13" xfId="1" applyNumberFormat="1" applyFont="1" applyBorder="1"/>
    <xf numFmtId="171" fontId="0" fillId="0" borderId="0" xfId="0" applyNumberFormat="1"/>
    <xf numFmtId="168" fontId="0" fillId="5" borderId="0" xfId="1" applyNumberFormat="1" applyFont="1" applyFill="1"/>
    <xf numFmtId="43" fontId="0" fillId="0" borderId="14" xfId="0" applyNumberFormat="1" applyBorder="1"/>
    <xf numFmtId="43" fontId="0" fillId="0" borderId="0" xfId="0" applyNumberFormat="1" applyBorder="1"/>
    <xf numFmtId="168" fontId="0" fillId="0" borderId="0" xfId="0" applyNumberFormat="1" applyBorder="1"/>
    <xf numFmtId="168" fontId="0" fillId="0" borderId="10" xfId="0" applyNumberFormat="1" applyBorder="1"/>
    <xf numFmtId="0" fontId="4" fillId="6" borderId="0" xfId="0" applyFont="1" applyFill="1"/>
    <xf numFmtId="0" fontId="4" fillId="0" borderId="0" xfId="0" applyFont="1" applyFill="1"/>
    <xf numFmtId="0" fontId="0" fillId="0" borderId="0" xfId="0" applyFill="1"/>
    <xf numFmtId="168" fontId="0" fillId="0" borderId="0" xfId="1" applyNumberFormat="1" applyFont="1" applyFill="1"/>
    <xf numFmtId="171" fontId="0" fillId="0" borderId="0" xfId="1" applyNumberFormat="1" applyFont="1"/>
    <xf numFmtId="0" fontId="13" fillId="6" borderId="0" xfId="0" applyFont="1" applyFill="1" applyAlignment="1">
      <alignment horizontal="left" vertical="top"/>
    </xf>
    <xf numFmtId="0" fontId="6" fillId="3" borderId="0" xfId="0" applyFont="1" applyFill="1"/>
    <xf numFmtId="166" fontId="0" fillId="0" borderId="0" xfId="2" applyNumberFormat="1" applyFont="1"/>
    <xf numFmtId="0" fontId="6" fillId="5" borderId="2" xfId="0" applyFont="1" applyFill="1" applyBorder="1"/>
    <xf numFmtId="0" fontId="6" fillId="5" borderId="0" xfId="0" applyFont="1" applyFill="1"/>
    <xf numFmtId="0" fontId="14" fillId="0" borderId="0" xfId="0" applyFont="1"/>
    <xf numFmtId="0" fontId="15" fillId="4" borderId="0" xfId="0" applyFont="1" applyFill="1"/>
    <xf numFmtId="0" fontId="16" fillId="7" borderId="2" xfId="0" applyFont="1" applyFill="1" applyBorder="1"/>
    <xf numFmtId="0" fontId="16" fillId="4" borderId="0" xfId="0" applyFont="1" applyFill="1"/>
    <xf numFmtId="0" fontId="17" fillId="4" borderId="0" xfId="0" applyFont="1" applyFill="1"/>
    <xf numFmtId="0" fontId="16" fillId="7" borderId="0" xfId="0" applyFont="1" applyFill="1"/>
    <xf numFmtId="0" fontId="6" fillId="0" borderId="0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/>
    </xf>
    <xf numFmtId="168" fontId="6" fillId="0" borderId="0" xfId="0" applyNumberFormat="1" applyFont="1"/>
    <xf numFmtId="168" fontId="0" fillId="0" borderId="15" xfId="1" applyNumberFormat="1" applyFont="1" applyBorder="1"/>
    <xf numFmtId="0" fontId="2" fillId="0" borderId="0" xfId="0" applyFont="1" applyFill="1"/>
    <xf numFmtId="0" fontId="3" fillId="0" borderId="0" xfId="0" applyFont="1" applyFill="1"/>
    <xf numFmtId="0" fontId="0" fillId="0" borderId="0" xfId="0" applyFont="1" applyFill="1"/>
    <xf numFmtId="168" fontId="0" fillId="0" borderId="0" xfId="0" applyNumberFormat="1" applyFont="1" applyFill="1"/>
    <xf numFmtId="43" fontId="0" fillId="0" borderId="0" xfId="0" applyNumberFormat="1" applyFont="1" applyFill="1"/>
    <xf numFmtId="167" fontId="0" fillId="0" borderId="0" xfId="0" applyNumberFormat="1" applyFont="1" applyFill="1"/>
    <xf numFmtId="0" fontId="6" fillId="0" borderId="11" xfId="0" applyFont="1" applyBorder="1"/>
    <xf numFmtId="168" fontId="0" fillId="0" borderId="11" xfId="0" applyNumberFormat="1" applyFont="1" applyFill="1" applyBorder="1"/>
    <xf numFmtId="168" fontId="0" fillId="0" borderId="0" xfId="0" applyNumberFormat="1" applyFont="1" applyFill="1" applyBorder="1"/>
    <xf numFmtId="43" fontId="0" fillId="0" borderId="11" xfId="0" applyNumberFormat="1" applyFont="1" applyFill="1" applyBorder="1"/>
    <xf numFmtId="0" fontId="3" fillId="2" borderId="0" xfId="0" applyFont="1" applyFill="1"/>
    <xf numFmtId="0" fontId="0" fillId="2" borderId="0" xfId="0" applyFont="1" applyFill="1"/>
    <xf numFmtId="0" fontId="3" fillId="0" borderId="11" xfId="0" applyFont="1" applyFill="1" applyBorder="1"/>
    <xf numFmtId="166" fontId="6" fillId="0" borderId="16" xfId="2" applyNumberFormat="1" applyFont="1" applyBorder="1"/>
    <xf numFmtId="166" fontId="6" fillId="0" borderId="17" xfId="2" applyNumberFormat="1" applyFont="1" applyBorder="1"/>
    <xf numFmtId="166" fontId="6" fillId="0" borderId="18" xfId="2" applyNumberFormat="1" applyFont="1" applyBorder="1"/>
    <xf numFmtId="166" fontId="6" fillId="0" borderId="19" xfId="2" applyNumberFormat="1" applyFont="1" applyBorder="1"/>
    <xf numFmtId="166" fontId="6" fillId="0" borderId="0" xfId="2" applyNumberFormat="1" applyFont="1" applyBorder="1"/>
    <xf numFmtId="166" fontId="6" fillId="0" borderId="3" xfId="2" applyNumberFormat="1" applyFont="1" applyBorder="1"/>
    <xf numFmtId="0" fontId="6" fillId="0" borderId="19" xfId="0" applyFont="1" applyBorder="1"/>
    <xf numFmtId="0" fontId="6" fillId="0" borderId="20" xfId="0" applyFont="1" applyBorder="1"/>
    <xf numFmtId="166" fontId="6" fillId="0" borderId="21" xfId="2" applyNumberFormat="1" applyFont="1" applyBorder="1"/>
    <xf numFmtId="0" fontId="5" fillId="0" borderId="10" xfId="0" applyFont="1" applyBorder="1"/>
    <xf numFmtId="0" fontId="5" fillId="0" borderId="10" xfId="0" applyFont="1" applyBorder="1" applyAlignment="1">
      <alignment horizontal="right"/>
    </xf>
    <xf numFmtId="0" fontId="6" fillId="8" borderId="0" xfId="0" applyFont="1" applyFill="1"/>
    <xf numFmtId="43" fontId="18" fillId="0" borderId="0" xfId="1" applyFont="1" applyAlignment="1">
      <alignment horizontal="right"/>
    </xf>
    <xf numFmtId="0" fontId="3" fillId="3" borderId="22" xfId="0" applyFont="1" applyFill="1" applyBorder="1"/>
    <xf numFmtId="168" fontId="3" fillId="3" borderId="23" xfId="1" applyNumberFormat="1" applyFont="1" applyFill="1" applyBorder="1"/>
    <xf numFmtId="168" fontId="3" fillId="3" borderId="24" xfId="1" applyNumberFormat="1" applyFont="1" applyFill="1" applyBorder="1"/>
    <xf numFmtId="0" fontId="3" fillId="0" borderId="0" xfId="0" applyFont="1" applyFill="1" applyBorder="1"/>
    <xf numFmtId="168" fontId="3" fillId="0" borderId="0" xfId="1" applyNumberFormat="1" applyFont="1" applyFill="1" applyBorder="1"/>
    <xf numFmtId="0" fontId="19" fillId="0" borderId="0" xfId="0" applyFont="1"/>
    <xf numFmtId="0" fontId="19" fillId="0" borderId="0" xfId="0" applyFont="1" applyAlignment="1">
      <alignment horizontal="right"/>
    </xf>
    <xf numFmtId="0" fontId="6" fillId="7" borderId="5" xfId="0" applyFont="1" applyFill="1" applyBorder="1"/>
    <xf numFmtId="0" fontId="6" fillId="0" borderId="0" xfId="0" applyFont="1" applyFill="1"/>
    <xf numFmtId="0" fontId="8" fillId="0" borderId="0" xfId="0" applyFont="1" applyFill="1"/>
    <xf numFmtId="9" fontId="6" fillId="0" borderId="0" xfId="0" applyNumberFormat="1" applyFont="1" applyFill="1"/>
    <xf numFmtId="43" fontId="6" fillId="0" borderId="0" xfId="0" applyNumberFormat="1" applyFont="1" applyFill="1"/>
    <xf numFmtId="43" fontId="6" fillId="0" borderId="0" xfId="1" applyFont="1" applyFill="1"/>
    <xf numFmtId="0" fontId="20" fillId="0" borderId="0" xfId="0" applyFont="1" applyFill="1" applyBorder="1"/>
    <xf numFmtId="0" fontId="0" fillId="0" borderId="11" xfId="0" applyFill="1" applyBorder="1"/>
    <xf numFmtId="0" fontId="21" fillId="8" borderId="25" xfId="0" applyFont="1" applyFill="1" applyBorder="1"/>
    <xf numFmtId="168" fontId="21" fillId="8" borderId="25" xfId="1" applyNumberFormat="1" applyFont="1" applyFill="1" applyBorder="1"/>
    <xf numFmtId="0" fontId="21" fillId="0" borderId="0" xfId="0" applyFont="1"/>
    <xf numFmtId="0" fontId="21" fillId="0" borderId="0" xfId="0" applyFont="1" applyFill="1"/>
    <xf numFmtId="0" fontId="0" fillId="0" borderId="15" xfId="0" applyBorder="1"/>
    <xf numFmtId="0" fontId="22" fillId="4" borderId="0" xfId="0" applyFont="1" applyFill="1"/>
    <xf numFmtId="43" fontId="0" fillId="0" borderId="0" xfId="1" applyFont="1" applyAlignment="1">
      <alignment horizontal="left"/>
    </xf>
    <xf numFmtId="0" fontId="0" fillId="0" borderId="0" xfId="0" applyAlignment="1">
      <alignment horizontal="left"/>
    </xf>
    <xf numFmtId="0" fontId="23" fillId="0" borderId="0" xfId="3" applyAlignment="1">
      <alignment horizontal="left"/>
    </xf>
    <xf numFmtId="0" fontId="23" fillId="0" borderId="0" xfId="3" applyFill="1" applyBorder="1" applyAlignment="1">
      <alignment horizontal="left"/>
    </xf>
    <xf numFmtId="0" fontId="0" fillId="0" borderId="0" xfId="0" quotePrefix="1"/>
    <xf numFmtId="14" fontId="6" fillId="7" borderId="5" xfId="0" applyNumberFormat="1" applyFont="1" applyFill="1" applyBorder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% Claim on Proceeds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'Distribution Model'!$B$26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Model'!$C$26:$X$26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1.5025789056304519</c:v>
                </c:pt>
                <c:pt idx="10">
                  <c:v>5.454093264248705</c:v>
                </c:pt>
                <c:pt idx="11">
                  <c:v>9.6425038167938926</c:v>
                </c:pt>
                <c:pt idx="12">
                  <c:v>14.026032658393206</c:v>
                </c:pt>
                <c:pt idx="13">
                  <c:v>18.572180135718693</c:v>
                </c:pt>
                <c:pt idx="14">
                  <c:v>23.255284628872001</c:v>
                </c:pt>
                <c:pt idx="15">
                  <c:v>28.054813992226535</c:v>
                </c:pt>
                <c:pt idx="16">
                  <c:v>32.954144896879953</c:v>
                </c:pt>
                <c:pt idx="17">
                  <c:v>37.939674911660774</c:v>
                </c:pt>
                <c:pt idx="18">
                  <c:v>42.917274216867469</c:v>
                </c:pt>
                <c:pt idx="19">
                  <c:v>47.816474482758615</c:v>
                </c:pt>
                <c:pt idx="20">
                  <c:v>52.747674725274727</c:v>
                </c:pt>
                <c:pt idx="21">
                  <c:v>57.706832842105264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3-456E-9485-FCF956CEBF97}"/>
            </c:ext>
          </c:extLst>
        </c:ser>
        <c:ser>
          <c:idx val="1"/>
          <c:order val="1"/>
          <c:tx>
            <c:strRef>
              <c:f>'Distribution Model'!$B$27</c:f>
              <c:strCache>
                <c:ptCount val="1"/>
                <c:pt idx="0">
                  <c:v>Seed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Model'!$C$27:$X$27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4.8756447264076126</c:v>
                </c:pt>
                <c:pt idx="10">
                  <c:v>5.8635233160621762</c:v>
                </c:pt>
                <c:pt idx="11">
                  <c:v>6.9106259541984727</c:v>
                </c:pt>
                <c:pt idx="12">
                  <c:v>8.0065081645983014</c:v>
                </c:pt>
                <c:pt idx="13">
                  <c:v>9.143045033929674</c:v>
                </c:pt>
                <c:pt idx="14">
                  <c:v>10.313821157218001</c:v>
                </c:pt>
                <c:pt idx="15">
                  <c:v>11.513703498056634</c:v>
                </c:pt>
                <c:pt idx="16">
                  <c:v>12.738536224219988</c:v>
                </c:pt>
                <c:pt idx="17">
                  <c:v>13.984918727915193</c:v>
                </c:pt>
                <c:pt idx="18">
                  <c:v>15.229318554216867</c:v>
                </c:pt>
                <c:pt idx="19">
                  <c:v>16.454118620689655</c:v>
                </c:pt>
                <c:pt idx="20">
                  <c:v>17.68691868131868</c:v>
                </c:pt>
                <c:pt idx="21">
                  <c:v>18.926708210526314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33-456E-9485-FCF956CEBF97}"/>
            </c:ext>
          </c:extLst>
        </c:ser>
        <c:ser>
          <c:idx val="2"/>
          <c:order val="2"/>
          <c:tx>
            <c:strRef>
              <c:f>'Distribution Model'!$B$28</c:f>
              <c:strCache>
                <c:ptCount val="1"/>
                <c:pt idx="0">
                  <c:v>Series 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Model'!$C$28:$X$28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11</c:v>
                </c:pt>
                <c:pt idx="9">
                  <c:v>12.831451229183189</c:v>
                </c:pt>
                <c:pt idx="10">
                  <c:v>13.703108808290157</c:v>
                </c:pt>
                <c:pt idx="11">
                  <c:v>14.627022900763361</c:v>
                </c:pt>
                <c:pt idx="12">
                  <c:v>15.593977792292623</c:v>
                </c:pt>
                <c:pt idx="13">
                  <c:v>16.596804441702655</c:v>
                </c:pt>
                <c:pt idx="14">
                  <c:v>17.629842197545301</c:v>
                </c:pt>
                <c:pt idx="15">
                  <c:v>18.688561910049977</c:v>
                </c:pt>
                <c:pt idx="16">
                  <c:v>19.769296668429405</c:v>
                </c:pt>
                <c:pt idx="17">
                  <c:v>20.869045936395764</c:v>
                </c:pt>
                <c:pt idx="18">
                  <c:v>21.967045783132537</c:v>
                </c:pt>
                <c:pt idx="19">
                  <c:v>23.047751724137939</c:v>
                </c:pt>
                <c:pt idx="20">
                  <c:v>24.13551648351649</c:v>
                </c:pt>
                <c:pt idx="21">
                  <c:v>25.229448421052638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3-456E-9485-FCF956CEBF97}"/>
            </c:ext>
          </c:extLst>
        </c:ser>
        <c:ser>
          <c:idx val="3"/>
          <c:order val="3"/>
          <c:tx>
            <c:strRef>
              <c:f>'Distribution Model'!$B$29</c:f>
              <c:strCache>
                <c:ptCount val="1"/>
                <c:pt idx="0">
                  <c:v>Series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Model'!$C$29:$X$29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1.0000000000000036</c:v>
                </c:pt>
                <c:pt idx="6">
                  <c:v>11</c:v>
                </c:pt>
                <c:pt idx="7">
                  <c:v>20</c:v>
                </c:pt>
                <c:pt idx="8">
                  <c:v>20</c:v>
                </c:pt>
                <c:pt idx="9">
                  <c:v>20.359714512291831</c:v>
                </c:pt>
                <c:pt idx="10">
                  <c:v>21.305699481865286</c:v>
                </c:pt>
                <c:pt idx="11">
                  <c:v>22.308396946564883</c:v>
                </c:pt>
                <c:pt idx="12">
                  <c:v>23.357805355976485</c:v>
                </c:pt>
                <c:pt idx="13">
                  <c:v>24.446144355336212</c:v>
                </c:pt>
                <c:pt idx="14">
                  <c:v>25.56727060198714</c:v>
                </c:pt>
                <c:pt idx="15">
                  <c:v>26.716268739589118</c:v>
                </c:pt>
                <c:pt idx="16">
                  <c:v>27.889159175039662</c:v>
                </c:pt>
                <c:pt idx="17">
                  <c:v>29.08268551236749</c:v>
                </c:pt>
                <c:pt idx="18">
                  <c:v>30.27431325301205</c:v>
                </c:pt>
                <c:pt idx="19">
                  <c:v>31.447172413793105</c:v>
                </c:pt>
                <c:pt idx="20">
                  <c:v>32.627692307692307</c:v>
                </c:pt>
                <c:pt idx="21">
                  <c:v>33.814905263157897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3-456E-9485-FCF956CEBF97}"/>
            </c:ext>
          </c:extLst>
        </c:ser>
        <c:ser>
          <c:idx val="4"/>
          <c:order val="4"/>
          <c:tx>
            <c:strRef>
              <c:f>'Distribution Model'!$B$30</c:f>
              <c:strCache>
                <c:ptCount val="1"/>
                <c:pt idx="0">
                  <c:v>Series 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Model'!$C$30:$X$30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5.0000000000000036</c:v>
                </c:pt>
                <c:pt idx="4">
                  <c:v>15</c:v>
                </c:pt>
                <c:pt idx="5">
                  <c:v>23.999999999999996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24.558287073750993</c:v>
                </c:pt>
                <c:pt idx="10">
                  <c:v>25.823834196891188</c:v>
                </c:pt>
                <c:pt idx="11">
                  <c:v>26.931297709923662</c:v>
                </c:pt>
                <c:pt idx="12">
                  <c:v>27.90855649902025</c:v>
                </c:pt>
                <c:pt idx="13">
                  <c:v>28.777297964219617</c:v>
                </c:pt>
                <c:pt idx="14">
                  <c:v>29.554646405610754</c:v>
                </c:pt>
                <c:pt idx="15">
                  <c:v>30.254303164908386</c:v>
                </c:pt>
                <c:pt idx="16">
                  <c:v>30.887361184558433</c:v>
                </c:pt>
                <c:pt idx="17">
                  <c:v>31.462897526501767</c:v>
                </c:pt>
                <c:pt idx="18">
                  <c:v>32.154216867469877</c:v>
                </c:pt>
                <c:pt idx="19">
                  <c:v>33.085057471264363</c:v>
                </c:pt>
                <c:pt idx="20">
                  <c:v>34.021978021978022</c:v>
                </c:pt>
                <c:pt idx="21">
                  <c:v>34.964210526315789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33-456E-9485-FCF956CEBF97}"/>
            </c:ext>
          </c:extLst>
        </c:ser>
        <c:ser>
          <c:idx val="5"/>
          <c:order val="5"/>
          <c:tx>
            <c:strRef>
              <c:f>'Distribution Model'!$B$31</c:f>
              <c:strCache>
                <c:ptCount val="1"/>
                <c:pt idx="0">
                  <c:v>Series 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Model'!$C$31:$X$31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24.999999999999996</c:v>
                </c:pt>
                <c:pt idx="4">
                  <c:v>25</c:v>
                </c:pt>
                <c:pt idx="5">
                  <c:v>25</c:v>
                </c:pt>
                <c:pt idx="6">
                  <c:v>24.999999999999996</c:v>
                </c:pt>
                <c:pt idx="7">
                  <c:v>24.999999999999996</c:v>
                </c:pt>
                <c:pt idx="8">
                  <c:v>25</c:v>
                </c:pt>
                <c:pt idx="9">
                  <c:v>25.872323552735924</c:v>
                </c:pt>
                <c:pt idx="10">
                  <c:v>27.849740932642487</c:v>
                </c:pt>
                <c:pt idx="11">
                  <c:v>29.580152671755723</c:v>
                </c:pt>
                <c:pt idx="12">
                  <c:v>31.107119529719135</c:v>
                </c:pt>
                <c:pt idx="13">
                  <c:v>32.464528069093149</c:v>
                </c:pt>
                <c:pt idx="14">
                  <c:v>33.679135008766799</c:v>
                </c:pt>
                <c:pt idx="15">
                  <c:v>34.772348695169349</c:v>
                </c:pt>
                <c:pt idx="16">
                  <c:v>35.761501850872548</c:v>
                </c:pt>
                <c:pt idx="17">
                  <c:v>36.660777385159008</c:v>
                </c:pt>
                <c:pt idx="18">
                  <c:v>37.457831325301207</c:v>
                </c:pt>
                <c:pt idx="19">
                  <c:v>38.149425287356323</c:v>
                </c:pt>
                <c:pt idx="20">
                  <c:v>38.780219780219781</c:v>
                </c:pt>
                <c:pt idx="21">
                  <c:v>39.357894736842105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33-456E-9485-FCF956CEB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5162127"/>
        <c:axId val="771916335"/>
      </c:barChart>
      <c:catAx>
        <c:axId val="88516212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71916335"/>
        <c:crosses val="autoZero"/>
        <c:auto val="1"/>
        <c:lblAlgn val="ctr"/>
        <c:lblOffset val="100"/>
        <c:noMultiLvlLbl val="0"/>
      </c:catAx>
      <c:valAx>
        <c:axId val="77191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8516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Total Proceeds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'Distribution Model'!$B$26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Model'!$C$26:$X$26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1.5025789056304519</c:v>
                </c:pt>
                <c:pt idx="10">
                  <c:v>5.454093264248705</c:v>
                </c:pt>
                <c:pt idx="11">
                  <c:v>9.6425038167938926</c:v>
                </c:pt>
                <c:pt idx="12">
                  <c:v>14.026032658393206</c:v>
                </c:pt>
                <c:pt idx="13">
                  <c:v>18.572180135718693</c:v>
                </c:pt>
                <c:pt idx="14">
                  <c:v>23.255284628872001</c:v>
                </c:pt>
                <c:pt idx="15">
                  <c:v>28.054813992226535</c:v>
                </c:pt>
                <c:pt idx="16">
                  <c:v>32.954144896879953</c:v>
                </c:pt>
                <c:pt idx="17">
                  <c:v>37.939674911660774</c:v>
                </c:pt>
                <c:pt idx="18">
                  <c:v>42.917274216867469</c:v>
                </c:pt>
                <c:pt idx="19">
                  <c:v>47.816474482758615</c:v>
                </c:pt>
                <c:pt idx="20">
                  <c:v>52.747674725274727</c:v>
                </c:pt>
                <c:pt idx="21">
                  <c:v>57.706832842105264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36-4DC6-B4A0-7B51B0CDD14C}"/>
            </c:ext>
          </c:extLst>
        </c:ser>
        <c:ser>
          <c:idx val="1"/>
          <c:order val="1"/>
          <c:tx>
            <c:strRef>
              <c:f>'Distribution Model'!$B$27</c:f>
              <c:strCache>
                <c:ptCount val="1"/>
                <c:pt idx="0">
                  <c:v>Seed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Model'!$C$27:$X$27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4.8756447264076126</c:v>
                </c:pt>
                <c:pt idx="10">
                  <c:v>5.8635233160621762</c:v>
                </c:pt>
                <c:pt idx="11">
                  <c:v>6.9106259541984727</c:v>
                </c:pt>
                <c:pt idx="12">
                  <c:v>8.0065081645983014</c:v>
                </c:pt>
                <c:pt idx="13">
                  <c:v>9.143045033929674</c:v>
                </c:pt>
                <c:pt idx="14">
                  <c:v>10.313821157218001</c:v>
                </c:pt>
                <c:pt idx="15">
                  <c:v>11.513703498056634</c:v>
                </c:pt>
                <c:pt idx="16">
                  <c:v>12.738536224219988</c:v>
                </c:pt>
                <c:pt idx="17">
                  <c:v>13.984918727915193</c:v>
                </c:pt>
                <c:pt idx="18">
                  <c:v>15.229318554216867</c:v>
                </c:pt>
                <c:pt idx="19">
                  <c:v>16.454118620689655</c:v>
                </c:pt>
                <c:pt idx="20">
                  <c:v>17.68691868131868</c:v>
                </c:pt>
                <c:pt idx="21">
                  <c:v>18.926708210526314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36-4DC6-B4A0-7B51B0CDD14C}"/>
            </c:ext>
          </c:extLst>
        </c:ser>
        <c:ser>
          <c:idx val="2"/>
          <c:order val="2"/>
          <c:tx>
            <c:strRef>
              <c:f>'Distribution Model'!$B$28</c:f>
              <c:strCache>
                <c:ptCount val="1"/>
                <c:pt idx="0">
                  <c:v>Series 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Model'!$C$28:$X$28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11</c:v>
                </c:pt>
                <c:pt idx="9">
                  <c:v>12.831451229183189</c:v>
                </c:pt>
                <c:pt idx="10">
                  <c:v>13.703108808290157</c:v>
                </c:pt>
                <c:pt idx="11">
                  <c:v>14.627022900763361</c:v>
                </c:pt>
                <c:pt idx="12">
                  <c:v>15.593977792292623</c:v>
                </c:pt>
                <c:pt idx="13">
                  <c:v>16.596804441702655</c:v>
                </c:pt>
                <c:pt idx="14">
                  <c:v>17.629842197545301</c:v>
                </c:pt>
                <c:pt idx="15">
                  <c:v>18.688561910049977</c:v>
                </c:pt>
                <c:pt idx="16">
                  <c:v>19.769296668429405</c:v>
                </c:pt>
                <c:pt idx="17">
                  <c:v>20.869045936395764</c:v>
                </c:pt>
                <c:pt idx="18">
                  <c:v>21.967045783132537</c:v>
                </c:pt>
                <c:pt idx="19">
                  <c:v>23.047751724137939</c:v>
                </c:pt>
                <c:pt idx="20">
                  <c:v>24.13551648351649</c:v>
                </c:pt>
                <c:pt idx="21">
                  <c:v>25.229448421052638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36-4DC6-B4A0-7B51B0CDD14C}"/>
            </c:ext>
          </c:extLst>
        </c:ser>
        <c:ser>
          <c:idx val="3"/>
          <c:order val="3"/>
          <c:tx>
            <c:strRef>
              <c:f>'Distribution Model'!$B$29</c:f>
              <c:strCache>
                <c:ptCount val="1"/>
                <c:pt idx="0">
                  <c:v>Series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Model'!$C$29:$X$29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1.0000000000000036</c:v>
                </c:pt>
                <c:pt idx="6">
                  <c:v>11</c:v>
                </c:pt>
                <c:pt idx="7">
                  <c:v>20</c:v>
                </c:pt>
                <c:pt idx="8">
                  <c:v>20</c:v>
                </c:pt>
                <c:pt idx="9">
                  <c:v>20.359714512291831</c:v>
                </c:pt>
                <c:pt idx="10">
                  <c:v>21.305699481865286</c:v>
                </c:pt>
                <c:pt idx="11">
                  <c:v>22.308396946564883</c:v>
                </c:pt>
                <c:pt idx="12">
                  <c:v>23.357805355976485</c:v>
                </c:pt>
                <c:pt idx="13">
                  <c:v>24.446144355336212</c:v>
                </c:pt>
                <c:pt idx="14">
                  <c:v>25.56727060198714</c:v>
                </c:pt>
                <c:pt idx="15">
                  <c:v>26.716268739589118</c:v>
                </c:pt>
                <c:pt idx="16">
                  <c:v>27.889159175039662</c:v>
                </c:pt>
                <c:pt idx="17">
                  <c:v>29.08268551236749</c:v>
                </c:pt>
                <c:pt idx="18">
                  <c:v>30.27431325301205</c:v>
                </c:pt>
                <c:pt idx="19">
                  <c:v>31.447172413793105</c:v>
                </c:pt>
                <c:pt idx="20">
                  <c:v>32.627692307692307</c:v>
                </c:pt>
                <c:pt idx="21">
                  <c:v>33.814905263157897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36-4DC6-B4A0-7B51B0CDD14C}"/>
            </c:ext>
          </c:extLst>
        </c:ser>
        <c:ser>
          <c:idx val="4"/>
          <c:order val="4"/>
          <c:tx>
            <c:strRef>
              <c:f>'Distribution Model'!$B$30</c:f>
              <c:strCache>
                <c:ptCount val="1"/>
                <c:pt idx="0">
                  <c:v>Series 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Model'!$C$30:$X$30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5.0000000000000036</c:v>
                </c:pt>
                <c:pt idx="4">
                  <c:v>15</c:v>
                </c:pt>
                <c:pt idx="5">
                  <c:v>23.999999999999996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24.558287073750993</c:v>
                </c:pt>
                <c:pt idx="10">
                  <c:v>25.823834196891188</c:v>
                </c:pt>
                <c:pt idx="11">
                  <c:v>26.931297709923662</c:v>
                </c:pt>
                <c:pt idx="12">
                  <c:v>27.90855649902025</c:v>
                </c:pt>
                <c:pt idx="13">
                  <c:v>28.777297964219617</c:v>
                </c:pt>
                <c:pt idx="14">
                  <c:v>29.554646405610754</c:v>
                </c:pt>
                <c:pt idx="15">
                  <c:v>30.254303164908386</c:v>
                </c:pt>
                <c:pt idx="16">
                  <c:v>30.887361184558433</c:v>
                </c:pt>
                <c:pt idx="17">
                  <c:v>31.462897526501767</c:v>
                </c:pt>
                <c:pt idx="18">
                  <c:v>32.154216867469877</c:v>
                </c:pt>
                <c:pt idx="19">
                  <c:v>33.085057471264363</c:v>
                </c:pt>
                <c:pt idx="20">
                  <c:v>34.021978021978022</c:v>
                </c:pt>
                <c:pt idx="21">
                  <c:v>34.964210526315789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36-4DC6-B4A0-7B51B0CDD14C}"/>
            </c:ext>
          </c:extLst>
        </c:ser>
        <c:ser>
          <c:idx val="5"/>
          <c:order val="5"/>
          <c:tx>
            <c:strRef>
              <c:f>'Distribution Model'!$B$31</c:f>
              <c:strCache>
                <c:ptCount val="1"/>
                <c:pt idx="0">
                  <c:v>Series 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Model'!$C$31:$X$31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24.999999999999996</c:v>
                </c:pt>
                <c:pt idx="4">
                  <c:v>25</c:v>
                </c:pt>
                <c:pt idx="5">
                  <c:v>25</c:v>
                </c:pt>
                <c:pt idx="6">
                  <c:v>24.999999999999996</c:v>
                </c:pt>
                <c:pt idx="7">
                  <c:v>24.999999999999996</c:v>
                </c:pt>
                <c:pt idx="8">
                  <c:v>25</c:v>
                </c:pt>
                <c:pt idx="9">
                  <c:v>25.872323552735924</c:v>
                </c:pt>
                <c:pt idx="10">
                  <c:v>27.849740932642487</c:v>
                </c:pt>
                <c:pt idx="11">
                  <c:v>29.580152671755723</c:v>
                </c:pt>
                <c:pt idx="12">
                  <c:v>31.107119529719135</c:v>
                </c:pt>
                <c:pt idx="13">
                  <c:v>32.464528069093149</c:v>
                </c:pt>
                <c:pt idx="14">
                  <c:v>33.679135008766799</c:v>
                </c:pt>
                <c:pt idx="15">
                  <c:v>34.772348695169349</c:v>
                </c:pt>
                <c:pt idx="16">
                  <c:v>35.761501850872548</c:v>
                </c:pt>
                <c:pt idx="17">
                  <c:v>36.660777385159008</c:v>
                </c:pt>
                <c:pt idx="18">
                  <c:v>37.457831325301207</c:v>
                </c:pt>
                <c:pt idx="19">
                  <c:v>38.149425287356323</c:v>
                </c:pt>
                <c:pt idx="20">
                  <c:v>38.780219780219781</c:v>
                </c:pt>
                <c:pt idx="21">
                  <c:v>39.357894736842105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36-4DC6-B4A0-7B51B0CDD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51492687"/>
        <c:axId val="2106260271"/>
      </c:barChart>
      <c:catAx>
        <c:axId val="115149268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6260271"/>
        <c:crosses val="autoZero"/>
        <c:auto val="1"/>
        <c:lblAlgn val="ctr"/>
        <c:lblOffset val="100"/>
        <c:noMultiLvlLbl val="0"/>
      </c:catAx>
      <c:valAx>
        <c:axId val="21062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149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MOIC Returns by 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'Distribution Model'!$B$36</c:f>
              <c:strCache>
                <c:ptCount val="1"/>
                <c:pt idx="0">
                  <c:v>Seed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Model'!$C$36:$X$36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3.2504298176050752</c:v>
                </c:pt>
                <c:pt idx="10">
                  <c:v>3.9090155440414507</c:v>
                </c:pt>
                <c:pt idx="11">
                  <c:v>4.6070839694656485</c:v>
                </c:pt>
                <c:pt idx="12">
                  <c:v>5.3376721097322006</c:v>
                </c:pt>
                <c:pt idx="13">
                  <c:v>6.0953633559531157</c:v>
                </c:pt>
                <c:pt idx="14">
                  <c:v>6.8758807714786672</c:v>
                </c:pt>
                <c:pt idx="15">
                  <c:v>7.6758023320377555</c:v>
                </c:pt>
                <c:pt idx="16">
                  <c:v>8.4923574828133255</c:v>
                </c:pt>
                <c:pt idx="17">
                  <c:v>9.3232791519434617</c:v>
                </c:pt>
                <c:pt idx="18">
                  <c:v>10.152879036144578</c:v>
                </c:pt>
                <c:pt idx="19">
                  <c:v>10.969412413793103</c:v>
                </c:pt>
                <c:pt idx="20">
                  <c:v>11.791279120879119</c:v>
                </c:pt>
                <c:pt idx="21">
                  <c:v>12.617805473684209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7-4A87-9AA1-E9137BFD77B7}"/>
            </c:ext>
          </c:extLst>
        </c:ser>
        <c:ser>
          <c:idx val="1"/>
          <c:order val="1"/>
          <c:tx>
            <c:strRef>
              <c:f>'Distribution Model'!$B$37</c:f>
              <c:strCache>
                <c:ptCount val="1"/>
                <c:pt idx="0">
                  <c:v>Series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Model'!$C$37:$X$37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2.2000000000000002</c:v>
                </c:pt>
                <c:pt idx="9">
                  <c:v>2.5662902458366377</c:v>
                </c:pt>
                <c:pt idx="10">
                  <c:v>2.7406217616580313</c:v>
                </c:pt>
                <c:pt idx="11">
                  <c:v>2.925404580152672</c:v>
                </c:pt>
                <c:pt idx="12">
                  <c:v>3.1187955584585247</c:v>
                </c:pt>
                <c:pt idx="13">
                  <c:v>3.319360888340531</c:v>
                </c:pt>
                <c:pt idx="14">
                  <c:v>3.52596843950906</c:v>
                </c:pt>
                <c:pt idx="15">
                  <c:v>3.7377123820099953</c:v>
                </c:pt>
                <c:pt idx="16">
                  <c:v>3.9538593336858812</c:v>
                </c:pt>
                <c:pt idx="17">
                  <c:v>4.1738091872791525</c:v>
                </c:pt>
                <c:pt idx="18">
                  <c:v>4.3934091566265074</c:v>
                </c:pt>
                <c:pt idx="19">
                  <c:v>4.6095503448275874</c:v>
                </c:pt>
                <c:pt idx="20">
                  <c:v>4.8271032967032976</c:v>
                </c:pt>
                <c:pt idx="21">
                  <c:v>5.0458896842105272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7-4A87-9AA1-E9137BFD77B7}"/>
            </c:ext>
          </c:extLst>
        </c:ser>
        <c:ser>
          <c:idx val="2"/>
          <c:order val="2"/>
          <c:tx>
            <c:strRef>
              <c:f>'Distribution Model'!$B$38</c:f>
              <c:strCache>
                <c:ptCount val="1"/>
                <c:pt idx="0">
                  <c:v>Series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Model'!$C$38:$X$38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0.10000000000000035</c:v>
                </c:pt>
                <c:pt idx="6">
                  <c:v>1.1000000000000001</c:v>
                </c:pt>
                <c:pt idx="7">
                  <c:v>2</c:v>
                </c:pt>
                <c:pt idx="8">
                  <c:v>2</c:v>
                </c:pt>
                <c:pt idx="9">
                  <c:v>2.0359714512291829</c:v>
                </c:pt>
                <c:pt idx="10">
                  <c:v>2.1305699481865288</c:v>
                </c:pt>
                <c:pt idx="11">
                  <c:v>2.2308396946564883</c:v>
                </c:pt>
                <c:pt idx="12">
                  <c:v>2.3357805355976486</c:v>
                </c:pt>
                <c:pt idx="13">
                  <c:v>2.4446144355336212</c:v>
                </c:pt>
                <c:pt idx="14">
                  <c:v>2.556727060198714</c:v>
                </c:pt>
                <c:pt idx="15">
                  <c:v>2.6716268739589117</c:v>
                </c:pt>
                <c:pt idx="16">
                  <c:v>2.7889159175039664</c:v>
                </c:pt>
                <c:pt idx="17">
                  <c:v>2.9082685512367492</c:v>
                </c:pt>
                <c:pt idx="18">
                  <c:v>3.0274313253012051</c:v>
                </c:pt>
                <c:pt idx="19">
                  <c:v>3.1447172413793103</c:v>
                </c:pt>
                <c:pt idx="20">
                  <c:v>3.2627692307692309</c:v>
                </c:pt>
                <c:pt idx="21">
                  <c:v>3.3814905263157895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7-4A87-9AA1-E9137BFD77B7}"/>
            </c:ext>
          </c:extLst>
        </c:ser>
        <c:ser>
          <c:idx val="3"/>
          <c:order val="3"/>
          <c:tx>
            <c:strRef>
              <c:f>'Distribution Model'!$B$39</c:f>
              <c:strCache>
                <c:ptCount val="1"/>
                <c:pt idx="0">
                  <c:v>Series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Model'!$C$39:$X$39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0.31250000000000022</c:v>
                </c:pt>
                <c:pt idx="4">
                  <c:v>0.9375</c:v>
                </c:pt>
                <c:pt idx="5">
                  <c:v>1.4999999999999998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1.5348929421094371</c:v>
                </c:pt>
                <c:pt idx="10">
                  <c:v>1.6139896373056992</c:v>
                </c:pt>
                <c:pt idx="11">
                  <c:v>1.6832061068702289</c:v>
                </c:pt>
                <c:pt idx="12">
                  <c:v>1.7442847811887656</c:v>
                </c:pt>
                <c:pt idx="13">
                  <c:v>1.7985811227637261</c:v>
                </c:pt>
                <c:pt idx="14">
                  <c:v>1.8471654003506721</c:v>
                </c:pt>
                <c:pt idx="15">
                  <c:v>1.8908939478067741</c:v>
                </c:pt>
                <c:pt idx="16">
                  <c:v>1.9304600740349021</c:v>
                </c:pt>
                <c:pt idx="17">
                  <c:v>1.9664310954063604</c:v>
                </c:pt>
                <c:pt idx="18">
                  <c:v>2.0096385542168673</c:v>
                </c:pt>
                <c:pt idx="19">
                  <c:v>2.0678160919540227</c:v>
                </c:pt>
                <c:pt idx="20">
                  <c:v>2.1263736263736264</c:v>
                </c:pt>
                <c:pt idx="21">
                  <c:v>2.1852631578947368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D7-4A87-9AA1-E9137BFD77B7}"/>
            </c:ext>
          </c:extLst>
        </c:ser>
        <c:ser>
          <c:idx val="4"/>
          <c:order val="4"/>
          <c:tx>
            <c:strRef>
              <c:f>'Distribution Model'!$B$40</c:f>
              <c:strCache>
                <c:ptCount val="1"/>
                <c:pt idx="0">
                  <c:v>Series 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Model'!$C$40:$X$40</c:f>
              <c:numCache>
                <c:formatCode>0.0"x "</c:formatCode>
                <c:ptCount val="22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0.99999999999999989</c:v>
                </c:pt>
                <c:pt idx="4">
                  <c:v>1</c:v>
                </c:pt>
                <c:pt idx="5">
                  <c:v>1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1</c:v>
                </c:pt>
                <c:pt idx="9">
                  <c:v>1.0348929421094371</c:v>
                </c:pt>
                <c:pt idx="10">
                  <c:v>1.1139896373056994</c:v>
                </c:pt>
                <c:pt idx="11">
                  <c:v>1.1832061068702289</c:v>
                </c:pt>
                <c:pt idx="12">
                  <c:v>1.2442847811887654</c:v>
                </c:pt>
                <c:pt idx="13">
                  <c:v>1.2985811227637258</c:v>
                </c:pt>
                <c:pt idx="14">
                  <c:v>1.3471654003506719</c:v>
                </c:pt>
                <c:pt idx="15">
                  <c:v>1.3908939478067739</c:v>
                </c:pt>
                <c:pt idx="16">
                  <c:v>1.4304600740349018</c:v>
                </c:pt>
                <c:pt idx="17">
                  <c:v>1.4664310954063604</c:v>
                </c:pt>
                <c:pt idx="18">
                  <c:v>1.4983132530120482</c:v>
                </c:pt>
                <c:pt idx="19">
                  <c:v>1.5259770114942528</c:v>
                </c:pt>
                <c:pt idx="20">
                  <c:v>1.5512087912087913</c:v>
                </c:pt>
                <c:pt idx="21">
                  <c:v>1.5743157894736841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D7-4A87-9AA1-E9137BFD7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45407"/>
        <c:axId val="772008687"/>
      </c:lineChart>
      <c:catAx>
        <c:axId val="53524540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72008687"/>
        <c:crosses val="autoZero"/>
        <c:auto val="1"/>
        <c:lblAlgn val="ctr"/>
        <c:lblOffset val="100"/>
        <c:noMultiLvlLbl val="0"/>
      </c:catAx>
      <c:valAx>
        <c:axId val="7720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x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524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% Claim on Proceeds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'Distribution Model'!$B$26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Model'!$C$26:$X$26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1.5025789056304519</c:v>
                </c:pt>
                <c:pt idx="10">
                  <c:v>5.454093264248705</c:v>
                </c:pt>
                <c:pt idx="11">
                  <c:v>9.6425038167938926</c:v>
                </c:pt>
                <c:pt idx="12">
                  <c:v>14.026032658393206</c:v>
                </c:pt>
                <c:pt idx="13">
                  <c:v>18.572180135718693</c:v>
                </c:pt>
                <c:pt idx="14">
                  <c:v>23.255284628872001</c:v>
                </c:pt>
                <c:pt idx="15">
                  <c:v>28.054813992226535</c:v>
                </c:pt>
                <c:pt idx="16">
                  <c:v>32.954144896879953</c:v>
                </c:pt>
                <c:pt idx="17">
                  <c:v>37.939674911660774</c:v>
                </c:pt>
                <c:pt idx="18">
                  <c:v>42.917274216867469</c:v>
                </c:pt>
                <c:pt idx="19">
                  <c:v>47.816474482758615</c:v>
                </c:pt>
                <c:pt idx="20">
                  <c:v>52.747674725274727</c:v>
                </c:pt>
                <c:pt idx="21">
                  <c:v>57.706832842105264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E1-43D7-9F29-F0188537C677}"/>
            </c:ext>
          </c:extLst>
        </c:ser>
        <c:ser>
          <c:idx val="1"/>
          <c:order val="1"/>
          <c:tx>
            <c:strRef>
              <c:f>'Distribution Model'!$B$27</c:f>
              <c:strCache>
                <c:ptCount val="1"/>
                <c:pt idx="0">
                  <c:v>Seed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Model'!$C$27:$X$27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4.8756447264076126</c:v>
                </c:pt>
                <c:pt idx="10">
                  <c:v>5.8635233160621762</c:v>
                </c:pt>
                <c:pt idx="11">
                  <c:v>6.9106259541984727</c:v>
                </c:pt>
                <c:pt idx="12">
                  <c:v>8.0065081645983014</c:v>
                </c:pt>
                <c:pt idx="13">
                  <c:v>9.143045033929674</c:v>
                </c:pt>
                <c:pt idx="14">
                  <c:v>10.313821157218001</c:v>
                </c:pt>
                <c:pt idx="15">
                  <c:v>11.513703498056634</c:v>
                </c:pt>
                <c:pt idx="16">
                  <c:v>12.738536224219988</c:v>
                </c:pt>
                <c:pt idx="17">
                  <c:v>13.984918727915193</c:v>
                </c:pt>
                <c:pt idx="18">
                  <c:v>15.229318554216867</c:v>
                </c:pt>
                <c:pt idx="19">
                  <c:v>16.454118620689655</c:v>
                </c:pt>
                <c:pt idx="20">
                  <c:v>17.68691868131868</c:v>
                </c:pt>
                <c:pt idx="21">
                  <c:v>18.926708210526314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1-43D7-9F29-F0188537C677}"/>
            </c:ext>
          </c:extLst>
        </c:ser>
        <c:ser>
          <c:idx val="2"/>
          <c:order val="2"/>
          <c:tx>
            <c:strRef>
              <c:f>'Distribution Model'!$B$28</c:f>
              <c:strCache>
                <c:ptCount val="1"/>
                <c:pt idx="0">
                  <c:v>Series 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Model'!$C$28:$X$28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11</c:v>
                </c:pt>
                <c:pt idx="9">
                  <c:v>12.831451229183189</c:v>
                </c:pt>
                <c:pt idx="10">
                  <c:v>13.703108808290157</c:v>
                </c:pt>
                <c:pt idx="11">
                  <c:v>14.627022900763361</c:v>
                </c:pt>
                <c:pt idx="12">
                  <c:v>15.593977792292623</c:v>
                </c:pt>
                <c:pt idx="13">
                  <c:v>16.596804441702655</c:v>
                </c:pt>
                <c:pt idx="14">
                  <c:v>17.629842197545301</c:v>
                </c:pt>
                <c:pt idx="15">
                  <c:v>18.688561910049977</c:v>
                </c:pt>
                <c:pt idx="16">
                  <c:v>19.769296668429405</c:v>
                </c:pt>
                <c:pt idx="17">
                  <c:v>20.869045936395764</c:v>
                </c:pt>
                <c:pt idx="18">
                  <c:v>21.967045783132537</c:v>
                </c:pt>
                <c:pt idx="19">
                  <c:v>23.047751724137939</c:v>
                </c:pt>
                <c:pt idx="20">
                  <c:v>24.13551648351649</c:v>
                </c:pt>
                <c:pt idx="21">
                  <c:v>25.229448421052638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E1-43D7-9F29-F0188537C677}"/>
            </c:ext>
          </c:extLst>
        </c:ser>
        <c:ser>
          <c:idx val="3"/>
          <c:order val="3"/>
          <c:tx>
            <c:strRef>
              <c:f>'Distribution Model'!$B$29</c:f>
              <c:strCache>
                <c:ptCount val="1"/>
                <c:pt idx="0">
                  <c:v>Series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Model'!$C$29:$X$29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1.0000000000000036</c:v>
                </c:pt>
                <c:pt idx="6">
                  <c:v>11</c:v>
                </c:pt>
                <c:pt idx="7">
                  <c:v>20</c:v>
                </c:pt>
                <c:pt idx="8">
                  <c:v>20</c:v>
                </c:pt>
                <c:pt idx="9">
                  <c:v>20.359714512291831</c:v>
                </c:pt>
                <c:pt idx="10">
                  <c:v>21.305699481865286</c:v>
                </c:pt>
                <c:pt idx="11">
                  <c:v>22.308396946564883</c:v>
                </c:pt>
                <c:pt idx="12">
                  <c:v>23.357805355976485</c:v>
                </c:pt>
                <c:pt idx="13">
                  <c:v>24.446144355336212</c:v>
                </c:pt>
                <c:pt idx="14">
                  <c:v>25.56727060198714</c:v>
                </c:pt>
                <c:pt idx="15">
                  <c:v>26.716268739589118</c:v>
                </c:pt>
                <c:pt idx="16">
                  <c:v>27.889159175039662</c:v>
                </c:pt>
                <c:pt idx="17">
                  <c:v>29.08268551236749</c:v>
                </c:pt>
                <c:pt idx="18">
                  <c:v>30.27431325301205</c:v>
                </c:pt>
                <c:pt idx="19">
                  <c:v>31.447172413793105</c:v>
                </c:pt>
                <c:pt idx="20">
                  <c:v>32.627692307692307</c:v>
                </c:pt>
                <c:pt idx="21">
                  <c:v>33.814905263157897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E1-43D7-9F29-F0188537C677}"/>
            </c:ext>
          </c:extLst>
        </c:ser>
        <c:ser>
          <c:idx val="4"/>
          <c:order val="4"/>
          <c:tx>
            <c:strRef>
              <c:f>'Distribution Model'!$B$30</c:f>
              <c:strCache>
                <c:ptCount val="1"/>
                <c:pt idx="0">
                  <c:v>Series 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Model'!$C$30:$X$30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5.0000000000000036</c:v>
                </c:pt>
                <c:pt idx="4">
                  <c:v>15</c:v>
                </c:pt>
                <c:pt idx="5">
                  <c:v>23.999999999999996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24.558287073750993</c:v>
                </c:pt>
                <c:pt idx="10">
                  <c:v>25.823834196891188</c:v>
                </c:pt>
                <c:pt idx="11">
                  <c:v>26.931297709923662</c:v>
                </c:pt>
                <c:pt idx="12">
                  <c:v>27.90855649902025</c:v>
                </c:pt>
                <c:pt idx="13">
                  <c:v>28.777297964219617</c:v>
                </c:pt>
                <c:pt idx="14">
                  <c:v>29.554646405610754</c:v>
                </c:pt>
                <c:pt idx="15">
                  <c:v>30.254303164908386</c:v>
                </c:pt>
                <c:pt idx="16">
                  <c:v>30.887361184558433</c:v>
                </c:pt>
                <c:pt idx="17">
                  <c:v>31.462897526501767</c:v>
                </c:pt>
                <c:pt idx="18">
                  <c:v>32.154216867469877</c:v>
                </c:pt>
                <c:pt idx="19">
                  <c:v>33.085057471264363</c:v>
                </c:pt>
                <c:pt idx="20">
                  <c:v>34.021978021978022</c:v>
                </c:pt>
                <c:pt idx="21">
                  <c:v>34.964210526315789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E1-43D7-9F29-F0188537C677}"/>
            </c:ext>
          </c:extLst>
        </c:ser>
        <c:ser>
          <c:idx val="5"/>
          <c:order val="5"/>
          <c:tx>
            <c:strRef>
              <c:f>'Distribution Model'!$B$31</c:f>
              <c:strCache>
                <c:ptCount val="1"/>
                <c:pt idx="0">
                  <c:v>Series 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Model'!$C$31:$X$31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24.999999999999996</c:v>
                </c:pt>
                <c:pt idx="4">
                  <c:v>25</c:v>
                </c:pt>
                <c:pt idx="5">
                  <c:v>25</c:v>
                </c:pt>
                <c:pt idx="6">
                  <c:v>24.999999999999996</c:v>
                </c:pt>
                <c:pt idx="7">
                  <c:v>24.999999999999996</c:v>
                </c:pt>
                <c:pt idx="8">
                  <c:v>25</c:v>
                </c:pt>
                <c:pt idx="9">
                  <c:v>25.872323552735924</c:v>
                </c:pt>
                <c:pt idx="10">
                  <c:v>27.849740932642487</c:v>
                </c:pt>
                <c:pt idx="11">
                  <c:v>29.580152671755723</c:v>
                </c:pt>
                <c:pt idx="12">
                  <c:v>31.107119529719135</c:v>
                </c:pt>
                <c:pt idx="13">
                  <c:v>32.464528069093149</c:v>
                </c:pt>
                <c:pt idx="14">
                  <c:v>33.679135008766799</c:v>
                </c:pt>
                <c:pt idx="15">
                  <c:v>34.772348695169349</c:v>
                </c:pt>
                <c:pt idx="16">
                  <c:v>35.761501850872548</c:v>
                </c:pt>
                <c:pt idx="17">
                  <c:v>36.660777385159008</c:v>
                </c:pt>
                <c:pt idx="18">
                  <c:v>37.457831325301207</c:v>
                </c:pt>
                <c:pt idx="19">
                  <c:v>38.149425287356323</c:v>
                </c:pt>
                <c:pt idx="20">
                  <c:v>38.780219780219781</c:v>
                </c:pt>
                <c:pt idx="21">
                  <c:v>39.357894736842105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E1-43D7-9F29-F0188537C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5162127"/>
        <c:axId val="771916335"/>
      </c:barChart>
      <c:catAx>
        <c:axId val="88516212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71916335"/>
        <c:crosses val="autoZero"/>
        <c:auto val="1"/>
        <c:lblAlgn val="ctr"/>
        <c:lblOffset val="100"/>
        <c:noMultiLvlLbl val="0"/>
      </c:catAx>
      <c:valAx>
        <c:axId val="77191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8516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Total Proceeds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'Distribution Model'!$B$26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Model'!$C$26:$X$26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1.5025789056304519</c:v>
                </c:pt>
                <c:pt idx="10">
                  <c:v>5.454093264248705</c:v>
                </c:pt>
                <c:pt idx="11">
                  <c:v>9.6425038167938926</c:v>
                </c:pt>
                <c:pt idx="12">
                  <c:v>14.026032658393206</c:v>
                </c:pt>
                <c:pt idx="13">
                  <c:v>18.572180135718693</c:v>
                </c:pt>
                <c:pt idx="14">
                  <c:v>23.255284628872001</c:v>
                </c:pt>
                <c:pt idx="15">
                  <c:v>28.054813992226535</c:v>
                </c:pt>
                <c:pt idx="16">
                  <c:v>32.954144896879953</c:v>
                </c:pt>
                <c:pt idx="17">
                  <c:v>37.939674911660774</c:v>
                </c:pt>
                <c:pt idx="18">
                  <c:v>42.917274216867469</c:v>
                </c:pt>
                <c:pt idx="19">
                  <c:v>47.816474482758615</c:v>
                </c:pt>
                <c:pt idx="20">
                  <c:v>52.747674725274727</c:v>
                </c:pt>
                <c:pt idx="21">
                  <c:v>57.706832842105264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A-468E-8DBD-76A1103C0904}"/>
            </c:ext>
          </c:extLst>
        </c:ser>
        <c:ser>
          <c:idx val="1"/>
          <c:order val="1"/>
          <c:tx>
            <c:strRef>
              <c:f>'Distribution Model'!$B$27</c:f>
              <c:strCache>
                <c:ptCount val="1"/>
                <c:pt idx="0">
                  <c:v>Seed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Model'!$C$27:$X$27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4.8756447264076126</c:v>
                </c:pt>
                <c:pt idx="10">
                  <c:v>5.8635233160621762</c:v>
                </c:pt>
                <c:pt idx="11">
                  <c:v>6.9106259541984727</c:v>
                </c:pt>
                <c:pt idx="12">
                  <c:v>8.0065081645983014</c:v>
                </c:pt>
                <c:pt idx="13">
                  <c:v>9.143045033929674</c:v>
                </c:pt>
                <c:pt idx="14">
                  <c:v>10.313821157218001</c:v>
                </c:pt>
                <c:pt idx="15">
                  <c:v>11.513703498056634</c:v>
                </c:pt>
                <c:pt idx="16">
                  <c:v>12.738536224219988</c:v>
                </c:pt>
                <c:pt idx="17">
                  <c:v>13.984918727915193</c:v>
                </c:pt>
                <c:pt idx="18">
                  <c:v>15.229318554216867</c:v>
                </c:pt>
                <c:pt idx="19">
                  <c:v>16.454118620689655</c:v>
                </c:pt>
                <c:pt idx="20">
                  <c:v>17.68691868131868</c:v>
                </c:pt>
                <c:pt idx="21">
                  <c:v>18.926708210526314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A-468E-8DBD-76A1103C0904}"/>
            </c:ext>
          </c:extLst>
        </c:ser>
        <c:ser>
          <c:idx val="2"/>
          <c:order val="2"/>
          <c:tx>
            <c:strRef>
              <c:f>'Distribution Model'!$B$28</c:f>
              <c:strCache>
                <c:ptCount val="1"/>
                <c:pt idx="0">
                  <c:v>Series 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Model'!$C$28:$X$28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11</c:v>
                </c:pt>
                <c:pt idx="9">
                  <c:v>12.831451229183189</c:v>
                </c:pt>
                <c:pt idx="10">
                  <c:v>13.703108808290157</c:v>
                </c:pt>
                <c:pt idx="11">
                  <c:v>14.627022900763361</c:v>
                </c:pt>
                <c:pt idx="12">
                  <c:v>15.593977792292623</c:v>
                </c:pt>
                <c:pt idx="13">
                  <c:v>16.596804441702655</c:v>
                </c:pt>
                <c:pt idx="14">
                  <c:v>17.629842197545301</c:v>
                </c:pt>
                <c:pt idx="15">
                  <c:v>18.688561910049977</c:v>
                </c:pt>
                <c:pt idx="16">
                  <c:v>19.769296668429405</c:v>
                </c:pt>
                <c:pt idx="17">
                  <c:v>20.869045936395764</c:v>
                </c:pt>
                <c:pt idx="18">
                  <c:v>21.967045783132537</c:v>
                </c:pt>
                <c:pt idx="19">
                  <c:v>23.047751724137939</c:v>
                </c:pt>
                <c:pt idx="20">
                  <c:v>24.13551648351649</c:v>
                </c:pt>
                <c:pt idx="21">
                  <c:v>25.229448421052638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A-468E-8DBD-76A1103C0904}"/>
            </c:ext>
          </c:extLst>
        </c:ser>
        <c:ser>
          <c:idx val="3"/>
          <c:order val="3"/>
          <c:tx>
            <c:strRef>
              <c:f>'Distribution Model'!$B$29</c:f>
              <c:strCache>
                <c:ptCount val="1"/>
                <c:pt idx="0">
                  <c:v>Series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Model'!$C$29:$X$29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1.0000000000000036</c:v>
                </c:pt>
                <c:pt idx="6">
                  <c:v>11</c:v>
                </c:pt>
                <c:pt idx="7">
                  <c:v>20</c:v>
                </c:pt>
                <c:pt idx="8">
                  <c:v>20</c:v>
                </c:pt>
                <c:pt idx="9">
                  <c:v>20.359714512291831</c:v>
                </c:pt>
                <c:pt idx="10">
                  <c:v>21.305699481865286</c:v>
                </c:pt>
                <c:pt idx="11">
                  <c:v>22.308396946564883</c:v>
                </c:pt>
                <c:pt idx="12">
                  <c:v>23.357805355976485</c:v>
                </c:pt>
                <c:pt idx="13">
                  <c:v>24.446144355336212</c:v>
                </c:pt>
                <c:pt idx="14">
                  <c:v>25.56727060198714</c:v>
                </c:pt>
                <c:pt idx="15">
                  <c:v>26.716268739589118</c:v>
                </c:pt>
                <c:pt idx="16">
                  <c:v>27.889159175039662</c:v>
                </c:pt>
                <c:pt idx="17">
                  <c:v>29.08268551236749</c:v>
                </c:pt>
                <c:pt idx="18">
                  <c:v>30.27431325301205</c:v>
                </c:pt>
                <c:pt idx="19">
                  <c:v>31.447172413793105</c:v>
                </c:pt>
                <c:pt idx="20">
                  <c:v>32.627692307692307</c:v>
                </c:pt>
                <c:pt idx="21">
                  <c:v>33.814905263157897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4A-468E-8DBD-76A1103C0904}"/>
            </c:ext>
          </c:extLst>
        </c:ser>
        <c:ser>
          <c:idx val="4"/>
          <c:order val="4"/>
          <c:tx>
            <c:strRef>
              <c:f>'Distribution Model'!$B$30</c:f>
              <c:strCache>
                <c:ptCount val="1"/>
                <c:pt idx="0">
                  <c:v>Series 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Model'!$C$30:$X$30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5.0000000000000036</c:v>
                </c:pt>
                <c:pt idx="4">
                  <c:v>15</c:v>
                </c:pt>
                <c:pt idx="5">
                  <c:v>23.999999999999996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24.558287073750993</c:v>
                </c:pt>
                <c:pt idx="10">
                  <c:v>25.823834196891188</c:v>
                </c:pt>
                <c:pt idx="11">
                  <c:v>26.931297709923662</c:v>
                </c:pt>
                <c:pt idx="12">
                  <c:v>27.90855649902025</c:v>
                </c:pt>
                <c:pt idx="13">
                  <c:v>28.777297964219617</c:v>
                </c:pt>
                <c:pt idx="14">
                  <c:v>29.554646405610754</c:v>
                </c:pt>
                <c:pt idx="15">
                  <c:v>30.254303164908386</c:v>
                </c:pt>
                <c:pt idx="16">
                  <c:v>30.887361184558433</c:v>
                </c:pt>
                <c:pt idx="17">
                  <c:v>31.462897526501767</c:v>
                </c:pt>
                <c:pt idx="18">
                  <c:v>32.154216867469877</c:v>
                </c:pt>
                <c:pt idx="19">
                  <c:v>33.085057471264363</c:v>
                </c:pt>
                <c:pt idx="20">
                  <c:v>34.021978021978022</c:v>
                </c:pt>
                <c:pt idx="21">
                  <c:v>34.964210526315789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4A-468E-8DBD-76A1103C0904}"/>
            </c:ext>
          </c:extLst>
        </c:ser>
        <c:ser>
          <c:idx val="5"/>
          <c:order val="5"/>
          <c:tx>
            <c:strRef>
              <c:f>'Distribution Model'!$B$31</c:f>
              <c:strCache>
                <c:ptCount val="1"/>
                <c:pt idx="0">
                  <c:v>Series 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Model'!$C$31:$X$31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24.999999999999996</c:v>
                </c:pt>
                <c:pt idx="4">
                  <c:v>25</c:v>
                </c:pt>
                <c:pt idx="5">
                  <c:v>25</c:v>
                </c:pt>
                <c:pt idx="6">
                  <c:v>24.999999999999996</c:v>
                </c:pt>
                <c:pt idx="7">
                  <c:v>24.999999999999996</c:v>
                </c:pt>
                <c:pt idx="8">
                  <c:v>25</c:v>
                </c:pt>
                <c:pt idx="9">
                  <c:v>25.872323552735924</c:v>
                </c:pt>
                <c:pt idx="10">
                  <c:v>27.849740932642487</c:v>
                </c:pt>
                <c:pt idx="11">
                  <c:v>29.580152671755723</c:v>
                </c:pt>
                <c:pt idx="12">
                  <c:v>31.107119529719135</c:v>
                </c:pt>
                <c:pt idx="13">
                  <c:v>32.464528069093149</c:v>
                </c:pt>
                <c:pt idx="14">
                  <c:v>33.679135008766799</c:v>
                </c:pt>
                <c:pt idx="15">
                  <c:v>34.772348695169349</c:v>
                </c:pt>
                <c:pt idx="16">
                  <c:v>35.761501850872548</c:v>
                </c:pt>
                <c:pt idx="17">
                  <c:v>36.660777385159008</c:v>
                </c:pt>
                <c:pt idx="18">
                  <c:v>37.457831325301207</c:v>
                </c:pt>
                <c:pt idx="19">
                  <c:v>38.149425287356323</c:v>
                </c:pt>
                <c:pt idx="20">
                  <c:v>38.780219780219781</c:v>
                </c:pt>
                <c:pt idx="21">
                  <c:v>39.357894736842105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4A-468E-8DBD-76A1103C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51492687"/>
        <c:axId val="2106260271"/>
      </c:barChart>
      <c:catAx>
        <c:axId val="115149268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6260271"/>
        <c:crosses val="autoZero"/>
        <c:auto val="1"/>
        <c:lblAlgn val="ctr"/>
        <c:lblOffset val="100"/>
        <c:noMultiLvlLbl val="0"/>
      </c:catAx>
      <c:valAx>
        <c:axId val="21062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149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MOIC Returns by 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'Distribution Model'!$B$36</c:f>
              <c:strCache>
                <c:ptCount val="1"/>
                <c:pt idx="0">
                  <c:v>Seed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Model'!$C$36:$X$36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3.2504298176050752</c:v>
                </c:pt>
                <c:pt idx="10">
                  <c:v>3.9090155440414507</c:v>
                </c:pt>
                <c:pt idx="11">
                  <c:v>4.6070839694656485</c:v>
                </c:pt>
                <c:pt idx="12">
                  <c:v>5.3376721097322006</c:v>
                </c:pt>
                <c:pt idx="13">
                  <c:v>6.0953633559531157</c:v>
                </c:pt>
                <c:pt idx="14">
                  <c:v>6.8758807714786672</c:v>
                </c:pt>
                <c:pt idx="15">
                  <c:v>7.6758023320377555</c:v>
                </c:pt>
                <c:pt idx="16">
                  <c:v>8.4923574828133255</c:v>
                </c:pt>
                <c:pt idx="17">
                  <c:v>9.3232791519434617</c:v>
                </c:pt>
                <c:pt idx="18">
                  <c:v>10.152879036144578</c:v>
                </c:pt>
                <c:pt idx="19">
                  <c:v>10.969412413793103</c:v>
                </c:pt>
                <c:pt idx="20">
                  <c:v>11.791279120879119</c:v>
                </c:pt>
                <c:pt idx="21">
                  <c:v>12.617805473684209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48D8-92BD-5D5555CBDDEF}"/>
            </c:ext>
          </c:extLst>
        </c:ser>
        <c:ser>
          <c:idx val="1"/>
          <c:order val="1"/>
          <c:tx>
            <c:strRef>
              <c:f>'Distribution Model'!$B$37</c:f>
              <c:strCache>
                <c:ptCount val="1"/>
                <c:pt idx="0">
                  <c:v>Series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Model'!$C$37:$X$37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2.2000000000000002</c:v>
                </c:pt>
                <c:pt idx="9">
                  <c:v>2.5662902458366377</c:v>
                </c:pt>
                <c:pt idx="10">
                  <c:v>2.7406217616580313</c:v>
                </c:pt>
                <c:pt idx="11">
                  <c:v>2.925404580152672</c:v>
                </c:pt>
                <c:pt idx="12">
                  <c:v>3.1187955584585247</c:v>
                </c:pt>
                <c:pt idx="13">
                  <c:v>3.319360888340531</c:v>
                </c:pt>
                <c:pt idx="14">
                  <c:v>3.52596843950906</c:v>
                </c:pt>
                <c:pt idx="15">
                  <c:v>3.7377123820099953</c:v>
                </c:pt>
                <c:pt idx="16">
                  <c:v>3.9538593336858812</c:v>
                </c:pt>
                <c:pt idx="17">
                  <c:v>4.1738091872791525</c:v>
                </c:pt>
                <c:pt idx="18">
                  <c:v>4.3934091566265074</c:v>
                </c:pt>
                <c:pt idx="19">
                  <c:v>4.6095503448275874</c:v>
                </c:pt>
                <c:pt idx="20">
                  <c:v>4.8271032967032976</c:v>
                </c:pt>
                <c:pt idx="21">
                  <c:v>5.0458896842105272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ED-48D8-92BD-5D5555CBDDEF}"/>
            </c:ext>
          </c:extLst>
        </c:ser>
        <c:ser>
          <c:idx val="2"/>
          <c:order val="2"/>
          <c:tx>
            <c:strRef>
              <c:f>'Distribution Model'!$B$38</c:f>
              <c:strCache>
                <c:ptCount val="1"/>
                <c:pt idx="0">
                  <c:v>Series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Model'!$C$38:$X$38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0.10000000000000035</c:v>
                </c:pt>
                <c:pt idx="6">
                  <c:v>1.1000000000000001</c:v>
                </c:pt>
                <c:pt idx="7">
                  <c:v>2</c:v>
                </c:pt>
                <c:pt idx="8">
                  <c:v>2</c:v>
                </c:pt>
                <c:pt idx="9">
                  <c:v>2.0359714512291829</c:v>
                </c:pt>
                <c:pt idx="10">
                  <c:v>2.1305699481865288</c:v>
                </c:pt>
                <c:pt idx="11">
                  <c:v>2.2308396946564883</c:v>
                </c:pt>
                <c:pt idx="12">
                  <c:v>2.3357805355976486</c:v>
                </c:pt>
                <c:pt idx="13">
                  <c:v>2.4446144355336212</c:v>
                </c:pt>
                <c:pt idx="14">
                  <c:v>2.556727060198714</c:v>
                </c:pt>
                <c:pt idx="15">
                  <c:v>2.6716268739589117</c:v>
                </c:pt>
                <c:pt idx="16">
                  <c:v>2.7889159175039664</c:v>
                </c:pt>
                <c:pt idx="17">
                  <c:v>2.9082685512367492</c:v>
                </c:pt>
                <c:pt idx="18">
                  <c:v>3.0274313253012051</c:v>
                </c:pt>
                <c:pt idx="19">
                  <c:v>3.1447172413793103</c:v>
                </c:pt>
                <c:pt idx="20">
                  <c:v>3.2627692307692309</c:v>
                </c:pt>
                <c:pt idx="21">
                  <c:v>3.3814905263157895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ED-48D8-92BD-5D5555CBDDEF}"/>
            </c:ext>
          </c:extLst>
        </c:ser>
        <c:ser>
          <c:idx val="3"/>
          <c:order val="3"/>
          <c:tx>
            <c:strRef>
              <c:f>'Distribution Model'!$B$39</c:f>
              <c:strCache>
                <c:ptCount val="1"/>
                <c:pt idx="0">
                  <c:v>Series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Model'!$C$39:$X$39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0.31250000000000022</c:v>
                </c:pt>
                <c:pt idx="4">
                  <c:v>0.9375</c:v>
                </c:pt>
                <c:pt idx="5">
                  <c:v>1.4999999999999998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1.5348929421094371</c:v>
                </c:pt>
                <c:pt idx="10">
                  <c:v>1.6139896373056992</c:v>
                </c:pt>
                <c:pt idx="11">
                  <c:v>1.6832061068702289</c:v>
                </c:pt>
                <c:pt idx="12">
                  <c:v>1.7442847811887656</c:v>
                </c:pt>
                <c:pt idx="13">
                  <c:v>1.7985811227637261</c:v>
                </c:pt>
                <c:pt idx="14">
                  <c:v>1.8471654003506721</c:v>
                </c:pt>
                <c:pt idx="15">
                  <c:v>1.8908939478067741</c:v>
                </c:pt>
                <c:pt idx="16">
                  <c:v>1.9304600740349021</c:v>
                </c:pt>
                <c:pt idx="17">
                  <c:v>1.9664310954063604</c:v>
                </c:pt>
                <c:pt idx="18">
                  <c:v>2.0096385542168673</c:v>
                </c:pt>
                <c:pt idx="19">
                  <c:v>2.0678160919540227</c:v>
                </c:pt>
                <c:pt idx="20">
                  <c:v>2.1263736263736264</c:v>
                </c:pt>
                <c:pt idx="21">
                  <c:v>2.1852631578947368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ED-48D8-92BD-5D5555CBDDEF}"/>
            </c:ext>
          </c:extLst>
        </c:ser>
        <c:ser>
          <c:idx val="4"/>
          <c:order val="4"/>
          <c:tx>
            <c:strRef>
              <c:f>'Distribution Model'!$B$40</c:f>
              <c:strCache>
                <c:ptCount val="1"/>
                <c:pt idx="0">
                  <c:v>Series 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Model'!$C$40:$X$40</c:f>
              <c:numCache>
                <c:formatCode>0.0"x "</c:formatCode>
                <c:ptCount val="22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0.99999999999999989</c:v>
                </c:pt>
                <c:pt idx="4">
                  <c:v>1</c:v>
                </c:pt>
                <c:pt idx="5">
                  <c:v>1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1</c:v>
                </c:pt>
                <c:pt idx="9">
                  <c:v>1.0348929421094371</c:v>
                </c:pt>
                <c:pt idx="10">
                  <c:v>1.1139896373056994</c:v>
                </c:pt>
                <c:pt idx="11">
                  <c:v>1.1832061068702289</c:v>
                </c:pt>
                <c:pt idx="12">
                  <c:v>1.2442847811887654</c:v>
                </c:pt>
                <c:pt idx="13">
                  <c:v>1.2985811227637258</c:v>
                </c:pt>
                <c:pt idx="14">
                  <c:v>1.3471654003506719</c:v>
                </c:pt>
                <c:pt idx="15">
                  <c:v>1.3908939478067739</c:v>
                </c:pt>
                <c:pt idx="16">
                  <c:v>1.4304600740349018</c:v>
                </c:pt>
                <c:pt idx="17">
                  <c:v>1.4664310954063604</c:v>
                </c:pt>
                <c:pt idx="18">
                  <c:v>1.4983132530120482</c:v>
                </c:pt>
                <c:pt idx="19">
                  <c:v>1.5259770114942528</c:v>
                </c:pt>
                <c:pt idx="20">
                  <c:v>1.5512087912087913</c:v>
                </c:pt>
                <c:pt idx="21">
                  <c:v>1.5743157894736841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ED-48D8-92BD-5D5555CBD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45407"/>
        <c:axId val="772008687"/>
      </c:lineChart>
      <c:catAx>
        <c:axId val="53524540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72008687"/>
        <c:crosses val="autoZero"/>
        <c:auto val="1"/>
        <c:lblAlgn val="ctr"/>
        <c:lblOffset val="100"/>
        <c:noMultiLvlLbl val="0"/>
      </c:catAx>
      <c:valAx>
        <c:axId val="7720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x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524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% Claim on Proceeds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'Distribution Model'!$B$26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Model'!$C$26:$X$26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1.5025789056304519</c:v>
                </c:pt>
                <c:pt idx="10">
                  <c:v>5.454093264248705</c:v>
                </c:pt>
                <c:pt idx="11">
                  <c:v>9.6425038167938926</c:v>
                </c:pt>
                <c:pt idx="12">
                  <c:v>14.026032658393206</c:v>
                </c:pt>
                <c:pt idx="13">
                  <c:v>18.572180135718693</c:v>
                </c:pt>
                <c:pt idx="14">
                  <c:v>23.255284628872001</c:v>
                </c:pt>
                <c:pt idx="15">
                  <c:v>28.054813992226535</c:v>
                </c:pt>
                <c:pt idx="16">
                  <c:v>32.954144896879953</c:v>
                </c:pt>
                <c:pt idx="17">
                  <c:v>37.939674911660774</c:v>
                </c:pt>
                <c:pt idx="18">
                  <c:v>42.917274216867469</c:v>
                </c:pt>
                <c:pt idx="19">
                  <c:v>47.816474482758615</c:v>
                </c:pt>
                <c:pt idx="20">
                  <c:v>52.747674725274727</c:v>
                </c:pt>
                <c:pt idx="21">
                  <c:v>57.706832842105264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2-4395-B543-CD1AE3E466CC}"/>
            </c:ext>
          </c:extLst>
        </c:ser>
        <c:ser>
          <c:idx val="1"/>
          <c:order val="1"/>
          <c:tx>
            <c:strRef>
              <c:f>'Distribution Model'!$B$27</c:f>
              <c:strCache>
                <c:ptCount val="1"/>
                <c:pt idx="0">
                  <c:v>Seed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Model'!$C$27:$X$27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4.8756447264076126</c:v>
                </c:pt>
                <c:pt idx="10">
                  <c:v>5.8635233160621762</c:v>
                </c:pt>
                <c:pt idx="11">
                  <c:v>6.9106259541984727</c:v>
                </c:pt>
                <c:pt idx="12">
                  <c:v>8.0065081645983014</c:v>
                </c:pt>
                <c:pt idx="13">
                  <c:v>9.143045033929674</c:v>
                </c:pt>
                <c:pt idx="14">
                  <c:v>10.313821157218001</c:v>
                </c:pt>
                <c:pt idx="15">
                  <c:v>11.513703498056634</c:v>
                </c:pt>
                <c:pt idx="16">
                  <c:v>12.738536224219988</c:v>
                </c:pt>
                <c:pt idx="17">
                  <c:v>13.984918727915193</c:v>
                </c:pt>
                <c:pt idx="18">
                  <c:v>15.229318554216867</c:v>
                </c:pt>
                <c:pt idx="19">
                  <c:v>16.454118620689655</c:v>
                </c:pt>
                <c:pt idx="20">
                  <c:v>17.68691868131868</c:v>
                </c:pt>
                <c:pt idx="21">
                  <c:v>18.926708210526314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2-4395-B543-CD1AE3E466CC}"/>
            </c:ext>
          </c:extLst>
        </c:ser>
        <c:ser>
          <c:idx val="2"/>
          <c:order val="2"/>
          <c:tx>
            <c:strRef>
              <c:f>'Distribution Model'!$B$28</c:f>
              <c:strCache>
                <c:ptCount val="1"/>
                <c:pt idx="0">
                  <c:v>Series 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Model'!$C$28:$X$28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11</c:v>
                </c:pt>
                <c:pt idx="9">
                  <c:v>12.831451229183189</c:v>
                </c:pt>
                <c:pt idx="10">
                  <c:v>13.703108808290157</c:v>
                </c:pt>
                <c:pt idx="11">
                  <c:v>14.627022900763361</c:v>
                </c:pt>
                <c:pt idx="12">
                  <c:v>15.593977792292623</c:v>
                </c:pt>
                <c:pt idx="13">
                  <c:v>16.596804441702655</c:v>
                </c:pt>
                <c:pt idx="14">
                  <c:v>17.629842197545301</c:v>
                </c:pt>
                <c:pt idx="15">
                  <c:v>18.688561910049977</c:v>
                </c:pt>
                <c:pt idx="16">
                  <c:v>19.769296668429405</c:v>
                </c:pt>
                <c:pt idx="17">
                  <c:v>20.869045936395764</c:v>
                </c:pt>
                <c:pt idx="18">
                  <c:v>21.967045783132537</c:v>
                </c:pt>
                <c:pt idx="19">
                  <c:v>23.047751724137939</c:v>
                </c:pt>
                <c:pt idx="20">
                  <c:v>24.13551648351649</c:v>
                </c:pt>
                <c:pt idx="21">
                  <c:v>25.229448421052638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42-4395-B543-CD1AE3E466CC}"/>
            </c:ext>
          </c:extLst>
        </c:ser>
        <c:ser>
          <c:idx val="3"/>
          <c:order val="3"/>
          <c:tx>
            <c:strRef>
              <c:f>'Distribution Model'!$B$29</c:f>
              <c:strCache>
                <c:ptCount val="1"/>
                <c:pt idx="0">
                  <c:v>Series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Model'!$C$29:$X$29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1.0000000000000036</c:v>
                </c:pt>
                <c:pt idx="6">
                  <c:v>11</c:v>
                </c:pt>
                <c:pt idx="7">
                  <c:v>20</c:v>
                </c:pt>
                <c:pt idx="8">
                  <c:v>20</c:v>
                </c:pt>
                <c:pt idx="9">
                  <c:v>20.359714512291831</c:v>
                </c:pt>
                <c:pt idx="10">
                  <c:v>21.305699481865286</c:v>
                </c:pt>
                <c:pt idx="11">
                  <c:v>22.308396946564883</c:v>
                </c:pt>
                <c:pt idx="12">
                  <c:v>23.357805355976485</c:v>
                </c:pt>
                <c:pt idx="13">
                  <c:v>24.446144355336212</c:v>
                </c:pt>
                <c:pt idx="14">
                  <c:v>25.56727060198714</c:v>
                </c:pt>
                <c:pt idx="15">
                  <c:v>26.716268739589118</c:v>
                </c:pt>
                <c:pt idx="16">
                  <c:v>27.889159175039662</c:v>
                </c:pt>
                <c:pt idx="17">
                  <c:v>29.08268551236749</c:v>
                </c:pt>
                <c:pt idx="18">
                  <c:v>30.27431325301205</c:v>
                </c:pt>
                <c:pt idx="19">
                  <c:v>31.447172413793105</c:v>
                </c:pt>
                <c:pt idx="20">
                  <c:v>32.627692307692307</c:v>
                </c:pt>
                <c:pt idx="21">
                  <c:v>33.814905263157897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42-4395-B543-CD1AE3E466CC}"/>
            </c:ext>
          </c:extLst>
        </c:ser>
        <c:ser>
          <c:idx val="4"/>
          <c:order val="4"/>
          <c:tx>
            <c:strRef>
              <c:f>'Distribution Model'!$B$30</c:f>
              <c:strCache>
                <c:ptCount val="1"/>
                <c:pt idx="0">
                  <c:v>Series 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Model'!$C$30:$X$30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5.0000000000000036</c:v>
                </c:pt>
                <c:pt idx="4">
                  <c:v>15</c:v>
                </c:pt>
                <c:pt idx="5">
                  <c:v>23.999999999999996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24.558287073750993</c:v>
                </c:pt>
                <c:pt idx="10">
                  <c:v>25.823834196891188</c:v>
                </c:pt>
                <c:pt idx="11">
                  <c:v>26.931297709923662</c:v>
                </c:pt>
                <c:pt idx="12">
                  <c:v>27.90855649902025</c:v>
                </c:pt>
                <c:pt idx="13">
                  <c:v>28.777297964219617</c:v>
                </c:pt>
                <c:pt idx="14">
                  <c:v>29.554646405610754</c:v>
                </c:pt>
                <c:pt idx="15">
                  <c:v>30.254303164908386</c:v>
                </c:pt>
                <c:pt idx="16">
                  <c:v>30.887361184558433</c:v>
                </c:pt>
                <c:pt idx="17">
                  <c:v>31.462897526501767</c:v>
                </c:pt>
                <c:pt idx="18">
                  <c:v>32.154216867469877</c:v>
                </c:pt>
                <c:pt idx="19">
                  <c:v>33.085057471264363</c:v>
                </c:pt>
                <c:pt idx="20">
                  <c:v>34.021978021978022</c:v>
                </c:pt>
                <c:pt idx="21">
                  <c:v>34.964210526315789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42-4395-B543-CD1AE3E466CC}"/>
            </c:ext>
          </c:extLst>
        </c:ser>
        <c:ser>
          <c:idx val="5"/>
          <c:order val="5"/>
          <c:tx>
            <c:strRef>
              <c:f>'Distribution Model'!$B$31</c:f>
              <c:strCache>
                <c:ptCount val="1"/>
                <c:pt idx="0">
                  <c:v>Series 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Model'!$C$31:$X$31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24.999999999999996</c:v>
                </c:pt>
                <c:pt idx="4">
                  <c:v>25</c:v>
                </c:pt>
                <c:pt idx="5">
                  <c:v>25</c:v>
                </c:pt>
                <c:pt idx="6">
                  <c:v>24.999999999999996</c:v>
                </c:pt>
                <c:pt idx="7">
                  <c:v>24.999999999999996</c:v>
                </c:pt>
                <c:pt idx="8">
                  <c:v>25</c:v>
                </c:pt>
                <c:pt idx="9">
                  <c:v>25.872323552735924</c:v>
                </c:pt>
                <c:pt idx="10">
                  <c:v>27.849740932642487</c:v>
                </c:pt>
                <c:pt idx="11">
                  <c:v>29.580152671755723</c:v>
                </c:pt>
                <c:pt idx="12">
                  <c:v>31.107119529719135</c:v>
                </c:pt>
                <c:pt idx="13">
                  <c:v>32.464528069093149</c:v>
                </c:pt>
                <c:pt idx="14">
                  <c:v>33.679135008766799</c:v>
                </c:pt>
                <c:pt idx="15">
                  <c:v>34.772348695169349</c:v>
                </c:pt>
                <c:pt idx="16">
                  <c:v>35.761501850872548</c:v>
                </c:pt>
                <c:pt idx="17">
                  <c:v>36.660777385159008</c:v>
                </c:pt>
                <c:pt idx="18">
                  <c:v>37.457831325301207</c:v>
                </c:pt>
                <c:pt idx="19">
                  <c:v>38.149425287356323</c:v>
                </c:pt>
                <c:pt idx="20">
                  <c:v>38.780219780219781</c:v>
                </c:pt>
                <c:pt idx="21">
                  <c:v>39.357894736842105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42-4395-B543-CD1AE3E46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5162127"/>
        <c:axId val="771916335"/>
      </c:barChart>
      <c:catAx>
        <c:axId val="88516212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71916335"/>
        <c:crosses val="autoZero"/>
        <c:auto val="1"/>
        <c:lblAlgn val="ctr"/>
        <c:lblOffset val="100"/>
        <c:noMultiLvlLbl val="0"/>
      </c:catAx>
      <c:valAx>
        <c:axId val="77191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8516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Total Proceeds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'Distribution Model'!$B$26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Model'!$C$26:$X$26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1.5025789056304519</c:v>
                </c:pt>
                <c:pt idx="10">
                  <c:v>5.454093264248705</c:v>
                </c:pt>
                <c:pt idx="11">
                  <c:v>9.6425038167938926</c:v>
                </c:pt>
                <c:pt idx="12">
                  <c:v>14.026032658393206</c:v>
                </c:pt>
                <c:pt idx="13">
                  <c:v>18.572180135718693</c:v>
                </c:pt>
                <c:pt idx="14">
                  <c:v>23.255284628872001</c:v>
                </c:pt>
                <c:pt idx="15">
                  <c:v>28.054813992226535</c:v>
                </c:pt>
                <c:pt idx="16">
                  <c:v>32.954144896879953</c:v>
                </c:pt>
                <c:pt idx="17">
                  <c:v>37.939674911660774</c:v>
                </c:pt>
                <c:pt idx="18">
                  <c:v>42.917274216867469</c:v>
                </c:pt>
                <c:pt idx="19">
                  <c:v>47.816474482758615</c:v>
                </c:pt>
                <c:pt idx="20">
                  <c:v>52.747674725274727</c:v>
                </c:pt>
                <c:pt idx="21">
                  <c:v>57.706832842105264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5-4B77-8F05-738094130C15}"/>
            </c:ext>
          </c:extLst>
        </c:ser>
        <c:ser>
          <c:idx val="1"/>
          <c:order val="1"/>
          <c:tx>
            <c:strRef>
              <c:f>'Distribution Model'!$B$27</c:f>
              <c:strCache>
                <c:ptCount val="1"/>
                <c:pt idx="0">
                  <c:v>Seed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Model'!$C$27:$X$27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4.8756447264076126</c:v>
                </c:pt>
                <c:pt idx="10">
                  <c:v>5.8635233160621762</c:v>
                </c:pt>
                <c:pt idx="11">
                  <c:v>6.9106259541984727</c:v>
                </c:pt>
                <c:pt idx="12">
                  <c:v>8.0065081645983014</c:v>
                </c:pt>
                <c:pt idx="13">
                  <c:v>9.143045033929674</c:v>
                </c:pt>
                <c:pt idx="14">
                  <c:v>10.313821157218001</c:v>
                </c:pt>
                <c:pt idx="15">
                  <c:v>11.513703498056634</c:v>
                </c:pt>
                <c:pt idx="16">
                  <c:v>12.738536224219988</c:v>
                </c:pt>
                <c:pt idx="17">
                  <c:v>13.984918727915193</c:v>
                </c:pt>
                <c:pt idx="18">
                  <c:v>15.229318554216867</c:v>
                </c:pt>
                <c:pt idx="19">
                  <c:v>16.454118620689655</c:v>
                </c:pt>
                <c:pt idx="20">
                  <c:v>17.68691868131868</c:v>
                </c:pt>
                <c:pt idx="21">
                  <c:v>18.926708210526314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5-4B77-8F05-738094130C15}"/>
            </c:ext>
          </c:extLst>
        </c:ser>
        <c:ser>
          <c:idx val="2"/>
          <c:order val="2"/>
          <c:tx>
            <c:strRef>
              <c:f>'Distribution Model'!$B$28</c:f>
              <c:strCache>
                <c:ptCount val="1"/>
                <c:pt idx="0">
                  <c:v>Series 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Model'!$C$28:$X$28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11</c:v>
                </c:pt>
                <c:pt idx="9">
                  <c:v>12.831451229183189</c:v>
                </c:pt>
                <c:pt idx="10">
                  <c:v>13.703108808290157</c:v>
                </c:pt>
                <c:pt idx="11">
                  <c:v>14.627022900763361</c:v>
                </c:pt>
                <c:pt idx="12">
                  <c:v>15.593977792292623</c:v>
                </c:pt>
                <c:pt idx="13">
                  <c:v>16.596804441702655</c:v>
                </c:pt>
                <c:pt idx="14">
                  <c:v>17.629842197545301</c:v>
                </c:pt>
                <c:pt idx="15">
                  <c:v>18.688561910049977</c:v>
                </c:pt>
                <c:pt idx="16">
                  <c:v>19.769296668429405</c:v>
                </c:pt>
                <c:pt idx="17">
                  <c:v>20.869045936395764</c:v>
                </c:pt>
                <c:pt idx="18">
                  <c:v>21.967045783132537</c:v>
                </c:pt>
                <c:pt idx="19">
                  <c:v>23.047751724137939</c:v>
                </c:pt>
                <c:pt idx="20">
                  <c:v>24.13551648351649</c:v>
                </c:pt>
                <c:pt idx="21">
                  <c:v>25.229448421052638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5-4B77-8F05-738094130C15}"/>
            </c:ext>
          </c:extLst>
        </c:ser>
        <c:ser>
          <c:idx val="3"/>
          <c:order val="3"/>
          <c:tx>
            <c:strRef>
              <c:f>'Distribution Model'!$B$29</c:f>
              <c:strCache>
                <c:ptCount val="1"/>
                <c:pt idx="0">
                  <c:v>Series 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Model'!$C$29:$X$29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1.0000000000000036</c:v>
                </c:pt>
                <c:pt idx="6">
                  <c:v>11</c:v>
                </c:pt>
                <c:pt idx="7">
                  <c:v>20</c:v>
                </c:pt>
                <c:pt idx="8">
                  <c:v>20</c:v>
                </c:pt>
                <c:pt idx="9">
                  <c:v>20.359714512291831</c:v>
                </c:pt>
                <c:pt idx="10">
                  <c:v>21.305699481865286</c:v>
                </c:pt>
                <c:pt idx="11">
                  <c:v>22.308396946564883</c:v>
                </c:pt>
                <c:pt idx="12">
                  <c:v>23.357805355976485</c:v>
                </c:pt>
                <c:pt idx="13">
                  <c:v>24.446144355336212</c:v>
                </c:pt>
                <c:pt idx="14">
                  <c:v>25.56727060198714</c:v>
                </c:pt>
                <c:pt idx="15">
                  <c:v>26.716268739589118</c:v>
                </c:pt>
                <c:pt idx="16">
                  <c:v>27.889159175039662</c:v>
                </c:pt>
                <c:pt idx="17">
                  <c:v>29.08268551236749</c:v>
                </c:pt>
                <c:pt idx="18">
                  <c:v>30.27431325301205</c:v>
                </c:pt>
                <c:pt idx="19">
                  <c:v>31.447172413793105</c:v>
                </c:pt>
                <c:pt idx="20">
                  <c:v>32.627692307692307</c:v>
                </c:pt>
                <c:pt idx="21">
                  <c:v>33.814905263157897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05-4B77-8F05-738094130C15}"/>
            </c:ext>
          </c:extLst>
        </c:ser>
        <c:ser>
          <c:idx val="4"/>
          <c:order val="4"/>
          <c:tx>
            <c:strRef>
              <c:f>'Distribution Model'!$B$30</c:f>
              <c:strCache>
                <c:ptCount val="1"/>
                <c:pt idx="0">
                  <c:v>Series 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Model'!$C$30:$X$30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5.0000000000000036</c:v>
                </c:pt>
                <c:pt idx="4">
                  <c:v>15</c:v>
                </c:pt>
                <c:pt idx="5">
                  <c:v>23.999999999999996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24.558287073750993</c:v>
                </c:pt>
                <c:pt idx="10">
                  <c:v>25.823834196891188</c:v>
                </c:pt>
                <c:pt idx="11">
                  <c:v>26.931297709923662</c:v>
                </c:pt>
                <c:pt idx="12">
                  <c:v>27.90855649902025</c:v>
                </c:pt>
                <c:pt idx="13">
                  <c:v>28.777297964219617</c:v>
                </c:pt>
                <c:pt idx="14">
                  <c:v>29.554646405610754</c:v>
                </c:pt>
                <c:pt idx="15">
                  <c:v>30.254303164908386</c:v>
                </c:pt>
                <c:pt idx="16">
                  <c:v>30.887361184558433</c:v>
                </c:pt>
                <c:pt idx="17">
                  <c:v>31.462897526501767</c:v>
                </c:pt>
                <c:pt idx="18">
                  <c:v>32.154216867469877</c:v>
                </c:pt>
                <c:pt idx="19">
                  <c:v>33.085057471264363</c:v>
                </c:pt>
                <c:pt idx="20">
                  <c:v>34.021978021978022</c:v>
                </c:pt>
                <c:pt idx="21">
                  <c:v>34.964210526315789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05-4B77-8F05-738094130C15}"/>
            </c:ext>
          </c:extLst>
        </c:ser>
        <c:ser>
          <c:idx val="5"/>
          <c:order val="5"/>
          <c:tx>
            <c:strRef>
              <c:f>'Distribution Model'!$B$31</c:f>
              <c:strCache>
                <c:ptCount val="1"/>
                <c:pt idx="0">
                  <c:v>Series 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Model'!$C$31:$X$31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24.999999999999996</c:v>
                </c:pt>
                <c:pt idx="4">
                  <c:v>25</c:v>
                </c:pt>
                <c:pt idx="5">
                  <c:v>25</c:v>
                </c:pt>
                <c:pt idx="6">
                  <c:v>24.999999999999996</c:v>
                </c:pt>
                <c:pt idx="7">
                  <c:v>24.999999999999996</c:v>
                </c:pt>
                <c:pt idx="8">
                  <c:v>25</c:v>
                </c:pt>
                <c:pt idx="9">
                  <c:v>25.872323552735924</c:v>
                </c:pt>
                <c:pt idx="10">
                  <c:v>27.849740932642487</c:v>
                </c:pt>
                <c:pt idx="11">
                  <c:v>29.580152671755723</c:v>
                </c:pt>
                <c:pt idx="12">
                  <c:v>31.107119529719135</c:v>
                </c:pt>
                <c:pt idx="13">
                  <c:v>32.464528069093149</c:v>
                </c:pt>
                <c:pt idx="14">
                  <c:v>33.679135008766799</c:v>
                </c:pt>
                <c:pt idx="15">
                  <c:v>34.772348695169349</c:v>
                </c:pt>
                <c:pt idx="16">
                  <c:v>35.761501850872548</c:v>
                </c:pt>
                <c:pt idx="17">
                  <c:v>36.660777385159008</c:v>
                </c:pt>
                <c:pt idx="18">
                  <c:v>37.457831325301207</c:v>
                </c:pt>
                <c:pt idx="19">
                  <c:v>38.149425287356323</c:v>
                </c:pt>
                <c:pt idx="20">
                  <c:v>38.780219780219781</c:v>
                </c:pt>
                <c:pt idx="21">
                  <c:v>39.357894736842105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05-4B77-8F05-738094130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51492687"/>
        <c:axId val="2106260271"/>
      </c:barChart>
      <c:catAx>
        <c:axId val="115149268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6260271"/>
        <c:crosses val="autoZero"/>
        <c:auto val="1"/>
        <c:lblAlgn val="ctr"/>
        <c:lblOffset val="100"/>
        <c:noMultiLvlLbl val="0"/>
      </c:catAx>
      <c:valAx>
        <c:axId val="210626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5149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MOIC Returns by 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'Distribution Model'!$B$36</c:f>
              <c:strCache>
                <c:ptCount val="1"/>
                <c:pt idx="0">
                  <c:v>Seed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Model'!$C$36:$X$36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3.2504298176050752</c:v>
                </c:pt>
                <c:pt idx="10">
                  <c:v>3.9090155440414507</c:v>
                </c:pt>
                <c:pt idx="11">
                  <c:v>4.6070839694656485</c:v>
                </c:pt>
                <c:pt idx="12">
                  <c:v>5.3376721097322006</c:v>
                </c:pt>
                <c:pt idx="13">
                  <c:v>6.0953633559531157</c:v>
                </c:pt>
                <c:pt idx="14">
                  <c:v>6.8758807714786672</c:v>
                </c:pt>
                <c:pt idx="15">
                  <c:v>7.6758023320377555</c:v>
                </c:pt>
                <c:pt idx="16">
                  <c:v>8.4923574828133255</c:v>
                </c:pt>
                <c:pt idx="17">
                  <c:v>9.3232791519434617</c:v>
                </c:pt>
                <c:pt idx="18">
                  <c:v>10.152879036144578</c:v>
                </c:pt>
                <c:pt idx="19">
                  <c:v>10.969412413793103</c:v>
                </c:pt>
                <c:pt idx="20">
                  <c:v>11.791279120879119</c:v>
                </c:pt>
                <c:pt idx="21">
                  <c:v>12.617805473684209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3-46DD-A49D-D3EB70CC533C}"/>
            </c:ext>
          </c:extLst>
        </c:ser>
        <c:ser>
          <c:idx val="1"/>
          <c:order val="1"/>
          <c:tx>
            <c:strRef>
              <c:f>'Distribution Model'!$B$37</c:f>
              <c:strCache>
                <c:ptCount val="1"/>
                <c:pt idx="0">
                  <c:v>Series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Model'!$C$37:$X$37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2.2000000000000002</c:v>
                </c:pt>
                <c:pt idx="9">
                  <c:v>2.5662902458366377</c:v>
                </c:pt>
                <c:pt idx="10">
                  <c:v>2.7406217616580313</c:v>
                </c:pt>
                <c:pt idx="11">
                  <c:v>2.925404580152672</c:v>
                </c:pt>
                <c:pt idx="12">
                  <c:v>3.1187955584585247</c:v>
                </c:pt>
                <c:pt idx="13">
                  <c:v>3.319360888340531</c:v>
                </c:pt>
                <c:pt idx="14">
                  <c:v>3.52596843950906</c:v>
                </c:pt>
                <c:pt idx="15">
                  <c:v>3.7377123820099953</c:v>
                </c:pt>
                <c:pt idx="16">
                  <c:v>3.9538593336858812</c:v>
                </c:pt>
                <c:pt idx="17">
                  <c:v>4.1738091872791525</c:v>
                </c:pt>
                <c:pt idx="18">
                  <c:v>4.3934091566265074</c:v>
                </c:pt>
                <c:pt idx="19">
                  <c:v>4.6095503448275874</c:v>
                </c:pt>
                <c:pt idx="20">
                  <c:v>4.8271032967032976</c:v>
                </c:pt>
                <c:pt idx="21">
                  <c:v>5.0458896842105272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3-46DD-A49D-D3EB70CC533C}"/>
            </c:ext>
          </c:extLst>
        </c:ser>
        <c:ser>
          <c:idx val="2"/>
          <c:order val="2"/>
          <c:tx>
            <c:strRef>
              <c:f>'Distribution Model'!$B$38</c:f>
              <c:strCache>
                <c:ptCount val="1"/>
                <c:pt idx="0">
                  <c:v>Series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Model'!$C$38:$X$38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0.10000000000000035</c:v>
                </c:pt>
                <c:pt idx="6">
                  <c:v>1.1000000000000001</c:v>
                </c:pt>
                <c:pt idx="7">
                  <c:v>2</c:v>
                </c:pt>
                <c:pt idx="8">
                  <c:v>2</c:v>
                </c:pt>
                <c:pt idx="9">
                  <c:v>2.0359714512291829</c:v>
                </c:pt>
                <c:pt idx="10">
                  <c:v>2.1305699481865288</c:v>
                </c:pt>
                <c:pt idx="11">
                  <c:v>2.2308396946564883</c:v>
                </c:pt>
                <c:pt idx="12">
                  <c:v>2.3357805355976486</c:v>
                </c:pt>
                <c:pt idx="13">
                  <c:v>2.4446144355336212</c:v>
                </c:pt>
                <c:pt idx="14">
                  <c:v>2.556727060198714</c:v>
                </c:pt>
                <c:pt idx="15">
                  <c:v>2.6716268739589117</c:v>
                </c:pt>
                <c:pt idx="16">
                  <c:v>2.7889159175039664</c:v>
                </c:pt>
                <c:pt idx="17">
                  <c:v>2.9082685512367492</c:v>
                </c:pt>
                <c:pt idx="18">
                  <c:v>3.0274313253012051</c:v>
                </c:pt>
                <c:pt idx="19">
                  <c:v>3.1447172413793103</c:v>
                </c:pt>
                <c:pt idx="20">
                  <c:v>3.2627692307692309</c:v>
                </c:pt>
                <c:pt idx="21">
                  <c:v>3.3814905263157895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E3-46DD-A49D-D3EB70CC533C}"/>
            </c:ext>
          </c:extLst>
        </c:ser>
        <c:ser>
          <c:idx val="3"/>
          <c:order val="3"/>
          <c:tx>
            <c:strRef>
              <c:f>'Distribution Model'!$B$39</c:f>
              <c:strCache>
                <c:ptCount val="1"/>
                <c:pt idx="0">
                  <c:v>Series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Model'!$C$39:$X$39</c:f>
              <c:numCache>
                <c:formatCode>0.0"x "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0.31250000000000022</c:v>
                </c:pt>
                <c:pt idx="4">
                  <c:v>0.9375</c:v>
                </c:pt>
                <c:pt idx="5">
                  <c:v>1.4999999999999998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1.5348929421094371</c:v>
                </c:pt>
                <c:pt idx="10">
                  <c:v>1.6139896373056992</c:v>
                </c:pt>
                <c:pt idx="11">
                  <c:v>1.6832061068702289</c:v>
                </c:pt>
                <c:pt idx="12">
                  <c:v>1.7442847811887656</c:v>
                </c:pt>
                <c:pt idx="13">
                  <c:v>1.7985811227637261</c:v>
                </c:pt>
                <c:pt idx="14">
                  <c:v>1.8471654003506721</c:v>
                </c:pt>
                <c:pt idx="15">
                  <c:v>1.8908939478067741</c:v>
                </c:pt>
                <c:pt idx="16">
                  <c:v>1.9304600740349021</c:v>
                </c:pt>
                <c:pt idx="17">
                  <c:v>1.9664310954063604</c:v>
                </c:pt>
                <c:pt idx="18">
                  <c:v>2.0096385542168673</c:v>
                </c:pt>
                <c:pt idx="19">
                  <c:v>2.0678160919540227</c:v>
                </c:pt>
                <c:pt idx="20">
                  <c:v>2.1263736263736264</c:v>
                </c:pt>
                <c:pt idx="21">
                  <c:v>2.1852631578947368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E3-46DD-A49D-D3EB70CC533C}"/>
            </c:ext>
          </c:extLst>
        </c:ser>
        <c:ser>
          <c:idx val="4"/>
          <c:order val="4"/>
          <c:tx>
            <c:strRef>
              <c:f>'Distribution Model'!$B$40</c:f>
              <c:strCache>
                <c:ptCount val="1"/>
                <c:pt idx="0">
                  <c:v>Series 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'Distribution Model'!$C$21:$X$21</c:f>
              <c:numCache>
                <c:formatCode>_(* #,##0_);_(* \(#,##0\);_(* "-"??_);_(@_)</c:formatCode>
                <c:ptCount val="2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</c:numCache>
            </c:numRef>
          </c:cat>
          <c:val>
            <c:numRef>
              <c:f>'Distribution Model'!$C$40:$X$40</c:f>
              <c:numCache>
                <c:formatCode>0.0"x "</c:formatCode>
                <c:ptCount val="22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0.99999999999999989</c:v>
                </c:pt>
                <c:pt idx="4">
                  <c:v>1</c:v>
                </c:pt>
                <c:pt idx="5">
                  <c:v>1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1</c:v>
                </c:pt>
                <c:pt idx="9">
                  <c:v>1.0348929421094371</c:v>
                </c:pt>
                <c:pt idx="10">
                  <c:v>1.1139896373056994</c:v>
                </c:pt>
                <c:pt idx="11">
                  <c:v>1.1832061068702289</c:v>
                </c:pt>
                <c:pt idx="12">
                  <c:v>1.2442847811887654</c:v>
                </c:pt>
                <c:pt idx="13">
                  <c:v>1.2985811227637258</c:v>
                </c:pt>
                <c:pt idx="14">
                  <c:v>1.3471654003506719</c:v>
                </c:pt>
                <c:pt idx="15">
                  <c:v>1.3908939478067739</c:v>
                </c:pt>
                <c:pt idx="16">
                  <c:v>1.4304600740349018</c:v>
                </c:pt>
                <c:pt idx="17">
                  <c:v>1.4664310954063604</c:v>
                </c:pt>
                <c:pt idx="18">
                  <c:v>1.4983132530120482</c:v>
                </c:pt>
                <c:pt idx="19">
                  <c:v>1.5259770114942528</c:v>
                </c:pt>
                <c:pt idx="20">
                  <c:v>1.5512087912087913</c:v>
                </c:pt>
                <c:pt idx="21">
                  <c:v>1.5743157894736841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E3-46DD-A49D-D3EB70CC5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245407"/>
        <c:axId val="772008687"/>
      </c:lineChart>
      <c:catAx>
        <c:axId val="535245407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72008687"/>
        <c:crosses val="autoZero"/>
        <c:auto val="1"/>
        <c:lblAlgn val="ctr"/>
        <c:lblOffset val="100"/>
        <c:noMultiLvlLbl val="0"/>
      </c:catAx>
      <c:valAx>
        <c:axId val="7720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&quot;x 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3524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Distribution of Cash Returns in Mid Case (in €m)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'Distribution Model'!$B$26:$B$31</c:f>
              <c:strCache>
                <c:ptCount val="6"/>
                <c:pt idx="0">
                  <c:v>Common</c:v>
                </c:pt>
                <c:pt idx="1">
                  <c:v>Seed</c:v>
                </c:pt>
                <c:pt idx="2">
                  <c:v>Series A</c:v>
                </c:pt>
                <c:pt idx="3">
                  <c:v>Series B</c:v>
                </c:pt>
                <c:pt idx="4">
                  <c:v>Series C</c:v>
                </c:pt>
                <c:pt idx="5">
                  <c:v>Series 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'Distribution Model'!$B$26:$B$31</c:f>
              <c:strCache>
                <c:ptCount val="6"/>
                <c:pt idx="0">
                  <c:v>Common</c:v>
                </c:pt>
                <c:pt idx="1">
                  <c:v>Seed</c:v>
                </c:pt>
                <c:pt idx="2">
                  <c:v>Series A</c:v>
                </c:pt>
                <c:pt idx="3">
                  <c:v>Series B</c:v>
                </c:pt>
                <c:pt idx="4">
                  <c:v>Series C</c:v>
                </c:pt>
                <c:pt idx="5">
                  <c:v>Series D</c:v>
                </c:pt>
              </c:strCache>
            </c:strRef>
          </c:cat>
          <c:val>
            <c:numRef>
              <c:f>'Distribution Model'!$M$27:$M$31</c:f>
              <c:numCache>
                <c:formatCode>_(* #,##0_);_(* \(#,##0\);_(* "-"??_);_(@_)</c:formatCode>
                <c:ptCount val="5"/>
                <c:pt idx="0">
                  <c:v>5.8635233160621762</c:v>
                </c:pt>
                <c:pt idx="1">
                  <c:v>13.703108808290157</c:v>
                </c:pt>
                <c:pt idx="2">
                  <c:v>21.305699481865286</c:v>
                </c:pt>
                <c:pt idx="3">
                  <c:v>25.823834196891188</c:v>
                </c:pt>
                <c:pt idx="4">
                  <c:v>27.849740932642487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1-44A0-B8EF-DB48DA9A4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axId val="821932847"/>
        <c:axId val="821659535"/>
      </c:barChart>
      <c:catAx>
        <c:axId val="821932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21659535"/>
        <c:crosses val="autoZero"/>
        <c:auto val="1"/>
        <c:lblAlgn val="ctr"/>
        <c:lblOffset val="100"/>
        <c:noMultiLvlLbl val="0"/>
      </c:catAx>
      <c:valAx>
        <c:axId val="821659535"/>
        <c:scaling>
          <c:orientation val="minMax"/>
        </c:scaling>
        <c:delete val="1"/>
        <c:axPos val="b"/>
        <c:numFmt formatCode="_(* #,##0_);_(* \(#,##0\);_(* &quot;-&quot;??_);_(@_)" sourceLinked="1"/>
        <c:majorTickMark val="none"/>
        <c:minorTickMark val="none"/>
        <c:tickLblPos val="nextTo"/>
        <c:crossAx val="82193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235917</xdr:colOff>
      <xdr:row>0</xdr:row>
      <xdr:rowOff>230962</xdr:rowOff>
    </xdr:from>
    <xdr:to>
      <xdr:col>16</xdr:col>
      <xdr:colOff>633302</xdr:colOff>
      <xdr:row>9</xdr:row>
      <xdr:rowOff>31408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0B92D-8E2B-4593-A1FE-31581D3319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23007</xdr:colOff>
      <xdr:row>0</xdr:row>
      <xdr:rowOff>229165</xdr:rowOff>
    </xdr:from>
    <xdr:to>
      <xdr:col>20</xdr:col>
      <xdr:colOff>38228</xdr:colOff>
      <xdr:row>9</xdr:row>
      <xdr:rowOff>22095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8E9949-1BFE-4E8F-B4E7-487B80A2A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142716</xdr:colOff>
      <xdr:row>0</xdr:row>
      <xdr:rowOff>247204</xdr:rowOff>
    </xdr:from>
    <xdr:to>
      <xdr:col>23</xdr:col>
      <xdr:colOff>488674</xdr:colOff>
      <xdr:row>9</xdr:row>
      <xdr:rowOff>20070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144F5B-8EDD-4924-A611-1B95D149D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451265</xdr:colOff>
      <xdr:row>0</xdr:row>
      <xdr:rowOff>239245</xdr:rowOff>
    </xdr:from>
    <xdr:to>
      <xdr:col>17</xdr:col>
      <xdr:colOff>161193</xdr:colOff>
      <xdr:row>9</xdr:row>
      <xdr:rowOff>39691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4352A0-B7CF-4C3C-A071-60F151BCB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263202</xdr:colOff>
      <xdr:row>0</xdr:row>
      <xdr:rowOff>245730</xdr:rowOff>
    </xdr:from>
    <xdr:to>
      <xdr:col>20</xdr:col>
      <xdr:colOff>278423</xdr:colOff>
      <xdr:row>9</xdr:row>
      <xdr:rowOff>38660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D60E8A-EE5B-47A5-81CA-2394068D4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366346</xdr:colOff>
      <xdr:row>0</xdr:row>
      <xdr:rowOff>263769</xdr:rowOff>
    </xdr:from>
    <xdr:to>
      <xdr:col>25</xdr:col>
      <xdr:colOff>271096</xdr:colOff>
      <xdr:row>9</xdr:row>
      <xdr:rowOff>36635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7678BC-E0F0-42D4-95CF-0A9AA901E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255215</xdr:colOff>
      <xdr:row>0</xdr:row>
      <xdr:rowOff>137191</xdr:rowOff>
    </xdr:from>
    <xdr:to>
      <xdr:col>8</xdr:col>
      <xdr:colOff>218517</xdr:colOff>
      <xdr:row>8</xdr:row>
      <xdr:rowOff>147187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79F890-A205-4D93-BB74-4A6E0FB0B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259013</xdr:colOff>
      <xdr:row>0</xdr:row>
      <xdr:rowOff>143676</xdr:rowOff>
    </xdr:from>
    <xdr:to>
      <xdr:col>13</xdr:col>
      <xdr:colOff>311603</xdr:colOff>
      <xdr:row>8</xdr:row>
      <xdr:rowOff>146156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2E39B9-373D-43B8-935E-0F376E5E8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356507</xdr:colOff>
      <xdr:row>0</xdr:row>
      <xdr:rowOff>145596</xdr:rowOff>
    </xdr:from>
    <xdr:to>
      <xdr:col>18</xdr:col>
      <xdr:colOff>518432</xdr:colOff>
      <xdr:row>8</xdr:row>
      <xdr:rowOff>128012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8B67AD-C0B9-4399-A628-B43E85540E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554490</xdr:colOff>
      <xdr:row>0</xdr:row>
      <xdr:rowOff>140154</xdr:rowOff>
    </xdr:from>
    <xdr:to>
      <xdr:col>24</xdr:col>
      <xdr:colOff>208189</xdr:colOff>
      <xdr:row>8</xdr:row>
      <xdr:rowOff>130628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BD6BC9-A01A-4A80-9703-280D1B10C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ugarfree.ventures/" TargetMode="External"/><Relationship Id="rId1" Type="http://schemas.openxmlformats.org/officeDocument/2006/relationships/hyperlink" Target="mailto:ben@sugarfree.entur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B296-BF17-4AC8-B500-E84A8411EE68}">
  <sheetPr>
    <tabColor theme="1" tint="0.34998626667073579"/>
  </sheetPr>
  <dimension ref="B4:P27"/>
  <sheetViews>
    <sheetView showGridLines="0" tabSelected="1" workbookViewId="0">
      <selection activeCell="O30" sqref="O30"/>
    </sheetView>
  </sheetViews>
  <sheetFormatPr defaultRowHeight="12.75" x14ac:dyDescent="0.2"/>
  <sheetData>
    <row r="4" spans="2:16" ht="25.5" x14ac:dyDescent="0.35">
      <c r="B4" s="122" t="s">
        <v>39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2:16" ht="16.5" x14ac:dyDescent="0.3">
      <c r="B5" s="15" t="s">
        <v>149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7" spans="2:16" x14ac:dyDescent="0.2">
      <c r="C7" t="s">
        <v>155</v>
      </c>
    </row>
    <row r="8" spans="2:16" x14ac:dyDescent="0.2">
      <c r="C8" s="127" t="s">
        <v>156</v>
      </c>
    </row>
    <row r="9" spans="2:16" x14ac:dyDescent="0.2">
      <c r="C9" s="127" t="s">
        <v>157</v>
      </c>
    </row>
    <row r="10" spans="2:16" x14ac:dyDescent="0.2">
      <c r="C10" s="127" t="s">
        <v>158</v>
      </c>
    </row>
    <row r="11" spans="2:16" x14ac:dyDescent="0.2">
      <c r="C11" s="127" t="s">
        <v>159</v>
      </c>
    </row>
    <row r="12" spans="2:16" x14ac:dyDescent="0.2">
      <c r="C12" s="127" t="s">
        <v>160</v>
      </c>
    </row>
    <row r="13" spans="2:16" x14ac:dyDescent="0.2">
      <c r="C13" s="127" t="s">
        <v>161</v>
      </c>
    </row>
    <row r="15" spans="2:16" x14ac:dyDescent="0.2">
      <c r="C15" t="s">
        <v>164</v>
      </c>
    </row>
    <row r="16" spans="2:16" x14ac:dyDescent="0.2">
      <c r="C16" t="s">
        <v>162</v>
      </c>
    </row>
    <row r="17" spans="2:5" x14ac:dyDescent="0.2">
      <c r="C17" t="s">
        <v>163</v>
      </c>
    </row>
    <row r="19" spans="2:5" x14ac:dyDescent="0.2">
      <c r="C19" t="s">
        <v>144</v>
      </c>
      <c r="E19" s="123">
        <v>1</v>
      </c>
    </row>
    <row r="20" spans="2:5" x14ac:dyDescent="0.2">
      <c r="C20" t="s">
        <v>145</v>
      </c>
      <c r="E20" s="124" t="s">
        <v>146</v>
      </c>
    </row>
    <row r="21" spans="2:5" x14ac:dyDescent="0.2">
      <c r="E21" s="124"/>
    </row>
    <row r="22" spans="2:5" x14ac:dyDescent="0.2">
      <c r="C22" t="s">
        <v>147</v>
      </c>
      <c r="E22" s="124" t="s">
        <v>148</v>
      </c>
    </row>
    <row r="23" spans="2:5" x14ac:dyDescent="0.2">
      <c r="C23" t="s">
        <v>151</v>
      </c>
      <c r="E23" s="125" t="s">
        <v>152</v>
      </c>
    </row>
    <row r="24" spans="2:5" x14ac:dyDescent="0.2">
      <c r="C24" t="s">
        <v>153</v>
      </c>
      <c r="E24" s="126" t="s">
        <v>154</v>
      </c>
    </row>
    <row r="27" spans="2:5" x14ac:dyDescent="0.2">
      <c r="B27" s="58" t="s">
        <v>150</v>
      </c>
    </row>
  </sheetData>
  <hyperlinks>
    <hyperlink ref="E23" r:id="rId1" xr:uid="{D483C762-FC74-4BEE-8D2E-24BFF82470DF}"/>
    <hyperlink ref="E24" r:id="rId2" xr:uid="{D05FA0DD-82D8-448E-ACF5-9DB0C72C39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C597-5E33-43AF-AEFB-4DA6C787394E}">
  <sheetPr>
    <tabColor theme="8"/>
  </sheetPr>
  <dimension ref="A1:AN107"/>
  <sheetViews>
    <sheetView showGridLines="0" topLeftCell="I1" zoomScale="145" zoomScaleNormal="145" workbookViewId="0">
      <pane ySplit="16" topLeftCell="A17" activePane="bottomLeft" state="frozen"/>
      <selection activeCell="I1" sqref="I1"/>
      <selection pane="bottomLeft" activeCell="Q50" sqref="Q50"/>
    </sheetView>
  </sheetViews>
  <sheetFormatPr defaultColWidth="0" defaultRowHeight="16.5" x14ac:dyDescent="0.3"/>
  <cols>
    <col min="1" max="8" width="0" style="3" hidden="1" customWidth="1"/>
    <col min="9" max="9" width="2.7109375" style="3" customWidth="1"/>
    <col min="10" max="10" width="9.28515625" style="3" customWidth="1"/>
    <col min="11" max="17" width="10.28515625" style="3" customWidth="1"/>
    <col min="18" max="18" width="9.140625" style="3" customWidth="1"/>
    <col min="19" max="19" width="26.85546875" style="3" customWidth="1"/>
    <col min="20" max="20" width="11" style="3" bestFit="1" customWidth="1"/>
    <col min="21" max="21" width="13.7109375" style="3" bestFit="1" customWidth="1"/>
    <col min="22" max="22" width="12" style="3" customWidth="1"/>
    <col min="23" max="23" width="12.140625" style="3" customWidth="1"/>
    <col min="24" max="24" width="10.28515625" style="3" customWidth="1"/>
    <col min="25" max="25" width="2.42578125" style="110" customWidth="1"/>
    <col min="26" max="26" width="9.28515625" style="110" hidden="1"/>
    <col min="27" max="27" width="10" style="110" hidden="1"/>
    <col min="28" max="31" width="9.28515625" style="110" hidden="1"/>
    <col min="32" max="32" width="10" style="110" hidden="1"/>
    <col min="33" max="36" width="9.28515625" style="110" hidden="1"/>
    <col min="37" max="37" width="10" style="110" hidden="1"/>
    <col min="38" max="38" width="11" style="110" hidden="1"/>
    <col min="39" max="39" width="9.140625" style="110" hidden="1"/>
    <col min="40" max="40" width="12.140625" style="110" hidden="1"/>
    <col min="41" max="16384" width="9.140625" style="110" hidden="1"/>
  </cols>
  <sheetData>
    <row r="1" spans="1:25" ht="35.25" customHeight="1" x14ac:dyDescent="0.3">
      <c r="A1" s="13"/>
      <c r="B1" s="13"/>
      <c r="C1" s="13"/>
      <c r="D1" s="13"/>
      <c r="E1" s="13"/>
      <c r="F1" s="13"/>
      <c r="G1" s="13"/>
      <c r="H1" s="13"/>
      <c r="I1" s="13"/>
      <c r="J1" s="27" t="s">
        <v>39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3">
      <c r="A2" s="13"/>
      <c r="B2" s="13"/>
      <c r="C2" s="13"/>
      <c r="D2" s="13"/>
      <c r="E2" s="13"/>
      <c r="F2" s="13"/>
      <c r="G2" s="13"/>
      <c r="H2" s="13"/>
      <c r="I2" s="13"/>
      <c r="J2" s="15" t="str">
        <f>"Exit Sim. Model for "&amp;Q22</f>
        <v>Exit Sim. Model for UniKorn, Inc.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24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3">
      <c r="A4" s="13"/>
      <c r="B4" s="13"/>
      <c r="C4" s="13"/>
      <c r="D4" s="13"/>
      <c r="E4" s="13"/>
      <c r="F4" s="13"/>
      <c r="G4" s="13"/>
      <c r="H4" s="13"/>
      <c r="I4" s="13"/>
      <c r="J4" s="67" t="s">
        <v>35</v>
      </c>
      <c r="K4" s="68" t="s">
        <v>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x14ac:dyDescent="0.3">
      <c r="A5" s="13"/>
      <c r="B5" s="13"/>
      <c r="C5" s="13"/>
      <c r="D5" s="13"/>
      <c r="E5" s="13"/>
      <c r="F5" s="13"/>
      <c r="G5" s="13"/>
      <c r="H5" s="13"/>
      <c r="I5" s="13"/>
      <c r="J5" s="69"/>
      <c r="K5" s="69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x14ac:dyDescent="0.3">
      <c r="A6" s="13"/>
      <c r="B6" s="13"/>
      <c r="C6" s="13"/>
      <c r="D6" s="13"/>
      <c r="E6" s="13"/>
      <c r="F6" s="13"/>
      <c r="G6" s="13"/>
      <c r="H6" s="13"/>
      <c r="I6" s="13"/>
      <c r="J6" s="70" t="s">
        <v>77</v>
      </c>
      <c r="K6" s="71">
        <v>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3">
      <c r="A7" s="13"/>
      <c r="B7" s="13"/>
      <c r="C7" s="13"/>
      <c r="D7" s="13"/>
      <c r="E7" s="13"/>
      <c r="F7" s="13"/>
      <c r="G7" s="13"/>
      <c r="H7" s="13"/>
      <c r="I7" s="13"/>
      <c r="J7" s="70" t="s">
        <v>78</v>
      </c>
      <c r="K7" s="71">
        <v>10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x14ac:dyDescent="0.3">
      <c r="A9" s="13"/>
      <c r="B9" s="13"/>
      <c r="C9" s="13"/>
      <c r="D9" s="13"/>
      <c r="E9" s="13"/>
      <c r="F9" s="13"/>
      <c r="G9" s="13"/>
      <c r="H9" s="13"/>
      <c r="I9" s="13"/>
      <c r="J9" s="14" t="s">
        <v>134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ht="2.25" customHeight="1" x14ac:dyDescent="0.3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1:25" hidden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idden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idden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idden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idden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0:26" x14ac:dyDescent="0.3">
      <c r="Y17" s="3"/>
    </row>
    <row r="18" spans="10:26" ht="25.5" x14ac:dyDescent="0.35">
      <c r="J18" s="35" t="s">
        <v>45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20" spans="10:26" x14ac:dyDescent="0.3">
      <c r="J20" s="15" t="s">
        <v>44</v>
      </c>
      <c r="K20" s="15"/>
      <c r="L20" s="15"/>
      <c r="M20" s="15"/>
      <c r="N20" s="15"/>
      <c r="O20" s="15"/>
      <c r="P20" s="15"/>
      <c r="Q20" s="15"/>
      <c r="S20" s="15" t="s">
        <v>116</v>
      </c>
      <c r="T20" s="15"/>
      <c r="U20" s="15"/>
      <c r="V20" s="15"/>
      <c r="W20" s="15"/>
      <c r="X20" s="15"/>
      <c r="Y20" s="15"/>
      <c r="Z20" s="111"/>
    </row>
    <row r="22" spans="10:26" x14ac:dyDescent="0.3">
      <c r="J22" s="3" t="s">
        <v>37</v>
      </c>
      <c r="Q22" s="3" t="s">
        <v>83</v>
      </c>
      <c r="S22" s="3" t="s">
        <v>133</v>
      </c>
      <c r="T22" s="3" t="s">
        <v>5</v>
      </c>
      <c r="U22" s="3" t="s">
        <v>6</v>
      </c>
      <c r="V22" s="3" t="s">
        <v>7</v>
      </c>
      <c r="W22" s="3" t="s">
        <v>8</v>
      </c>
      <c r="X22" s="3" t="s">
        <v>9</v>
      </c>
    </row>
    <row r="23" spans="10:26" x14ac:dyDescent="0.3">
      <c r="T23" s="109" t="b">
        <v>0</v>
      </c>
      <c r="U23" s="109" t="b">
        <v>0</v>
      </c>
      <c r="V23" s="109" t="b">
        <v>0</v>
      </c>
      <c r="W23" s="109" t="b">
        <v>0</v>
      </c>
      <c r="X23" s="109" t="b">
        <v>0</v>
      </c>
    </row>
    <row r="24" spans="10:26" x14ac:dyDescent="0.3">
      <c r="J24" s="3" t="s">
        <v>38</v>
      </c>
      <c r="Q24" s="3">
        <v>2018</v>
      </c>
    </row>
    <row r="25" spans="10:26" x14ac:dyDescent="0.3">
      <c r="J25" s="3" t="s">
        <v>33</v>
      </c>
      <c r="Q25" s="128">
        <f>DATE(2019,12,31)</f>
        <v>43830</v>
      </c>
    </row>
    <row r="27" spans="10:26" ht="25.5" x14ac:dyDescent="0.35">
      <c r="J27" s="35" t="s">
        <v>79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0:26" x14ac:dyDescent="0.3">
      <c r="K28" s="3" t="s">
        <v>26</v>
      </c>
      <c r="Y28" s="3"/>
    </row>
    <row r="29" spans="10:26" x14ac:dyDescent="0.3">
      <c r="J29" s="15" t="s">
        <v>40</v>
      </c>
      <c r="K29" s="15"/>
      <c r="L29" s="13"/>
      <c r="M29" s="13"/>
      <c r="N29" s="13"/>
      <c r="O29" s="13"/>
      <c r="P29" s="13"/>
      <c r="Q29" s="13"/>
      <c r="S29" s="15" t="s">
        <v>118</v>
      </c>
      <c r="T29" s="13"/>
      <c r="U29" s="13"/>
      <c r="V29" s="13"/>
      <c r="W29" s="13"/>
      <c r="X29" s="13"/>
      <c r="Y29" s="13"/>
    </row>
    <row r="30" spans="10:26" x14ac:dyDescent="0.3">
      <c r="Y30" s="3"/>
    </row>
    <row r="31" spans="10:26" x14ac:dyDescent="0.3">
      <c r="J31" s="9" t="s">
        <v>72</v>
      </c>
      <c r="K31" s="9"/>
      <c r="L31" s="9"/>
      <c r="M31" s="9"/>
      <c r="N31" s="9"/>
      <c r="O31" s="9"/>
      <c r="P31" s="9"/>
      <c r="Q31" s="9"/>
      <c r="S31" s="9" t="s">
        <v>115</v>
      </c>
      <c r="T31" s="9"/>
      <c r="U31" s="9"/>
      <c r="V31" s="9"/>
      <c r="W31" s="9"/>
      <c r="X31" s="9"/>
      <c r="Y31" s="9"/>
    </row>
    <row r="32" spans="10:26" x14ac:dyDescent="0.3">
      <c r="Q32" s="72" t="s">
        <v>86</v>
      </c>
      <c r="T32" s="30" t="s">
        <v>5</v>
      </c>
      <c r="U32" s="30" t="s">
        <v>6</v>
      </c>
      <c r="V32" s="30" t="s">
        <v>7</v>
      </c>
      <c r="W32" s="30" t="s">
        <v>8</v>
      </c>
      <c r="X32" s="30" t="s">
        <v>9</v>
      </c>
    </row>
    <row r="33" spans="10:24" x14ac:dyDescent="0.3">
      <c r="K33" s="30" t="s">
        <v>5</v>
      </c>
      <c r="L33" s="30" t="s">
        <v>6</v>
      </c>
      <c r="M33" s="30" t="s">
        <v>7</v>
      </c>
      <c r="N33" s="30" t="s">
        <v>8</v>
      </c>
      <c r="O33" s="30" t="s">
        <v>9</v>
      </c>
      <c r="P33" s="30" t="s">
        <v>34</v>
      </c>
      <c r="Q33" s="73"/>
      <c r="S33" s="3" t="s">
        <v>10</v>
      </c>
      <c r="T33" s="5">
        <v>0.8</v>
      </c>
      <c r="U33" s="5">
        <v>3</v>
      </c>
      <c r="V33" s="5">
        <v>5</v>
      </c>
      <c r="W33" s="5">
        <v>12</v>
      </c>
      <c r="X33" s="5">
        <v>15</v>
      </c>
    </row>
    <row r="34" spans="10:24" x14ac:dyDescent="0.3">
      <c r="J34" s="3" t="s">
        <v>32</v>
      </c>
      <c r="K34" s="89">
        <f>'Distribution Model'!$X80/SUM('Distribution Model'!$X$80:$X$81)</f>
        <v>0.8</v>
      </c>
      <c r="L34" s="90">
        <f>'Distribution Model'!$X80/SUM('Distribution Model'!$X$80:$X$82)</f>
        <v>0.67999999999999994</v>
      </c>
      <c r="M34" s="90">
        <f>'Distribution Model'!$X80/SUM('Distribution Model'!$X$80:$X$83)</f>
        <v>0.58479999999999999</v>
      </c>
      <c r="N34" s="90">
        <f>'Distribution Model'!$X80/SUM('Distribution Model'!$X$80:$X$84)</f>
        <v>0.52632000000000001</v>
      </c>
      <c r="O34" s="91">
        <f>'Distribution Model'!$X80/SUM('Distribution Model'!$X$80:$X$85)</f>
        <v>0.47847272727272727</v>
      </c>
      <c r="P34" s="20">
        <f>+'Distribution Model'!X80</f>
        <v>25000</v>
      </c>
      <c r="Q34" s="11">
        <f>'Distribution Model'!X43</f>
        <v>0.27479444210526316</v>
      </c>
      <c r="S34" s="3" t="s">
        <v>11</v>
      </c>
      <c r="T34" s="6">
        <v>0.2</v>
      </c>
      <c r="U34" s="6">
        <v>0.25</v>
      </c>
      <c r="V34" s="6">
        <v>0.25</v>
      </c>
      <c r="W34" s="6">
        <v>0.2</v>
      </c>
      <c r="X34" s="6">
        <v>0.15</v>
      </c>
    </row>
    <row r="35" spans="10:24" x14ac:dyDescent="0.3">
      <c r="J35" s="3" t="s">
        <v>5</v>
      </c>
      <c r="K35" s="92">
        <f>'Distribution Model'!$X81/SUM('Distribution Model'!$X$80:$X$81)</f>
        <v>0.2</v>
      </c>
      <c r="L35" s="93">
        <f>'Distribution Model'!$X81/SUM('Distribution Model'!$X$80:$X$82)</f>
        <v>0.16999999999999998</v>
      </c>
      <c r="M35" s="93">
        <f>'Distribution Model'!$X81/SUM('Distribution Model'!$X$80:$X$83)</f>
        <v>0.1462</v>
      </c>
      <c r="N35" s="93">
        <f>'Distribution Model'!$X81/SUM('Distribution Model'!$X$80:$X$84)</f>
        <v>0.13158</v>
      </c>
      <c r="O35" s="94">
        <f>'Distribution Model'!$X81/SUM('Distribution Model'!$X$80:$X$85)</f>
        <v>0.11961818181818182</v>
      </c>
      <c r="P35" s="20">
        <f>+'Distribution Model'!X81</f>
        <v>6250</v>
      </c>
      <c r="Q35" s="11">
        <f>'Distribution Model'!X44</f>
        <v>9.0127181954887212E-2</v>
      </c>
      <c r="S35" s="3" t="s">
        <v>12</v>
      </c>
      <c r="T35" s="5">
        <f>T33/T34</f>
        <v>4</v>
      </c>
      <c r="U35" s="5">
        <f>U33/U34</f>
        <v>12</v>
      </c>
      <c r="V35" s="5">
        <f>V33/V34</f>
        <v>20</v>
      </c>
      <c r="W35" s="5">
        <f>W33/W34</f>
        <v>60</v>
      </c>
      <c r="X35" s="5">
        <f>X33/X34</f>
        <v>100</v>
      </c>
    </row>
    <row r="36" spans="10:24" x14ac:dyDescent="0.3">
      <c r="J36" s="3" t="s">
        <v>87</v>
      </c>
      <c r="K36" s="95"/>
      <c r="L36" s="93">
        <f>'Distribution Model'!$X82/SUM('Distribution Model'!$X$80:$X$82)</f>
        <v>0.15000000000000008</v>
      </c>
      <c r="M36" s="93">
        <f>'Distribution Model'!$X82/SUM('Distribution Model'!$X$80:$X$83)</f>
        <v>0.12900000000000006</v>
      </c>
      <c r="N36" s="93">
        <f>'Distribution Model'!$X82/SUM('Distribution Model'!$X$80:$X$84)</f>
        <v>0.11610000000000006</v>
      </c>
      <c r="O36" s="94">
        <f>'Distribution Model'!$X82/SUM('Distribution Model'!$X$80:$X$85)</f>
        <v>0.1055454545454546</v>
      </c>
      <c r="P36" s="20">
        <f>+'Distribution Model'!X82</f>
        <v>5514.7058823529442</v>
      </c>
      <c r="Q36" s="11">
        <f>'Distribution Model'!X45</f>
        <v>0.12014023057644113</v>
      </c>
      <c r="S36" s="3" t="s">
        <v>29</v>
      </c>
      <c r="T36" s="5">
        <v>3</v>
      </c>
      <c r="U36" s="5">
        <v>2.5</v>
      </c>
      <c r="V36" s="5">
        <v>2</v>
      </c>
      <c r="W36" s="5">
        <v>1.5</v>
      </c>
      <c r="X36" s="5">
        <v>1</v>
      </c>
    </row>
    <row r="37" spans="10:24" x14ac:dyDescent="0.3">
      <c r="J37" s="3" t="s">
        <v>88</v>
      </c>
      <c r="K37" s="95"/>
      <c r="L37" s="93"/>
      <c r="M37" s="93">
        <f>'Distribution Model'!$X83/SUM('Distribution Model'!$X$80:$X$83)</f>
        <v>0.13999999999999999</v>
      </c>
      <c r="N37" s="93">
        <f>'Distribution Model'!$X83/SUM('Distribution Model'!$X$80:$X$84)</f>
        <v>0.126</v>
      </c>
      <c r="O37" s="94">
        <f>'Distribution Model'!$X83/SUM('Distribution Model'!$X$80:$X$85)</f>
        <v>0.11454545454545455</v>
      </c>
      <c r="P37" s="20">
        <f>+'Distribution Model'!X83</f>
        <v>5984.9521203830373</v>
      </c>
      <c r="Q37" s="11">
        <f>'Distribution Model'!X46</f>
        <v>0.16102335839599</v>
      </c>
      <c r="S37" s="3" t="s">
        <v>30</v>
      </c>
      <c r="T37" s="101" t="b">
        <v>0</v>
      </c>
      <c r="U37" s="101" t="b">
        <v>1</v>
      </c>
      <c r="V37" s="101" t="b">
        <v>1</v>
      </c>
      <c r="W37" s="101" t="b">
        <v>1</v>
      </c>
      <c r="X37" s="101" t="b">
        <v>1</v>
      </c>
    </row>
    <row r="38" spans="10:24" x14ac:dyDescent="0.3">
      <c r="J38" s="3" t="s">
        <v>89</v>
      </c>
      <c r="K38" s="95"/>
      <c r="L38" s="93"/>
      <c r="M38" s="93"/>
      <c r="N38" s="93">
        <f>'Distribution Model'!$X84/SUM('Distribution Model'!$X$80:$X$84)</f>
        <v>9.9999999999999964E-2</v>
      </c>
      <c r="O38" s="94">
        <f>'Distribution Model'!$X84/SUM('Distribution Model'!$X$80:$X$85)</f>
        <v>9.0909090909090884E-2</v>
      </c>
      <c r="P38" s="20">
        <f>+'Distribution Model'!X84</f>
        <v>4749.9620003039963</v>
      </c>
      <c r="Q38" s="11">
        <f>'Distribution Model'!X47</f>
        <v>0.16649624060150375</v>
      </c>
      <c r="T38" s="5"/>
      <c r="U38" s="5"/>
      <c r="V38" s="5"/>
      <c r="W38" s="5"/>
      <c r="X38" s="5"/>
    </row>
    <row r="39" spans="10:24" x14ac:dyDescent="0.3">
      <c r="J39" s="3" t="s">
        <v>90</v>
      </c>
      <c r="K39" s="96"/>
      <c r="L39" s="33"/>
      <c r="M39" s="33"/>
      <c r="N39" s="33"/>
      <c r="O39" s="97">
        <f>'Distribution Model'!$X85/SUM('Distribution Model'!$X$80:$X$85)</f>
        <v>9.0909090909090925E-2</v>
      </c>
      <c r="P39" s="20">
        <f>+'Distribution Model'!X85</f>
        <v>4749.9620003039981</v>
      </c>
      <c r="Q39" s="11">
        <f>'Distribution Model'!X48</f>
        <v>0.18741854636591479</v>
      </c>
      <c r="S39" s="3" t="s">
        <v>14</v>
      </c>
      <c r="U39" s="7">
        <f>U35/T35</f>
        <v>3</v>
      </c>
      <c r="V39" s="7">
        <f>V35/U35</f>
        <v>1.6666666666666667</v>
      </c>
      <c r="W39" s="7">
        <f>W35/V35</f>
        <v>3</v>
      </c>
      <c r="X39" s="7">
        <f>X35/W35</f>
        <v>1.6666666666666667</v>
      </c>
    </row>
    <row r="40" spans="10:24" ht="17.25" thickBot="1" x14ac:dyDescent="0.35">
      <c r="J40" s="33"/>
      <c r="K40" s="31">
        <f>SUM(K34:K39)</f>
        <v>1</v>
      </c>
      <c r="L40" s="31">
        <f>SUM(L34:L39)</f>
        <v>1</v>
      </c>
      <c r="M40" s="31">
        <f>SUM(M34:M39)</f>
        <v>1</v>
      </c>
      <c r="N40" s="31">
        <f>SUM(N34:N39)</f>
        <v>1</v>
      </c>
      <c r="O40" s="31">
        <f>SUM(O34:O39)</f>
        <v>1</v>
      </c>
      <c r="P40" s="32">
        <f>SUM(P34:P39)</f>
        <v>52249.582003343974</v>
      </c>
      <c r="Q40" s="32"/>
      <c r="S40" s="3" t="s">
        <v>13</v>
      </c>
      <c r="T40" s="5">
        <f>T35+T33</f>
        <v>4.8</v>
      </c>
      <c r="U40" s="5">
        <f>U35+U33</f>
        <v>15</v>
      </c>
      <c r="V40" s="5">
        <f>V35+V33</f>
        <v>25</v>
      </c>
      <c r="W40" s="5">
        <f>W35+W33</f>
        <v>72</v>
      </c>
      <c r="X40" s="5">
        <f>X35+X33</f>
        <v>115</v>
      </c>
    </row>
    <row r="41" spans="10:24" ht="17.25" thickTop="1" x14ac:dyDescent="0.3">
      <c r="T41" s="5"/>
      <c r="U41" s="5"/>
      <c r="V41" s="5"/>
      <c r="W41" s="5"/>
      <c r="X41" s="5"/>
    </row>
    <row r="42" spans="10:24" x14ac:dyDescent="0.3">
      <c r="J42" s="9" t="s">
        <v>112</v>
      </c>
      <c r="K42" s="9"/>
      <c r="L42" s="9"/>
      <c r="M42" s="9"/>
      <c r="N42" s="9"/>
      <c r="O42" s="9"/>
      <c r="P42" s="9"/>
      <c r="Q42" s="9"/>
      <c r="S42" s="3" t="s">
        <v>15</v>
      </c>
      <c r="T42" s="5">
        <v>3</v>
      </c>
      <c r="U42" s="5">
        <v>3</v>
      </c>
      <c r="V42" s="5">
        <v>5</v>
      </c>
      <c r="W42" s="5">
        <v>5</v>
      </c>
      <c r="X42" s="5">
        <v>5</v>
      </c>
    </row>
    <row r="43" spans="10:24" x14ac:dyDescent="0.3">
      <c r="T43" s="5"/>
      <c r="U43" s="5"/>
      <c r="V43" s="5"/>
      <c r="W43" s="5"/>
      <c r="X43" s="5"/>
    </row>
    <row r="44" spans="10:24" x14ac:dyDescent="0.3">
      <c r="J44" s="33"/>
      <c r="K44" s="98" t="s">
        <v>43</v>
      </c>
      <c r="L44" s="98" t="s">
        <v>91</v>
      </c>
      <c r="M44" s="98" t="s">
        <v>111</v>
      </c>
      <c r="N44" s="99" t="s">
        <v>41</v>
      </c>
      <c r="O44" s="99" t="s">
        <v>109</v>
      </c>
      <c r="P44" s="99" t="s">
        <v>46</v>
      </c>
      <c r="Q44" s="99" t="s">
        <v>110</v>
      </c>
      <c r="S44" s="3" t="s">
        <v>16</v>
      </c>
      <c r="T44" s="3">
        <v>0.25</v>
      </c>
      <c r="U44" s="3">
        <v>1.6</v>
      </c>
      <c r="V44" s="3">
        <v>7</v>
      </c>
      <c r="W44" s="3">
        <v>16</v>
      </c>
      <c r="X44" s="3">
        <v>50</v>
      </c>
    </row>
    <row r="45" spans="10:24" x14ac:dyDescent="0.3">
      <c r="J45" s="3" t="s">
        <v>32</v>
      </c>
      <c r="K45" s="34">
        <v>2.5000000000000001E-2</v>
      </c>
      <c r="L45" s="74">
        <f>+P34</f>
        <v>25000</v>
      </c>
      <c r="M45" s="20">
        <f>SUM($P$34:P34)</f>
        <v>25000</v>
      </c>
      <c r="N45" s="5">
        <f t="shared" ref="N45:N49" si="0">IFERROR(O45*1000/L45,"")</f>
        <v>1</v>
      </c>
      <c r="O45" s="74">
        <v>25</v>
      </c>
      <c r="P45" s="100"/>
      <c r="Q45" s="100"/>
      <c r="S45" s="3" t="s">
        <v>165</v>
      </c>
      <c r="T45" s="5">
        <f>T35/T44</f>
        <v>16</v>
      </c>
      <c r="U45" s="5">
        <f>U35/U44</f>
        <v>7.5</v>
      </c>
      <c r="V45" s="5">
        <f>V35/V44</f>
        <v>2.8571428571428572</v>
      </c>
      <c r="W45" s="5">
        <f>W35/W44</f>
        <v>3.75</v>
      </c>
      <c r="X45" s="5">
        <f>X35/X44</f>
        <v>2</v>
      </c>
    </row>
    <row r="46" spans="10:24" x14ac:dyDescent="0.3">
      <c r="J46" s="3" t="s">
        <v>5</v>
      </c>
      <c r="K46" s="34">
        <f>HLOOKUP($J46,Cases!$L$21:$P$26,4,0)</f>
        <v>7.5</v>
      </c>
      <c r="L46" s="74">
        <f>+P35</f>
        <v>6250</v>
      </c>
      <c r="M46" s="20">
        <f>SUM($P$34:P35)</f>
        <v>31250</v>
      </c>
      <c r="N46" s="5">
        <f t="shared" si="0"/>
        <v>240</v>
      </c>
      <c r="O46" s="74">
        <f>IFERROR((+Cases!L22)*1000,"")</f>
        <v>1500</v>
      </c>
      <c r="P46" s="37">
        <f>IF(HLOOKUP($J46,Cases!$L$21:$P$26,5,0)&lt;&gt;"",HLOOKUP($J46,Cases!$L$21:$P$26,5,0),0)</f>
        <v>3</v>
      </c>
      <c r="Q46" s="37" t="b">
        <f>IF(HLOOKUP($J46,Cases!$L$21:$P$26,6,0)="",FALSE,HLOOKUP($J46,Cases!$L$21:$P$26,6,0))</f>
        <v>1</v>
      </c>
      <c r="S46" s="3" t="s">
        <v>18</v>
      </c>
      <c r="U46" s="8">
        <f>U44/T44</f>
        <v>6.4</v>
      </c>
      <c r="V46" s="8">
        <f>V44/U44</f>
        <v>4.375</v>
      </c>
      <c r="W46" s="8">
        <f>W44/V44</f>
        <v>2.2857142857142856</v>
      </c>
      <c r="X46" s="8">
        <f>X45/W45</f>
        <v>0.53333333333333333</v>
      </c>
    </row>
    <row r="47" spans="10:24" x14ac:dyDescent="0.3">
      <c r="J47" s="3" t="s">
        <v>6</v>
      </c>
      <c r="K47" s="34">
        <f>HLOOKUP($J47,Cases!$L$21:$P$26,4,0)</f>
        <v>33.333333333333336</v>
      </c>
      <c r="L47" s="74">
        <f>+P36</f>
        <v>5514.7058823529442</v>
      </c>
      <c r="M47" s="20">
        <f>SUM($P$34:P36)</f>
        <v>36764.705882352944</v>
      </c>
      <c r="N47" s="5">
        <f t="shared" si="0"/>
        <v>906.66666666666617</v>
      </c>
      <c r="O47" s="74">
        <f>IFERROR((+Cases!M22)*1000,"")</f>
        <v>5000</v>
      </c>
      <c r="P47" s="37">
        <f>IF(HLOOKUP($J47,Cases!$L$21:$P$26,5,0)&lt;&gt;"",HLOOKUP($J47,Cases!$L$21:$P$26,5,0),0)</f>
        <v>2.5</v>
      </c>
      <c r="Q47" s="37" t="b">
        <f>IF(HLOOKUP($J47,Cases!$L$21:$P$26,6,0)="",FALSE,HLOOKUP($J47,Cases!$L$21:$P$26,6,0))</f>
        <v>1</v>
      </c>
      <c r="S47" s="3" t="s">
        <v>19</v>
      </c>
      <c r="T47" s="7">
        <f>T49-(AVERAGE(T44:U44))</f>
        <v>0.8</v>
      </c>
      <c r="U47" s="7">
        <f>U49-(AVERAGE(U44:V44))</f>
        <v>3</v>
      </c>
      <c r="V47" s="7">
        <f>V49-(AVERAGE(V44:W44))</f>
        <v>5</v>
      </c>
      <c r="W47" s="7">
        <f>W49-(AVERAGE(W44:X44))</f>
        <v>12</v>
      </c>
      <c r="X47" s="7">
        <f>X49-(AVERAGE(X52:X52))</f>
        <v>15</v>
      </c>
    </row>
    <row r="48" spans="10:24" x14ac:dyDescent="0.3">
      <c r="J48" s="3" t="s">
        <v>7</v>
      </c>
      <c r="K48" s="34">
        <f>HLOOKUP($J48,Cases!$L$21:$P$26,4,0)</f>
        <v>71.428571428571416</v>
      </c>
      <c r="L48" s="74">
        <f t="shared" ref="L48:L50" si="1">+P37</f>
        <v>5984.9521203830373</v>
      </c>
      <c r="M48" s="20">
        <f>SUM($P$34:P37)</f>
        <v>42749.658002735981</v>
      </c>
      <c r="N48" s="5">
        <f t="shared" si="0"/>
        <v>1670.8571428571427</v>
      </c>
      <c r="O48" s="74">
        <f>IFERROR((+Cases!N22)*1000,"")</f>
        <v>10000</v>
      </c>
      <c r="P48" s="37">
        <f>IF(HLOOKUP($J48,Cases!$L$21:$P$26,5,0)&lt;&gt;"",HLOOKUP($J48,Cases!$L$21:$P$26,5,0),0)</f>
        <v>2</v>
      </c>
      <c r="Q48" s="37" t="b">
        <f>IF(HLOOKUP($J48,Cases!$L$21:$P$26,6,0)="",FALSE,HLOOKUP($J48,Cases!$L$21:$P$26,6,0))</f>
        <v>1</v>
      </c>
      <c r="S48" s="3" t="s">
        <v>31</v>
      </c>
      <c r="T48" s="7">
        <f>T47/T42</f>
        <v>0.26666666666666666</v>
      </c>
      <c r="U48" s="7">
        <f>U47/U42</f>
        <v>1</v>
      </c>
      <c r="V48" s="7">
        <f>V47/V42</f>
        <v>1</v>
      </c>
      <c r="W48" s="7">
        <f>W47/W42</f>
        <v>2.4</v>
      </c>
      <c r="X48" s="7">
        <f>X47/X42</f>
        <v>3</v>
      </c>
    </row>
    <row r="49" spans="9:24" x14ac:dyDescent="0.3">
      <c r="J49" s="3" t="s">
        <v>8</v>
      </c>
      <c r="K49" s="34">
        <f>HLOOKUP($J49,Cases!$L$21:$P$26,4,0)</f>
        <v>160</v>
      </c>
      <c r="L49" s="74">
        <f t="shared" si="1"/>
        <v>4749.9620003039963</v>
      </c>
      <c r="M49" s="20">
        <f>SUM($P$34:P38)</f>
        <v>47499.620003039978</v>
      </c>
      <c r="N49" s="5">
        <f t="shared" si="0"/>
        <v>3368.4480000000008</v>
      </c>
      <c r="O49" s="74">
        <f>IFERROR((+Cases!O22)*1000,"")</f>
        <v>16000</v>
      </c>
      <c r="P49" s="37">
        <f>IF(HLOOKUP($J49,Cases!$L$21:$P$26,5,0)&lt;&gt;"",HLOOKUP($J49,Cases!$L$21:$P$26,5,0),0)</f>
        <v>1.5</v>
      </c>
      <c r="Q49" s="37" t="b">
        <f>IF(HLOOKUP($J49,Cases!$L$21:$P$26,6,0)="",FALSE,HLOOKUP($J49,Cases!$L$21:$P$26,6,0))</f>
        <v>1</v>
      </c>
      <c r="S49" s="3" t="s">
        <v>20</v>
      </c>
      <c r="T49" s="7">
        <f>AVERAGE(T44:U44)+T33</f>
        <v>1.7250000000000001</v>
      </c>
      <c r="U49" s="7">
        <f>AVERAGE(U44:V44)+U33</f>
        <v>7.3</v>
      </c>
      <c r="V49" s="7">
        <f>AVERAGE(V44:W44)+V33</f>
        <v>16.5</v>
      </c>
      <c r="W49" s="7">
        <f>AVERAGE(W44:X44)+W33</f>
        <v>45</v>
      </c>
      <c r="X49" s="7">
        <f>AVERAGE(X52:X52)+X33</f>
        <v>15.4</v>
      </c>
    </row>
    <row r="50" spans="9:24" x14ac:dyDescent="0.3">
      <c r="J50" s="3" t="s">
        <v>9</v>
      </c>
      <c r="K50" s="34">
        <f>HLOOKUP($J50,Cases!$L$21:$P$26,4,0)</f>
        <v>250</v>
      </c>
      <c r="L50" s="74">
        <f t="shared" si="1"/>
        <v>4749.9620003039981</v>
      </c>
      <c r="M50" s="20">
        <f>SUM($P$34:P39)</f>
        <v>52249.582003343974</v>
      </c>
      <c r="N50" s="5">
        <f>IFERROR(O50*1000/L50,"")</f>
        <v>5263.2</v>
      </c>
      <c r="O50" s="74">
        <f>IFERROR((+Cases!P22)*1000,"")</f>
        <v>25000</v>
      </c>
      <c r="P50" s="37">
        <f>IF(HLOOKUP($J50,Cases!$L$21:$P$26,5,0)&lt;&gt;"",HLOOKUP($J50,Cases!$L$21:$P$26,5,0),0)</f>
        <v>1</v>
      </c>
      <c r="Q50" s="37" t="b">
        <f>IF(HLOOKUP($J50,Cases!$L$21:$P$26,6,0)="",FALSE,HLOOKUP($J50,Cases!$L$21:$P$26,6,0))</f>
        <v>1</v>
      </c>
      <c r="S50" s="3" t="s">
        <v>21</v>
      </c>
      <c r="T50" s="5">
        <f>T49/T42</f>
        <v>0.57500000000000007</v>
      </c>
      <c r="U50" s="5">
        <f>U49/U42</f>
        <v>2.4333333333333331</v>
      </c>
      <c r="V50" s="5">
        <f>V49/V42</f>
        <v>3.3</v>
      </c>
      <c r="W50" s="5">
        <f>W49/W42</f>
        <v>9</v>
      </c>
      <c r="X50" s="5">
        <f>X49/X42</f>
        <v>3.08</v>
      </c>
    </row>
    <row r="51" spans="9:24" x14ac:dyDescent="0.3">
      <c r="I51" s="110"/>
      <c r="J51" s="110"/>
      <c r="K51" s="110"/>
      <c r="L51" s="110"/>
      <c r="M51" s="110"/>
      <c r="N51" s="110"/>
      <c r="O51" s="110"/>
      <c r="P51" s="110"/>
      <c r="Q51" s="110"/>
      <c r="S51" s="3" t="s">
        <v>22</v>
      </c>
      <c r="T51" s="5">
        <f>T50*3</f>
        <v>1.7250000000000001</v>
      </c>
      <c r="U51" s="5">
        <f>U50*3</f>
        <v>7.2999999999999989</v>
      </c>
      <c r="V51" s="5">
        <f>V50*3</f>
        <v>9.8999999999999986</v>
      </c>
      <c r="W51" s="5">
        <f>W50*3</f>
        <v>27</v>
      </c>
      <c r="X51" s="5">
        <f>X50*3</f>
        <v>9.24</v>
      </c>
    </row>
    <row r="52" spans="9:24" x14ac:dyDescent="0.3">
      <c r="I52" s="110"/>
      <c r="J52" s="110"/>
      <c r="K52" s="110"/>
      <c r="L52" s="110"/>
      <c r="M52" s="110"/>
      <c r="N52" s="110"/>
      <c r="O52" s="110"/>
      <c r="P52" s="110"/>
      <c r="Q52" s="110"/>
      <c r="S52" s="3" t="s">
        <v>23</v>
      </c>
      <c r="T52" s="6">
        <v>0.4</v>
      </c>
      <c r="U52" s="6">
        <v>0.4</v>
      </c>
      <c r="V52" s="6">
        <v>0.4</v>
      </c>
      <c r="W52" s="6">
        <v>0.4</v>
      </c>
      <c r="X52" s="6">
        <v>0.4</v>
      </c>
    </row>
    <row r="53" spans="9:24" x14ac:dyDescent="0.3">
      <c r="I53" s="110"/>
      <c r="J53" s="110"/>
      <c r="K53" s="110"/>
      <c r="L53" s="112"/>
      <c r="M53" s="110"/>
      <c r="N53" s="113"/>
      <c r="O53" s="113"/>
      <c r="P53" s="110"/>
      <c r="Q53" s="110"/>
      <c r="S53" s="3" t="s">
        <v>24</v>
      </c>
      <c r="T53" s="5">
        <v>0.09</v>
      </c>
      <c r="U53" s="5">
        <v>0.09</v>
      </c>
      <c r="V53" s="5">
        <v>0.09</v>
      </c>
      <c r="W53" s="5">
        <v>0.09</v>
      </c>
      <c r="X53" s="5">
        <v>0.09</v>
      </c>
    </row>
    <row r="54" spans="9:24" x14ac:dyDescent="0.3">
      <c r="I54" s="110"/>
      <c r="J54" s="110"/>
      <c r="K54" s="114"/>
      <c r="L54" s="110"/>
      <c r="M54" s="110"/>
      <c r="N54" s="110"/>
      <c r="O54" s="110"/>
      <c r="P54" s="110"/>
      <c r="Q54" s="110"/>
      <c r="S54" s="3" t="s">
        <v>25</v>
      </c>
      <c r="T54" s="5">
        <f>ROUND(T51*T52/T53,0)</f>
        <v>8</v>
      </c>
      <c r="U54" s="5">
        <f>ROUND(U51*U52/U53,0)</f>
        <v>32</v>
      </c>
      <c r="V54" s="5">
        <f>ROUND(V51*V52/V53,0)</f>
        <v>44</v>
      </c>
      <c r="W54" s="5">
        <f>ROUND(W51*W52/W53,0)</f>
        <v>120</v>
      </c>
      <c r="X54" s="5">
        <f>ROUND(X51*X52/X53,0)</f>
        <v>41</v>
      </c>
    </row>
    <row r="55" spans="9:24" x14ac:dyDescent="0.3">
      <c r="I55" s="110"/>
      <c r="J55" s="110"/>
      <c r="K55" s="110"/>
      <c r="L55" s="110"/>
      <c r="M55" s="110"/>
      <c r="N55" s="110"/>
      <c r="O55" s="110"/>
      <c r="P55" s="110"/>
      <c r="Q55" s="110"/>
      <c r="T55" s="5"/>
      <c r="U55" s="5"/>
      <c r="V55" s="5"/>
      <c r="W55" s="5"/>
      <c r="X55" s="5"/>
    </row>
    <row r="56" spans="9:24" x14ac:dyDescent="0.3">
      <c r="I56" s="110"/>
      <c r="J56" s="110"/>
      <c r="K56" s="110"/>
      <c r="L56" s="110"/>
      <c r="M56" s="110"/>
      <c r="N56" s="110"/>
      <c r="O56" s="110"/>
      <c r="P56" s="110"/>
      <c r="Q56" s="110"/>
    </row>
    <row r="57" spans="9:24" x14ac:dyDescent="0.3">
      <c r="I57" s="110"/>
      <c r="J57" s="110"/>
      <c r="K57" s="110"/>
      <c r="L57" s="110"/>
      <c r="M57" s="110"/>
      <c r="N57" s="110"/>
      <c r="O57" s="110"/>
      <c r="P57" s="110"/>
      <c r="Q57" s="110"/>
    </row>
    <row r="58" spans="9:24" x14ac:dyDescent="0.3">
      <c r="I58" s="110"/>
      <c r="J58" s="110"/>
      <c r="K58" s="110"/>
      <c r="L58" s="110"/>
      <c r="M58" s="110"/>
      <c r="N58" s="110"/>
      <c r="O58" s="110"/>
      <c r="P58" s="110"/>
      <c r="Q58" s="110"/>
    </row>
    <row r="59" spans="9:24" x14ac:dyDescent="0.3">
      <c r="I59" s="110"/>
      <c r="J59" s="110"/>
      <c r="K59" s="110"/>
      <c r="L59" s="110"/>
      <c r="M59" s="110"/>
      <c r="N59" s="110"/>
      <c r="O59" s="110"/>
      <c r="P59" s="110"/>
      <c r="Q59" s="110"/>
    </row>
    <row r="60" spans="9:24" x14ac:dyDescent="0.3">
      <c r="I60" s="110"/>
      <c r="J60" s="110"/>
      <c r="K60" s="110"/>
      <c r="L60" s="110"/>
      <c r="M60" s="110"/>
      <c r="N60" s="110"/>
      <c r="O60" s="110"/>
      <c r="P60" s="110"/>
      <c r="Q60" s="110"/>
    </row>
    <row r="61" spans="9:24" x14ac:dyDescent="0.3">
      <c r="I61" s="110"/>
      <c r="J61" s="110"/>
      <c r="K61" s="110"/>
      <c r="L61" s="110"/>
      <c r="M61" s="110"/>
      <c r="N61" s="110"/>
      <c r="O61" s="110"/>
      <c r="P61" s="110"/>
      <c r="Q61" s="110"/>
    </row>
    <row r="62" spans="9:24" x14ac:dyDescent="0.3">
      <c r="I62" s="110"/>
      <c r="J62" s="110"/>
      <c r="K62" s="110"/>
      <c r="L62" s="110"/>
      <c r="M62" s="110"/>
      <c r="N62" s="110"/>
      <c r="O62" s="110"/>
      <c r="P62" s="110"/>
      <c r="Q62" s="110"/>
    </row>
    <row r="63" spans="9:24" x14ac:dyDescent="0.3">
      <c r="I63" s="110"/>
      <c r="J63" s="110"/>
      <c r="K63" s="110"/>
      <c r="L63" s="110"/>
      <c r="M63" s="110"/>
      <c r="N63" s="110"/>
      <c r="O63" s="110"/>
      <c r="P63" s="110"/>
      <c r="Q63" s="110"/>
    </row>
    <row r="64" spans="9:24" x14ac:dyDescent="0.3">
      <c r="I64" s="110"/>
      <c r="J64" s="110"/>
      <c r="K64" s="110"/>
      <c r="L64" s="110"/>
      <c r="M64" s="110"/>
      <c r="N64" s="110"/>
      <c r="O64" s="110"/>
      <c r="P64" s="110"/>
      <c r="Q64" s="110"/>
    </row>
    <row r="82" spans="11:11" x14ac:dyDescent="0.3">
      <c r="K82" s="9"/>
    </row>
    <row r="107" spans="11:11" x14ac:dyDescent="0.3">
      <c r="K107" s="9"/>
    </row>
  </sheetData>
  <mergeCells count="1">
    <mergeCell ref="Q32:Q33"/>
  </mergeCells>
  <dataValidations count="2">
    <dataValidation type="list" allowBlank="1" showInputMessage="1" showErrorMessage="1" sqref="K4" xr:uid="{410407C4-30E3-47CB-AB78-E0F6C26194F5}">
      <formula1>"Base Case, Bull Case, Bear Case, Playground"</formula1>
    </dataValidation>
    <dataValidation type="list" allowBlank="1" showInputMessage="1" showErrorMessage="1" sqref="T23:X23" xr:uid="{0F5AB86F-94DE-4876-945E-80EC0222E6F1}">
      <formula1>"TRUE,FALSE"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35C6-9D48-481D-8C52-68464D8524C9}">
  <sheetPr>
    <tabColor theme="9"/>
  </sheetPr>
  <dimension ref="I1:R120"/>
  <sheetViews>
    <sheetView topLeftCell="I7" workbookViewId="0">
      <selection activeCell="M37" sqref="M37"/>
    </sheetView>
  </sheetViews>
  <sheetFormatPr defaultRowHeight="12.75" x14ac:dyDescent="0.2"/>
  <cols>
    <col min="1" max="8" width="0" hidden="1" customWidth="1"/>
    <col min="10" max="10" width="9.140625" customWidth="1"/>
    <col min="11" max="11" width="26.5703125" customWidth="1"/>
    <col min="12" max="13" width="10" bestFit="1" customWidth="1"/>
  </cols>
  <sheetData>
    <row r="1" spans="10:11" s="13" customFormat="1" ht="35.25" customHeight="1" x14ac:dyDescent="0.3">
      <c r="J1" s="27" t="s">
        <v>39</v>
      </c>
    </row>
    <row r="2" spans="10:11" s="13" customFormat="1" ht="16.5" x14ac:dyDescent="0.3">
      <c r="J2" s="15" t="str">
        <f>"Exit Sim. Model for "&amp;'Dashboard &amp; Assump.'!Y22</f>
        <v xml:space="preserve">Exit Sim. Model for </v>
      </c>
    </row>
    <row r="3" spans="10:11" s="13" customFormat="1" ht="24" customHeight="1" x14ac:dyDescent="0.3"/>
    <row r="4" spans="10:11" s="13" customFormat="1" ht="16.5" x14ac:dyDescent="0.3">
      <c r="J4" s="67" t="s">
        <v>35</v>
      </c>
      <c r="K4" s="68" t="str">
        <f>+'Dashboard &amp; Assump.'!K4</f>
        <v>Base Case</v>
      </c>
    </row>
    <row r="5" spans="10:11" s="13" customFormat="1" ht="16.5" x14ac:dyDescent="0.3">
      <c r="J5" s="69"/>
      <c r="K5" s="69"/>
    </row>
    <row r="6" spans="10:11" s="13" customFormat="1" ht="16.5" x14ac:dyDescent="0.3">
      <c r="J6" s="70" t="s">
        <v>77</v>
      </c>
      <c r="K6" s="71">
        <f>+'Dashboard &amp; Assump.'!K6</f>
        <v>0</v>
      </c>
    </row>
    <row r="7" spans="10:11" s="13" customFormat="1" ht="16.5" x14ac:dyDescent="0.3">
      <c r="J7" s="70" t="s">
        <v>78</v>
      </c>
      <c r="K7" s="71">
        <f>+'Dashboard &amp; Assump.'!K7</f>
        <v>10</v>
      </c>
    </row>
    <row r="8" spans="10:11" s="13" customFormat="1" ht="16.5" x14ac:dyDescent="0.3"/>
    <row r="9" spans="10:11" s="13" customFormat="1" ht="16.5" x14ac:dyDescent="0.3">
      <c r="J9" s="14" t="s">
        <v>134</v>
      </c>
    </row>
    <row r="10" spans="10:11" s="13" customFormat="1" ht="16.5" x14ac:dyDescent="0.3"/>
    <row r="11" spans="10:11" s="62" customFormat="1" ht="2.25" customHeight="1" x14ac:dyDescent="0.3"/>
    <row r="12" spans="10:11" s="13" customFormat="1" ht="16.5" hidden="1" x14ac:dyDescent="0.3"/>
    <row r="13" spans="10:11" s="13" customFormat="1" ht="16.5" hidden="1" x14ac:dyDescent="0.3"/>
    <row r="14" spans="10:11" s="13" customFormat="1" ht="16.5" hidden="1" x14ac:dyDescent="0.3"/>
    <row r="15" spans="10:11" s="13" customFormat="1" ht="16.5" hidden="1" x14ac:dyDescent="0.3"/>
    <row r="16" spans="10:11" s="13" customFormat="1" ht="16.5" hidden="1" x14ac:dyDescent="0.3"/>
    <row r="20" spans="11:18" ht="16.5" x14ac:dyDescent="0.3">
      <c r="K20" s="9" t="s">
        <v>117</v>
      </c>
      <c r="L20" s="16">
        <f>MATCH('Dashboard &amp; Assump.'!K4,M20:P20,0)</f>
        <v>1</v>
      </c>
      <c r="M20" s="16" t="s">
        <v>0</v>
      </c>
      <c r="N20" s="16" t="s">
        <v>27</v>
      </c>
      <c r="O20" s="16" t="s">
        <v>28</v>
      </c>
      <c r="P20" s="16" t="s">
        <v>115</v>
      </c>
    </row>
    <row r="21" spans="11:18" ht="16.5" x14ac:dyDescent="0.3">
      <c r="K21" s="107"/>
      <c r="L21" s="108" t="s">
        <v>5</v>
      </c>
      <c r="M21" s="108" t="s">
        <v>6</v>
      </c>
      <c r="N21" s="108" t="s">
        <v>7</v>
      </c>
      <c r="O21" s="108" t="s">
        <v>8</v>
      </c>
      <c r="P21" s="108" t="s">
        <v>9</v>
      </c>
      <c r="Q21" s="3"/>
    </row>
    <row r="22" spans="11:18" ht="16.5" x14ac:dyDescent="0.3">
      <c r="K22" s="3" t="s">
        <v>10</v>
      </c>
      <c r="L22" s="5">
        <f>IF('Dashboard &amp; Assump.'!T$23,"",CHOOSE($L$20,L49,L74,L99,'Dashboard &amp; Assump.'!T33))</f>
        <v>1.5</v>
      </c>
      <c r="M22" s="5">
        <f>IF('Dashboard &amp; Assump.'!U$23,"",CHOOSE($L$20,M49,M74,M99,'Dashboard &amp; Assump.'!U33))</f>
        <v>5</v>
      </c>
      <c r="N22" s="5">
        <f>IF('Dashboard &amp; Assump.'!V$23,"",CHOOSE($L$20,N49,N74,N99,'Dashboard &amp; Assump.'!V33))</f>
        <v>10</v>
      </c>
      <c r="O22" s="5">
        <f>IF('Dashboard &amp; Assump.'!W$23,"",CHOOSE($L$20,O49,O74,O99,'Dashboard &amp; Assump.'!W33))</f>
        <v>16</v>
      </c>
      <c r="P22" s="5">
        <f>IF('Dashboard &amp; Assump.'!X$23,"",CHOOSE($L$20,P49,P74,P99,'Dashboard &amp; Assump.'!X33))</f>
        <v>25</v>
      </c>
      <c r="Q22" s="3"/>
      <c r="R22" t="s">
        <v>135</v>
      </c>
    </row>
    <row r="23" spans="11:18" ht="16.5" x14ac:dyDescent="0.3">
      <c r="K23" s="3" t="s">
        <v>81</v>
      </c>
      <c r="L23" s="6">
        <f>IF('Dashboard &amp; Assump.'!T$23,"",CHOOSE($L$20,L50,L75,L100,'Dashboard &amp; Assump.'!T34))</f>
        <v>0.2</v>
      </c>
      <c r="M23" s="6">
        <f>IF('Dashboard &amp; Assump.'!U$23,"",CHOOSE($L$20,M50,M75,M100,'Dashboard &amp; Assump.'!U34))</f>
        <v>0.15</v>
      </c>
      <c r="N23" s="6">
        <f>IF('Dashboard &amp; Assump.'!V$23,"",CHOOSE($L$20,N50,N75,N100,'Dashboard &amp; Assump.'!V34))</f>
        <v>0.14000000000000001</v>
      </c>
      <c r="O23" s="6">
        <f>IF('Dashboard &amp; Assump.'!W$23,"",CHOOSE($L$20,O50,O75,O100,'Dashboard &amp; Assump.'!W34))</f>
        <v>0.1</v>
      </c>
      <c r="P23" s="6">
        <f>IF('Dashboard &amp; Assump.'!X$23,"",CHOOSE($L$20,P50,P75,P100,'Dashboard &amp; Assump.'!X34))</f>
        <v>0.1</v>
      </c>
      <c r="Q23" s="3"/>
      <c r="R23" t="s">
        <v>136</v>
      </c>
    </row>
    <row r="24" spans="11:18" ht="16.5" x14ac:dyDescent="0.3">
      <c r="K24" s="3" t="s">
        <v>12</v>
      </c>
      <c r="L24" s="5">
        <f>IF('Dashboard &amp; Assump.'!T$23,"",CHOOSE($L$20,L51,L76,L101,'Dashboard &amp; Assump.'!T35))</f>
        <v>7.5</v>
      </c>
      <c r="M24" s="5">
        <f>IF('Dashboard &amp; Assump.'!U$23,"",CHOOSE($L$20,M51,M76,M101,'Dashboard &amp; Assump.'!U35))</f>
        <v>33.333333333333336</v>
      </c>
      <c r="N24" s="5">
        <f>IF('Dashboard &amp; Assump.'!V$23,"",CHOOSE($L$20,N51,N76,N101,'Dashboard &amp; Assump.'!V35))</f>
        <v>71.428571428571416</v>
      </c>
      <c r="O24" s="5">
        <f>IF('Dashboard &amp; Assump.'!W$23,"",CHOOSE($L$20,O51,O76,O101,'Dashboard &amp; Assump.'!W35))</f>
        <v>160</v>
      </c>
      <c r="P24" s="5">
        <f>IF('Dashboard &amp; Assump.'!X$23,"",CHOOSE($L$20,P51,P76,P101,'Dashboard &amp; Assump.'!X35))</f>
        <v>250</v>
      </c>
      <c r="Q24" s="3"/>
      <c r="R24" t="s">
        <v>137</v>
      </c>
    </row>
    <row r="25" spans="11:18" ht="16.5" x14ac:dyDescent="0.3">
      <c r="K25" s="3" t="s">
        <v>82</v>
      </c>
      <c r="L25" s="5">
        <f>IF('Dashboard &amp; Assump.'!T$23,"",CHOOSE($L$20,L52,L77,L102,'Dashboard &amp; Assump.'!T36))</f>
        <v>3</v>
      </c>
      <c r="M25" s="5">
        <f>IF('Dashboard &amp; Assump.'!U$23,"",CHOOSE($L$20,M52,M77,M102,'Dashboard &amp; Assump.'!U36))</f>
        <v>2.5</v>
      </c>
      <c r="N25" s="5">
        <f>IF('Dashboard &amp; Assump.'!V$23,"",CHOOSE($L$20,N52,N77,N102,'Dashboard &amp; Assump.'!V36))</f>
        <v>2</v>
      </c>
      <c r="O25" s="5">
        <f>IF('Dashboard &amp; Assump.'!W$23,"",CHOOSE($L$20,O52,O77,O102,'Dashboard &amp; Assump.'!W36))</f>
        <v>1.5</v>
      </c>
      <c r="P25" s="5">
        <f>IF('Dashboard &amp; Assump.'!X$23,"",CHOOSE($L$20,P52,P77,P102,'Dashboard &amp; Assump.'!X36))</f>
        <v>1</v>
      </c>
      <c r="Q25" s="3"/>
      <c r="R25" t="s">
        <v>138</v>
      </c>
    </row>
    <row r="26" spans="11:18" ht="16.5" x14ac:dyDescent="0.3">
      <c r="K26" s="3" t="s">
        <v>30</v>
      </c>
      <c r="L26" s="101" t="b">
        <f>IF('Dashboard &amp; Assump.'!T$23,"",CHOOSE($L$20,L53,L78,L103,'Dashboard &amp; Assump.'!T37))</f>
        <v>1</v>
      </c>
      <c r="M26" s="101" t="b">
        <f>IF('Dashboard &amp; Assump.'!U$23,"",CHOOSE($L$20,M53,M78,M103,'Dashboard &amp; Assump.'!U37))</f>
        <v>1</v>
      </c>
      <c r="N26" s="101" t="b">
        <f>IF('Dashboard &amp; Assump.'!V$23,"",CHOOSE($L$20,N53,N78,N103,'Dashboard &amp; Assump.'!V37))</f>
        <v>1</v>
      </c>
      <c r="O26" s="101" t="b">
        <f>IF('Dashboard &amp; Assump.'!W$23,"",CHOOSE($L$20,O53,O78,O103,'Dashboard &amp; Assump.'!W37))</f>
        <v>1</v>
      </c>
      <c r="P26" s="101" t="b">
        <f>IF('Dashboard &amp; Assump.'!X$23,"",CHOOSE($L$20,P53,P78,P103,'Dashboard &amp; Assump.'!X37))</f>
        <v>1</v>
      </c>
      <c r="Q26" s="3"/>
      <c r="R26" t="s">
        <v>139</v>
      </c>
    </row>
    <row r="27" spans="11:18" ht="16.5" x14ac:dyDescent="0.3">
      <c r="K27" s="3"/>
      <c r="L27" s="5"/>
      <c r="M27" s="5"/>
      <c r="N27" s="5"/>
      <c r="O27" s="5"/>
      <c r="P27" s="5"/>
      <c r="Q27" s="3"/>
    </row>
    <row r="28" spans="11:18" ht="16.5" x14ac:dyDescent="0.3">
      <c r="K28" s="3" t="s">
        <v>14</v>
      </c>
      <c r="L28" s="5">
        <f>IF('Dashboard &amp; Assump.'!T$23,"",CHOOSE($L$20,L55,L80,L105,'Dashboard &amp; Assump.'!T39))</f>
        <v>0</v>
      </c>
      <c r="M28" s="5">
        <f>IF('Dashboard &amp; Assump.'!U$23,"",CHOOSE($L$20,M55,M80,M105,'Dashboard &amp; Assump.'!U39))</f>
        <v>4.4444444444444446</v>
      </c>
      <c r="N28" s="5">
        <f>IF('Dashboard &amp; Assump.'!V$23,"",CHOOSE($L$20,N55,N80,N105,'Dashboard &amp; Assump.'!V39))</f>
        <v>2.1428571428571423</v>
      </c>
      <c r="O28" s="5">
        <f>IF('Dashboard &amp; Assump.'!W$23,"",CHOOSE($L$20,O55,O80,O105,'Dashboard &amp; Assump.'!W39))</f>
        <v>2.2400000000000002</v>
      </c>
      <c r="P28" s="5">
        <f>IF('Dashboard &amp; Assump.'!X$23,"",CHOOSE($L$20,P55,P80,P105,'Dashboard &amp; Assump.'!X39))</f>
        <v>1.5625</v>
      </c>
      <c r="Q28" s="3"/>
      <c r="R28" t="s">
        <v>140</v>
      </c>
    </row>
    <row r="29" spans="11:18" ht="16.5" x14ac:dyDescent="0.3">
      <c r="K29" s="3" t="s">
        <v>13</v>
      </c>
      <c r="L29" s="5">
        <f>IF('Dashboard &amp; Assump.'!T$23,"",CHOOSE($L$20,L56,L81,L106,'Dashboard &amp; Assump.'!T40))</f>
        <v>9</v>
      </c>
      <c r="M29" s="5">
        <f>IF('Dashboard &amp; Assump.'!U$23,"",CHOOSE($L$20,M56,M81,M106,'Dashboard &amp; Assump.'!U40))</f>
        <v>38.333333333333336</v>
      </c>
      <c r="N29" s="5">
        <f>IF('Dashboard &amp; Assump.'!V$23,"",CHOOSE($L$20,N56,N81,N106,'Dashboard &amp; Assump.'!V40))</f>
        <v>81.428571428571416</v>
      </c>
      <c r="O29" s="5">
        <f>IF('Dashboard &amp; Assump.'!W$23,"",CHOOSE($L$20,O56,O81,O106,'Dashboard &amp; Assump.'!W40))</f>
        <v>176</v>
      </c>
      <c r="P29" s="5">
        <f>IF('Dashboard &amp; Assump.'!X$23,"",CHOOSE($L$20,P56,P81,P106,'Dashboard &amp; Assump.'!X40))</f>
        <v>275</v>
      </c>
      <c r="Q29" s="3"/>
      <c r="R29" t="s">
        <v>141</v>
      </c>
    </row>
    <row r="30" spans="11:18" ht="16.5" x14ac:dyDescent="0.3">
      <c r="K30" s="3"/>
      <c r="L30" s="5"/>
      <c r="M30" s="5"/>
      <c r="N30" s="5"/>
      <c r="O30" s="5"/>
      <c r="P30" s="5"/>
      <c r="Q30" s="3"/>
    </row>
    <row r="31" spans="11:18" ht="16.5" x14ac:dyDescent="0.3">
      <c r="K31" s="3" t="s">
        <v>15</v>
      </c>
      <c r="L31" s="5">
        <f>IF('Dashboard &amp; Assump.'!T$23,"",CHOOSE($L$20,L58,L83,L108,'Dashboard &amp; Assump.'!T42))</f>
        <v>5</v>
      </c>
      <c r="M31" s="5">
        <f>IF('Dashboard &amp; Assump.'!U$23,"",CHOOSE($L$20,M58,M83,M108,'Dashboard &amp; Assump.'!U42))</f>
        <v>5</v>
      </c>
      <c r="N31" s="5">
        <f>IF('Dashboard &amp; Assump.'!V$23,"",CHOOSE($L$20,N58,N83,N108,'Dashboard &amp; Assump.'!V42))</f>
        <v>5</v>
      </c>
      <c r="O31" s="5">
        <f>IF('Dashboard &amp; Assump.'!W$23,"",CHOOSE($L$20,O58,O83,O108,'Dashboard &amp; Assump.'!W42))</f>
        <v>5</v>
      </c>
      <c r="P31" s="5">
        <f>IF('Dashboard &amp; Assump.'!X$23,"",CHOOSE($L$20,P58,P83,P108,'Dashboard &amp; Assump.'!X42))</f>
        <v>5</v>
      </c>
      <c r="Q31" s="3"/>
      <c r="R31" t="s">
        <v>142</v>
      </c>
    </row>
    <row r="32" spans="11:18" ht="16.5" x14ac:dyDescent="0.3">
      <c r="K32" s="3"/>
      <c r="L32" s="5"/>
      <c r="M32" s="5"/>
      <c r="N32" s="5"/>
      <c r="O32" s="5"/>
      <c r="P32" s="5"/>
      <c r="Q32" s="3"/>
    </row>
    <row r="33" spans="9:18" ht="16.5" x14ac:dyDescent="0.3">
      <c r="K33" s="3" t="s">
        <v>80</v>
      </c>
      <c r="L33" s="10">
        <f>IFERROR(EOMONTH('Dashboard &amp; Assump.'!Q25,0),"")</f>
        <v>43830</v>
      </c>
      <c r="M33" s="10">
        <f>IFERROR(EOMONTH(L33,3*M31),L33)</f>
        <v>44286</v>
      </c>
      <c r="N33" s="10">
        <f>IFERROR(EOMONTH(M33,3*N31),M33)</f>
        <v>44742</v>
      </c>
      <c r="O33" s="10">
        <f>IFERROR(EOMONTH(N33,3*O31),N33)</f>
        <v>45199</v>
      </c>
      <c r="P33" s="10">
        <f>IFERROR(EOMONTH(O33,3*P31),O33)</f>
        <v>45657</v>
      </c>
      <c r="Q33" s="3"/>
      <c r="R33" t="s">
        <v>142</v>
      </c>
    </row>
    <row r="34" spans="9:18" ht="16.5" x14ac:dyDescent="0.3">
      <c r="K34" s="3"/>
      <c r="L34" s="5"/>
      <c r="M34" s="5"/>
      <c r="N34" s="5"/>
      <c r="O34" s="5"/>
      <c r="P34" s="3"/>
      <c r="Q34" s="3"/>
    </row>
    <row r="35" spans="9:18" ht="16.5" x14ac:dyDescent="0.3">
      <c r="I35" t="s">
        <v>26</v>
      </c>
      <c r="K35" s="3" t="s">
        <v>16</v>
      </c>
      <c r="L35" s="5">
        <f>IF('Dashboard &amp; Assump.'!T$23,"",CHOOSE($L$20,L60,L85,L110,'Dashboard &amp; Assump.'!T44))</f>
        <v>0.25</v>
      </c>
      <c r="M35" s="5">
        <f>IF('Dashboard &amp; Assump.'!U$23,"",CHOOSE($L$20,M60,M85,M110,'Dashboard &amp; Assump.'!U44))</f>
        <v>1.6</v>
      </c>
      <c r="N35" s="5">
        <f>IF('Dashboard &amp; Assump.'!V$23,"",CHOOSE($L$20,N60,N85,N110,'Dashboard &amp; Assump.'!V44))</f>
        <v>7</v>
      </c>
      <c r="O35" s="5">
        <f>IF('Dashboard &amp; Assump.'!W$23,"",CHOOSE($L$20,O60,O85,O110,'Dashboard &amp; Assump.'!W44))</f>
        <v>16</v>
      </c>
      <c r="P35" s="5">
        <f>IF('Dashboard &amp; Assump.'!X$23,"",CHOOSE($L$20,P60,P85,P110,'Dashboard &amp; Assump.'!X44))</f>
        <v>50</v>
      </c>
      <c r="Q35" s="3"/>
      <c r="R35" t="s">
        <v>143</v>
      </c>
    </row>
    <row r="36" spans="9:18" ht="16.5" x14ac:dyDescent="0.3">
      <c r="K36" s="3" t="s">
        <v>17</v>
      </c>
      <c r="L36" s="5">
        <f>IF('Dashboard &amp; Assump.'!T$23,"",CHOOSE($L$20,L61,L86,L111,'Dashboard &amp; Assump.'!T45))</f>
        <v>30</v>
      </c>
      <c r="M36" s="5">
        <f>IF('Dashboard &amp; Assump.'!U$23,"",CHOOSE($L$20,M61,M86,M111,'Dashboard &amp; Assump.'!U45))</f>
        <v>20.833333333333332</v>
      </c>
      <c r="N36" s="5">
        <f>IF('Dashboard &amp; Assump.'!V$23,"",CHOOSE($L$20,N61,N86,N111,'Dashboard &amp; Assump.'!V45))</f>
        <v>10.204081632653059</v>
      </c>
      <c r="O36" s="5">
        <f>IF('Dashboard &amp; Assump.'!W$23,"",CHOOSE($L$20,O61,O86,O111,'Dashboard &amp; Assump.'!W45))</f>
        <v>10</v>
      </c>
      <c r="P36" s="5">
        <f>IF('Dashboard &amp; Assump.'!X$23,"",CHOOSE($L$20,P61,P86,P111,'Dashboard &amp; Assump.'!X45))</f>
        <v>5</v>
      </c>
      <c r="Q36" s="3"/>
      <c r="R36" t="s">
        <v>143</v>
      </c>
    </row>
    <row r="37" spans="9:18" ht="16.5" x14ac:dyDescent="0.3">
      <c r="K37" s="3" t="s">
        <v>18</v>
      </c>
      <c r="L37" s="5">
        <f>IF('Dashboard &amp; Assump.'!T$23,"",CHOOSE($L$20,L62,L87,L112,'Dashboard &amp; Assump.'!T46))</f>
        <v>0</v>
      </c>
      <c r="M37" s="5">
        <f>IF('Dashboard &amp; Assump.'!U$23,"",CHOOSE($L$20,M62,M87,M112,'Dashboard &amp; Assump.'!U46))</f>
        <v>6.4</v>
      </c>
      <c r="N37" s="5">
        <f>IF('Dashboard &amp; Assump.'!V$23,"",CHOOSE($L$20,N62,N87,N112,'Dashboard &amp; Assump.'!V46))</f>
        <v>4.375</v>
      </c>
      <c r="O37" s="5">
        <f>IF('Dashboard &amp; Assump.'!W$23,"",CHOOSE($L$20,O62,O87,O112,'Dashboard &amp; Assump.'!W46))</f>
        <v>2.2857142857142856</v>
      </c>
      <c r="P37" s="5">
        <f>IF('Dashboard &amp; Assump.'!X$23,"",CHOOSE($L$20,P62,P87,P112,'Dashboard &amp; Assump.'!X46))</f>
        <v>0.5</v>
      </c>
      <c r="Q37" s="3"/>
      <c r="R37" t="s">
        <v>143</v>
      </c>
    </row>
    <row r="38" spans="9:18" ht="16.5" x14ac:dyDescent="0.3">
      <c r="K38" s="3" t="s">
        <v>19</v>
      </c>
      <c r="L38" s="5">
        <f>IF('Dashboard &amp; Assump.'!T$23,"",CHOOSE($L$20,L63,L88,L113,'Dashboard &amp; Assump.'!T47))</f>
        <v>1.4999999999999998</v>
      </c>
      <c r="M38" s="5">
        <f>IF('Dashboard &amp; Assump.'!U$23,"",CHOOSE($L$20,M63,M88,M113,'Dashboard &amp; Assump.'!U47))</f>
        <v>5.0000000000000009</v>
      </c>
      <c r="N38" s="5">
        <f>IF('Dashboard &amp; Assump.'!V$23,"",CHOOSE($L$20,N63,N88,N113,'Dashboard &amp; Assump.'!V47))</f>
        <v>10</v>
      </c>
      <c r="O38" s="5">
        <f>IF('Dashboard &amp; Assump.'!W$23,"",CHOOSE($L$20,O63,O88,O113,'Dashboard &amp; Assump.'!W47))</f>
        <v>16</v>
      </c>
      <c r="P38" s="5">
        <f>IF('Dashboard &amp; Assump.'!X$23,"",CHOOSE($L$20,P63,P88,P113,'Dashboard &amp; Assump.'!X47))</f>
        <v>25</v>
      </c>
      <c r="Q38" s="3"/>
      <c r="R38" t="s">
        <v>143</v>
      </c>
    </row>
    <row r="39" spans="9:18" ht="16.5" x14ac:dyDescent="0.3">
      <c r="K39" s="3" t="s">
        <v>31</v>
      </c>
      <c r="L39" s="5">
        <f>IF('Dashboard &amp; Assump.'!T$23,"",CHOOSE($L$20,L64,L89,L114,'Dashboard &amp; Assump.'!T48))</f>
        <v>0.29999999999999993</v>
      </c>
      <c r="M39" s="5">
        <f>IF('Dashboard &amp; Assump.'!U$23,"",CHOOSE($L$20,M64,M89,M114,'Dashboard &amp; Assump.'!U48))</f>
        <v>1.0000000000000002</v>
      </c>
      <c r="N39" s="5">
        <f>IF('Dashboard &amp; Assump.'!V$23,"",CHOOSE($L$20,N64,N89,N114,'Dashboard &amp; Assump.'!V48))</f>
        <v>2</v>
      </c>
      <c r="O39" s="5">
        <f>IF('Dashboard &amp; Assump.'!W$23,"",CHOOSE($L$20,O64,O89,O114,'Dashboard &amp; Assump.'!W48))</f>
        <v>3.2</v>
      </c>
      <c r="P39" s="5">
        <f>IF('Dashboard &amp; Assump.'!X$23,"",CHOOSE($L$20,P64,P89,P114,'Dashboard &amp; Assump.'!X48))</f>
        <v>5</v>
      </c>
      <c r="Q39" s="3"/>
      <c r="R39" t="s">
        <v>143</v>
      </c>
    </row>
    <row r="40" spans="9:18" ht="16.5" x14ac:dyDescent="0.3">
      <c r="K40" s="3" t="s">
        <v>20</v>
      </c>
      <c r="L40" s="5">
        <f>IF('Dashboard &amp; Assump.'!T$23,"",CHOOSE($L$20,L65,L90,L115,'Dashboard &amp; Assump.'!T49))</f>
        <v>2.4249999999999998</v>
      </c>
      <c r="M40" s="5">
        <f>IF('Dashboard &amp; Assump.'!U$23,"",CHOOSE($L$20,M65,M90,M115,'Dashboard &amp; Assump.'!U49))</f>
        <v>9.3000000000000007</v>
      </c>
      <c r="N40" s="5">
        <f>IF('Dashboard &amp; Assump.'!V$23,"",CHOOSE($L$20,N65,N90,N115,'Dashboard &amp; Assump.'!V49))</f>
        <v>21.5</v>
      </c>
      <c r="O40" s="5">
        <f>IF('Dashboard &amp; Assump.'!W$23,"",CHOOSE($L$20,O65,O90,O115,'Dashboard &amp; Assump.'!W49))</f>
        <v>49</v>
      </c>
      <c r="P40" s="5">
        <f>IF('Dashboard &amp; Assump.'!X$23,"",CHOOSE($L$20,P65,P90,P115,'Dashboard &amp; Assump.'!X49))</f>
        <v>25.4</v>
      </c>
      <c r="Q40" s="3"/>
      <c r="R40" t="s">
        <v>143</v>
      </c>
    </row>
    <row r="41" spans="9:18" ht="16.5" x14ac:dyDescent="0.3">
      <c r="K41" s="3" t="s">
        <v>21</v>
      </c>
      <c r="L41" s="5">
        <f>IF('Dashboard &amp; Assump.'!T$23,"",CHOOSE($L$20,L66,L91,L116,'Dashboard &amp; Assump.'!T50))</f>
        <v>0.48499999999999999</v>
      </c>
      <c r="M41" s="5">
        <f>IF('Dashboard &amp; Assump.'!U$23,"",CHOOSE($L$20,M66,M91,M116,'Dashboard &amp; Assump.'!U50))</f>
        <v>1.86</v>
      </c>
      <c r="N41" s="5">
        <f>IF('Dashboard &amp; Assump.'!V$23,"",CHOOSE($L$20,N66,N91,N116,'Dashboard &amp; Assump.'!V50))</f>
        <v>4.3</v>
      </c>
      <c r="O41" s="5">
        <f>IF('Dashboard &amp; Assump.'!W$23,"",CHOOSE($L$20,O66,O91,O116,'Dashboard &amp; Assump.'!W50))</f>
        <v>9.8000000000000007</v>
      </c>
      <c r="P41" s="5">
        <f>IF('Dashboard &amp; Assump.'!X$23,"",CHOOSE($L$20,P66,P91,P116,'Dashboard &amp; Assump.'!X50))</f>
        <v>5.08</v>
      </c>
      <c r="Q41" s="3"/>
      <c r="R41" t="s">
        <v>143</v>
      </c>
    </row>
    <row r="42" spans="9:18" ht="16.5" x14ac:dyDescent="0.3">
      <c r="K42" s="3" t="s">
        <v>22</v>
      </c>
      <c r="L42" s="5">
        <f>IF('Dashboard &amp; Assump.'!T$23,"",CHOOSE($L$20,L67,L92,L117,'Dashboard &amp; Assump.'!T51))</f>
        <v>1.4550000000000001</v>
      </c>
      <c r="M42" s="5">
        <f>IF('Dashboard &amp; Assump.'!U$23,"",CHOOSE($L$20,M67,M92,M117,'Dashboard &amp; Assump.'!U51))</f>
        <v>5.58</v>
      </c>
      <c r="N42" s="5">
        <f>IF('Dashboard &amp; Assump.'!V$23,"",CHOOSE($L$20,N67,N92,N117,'Dashboard &amp; Assump.'!V51))</f>
        <v>12.899999999999999</v>
      </c>
      <c r="O42" s="5">
        <f>IF('Dashboard &amp; Assump.'!W$23,"",CHOOSE($L$20,O67,O92,O117,'Dashboard &amp; Assump.'!W51))</f>
        <v>29.400000000000002</v>
      </c>
      <c r="P42" s="5">
        <f>IF('Dashboard &amp; Assump.'!X$23,"",CHOOSE($L$20,P67,P92,P117,'Dashboard &amp; Assump.'!X51))</f>
        <v>15.24</v>
      </c>
      <c r="Q42" s="3"/>
      <c r="R42" t="s">
        <v>143</v>
      </c>
    </row>
    <row r="43" spans="9:18" ht="16.5" x14ac:dyDescent="0.3">
      <c r="K43" s="3" t="s">
        <v>23</v>
      </c>
      <c r="L43" s="5">
        <f>IF('Dashboard &amp; Assump.'!T$23,"",CHOOSE($L$20,L68,L93,L118,'Dashboard &amp; Assump.'!T52))</f>
        <v>0.4</v>
      </c>
      <c r="M43" s="5">
        <f>IF('Dashboard &amp; Assump.'!U$23,"",CHOOSE($L$20,M68,M93,M118,'Dashboard &amp; Assump.'!U52))</f>
        <v>0.4</v>
      </c>
      <c r="N43" s="5">
        <f>IF('Dashboard &amp; Assump.'!V$23,"",CHOOSE($L$20,N68,N93,N118,'Dashboard &amp; Assump.'!V52))</f>
        <v>0.4</v>
      </c>
      <c r="O43" s="5">
        <f>IF('Dashboard &amp; Assump.'!W$23,"",CHOOSE($L$20,O68,O93,O118,'Dashboard &amp; Assump.'!W52))</f>
        <v>0.4</v>
      </c>
      <c r="P43" s="5">
        <f>IF('Dashboard &amp; Assump.'!X$23,"",CHOOSE($L$20,P68,P93,P118,'Dashboard &amp; Assump.'!X52))</f>
        <v>0.4</v>
      </c>
      <c r="Q43" s="3"/>
      <c r="R43" t="s">
        <v>143</v>
      </c>
    </row>
    <row r="44" spans="9:18" ht="16.5" x14ac:dyDescent="0.3">
      <c r="K44" s="3" t="s">
        <v>24</v>
      </c>
      <c r="L44" s="5">
        <f>IF('Dashboard &amp; Assump.'!T$23,"",CHOOSE($L$20,L69,L94,L119,'Dashboard &amp; Assump.'!T53))</f>
        <v>0.09</v>
      </c>
      <c r="M44" s="5">
        <f>IF('Dashboard &amp; Assump.'!U$23,"",CHOOSE($L$20,M69,M94,M119,'Dashboard &amp; Assump.'!U53))</f>
        <v>0.09</v>
      </c>
      <c r="N44" s="5">
        <f>IF('Dashboard &amp; Assump.'!V$23,"",CHOOSE($L$20,N69,N94,N119,'Dashboard &amp; Assump.'!V53))</f>
        <v>0.09</v>
      </c>
      <c r="O44" s="5">
        <f>IF('Dashboard &amp; Assump.'!W$23,"",CHOOSE($L$20,O69,O94,O119,'Dashboard &amp; Assump.'!W53))</f>
        <v>0.09</v>
      </c>
      <c r="P44" s="5">
        <f>IF('Dashboard &amp; Assump.'!X$23,"",CHOOSE($L$20,P69,P94,P119,'Dashboard &amp; Assump.'!X53))</f>
        <v>0.09</v>
      </c>
      <c r="Q44" s="3"/>
      <c r="R44" t="s">
        <v>143</v>
      </c>
    </row>
    <row r="45" spans="9:18" ht="16.5" x14ac:dyDescent="0.3">
      <c r="K45" s="3" t="s">
        <v>25</v>
      </c>
      <c r="L45" s="5">
        <f>IF('Dashboard &amp; Assump.'!T$23,"",CHOOSE($L$20,L70,L95,L120,'Dashboard &amp; Assump.'!T54))</f>
        <v>6</v>
      </c>
      <c r="M45" s="5">
        <f>IF('Dashboard &amp; Assump.'!U$23,"",CHOOSE($L$20,M70,M95,M120,'Dashboard &amp; Assump.'!U54))</f>
        <v>25</v>
      </c>
      <c r="N45" s="5">
        <f>IF('Dashboard &amp; Assump.'!V$23,"",CHOOSE($L$20,N70,N95,N120,'Dashboard &amp; Assump.'!V54))</f>
        <v>57</v>
      </c>
      <c r="O45" s="5">
        <f>IF('Dashboard &amp; Assump.'!W$23,"",CHOOSE($L$20,O70,O95,O120,'Dashboard &amp; Assump.'!W54))</f>
        <v>131</v>
      </c>
      <c r="P45" s="5">
        <f>IF('Dashboard &amp; Assump.'!X$23,"",CHOOSE($L$20,P70,P95,P120,'Dashboard &amp; Assump.'!X54))</f>
        <v>68</v>
      </c>
      <c r="R45" t="s">
        <v>143</v>
      </c>
    </row>
    <row r="46" spans="9:18" ht="16.5" x14ac:dyDescent="0.3">
      <c r="K46" s="3"/>
      <c r="L46" s="3"/>
      <c r="M46" s="3"/>
      <c r="N46" s="3"/>
      <c r="O46" s="3"/>
      <c r="P46" s="3"/>
    </row>
    <row r="47" spans="9:18" ht="16.5" x14ac:dyDescent="0.3">
      <c r="K47" s="9" t="s">
        <v>0</v>
      </c>
      <c r="L47" s="9"/>
      <c r="M47" s="9"/>
      <c r="N47" s="9"/>
      <c r="O47" s="9"/>
      <c r="P47" s="9"/>
    </row>
    <row r="48" spans="9:18" ht="16.5" x14ac:dyDescent="0.3">
      <c r="K48" s="3"/>
      <c r="L48" s="4" t="s">
        <v>5</v>
      </c>
      <c r="M48" s="4" t="s">
        <v>6</v>
      </c>
      <c r="N48" s="4" t="s">
        <v>7</v>
      </c>
      <c r="O48" s="4" t="s">
        <v>8</v>
      </c>
      <c r="P48" s="4" t="s">
        <v>9</v>
      </c>
    </row>
    <row r="49" spans="11:16" ht="16.5" x14ac:dyDescent="0.3">
      <c r="K49" s="3" t="s">
        <v>10</v>
      </c>
      <c r="L49" s="5">
        <v>1.5</v>
      </c>
      <c r="M49" s="5">
        <v>5</v>
      </c>
      <c r="N49" s="5">
        <v>10</v>
      </c>
      <c r="O49" s="5">
        <v>16</v>
      </c>
      <c r="P49" s="5">
        <v>25</v>
      </c>
    </row>
    <row r="50" spans="11:16" ht="16.5" x14ac:dyDescent="0.3">
      <c r="K50" s="3" t="s">
        <v>11</v>
      </c>
      <c r="L50" s="6">
        <v>0.2</v>
      </c>
      <c r="M50" s="6">
        <v>0.15</v>
      </c>
      <c r="N50" s="6">
        <v>0.14000000000000001</v>
      </c>
      <c r="O50" s="6">
        <v>0.1</v>
      </c>
      <c r="P50" s="6">
        <v>0.1</v>
      </c>
    </row>
    <row r="51" spans="11:16" ht="16.5" x14ac:dyDescent="0.3">
      <c r="K51" s="3" t="s">
        <v>12</v>
      </c>
      <c r="L51" s="5">
        <f>L49/L50</f>
        <v>7.5</v>
      </c>
      <c r="M51" s="5">
        <f>M49/M50</f>
        <v>33.333333333333336</v>
      </c>
      <c r="N51" s="5">
        <f>N49/N50</f>
        <v>71.428571428571416</v>
      </c>
      <c r="O51" s="5">
        <f>O49/O50</f>
        <v>160</v>
      </c>
      <c r="P51" s="5">
        <f>P49/P50</f>
        <v>250</v>
      </c>
    </row>
    <row r="52" spans="11:16" ht="16.5" x14ac:dyDescent="0.3">
      <c r="K52" s="3" t="s">
        <v>29</v>
      </c>
      <c r="L52" s="5">
        <v>3</v>
      </c>
      <c r="M52" s="5">
        <v>2.5</v>
      </c>
      <c r="N52" s="5">
        <v>2</v>
      </c>
      <c r="O52" s="5">
        <v>1.5</v>
      </c>
      <c r="P52" s="5">
        <v>1</v>
      </c>
    </row>
    <row r="53" spans="11:16" ht="16.5" x14ac:dyDescent="0.3">
      <c r="K53" s="3" t="s">
        <v>30</v>
      </c>
      <c r="L53" s="101" t="b">
        <v>1</v>
      </c>
      <c r="M53" s="101" t="b">
        <v>1</v>
      </c>
      <c r="N53" s="101" t="b">
        <v>1</v>
      </c>
      <c r="O53" s="101" t="b">
        <v>1</v>
      </c>
      <c r="P53" s="101" t="b">
        <v>1</v>
      </c>
    </row>
    <row r="54" spans="11:16" ht="16.5" x14ac:dyDescent="0.3">
      <c r="K54" s="3"/>
      <c r="L54" s="5"/>
      <c r="M54" s="5"/>
      <c r="N54" s="5"/>
      <c r="O54" s="5"/>
      <c r="P54" s="5"/>
    </row>
    <row r="55" spans="11:16" ht="16.5" x14ac:dyDescent="0.3">
      <c r="K55" s="3" t="s">
        <v>14</v>
      </c>
      <c r="L55" s="3"/>
      <c r="M55" s="7">
        <f>M51/L51</f>
        <v>4.4444444444444446</v>
      </c>
      <c r="N55" s="7">
        <f>N51/M51</f>
        <v>2.1428571428571423</v>
      </c>
      <c r="O55" s="7">
        <f>O51/N51</f>
        <v>2.2400000000000002</v>
      </c>
      <c r="P55" s="7">
        <f>P51/O51</f>
        <v>1.5625</v>
      </c>
    </row>
    <row r="56" spans="11:16" ht="16.5" x14ac:dyDescent="0.3">
      <c r="K56" s="3" t="s">
        <v>13</v>
      </c>
      <c r="L56" s="5">
        <f>L51+L49</f>
        <v>9</v>
      </c>
      <c r="M56" s="5">
        <f>M51+M49</f>
        <v>38.333333333333336</v>
      </c>
      <c r="N56" s="5">
        <f>N51+N49</f>
        <v>81.428571428571416</v>
      </c>
      <c r="O56" s="5">
        <f>O51+O49</f>
        <v>176</v>
      </c>
      <c r="P56" s="5">
        <f>P51+P49</f>
        <v>275</v>
      </c>
    </row>
    <row r="57" spans="11:16" ht="16.5" x14ac:dyDescent="0.3">
      <c r="K57" s="3"/>
      <c r="L57" s="5"/>
      <c r="M57" s="5"/>
      <c r="N57" s="5"/>
      <c r="O57" s="5"/>
      <c r="P57" s="5"/>
    </row>
    <row r="58" spans="11:16" ht="16.5" x14ac:dyDescent="0.3">
      <c r="K58" s="3" t="s">
        <v>15</v>
      </c>
      <c r="L58" s="5">
        <v>5</v>
      </c>
      <c r="M58" s="5">
        <v>5</v>
      </c>
      <c r="N58" s="5">
        <v>5</v>
      </c>
      <c r="O58" s="5">
        <v>5</v>
      </c>
      <c r="P58" s="5">
        <v>5</v>
      </c>
    </row>
    <row r="59" spans="11:16" ht="16.5" x14ac:dyDescent="0.3">
      <c r="K59" s="3"/>
      <c r="L59" s="5"/>
      <c r="M59" s="5"/>
      <c r="N59" s="5"/>
      <c r="O59" s="5"/>
      <c r="P59" s="5"/>
    </row>
    <row r="60" spans="11:16" ht="16.5" x14ac:dyDescent="0.3">
      <c r="K60" s="3" t="s">
        <v>16</v>
      </c>
      <c r="L60" s="3">
        <v>0.25</v>
      </c>
      <c r="M60" s="3">
        <v>1.6</v>
      </c>
      <c r="N60" s="3">
        <v>7</v>
      </c>
      <c r="O60" s="3">
        <v>16</v>
      </c>
      <c r="P60" s="3">
        <v>50</v>
      </c>
    </row>
    <row r="61" spans="11:16" ht="16.5" x14ac:dyDescent="0.3">
      <c r="K61" s="3" t="s">
        <v>17</v>
      </c>
      <c r="L61" s="7">
        <f>L51/L60</f>
        <v>30</v>
      </c>
      <c r="M61" s="7">
        <f>M51/M60</f>
        <v>20.833333333333332</v>
      </c>
      <c r="N61" s="7">
        <f>N51/N60</f>
        <v>10.204081632653059</v>
      </c>
      <c r="O61" s="7">
        <f>O51/O60</f>
        <v>10</v>
      </c>
      <c r="P61" s="7">
        <f>P51/P60</f>
        <v>5</v>
      </c>
    </row>
    <row r="62" spans="11:16" ht="16.5" x14ac:dyDescent="0.3">
      <c r="K62" s="3" t="s">
        <v>18</v>
      </c>
      <c r="L62" s="3"/>
      <c r="M62" s="8">
        <f>M60/L60</f>
        <v>6.4</v>
      </c>
      <c r="N62" s="8">
        <f>N60/M60</f>
        <v>4.375</v>
      </c>
      <c r="O62" s="8">
        <f>O60/N60</f>
        <v>2.2857142857142856</v>
      </c>
      <c r="P62" s="8">
        <f>P61/O61</f>
        <v>0.5</v>
      </c>
    </row>
    <row r="63" spans="11:16" ht="16.5" x14ac:dyDescent="0.3">
      <c r="K63" s="3" t="s">
        <v>19</v>
      </c>
      <c r="L63" s="7">
        <f>L65-(AVERAGE(L60:M60))</f>
        <v>1.4999999999999998</v>
      </c>
      <c r="M63" s="7">
        <f>M65-(AVERAGE(M60:N60))</f>
        <v>5.0000000000000009</v>
      </c>
      <c r="N63" s="7">
        <f>N65-(AVERAGE(N60:O60))</f>
        <v>10</v>
      </c>
      <c r="O63" s="7">
        <f>O65-(AVERAGE(O60:P60))</f>
        <v>16</v>
      </c>
      <c r="P63" s="7">
        <f>P65-(AVERAGE(P68:P68))</f>
        <v>25</v>
      </c>
    </row>
    <row r="64" spans="11:16" ht="16.5" x14ac:dyDescent="0.3">
      <c r="K64" s="3" t="s">
        <v>31</v>
      </c>
      <c r="L64" s="7">
        <f>L63/L58</f>
        <v>0.29999999999999993</v>
      </c>
      <c r="M64" s="7">
        <f>M63/M58</f>
        <v>1.0000000000000002</v>
      </c>
      <c r="N64" s="7">
        <f>N63/N58</f>
        <v>2</v>
      </c>
      <c r="O64" s="7">
        <f>O63/O58</f>
        <v>3.2</v>
      </c>
      <c r="P64" s="7">
        <f>P63/P58</f>
        <v>5</v>
      </c>
    </row>
    <row r="65" spans="11:16" ht="16.5" x14ac:dyDescent="0.3">
      <c r="K65" s="3" t="s">
        <v>20</v>
      </c>
      <c r="L65" s="7">
        <f>AVERAGE(L60:M60)+L49</f>
        <v>2.4249999999999998</v>
      </c>
      <c r="M65" s="7">
        <f>AVERAGE(M60:N60)+M49</f>
        <v>9.3000000000000007</v>
      </c>
      <c r="N65" s="7">
        <f>AVERAGE(N60:O60)+N49</f>
        <v>21.5</v>
      </c>
      <c r="O65" s="7">
        <f>AVERAGE(O60:P60)+O49</f>
        <v>49</v>
      </c>
      <c r="P65" s="7">
        <f>AVERAGE(P68:P68)+P49</f>
        <v>25.4</v>
      </c>
    </row>
    <row r="66" spans="11:16" ht="16.5" x14ac:dyDescent="0.3">
      <c r="K66" s="3" t="s">
        <v>21</v>
      </c>
      <c r="L66" s="3">
        <f>L65/L58</f>
        <v>0.48499999999999999</v>
      </c>
      <c r="M66" s="3">
        <f>M65/M58</f>
        <v>1.86</v>
      </c>
      <c r="N66" s="3">
        <f>N65/N58</f>
        <v>4.3</v>
      </c>
      <c r="O66" s="3">
        <f>O65/O58</f>
        <v>9.8000000000000007</v>
      </c>
      <c r="P66" s="3">
        <f>P65/P58</f>
        <v>5.08</v>
      </c>
    </row>
    <row r="67" spans="11:16" ht="16.5" x14ac:dyDescent="0.3">
      <c r="K67" s="3" t="s">
        <v>22</v>
      </c>
      <c r="L67" s="3">
        <f>L66*3</f>
        <v>1.4550000000000001</v>
      </c>
      <c r="M67" s="3">
        <f>M66*3</f>
        <v>5.58</v>
      </c>
      <c r="N67" s="3">
        <f>N66*3</f>
        <v>12.899999999999999</v>
      </c>
      <c r="O67" s="3">
        <f>O66*3</f>
        <v>29.400000000000002</v>
      </c>
      <c r="P67" s="3">
        <f>P66*3</f>
        <v>15.24</v>
      </c>
    </row>
    <row r="68" spans="11:16" ht="16.5" x14ac:dyDescent="0.3">
      <c r="K68" s="3" t="s">
        <v>23</v>
      </c>
      <c r="L68" s="6">
        <v>0.4</v>
      </c>
      <c r="M68" s="6">
        <v>0.4</v>
      </c>
      <c r="N68" s="6">
        <v>0.4</v>
      </c>
      <c r="O68" s="6">
        <v>0.4</v>
      </c>
      <c r="P68" s="6">
        <v>0.4</v>
      </c>
    </row>
    <row r="69" spans="11:16" ht="16.5" x14ac:dyDescent="0.3">
      <c r="K69" s="3" t="s">
        <v>24</v>
      </c>
      <c r="L69" s="3">
        <v>0.09</v>
      </c>
      <c r="M69" s="3">
        <v>0.09</v>
      </c>
      <c r="N69" s="3">
        <v>0.09</v>
      </c>
      <c r="O69" s="3">
        <v>0.09</v>
      </c>
      <c r="P69" s="3">
        <v>0.09</v>
      </c>
    </row>
    <row r="70" spans="11:16" ht="16.5" x14ac:dyDescent="0.3">
      <c r="K70" s="3" t="s">
        <v>25</v>
      </c>
      <c r="L70" s="5">
        <f>ROUND(L67*L68/L69,0)</f>
        <v>6</v>
      </c>
      <c r="M70" s="5">
        <f>ROUND(M67*M68/M69,0)</f>
        <v>25</v>
      </c>
      <c r="N70" s="5">
        <f>ROUND(N67*N68/N69,0)</f>
        <v>57</v>
      </c>
      <c r="O70" s="5">
        <f>ROUND(O67*O68/O69,0)</f>
        <v>131</v>
      </c>
      <c r="P70" s="5">
        <f>ROUND(P67*P68/P69,0)</f>
        <v>68</v>
      </c>
    </row>
    <row r="71" spans="11:16" ht="16.5" x14ac:dyDescent="0.3">
      <c r="K71" s="3"/>
      <c r="L71" s="3"/>
      <c r="M71" s="3"/>
      <c r="N71" s="3"/>
      <c r="O71" s="3"/>
      <c r="P71" s="3"/>
    </row>
    <row r="72" spans="11:16" ht="16.5" x14ac:dyDescent="0.3">
      <c r="K72" s="9" t="s">
        <v>27</v>
      </c>
      <c r="L72" s="9"/>
      <c r="M72" s="9"/>
      <c r="N72" s="9"/>
      <c r="O72" s="9"/>
      <c r="P72" s="9"/>
    </row>
    <row r="73" spans="11:16" ht="16.5" x14ac:dyDescent="0.3">
      <c r="K73" s="3"/>
      <c r="L73" s="4" t="s">
        <v>5</v>
      </c>
      <c r="M73" s="4" t="s">
        <v>6</v>
      </c>
      <c r="N73" s="4" t="s">
        <v>7</v>
      </c>
      <c r="O73" s="4" t="s">
        <v>8</v>
      </c>
      <c r="P73" s="4" t="s">
        <v>9</v>
      </c>
    </row>
    <row r="74" spans="11:16" ht="16.5" x14ac:dyDescent="0.3">
      <c r="K74" s="3" t="s">
        <v>10</v>
      </c>
      <c r="L74" s="5">
        <v>1.5</v>
      </c>
      <c r="M74" s="5">
        <v>5</v>
      </c>
      <c r="N74" s="5">
        <v>12</v>
      </c>
      <c r="O74" s="5">
        <v>20</v>
      </c>
      <c r="P74" s="5">
        <v>40</v>
      </c>
    </row>
    <row r="75" spans="11:16" ht="16.5" x14ac:dyDescent="0.3">
      <c r="K75" s="3" t="s">
        <v>11</v>
      </c>
      <c r="L75" s="6">
        <v>0.15</v>
      </c>
      <c r="M75" s="6">
        <v>0.12</v>
      </c>
      <c r="N75" s="6">
        <v>0.08</v>
      </c>
      <c r="O75" s="6">
        <v>0.05</v>
      </c>
      <c r="P75" s="6">
        <v>0.04</v>
      </c>
    </row>
    <row r="76" spans="11:16" ht="16.5" x14ac:dyDescent="0.3">
      <c r="K76" s="3" t="s">
        <v>12</v>
      </c>
      <c r="L76" s="5">
        <f>L74/L75</f>
        <v>10</v>
      </c>
      <c r="M76" s="5">
        <f>M74/M75</f>
        <v>41.666666666666671</v>
      </c>
      <c r="N76" s="5">
        <f>N74/N75</f>
        <v>150</v>
      </c>
      <c r="O76" s="5">
        <f>O74/O75</f>
        <v>400</v>
      </c>
      <c r="P76" s="5">
        <f>P74/P75</f>
        <v>1000</v>
      </c>
    </row>
    <row r="77" spans="11:16" ht="16.5" x14ac:dyDescent="0.3">
      <c r="K77" s="3" t="s">
        <v>29</v>
      </c>
      <c r="L77" s="5">
        <v>1</v>
      </c>
      <c r="M77" s="5">
        <v>1</v>
      </c>
      <c r="N77" s="5">
        <v>1</v>
      </c>
      <c r="O77" s="5">
        <v>1</v>
      </c>
      <c r="P77" s="5">
        <v>3</v>
      </c>
    </row>
    <row r="78" spans="11:16" ht="16.5" x14ac:dyDescent="0.3">
      <c r="K78" s="3" t="s">
        <v>30</v>
      </c>
      <c r="L78" s="101" t="b">
        <v>0</v>
      </c>
      <c r="M78" s="101" t="b">
        <v>0</v>
      </c>
      <c r="N78" s="101" t="b">
        <v>0</v>
      </c>
      <c r="O78" s="101" t="b">
        <v>0</v>
      </c>
      <c r="P78" s="101" t="b">
        <v>1</v>
      </c>
    </row>
    <row r="79" spans="11:16" ht="16.5" x14ac:dyDescent="0.3">
      <c r="K79" s="3"/>
      <c r="L79" s="5"/>
      <c r="M79" s="5"/>
      <c r="N79" s="5"/>
      <c r="O79" s="5"/>
      <c r="P79" s="5"/>
    </row>
    <row r="80" spans="11:16" ht="16.5" x14ac:dyDescent="0.3">
      <c r="K80" s="3" t="s">
        <v>14</v>
      </c>
      <c r="L80" s="3"/>
      <c r="M80" s="7">
        <f>M76/L76</f>
        <v>4.166666666666667</v>
      </c>
      <c r="N80" s="7">
        <f>N76/M76</f>
        <v>3.5999999999999996</v>
      </c>
      <c r="O80" s="7">
        <f>O76/N76</f>
        <v>2.6666666666666665</v>
      </c>
      <c r="P80" s="7">
        <f>P76/O76</f>
        <v>2.5</v>
      </c>
    </row>
    <row r="81" spans="11:16" ht="16.5" x14ac:dyDescent="0.3">
      <c r="K81" s="3" t="s">
        <v>13</v>
      </c>
      <c r="L81" s="5">
        <f>L76+L74</f>
        <v>11.5</v>
      </c>
      <c r="M81" s="5">
        <f>M76+M74</f>
        <v>46.666666666666671</v>
      </c>
      <c r="N81" s="5">
        <f>N76+N74</f>
        <v>162</v>
      </c>
      <c r="O81" s="5">
        <f>O76+O74</f>
        <v>420</v>
      </c>
      <c r="P81" s="5">
        <f>P76+P74</f>
        <v>1040</v>
      </c>
    </row>
    <row r="82" spans="11:16" ht="16.5" x14ac:dyDescent="0.3">
      <c r="K82" s="3"/>
      <c r="L82" s="5"/>
      <c r="M82" s="5"/>
      <c r="N82" s="5"/>
      <c r="O82" s="5"/>
      <c r="P82" s="5"/>
    </row>
    <row r="83" spans="11:16" ht="16.5" x14ac:dyDescent="0.3">
      <c r="K83" s="3" t="s">
        <v>15</v>
      </c>
      <c r="L83" s="5">
        <v>5</v>
      </c>
      <c r="M83" s="5">
        <v>5</v>
      </c>
      <c r="N83" s="5">
        <v>5</v>
      </c>
      <c r="O83" s="5">
        <v>5</v>
      </c>
      <c r="P83" s="5">
        <v>5</v>
      </c>
    </row>
    <row r="84" spans="11:16" ht="16.5" x14ac:dyDescent="0.3">
      <c r="K84" s="3"/>
      <c r="L84" s="5"/>
      <c r="M84" s="5"/>
      <c r="N84" s="5"/>
      <c r="O84" s="5"/>
      <c r="P84" s="5"/>
    </row>
    <row r="85" spans="11:16" ht="16.5" x14ac:dyDescent="0.3">
      <c r="K85" s="3" t="s">
        <v>16</v>
      </c>
      <c r="L85" s="3">
        <v>0.25</v>
      </c>
      <c r="M85" s="3">
        <v>1.6</v>
      </c>
      <c r="N85" s="3">
        <v>7</v>
      </c>
      <c r="O85" s="3">
        <v>16</v>
      </c>
      <c r="P85" s="3">
        <v>50</v>
      </c>
    </row>
    <row r="86" spans="11:16" ht="16.5" x14ac:dyDescent="0.3">
      <c r="K86" s="3" t="s">
        <v>17</v>
      </c>
      <c r="L86" s="7">
        <f>L76/L85</f>
        <v>40</v>
      </c>
      <c r="M86" s="7">
        <f>M76/M85</f>
        <v>26.041666666666668</v>
      </c>
      <c r="N86" s="7">
        <f>N76/N85</f>
        <v>21.428571428571427</v>
      </c>
      <c r="O86" s="7">
        <f>O76/O85</f>
        <v>25</v>
      </c>
      <c r="P86" s="7">
        <f>P76/P85</f>
        <v>20</v>
      </c>
    </row>
    <row r="87" spans="11:16" ht="16.5" x14ac:dyDescent="0.3">
      <c r="K87" s="3" t="s">
        <v>18</v>
      </c>
      <c r="L87" s="3"/>
      <c r="M87" s="8">
        <f>M85/L85</f>
        <v>6.4</v>
      </c>
      <c r="N87" s="8">
        <f>N85/M85</f>
        <v>4.375</v>
      </c>
      <c r="O87" s="8">
        <f>O85/N85</f>
        <v>2.2857142857142856</v>
      </c>
      <c r="P87" s="8">
        <f>P86/O86</f>
        <v>0.8</v>
      </c>
    </row>
    <row r="88" spans="11:16" ht="16.5" x14ac:dyDescent="0.3">
      <c r="K88" s="3" t="s">
        <v>19</v>
      </c>
      <c r="L88" s="7">
        <f>L90-(AVERAGE(L85:M85))</f>
        <v>1.4999999999999998</v>
      </c>
      <c r="M88" s="7">
        <f>M90-(AVERAGE(M85:N85))</f>
        <v>5.0000000000000009</v>
      </c>
      <c r="N88" s="7">
        <f>N90-(AVERAGE(N85:O85))</f>
        <v>12</v>
      </c>
      <c r="O88" s="7">
        <f>O90-(AVERAGE(O85:P85))</f>
        <v>20</v>
      </c>
      <c r="P88" s="7">
        <f>P90-(AVERAGE(P93:P93))</f>
        <v>40</v>
      </c>
    </row>
    <row r="89" spans="11:16" ht="16.5" x14ac:dyDescent="0.3">
      <c r="K89" s="3" t="s">
        <v>31</v>
      </c>
      <c r="L89" s="7">
        <f>L88/L83</f>
        <v>0.29999999999999993</v>
      </c>
      <c r="M89" s="7">
        <f>M88/M83</f>
        <v>1.0000000000000002</v>
      </c>
      <c r="N89" s="7">
        <f>N88/N83</f>
        <v>2.4</v>
      </c>
      <c r="O89" s="7">
        <f>O88/O83</f>
        <v>4</v>
      </c>
      <c r="P89" s="7">
        <f>P88/P83</f>
        <v>8</v>
      </c>
    </row>
    <row r="90" spans="11:16" ht="16.5" x14ac:dyDescent="0.3">
      <c r="K90" s="3" t="s">
        <v>20</v>
      </c>
      <c r="L90" s="7">
        <f>AVERAGE(L85:M85)+L74</f>
        <v>2.4249999999999998</v>
      </c>
      <c r="M90" s="7">
        <f>AVERAGE(M85:N85)+M74</f>
        <v>9.3000000000000007</v>
      </c>
      <c r="N90" s="7">
        <f>AVERAGE(N85:O85)+N74</f>
        <v>23.5</v>
      </c>
      <c r="O90" s="7">
        <f>AVERAGE(O85:P85)+O74</f>
        <v>53</v>
      </c>
      <c r="P90" s="7">
        <f>AVERAGE(P93:P93)+P74</f>
        <v>40.4</v>
      </c>
    </row>
    <row r="91" spans="11:16" ht="16.5" x14ac:dyDescent="0.3">
      <c r="K91" s="3" t="s">
        <v>21</v>
      </c>
      <c r="L91" s="3">
        <f>L90/L83</f>
        <v>0.48499999999999999</v>
      </c>
      <c r="M91" s="3">
        <f>M90/M83</f>
        <v>1.86</v>
      </c>
      <c r="N91" s="3">
        <f>N90/N83</f>
        <v>4.7</v>
      </c>
      <c r="O91" s="3">
        <f>O90/O83</f>
        <v>10.6</v>
      </c>
      <c r="P91" s="3">
        <f>P90/P83</f>
        <v>8.08</v>
      </c>
    </row>
    <row r="92" spans="11:16" ht="16.5" x14ac:dyDescent="0.3">
      <c r="K92" s="3" t="s">
        <v>22</v>
      </c>
      <c r="L92" s="3">
        <f>L91*3</f>
        <v>1.4550000000000001</v>
      </c>
      <c r="M92" s="3">
        <f>M91*3</f>
        <v>5.58</v>
      </c>
      <c r="N92" s="3">
        <f>N91*3</f>
        <v>14.100000000000001</v>
      </c>
      <c r="O92" s="3">
        <f>O91*3</f>
        <v>31.799999999999997</v>
      </c>
      <c r="P92" s="3">
        <f>P91*3</f>
        <v>24.240000000000002</v>
      </c>
    </row>
    <row r="93" spans="11:16" ht="16.5" x14ac:dyDescent="0.3">
      <c r="K93" s="3" t="s">
        <v>23</v>
      </c>
      <c r="L93" s="6">
        <v>0.4</v>
      </c>
      <c r="M93" s="6">
        <v>0.4</v>
      </c>
      <c r="N93" s="6">
        <v>0.4</v>
      </c>
      <c r="O93" s="6">
        <v>0.4</v>
      </c>
      <c r="P93" s="6">
        <v>0.4</v>
      </c>
    </row>
    <row r="94" spans="11:16" ht="16.5" x14ac:dyDescent="0.3">
      <c r="K94" s="3" t="s">
        <v>24</v>
      </c>
      <c r="L94" s="3">
        <v>0.09</v>
      </c>
      <c r="M94" s="3">
        <v>0.09</v>
      </c>
      <c r="N94" s="3">
        <v>0.09</v>
      </c>
      <c r="O94" s="3">
        <v>0.09</v>
      </c>
      <c r="P94" s="3">
        <v>0.09</v>
      </c>
    </row>
    <row r="95" spans="11:16" ht="16.5" x14ac:dyDescent="0.3">
      <c r="K95" s="3" t="s">
        <v>25</v>
      </c>
      <c r="L95" s="5">
        <f>ROUND(L92*L93/L94,0)</f>
        <v>6</v>
      </c>
      <c r="M95" s="5">
        <f>ROUND(M92*M93/M94,0)</f>
        <v>25</v>
      </c>
      <c r="N95" s="5">
        <f>ROUND(N92*N93/N94,0)</f>
        <v>63</v>
      </c>
      <c r="O95" s="5">
        <f>ROUND(O92*O93/O94,0)</f>
        <v>141</v>
      </c>
      <c r="P95" s="5">
        <f>ROUND(P92*P93/P94,0)</f>
        <v>108</v>
      </c>
    </row>
    <row r="96" spans="11:16" ht="16.5" x14ac:dyDescent="0.3">
      <c r="K96" s="3"/>
      <c r="L96" s="3"/>
      <c r="M96" s="3"/>
      <c r="N96" s="3"/>
      <c r="O96" s="3"/>
      <c r="P96" s="3"/>
    </row>
    <row r="97" spans="11:16" ht="16.5" x14ac:dyDescent="0.3">
      <c r="K97" s="9" t="s">
        <v>28</v>
      </c>
      <c r="L97" s="9"/>
      <c r="M97" s="9"/>
      <c r="N97" s="9"/>
      <c r="O97" s="9"/>
      <c r="P97" s="9"/>
    </row>
    <row r="98" spans="11:16" ht="16.5" x14ac:dyDescent="0.3">
      <c r="K98" s="3"/>
      <c r="L98" s="4" t="s">
        <v>5</v>
      </c>
      <c r="M98" s="4" t="s">
        <v>6</v>
      </c>
      <c r="N98" s="4" t="s">
        <v>7</v>
      </c>
      <c r="O98" s="4" t="s">
        <v>8</v>
      </c>
      <c r="P98" s="4" t="s">
        <v>9</v>
      </c>
    </row>
    <row r="99" spans="11:16" ht="16.5" x14ac:dyDescent="0.3">
      <c r="K99" s="3" t="s">
        <v>10</v>
      </c>
      <c r="L99" s="5">
        <v>1.5</v>
      </c>
      <c r="M99" s="5">
        <v>4</v>
      </c>
      <c r="N99" s="5">
        <v>8</v>
      </c>
      <c r="O99" s="5">
        <v>12</v>
      </c>
      <c r="P99" s="5">
        <v>16</v>
      </c>
    </row>
    <row r="100" spans="11:16" ht="16.5" x14ac:dyDescent="0.3">
      <c r="K100" s="3" t="s">
        <v>11</v>
      </c>
      <c r="L100" s="6">
        <v>0.3</v>
      </c>
      <c r="M100" s="6">
        <v>0.25</v>
      </c>
      <c r="N100" s="6">
        <v>0.22</v>
      </c>
      <c r="O100" s="6">
        <v>0.17</v>
      </c>
      <c r="P100" s="6">
        <v>0.15</v>
      </c>
    </row>
    <row r="101" spans="11:16" ht="16.5" x14ac:dyDescent="0.3">
      <c r="K101" s="3" t="s">
        <v>12</v>
      </c>
      <c r="L101" s="5">
        <f>L99/L100</f>
        <v>5</v>
      </c>
      <c r="M101" s="5">
        <f>M99/M100</f>
        <v>16</v>
      </c>
      <c r="N101" s="5">
        <f>N99/N100</f>
        <v>36.363636363636367</v>
      </c>
      <c r="O101" s="5">
        <f>O99/O100</f>
        <v>70.588235294117638</v>
      </c>
      <c r="P101" s="5">
        <f>P99/P100</f>
        <v>106.66666666666667</v>
      </c>
    </row>
    <row r="102" spans="11:16" ht="16.5" x14ac:dyDescent="0.3">
      <c r="K102" s="3" t="s">
        <v>29</v>
      </c>
      <c r="L102" s="5">
        <v>3</v>
      </c>
      <c r="M102" s="5">
        <v>2.5</v>
      </c>
      <c r="N102" s="5">
        <v>2</v>
      </c>
      <c r="O102" s="5">
        <v>2</v>
      </c>
      <c r="P102" s="5">
        <v>1.5</v>
      </c>
    </row>
    <row r="103" spans="11:16" ht="16.5" x14ac:dyDescent="0.3">
      <c r="K103" s="3" t="s">
        <v>30</v>
      </c>
      <c r="L103" s="101" t="b">
        <v>1</v>
      </c>
      <c r="M103" s="101" t="b">
        <v>1</v>
      </c>
      <c r="N103" s="101" t="b">
        <v>1</v>
      </c>
      <c r="O103" s="101" t="b">
        <v>1</v>
      </c>
      <c r="P103" s="101" t="b">
        <v>1</v>
      </c>
    </row>
    <row r="104" spans="11:16" ht="16.5" x14ac:dyDescent="0.3">
      <c r="K104" s="3"/>
      <c r="L104" s="5"/>
      <c r="M104" s="5"/>
      <c r="N104" s="5"/>
      <c r="O104" s="5"/>
      <c r="P104" s="5"/>
    </row>
    <row r="105" spans="11:16" ht="16.5" x14ac:dyDescent="0.3">
      <c r="K105" s="3" t="s">
        <v>14</v>
      </c>
      <c r="L105" s="3"/>
      <c r="M105" s="7">
        <f>M101/L101</f>
        <v>3.2</v>
      </c>
      <c r="N105" s="7">
        <f>N101/M101</f>
        <v>2.2727272727272729</v>
      </c>
      <c r="O105" s="7">
        <f>O101/N101</f>
        <v>1.9411764705882348</v>
      </c>
      <c r="P105" s="7">
        <f>P101/O101</f>
        <v>1.5111111111111113</v>
      </c>
    </row>
    <row r="106" spans="11:16" ht="16.5" x14ac:dyDescent="0.3">
      <c r="K106" s="3" t="s">
        <v>13</v>
      </c>
      <c r="L106" s="5">
        <f>L101+L99</f>
        <v>6.5</v>
      </c>
      <c r="M106" s="5">
        <f>M101+M99</f>
        <v>20</v>
      </c>
      <c r="N106" s="5">
        <f>N101+N99</f>
        <v>44.363636363636367</v>
      </c>
      <c r="O106" s="5">
        <f>O101+O99</f>
        <v>82.588235294117638</v>
      </c>
      <c r="P106" s="5">
        <f>P101+P99</f>
        <v>122.66666666666667</v>
      </c>
    </row>
    <row r="107" spans="11:16" ht="16.5" x14ac:dyDescent="0.3">
      <c r="K107" s="3"/>
      <c r="L107" s="5"/>
      <c r="M107" s="5"/>
      <c r="N107" s="5"/>
      <c r="O107" s="5"/>
      <c r="P107" s="5"/>
    </row>
    <row r="108" spans="11:16" ht="16.5" x14ac:dyDescent="0.3">
      <c r="K108" s="3" t="s">
        <v>15</v>
      </c>
      <c r="L108" s="5">
        <v>5</v>
      </c>
      <c r="M108" s="5">
        <v>5</v>
      </c>
      <c r="N108" s="5">
        <v>5</v>
      </c>
      <c r="O108" s="5">
        <v>5</v>
      </c>
      <c r="P108" s="5">
        <v>5</v>
      </c>
    </row>
    <row r="109" spans="11:16" ht="16.5" x14ac:dyDescent="0.3">
      <c r="K109" s="3"/>
      <c r="L109" s="5"/>
      <c r="M109" s="5"/>
      <c r="N109" s="5"/>
      <c r="O109" s="5"/>
      <c r="P109" s="5"/>
    </row>
    <row r="110" spans="11:16" ht="16.5" x14ac:dyDescent="0.3">
      <c r="K110" s="3" t="s">
        <v>16</v>
      </c>
      <c r="L110" s="3">
        <v>0.25</v>
      </c>
      <c r="M110" s="3">
        <v>0.6</v>
      </c>
      <c r="N110" s="3">
        <v>1.2</v>
      </c>
      <c r="O110" s="3">
        <v>3.6</v>
      </c>
      <c r="P110" s="3">
        <v>7</v>
      </c>
    </row>
    <row r="111" spans="11:16" ht="16.5" x14ac:dyDescent="0.3">
      <c r="K111" s="3" t="s">
        <v>17</v>
      </c>
      <c r="L111" s="7">
        <f>L101/L110</f>
        <v>20</v>
      </c>
      <c r="M111" s="7">
        <f>M101/M110</f>
        <v>26.666666666666668</v>
      </c>
      <c r="N111" s="7">
        <f>N101/N110</f>
        <v>30.303030303030308</v>
      </c>
      <c r="O111" s="7">
        <f>O101/O110</f>
        <v>19.6078431372549</v>
      </c>
      <c r="P111" s="7">
        <f>P101/P110</f>
        <v>15.238095238095239</v>
      </c>
    </row>
    <row r="112" spans="11:16" ht="16.5" x14ac:dyDescent="0.3">
      <c r="K112" s="3" t="s">
        <v>18</v>
      </c>
      <c r="L112" s="3"/>
      <c r="M112" s="8">
        <f>M110/L110</f>
        <v>2.4</v>
      </c>
      <c r="N112" s="8">
        <f>N110/M110</f>
        <v>2</v>
      </c>
      <c r="O112" s="8">
        <f>O110/N110</f>
        <v>3</v>
      </c>
      <c r="P112" s="8">
        <f>P111/O111</f>
        <v>0.77714285714285725</v>
      </c>
    </row>
    <row r="113" spans="11:16" ht="16.5" x14ac:dyDescent="0.3">
      <c r="K113" s="3" t="s">
        <v>19</v>
      </c>
      <c r="L113" s="7">
        <f>L115-(AVERAGE(L110:M110))</f>
        <v>1.5</v>
      </c>
      <c r="M113" s="7">
        <f>M115-(AVERAGE(M110:N110))</f>
        <v>4</v>
      </c>
      <c r="N113" s="7">
        <f>N115-(AVERAGE(N110:O110))</f>
        <v>8</v>
      </c>
      <c r="O113" s="7">
        <f>O115-(AVERAGE(O110:P110))</f>
        <v>12</v>
      </c>
      <c r="P113" s="7">
        <f>P115-(AVERAGE(P118:P118))</f>
        <v>15.999999999999998</v>
      </c>
    </row>
    <row r="114" spans="11:16" ht="16.5" x14ac:dyDescent="0.3">
      <c r="K114" s="3" t="s">
        <v>31</v>
      </c>
      <c r="L114" s="7">
        <f>L113/L108</f>
        <v>0.3</v>
      </c>
      <c r="M114" s="7">
        <f>M113/M108</f>
        <v>0.8</v>
      </c>
      <c r="N114" s="7">
        <f>N113/N108</f>
        <v>1.6</v>
      </c>
      <c r="O114" s="7">
        <f>O113/O108</f>
        <v>2.4</v>
      </c>
      <c r="P114" s="7">
        <f>P113/P108</f>
        <v>3.1999999999999997</v>
      </c>
    </row>
    <row r="115" spans="11:16" ht="16.5" x14ac:dyDescent="0.3">
      <c r="K115" s="3" t="s">
        <v>20</v>
      </c>
      <c r="L115" s="7">
        <f>AVERAGE(L110:M110)+L99</f>
        <v>1.925</v>
      </c>
      <c r="M115" s="7">
        <f>AVERAGE(M110:N110)+M99</f>
        <v>4.9000000000000004</v>
      </c>
      <c r="N115" s="7">
        <f>AVERAGE(N110:O110)+N99</f>
        <v>10.4</v>
      </c>
      <c r="O115" s="7">
        <f>AVERAGE(O110:P110)+O99</f>
        <v>17.3</v>
      </c>
      <c r="P115" s="7">
        <f>AVERAGE(P118:P118)+P99</f>
        <v>16.399999999999999</v>
      </c>
    </row>
    <row r="116" spans="11:16" ht="16.5" x14ac:dyDescent="0.3">
      <c r="K116" s="3" t="s">
        <v>21</v>
      </c>
      <c r="L116" s="3">
        <f>L115/L108</f>
        <v>0.38500000000000001</v>
      </c>
      <c r="M116" s="3">
        <f>M115/M108</f>
        <v>0.98000000000000009</v>
      </c>
      <c r="N116" s="3">
        <f>N115/N108</f>
        <v>2.08</v>
      </c>
      <c r="O116" s="3">
        <f>O115/O108</f>
        <v>3.46</v>
      </c>
      <c r="P116" s="3">
        <f>P115/P108</f>
        <v>3.28</v>
      </c>
    </row>
    <row r="117" spans="11:16" ht="16.5" x14ac:dyDescent="0.3">
      <c r="K117" s="3" t="s">
        <v>22</v>
      </c>
      <c r="L117" s="3">
        <f>L116*3</f>
        <v>1.155</v>
      </c>
      <c r="M117" s="3">
        <f>M116*3</f>
        <v>2.9400000000000004</v>
      </c>
      <c r="N117" s="3">
        <f>N116*3</f>
        <v>6.24</v>
      </c>
      <c r="O117" s="3">
        <f>O116*3</f>
        <v>10.379999999999999</v>
      </c>
      <c r="P117" s="3">
        <f>P116*3</f>
        <v>9.84</v>
      </c>
    </row>
    <row r="118" spans="11:16" ht="16.5" x14ac:dyDescent="0.3">
      <c r="K118" s="3" t="s">
        <v>23</v>
      </c>
      <c r="L118" s="6">
        <v>0.4</v>
      </c>
      <c r="M118" s="6">
        <v>0.4</v>
      </c>
      <c r="N118" s="6">
        <v>0.4</v>
      </c>
      <c r="O118" s="6">
        <v>0.4</v>
      </c>
      <c r="P118" s="6">
        <v>0.4</v>
      </c>
    </row>
    <row r="119" spans="11:16" ht="16.5" x14ac:dyDescent="0.3">
      <c r="K119" s="3" t="s">
        <v>24</v>
      </c>
      <c r="L119" s="3">
        <v>0.09</v>
      </c>
      <c r="M119" s="3">
        <v>0.09</v>
      </c>
      <c r="N119" s="3">
        <v>0.09</v>
      </c>
      <c r="O119" s="3">
        <v>0.09</v>
      </c>
      <c r="P119" s="3">
        <v>0.09</v>
      </c>
    </row>
    <row r="120" spans="11:16" ht="16.5" x14ac:dyDescent="0.3">
      <c r="K120" s="3" t="s">
        <v>25</v>
      </c>
      <c r="L120" s="5">
        <f>ROUND(L117*L118/L119,0)</f>
        <v>5</v>
      </c>
      <c r="M120" s="5">
        <f>ROUND(M117*M118/M119,0)</f>
        <v>13</v>
      </c>
      <c r="N120" s="5">
        <f>ROUND(N117*N118/N119,0)</f>
        <v>28</v>
      </c>
      <c r="O120" s="5">
        <f>ROUND(O117*O118/O119,0)</f>
        <v>46</v>
      </c>
      <c r="P120" s="5">
        <f>ROUND(P117*P118/P119,0)</f>
        <v>44</v>
      </c>
    </row>
  </sheetData>
  <dataValidations count="1">
    <dataValidation type="list" allowBlank="1" showInputMessage="1" showErrorMessage="1" sqref="K4" xr:uid="{C26EC513-B328-4F20-BD10-5EBC70779DAF}">
      <formula1>"Base Case, Bull Case, Bear Case, Playground"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BE7B-27BB-4383-A6F2-972B0862C8B5}">
  <sheetPr>
    <tabColor theme="1" tint="0.34998626667073579"/>
  </sheetPr>
  <dimension ref="A1"/>
  <sheetViews>
    <sheetView workbookViewId="0">
      <selection activeCell="H39" sqref="H39"/>
    </sheetView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25E0-7194-4319-AA46-9D64AC3A2B6C}">
  <sheetPr>
    <tabColor rgb="FFFFFF00"/>
    <outlinePr summaryBelow="0"/>
  </sheetPr>
  <dimension ref="B1:X327"/>
  <sheetViews>
    <sheetView showGridLines="0" zoomScaleNormal="100" workbookViewId="0">
      <selection activeCell="B197" sqref="B197"/>
    </sheetView>
  </sheetViews>
  <sheetFormatPr defaultRowHeight="12.75" outlineLevelRow="1" x14ac:dyDescent="0.2"/>
  <cols>
    <col min="1" max="1" width="4" customWidth="1"/>
    <col min="2" max="2" width="22.42578125" customWidth="1"/>
    <col min="3" max="24" width="10.140625" customWidth="1"/>
  </cols>
  <sheetData>
    <row r="1" spans="2:24" s="13" customFormat="1" ht="35.25" customHeight="1" x14ac:dyDescent="0.3">
      <c r="B1" s="27" t="s">
        <v>39</v>
      </c>
    </row>
    <row r="2" spans="2:24" s="13" customFormat="1" ht="16.5" x14ac:dyDescent="0.3">
      <c r="B2" s="15" t="str">
        <f>"Exit Sim. Model for "&amp;'Dashboard &amp; Assump.'!Q22</f>
        <v>Exit Sim. Model for UniKorn, Inc.</v>
      </c>
    </row>
    <row r="3" spans="2:24" s="13" customFormat="1" ht="24" customHeight="1" x14ac:dyDescent="0.3"/>
    <row r="4" spans="2:24" s="13" customFormat="1" ht="16.5" x14ac:dyDescent="0.3">
      <c r="B4" s="15" t="s">
        <v>35</v>
      </c>
      <c r="C4" s="64" t="s">
        <v>27</v>
      </c>
    </row>
    <row r="5" spans="2:24" s="13" customFormat="1" ht="16.5" x14ac:dyDescent="0.3"/>
    <row r="6" spans="2:24" s="13" customFormat="1" ht="16.5" x14ac:dyDescent="0.3">
      <c r="B6" s="14" t="s">
        <v>77</v>
      </c>
      <c r="C6" s="65">
        <v>50</v>
      </c>
    </row>
    <row r="7" spans="2:24" s="13" customFormat="1" ht="16.5" x14ac:dyDescent="0.3">
      <c r="B7" s="14" t="s">
        <v>78</v>
      </c>
      <c r="C7" s="65">
        <v>15</v>
      </c>
    </row>
    <row r="8" spans="2:24" s="13" customFormat="1" ht="16.5" x14ac:dyDescent="0.3"/>
    <row r="9" spans="2:24" s="13" customFormat="1" ht="16.5" x14ac:dyDescent="0.3">
      <c r="B9" s="14" t="s">
        <v>134</v>
      </c>
    </row>
    <row r="10" spans="2:24" s="13" customFormat="1" ht="16.5" x14ac:dyDescent="0.3"/>
    <row r="11" spans="2:24" s="62" customFormat="1" ht="2.25" customHeight="1" x14ac:dyDescent="0.3"/>
    <row r="13" spans="2:24" ht="15.75" customHeight="1" x14ac:dyDescent="0.2">
      <c r="B13" s="61" t="s">
        <v>74</v>
      </c>
      <c r="C13" s="61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 spans="2:24" x14ac:dyDescent="0.2">
      <c r="B14" s="61"/>
      <c r="C14" s="61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</row>
    <row r="15" spans="2:24" x14ac:dyDescent="0.2"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6" spans="2:24" x14ac:dyDescent="0.2"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</row>
    <row r="17" spans="2:24" x14ac:dyDescent="0.2">
      <c r="B17" s="38" t="s">
        <v>66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9" spans="2:24" x14ac:dyDescent="0.2">
      <c r="B19" s="43" t="s">
        <v>113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  <row r="20" spans="2:24" s="58" customFormat="1" ht="13.5" thickBot="1" x14ac:dyDescent="0.25"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</row>
    <row r="21" spans="2:24" ht="13.5" thickBot="1" x14ac:dyDescent="0.25">
      <c r="B21" s="102" t="s">
        <v>114</v>
      </c>
      <c r="C21" s="103">
        <f>+'Dashboard &amp; Assump.'!K6</f>
        <v>0</v>
      </c>
      <c r="D21" s="103">
        <f>+C21+'Dashboard &amp; Assump.'!$K$7</f>
        <v>10</v>
      </c>
      <c r="E21" s="103">
        <f>+D21+'Dashboard &amp; Assump.'!$K$7</f>
        <v>20</v>
      </c>
      <c r="F21" s="103">
        <f>+E21+'Dashboard &amp; Assump.'!$K$7</f>
        <v>30</v>
      </c>
      <c r="G21" s="103">
        <f>+F21+'Dashboard &amp; Assump.'!$K$7</f>
        <v>40</v>
      </c>
      <c r="H21" s="103">
        <f>+G21+'Dashboard &amp; Assump.'!$K$7</f>
        <v>50</v>
      </c>
      <c r="I21" s="103">
        <f>+H21+'Dashboard &amp; Assump.'!$K$7</f>
        <v>60</v>
      </c>
      <c r="J21" s="103">
        <f>+I21+'Dashboard &amp; Assump.'!$K$7</f>
        <v>70</v>
      </c>
      <c r="K21" s="103">
        <f>+J21+'Dashboard &amp; Assump.'!$K$7</f>
        <v>80</v>
      </c>
      <c r="L21" s="103">
        <f>+K21+'Dashboard &amp; Assump.'!$K$7</f>
        <v>90</v>
      </c>
      <c r="M21" s="103">
        <f>+L21+'Dashboard &amp; Assump.'!$K$7</f>
        <v>100</v>
      </c>
      <c r="N21" s="103">
        <f>+M21+'Dashboard &amp; Assump.'!$K$7</f>
        <v>110</v>
      </c>
      <c r="O21" s="103">
        <f>+N21+'Dashboard &amp; Assump.'!$K$7</f>
        <v>120</v>
      </c>
      <c r="P21" s="103">
        <f>+O21+'Dashboard &amp; Assump.'!$K$7</f>
        <v>130</v>
      </c>
      <c r="Q21" s="103">
        <f>+P21+'Dashboard &amp; Assump.'!$K$7</f>
        <v>140</v>
      </c>
      <c r="R21" s="103">
        <f>+Q21+'Dashboard &amp; Assump.'!$K$7</f>
        <v>150</v>
      </c>
      <c r="S21" s="103">
        <f>+R21+'Dashboard &amp; Assump.'!$K$7</f>
        <v>160</v>
      </c>
      <c r="T21" s="103">
        <f>+S21+'Dashboard &amp; Assump.'!$K$7</f>
        <v>170</v>
      </c>
      <c r="U21" s="103">
        <f>+T21+'Dashboard &amp; Assump.'!$K$7</f>
        <v>180</v>
      </c>
      <c r="V21" s="103">
        <f>+U21+'Dashboard &amp; Assump.'!$K$7</f>
        <v>190</v>
      </c>
      <c r="W21" s="103">
        <f>+V21+'Dashboard &amp; Assump.'!$K$7</f>
        <v>200</v>
      </c>
      <c r="X21" s="104">
        <f>+W21+'Dashboard &amp; Assump.'!$K$7</f>
        <v>210</v>
      </c>
    </row>
    <row r="22" spans="2:24" s="58" customFormat="1" x14ac:dyDescent="0.2">
      <c r="B22" s="115" t="s">
        <v>119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</row>
    <row r="23" spans="2:24" s="58" customFormat="1" x14ac:dyDescent="0.2">
      <c r="B23" s="105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</row>
    <row r="24" spans="2:24" ht="12.75" customHeight="1" thickBot="1" x14ac:dyDescent="0.25">
      <c r="B24" s="116" t="s">
        <v>120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 spans="2:24" ht="12.75" customHeight="1" thickTop="1" x14ac:dyDescent="0.2">
      <c r="B25" s="117" t="s">
        <v>121</v>
      </c>
      <c r="C25" s="118">
        <f>C179</f>
        <v>0</v>
      </c>
      <c r="D25" s="118">
        <f>D179</f>
        <v>191.38909090909092</v>
      </c>
      <c r="E25" s="118">
        <f>E179</f>
        <v>382.77818181818185</v>
      </c>
      <c r="F25" s="118">
        <f>F179</f>
        <v>574.16727272727269</v>
      </c>
      <c r="G25" s="118">
        <f>G179</f>
        <v>765.5563636363637</v>
      </c>
      <c r="H25" s="118">
        <f>H179</f>
        <v>956.94545454545448</v>
      </c>
      <c r="I25" s="118">
        <f>I179</f>
        <v>1148.3345454545454</v>
      </c>
      <c r="J25" s="118">
        <f>J179</f>
        <v>1339.7236363636364</v>
      </c>
      <c r="K25" s="118">
        <f>K179</f>
        <v>1531.1127272727274</v>
      </c>
      <c r="L25" s="118">
        <f>L179</f>
        <v>1722.501818181818</v>
      </c>
      <c r="M25" s="118">
        <f>M179</f>
        <v>1913.890909090909</v>
      </c>
      <c r="N25" s="118">
        <f>N179</f>
        <v>2105.2800000000002</v>
      </c>
      <c r="O25" s="118">
        <f>O179</f>
        <v>2296.6690909090908</v>
      </c>
      <c r="P25" s="118">
        <f>P179</f>
        <v>2488.0581818181818</v>
      </c>
      <c r="Q25" s="118">
        <f>Q179</f>
        <v>2679.4472727272728</v>
      </c>
      <c r="R25" s="118">
        <f>R179</f>
        <v>2870.8363636363633</v>
      </c>
      <c r="S25" s="118">
        <f>S179</f>
        <v>3062.2254545454548</v>
      </c>
      <c r="T25" s="118">
        <f>T179</f>
        <v>3253.6145454545454</v>
      </c>
      <c r="U25" s="118">
        <f>U179</f>
        <v>3445.0036363636359</v>
      </c>
      <c r="V25" s="118">
        <f>V179</f>
        <v>3636.3927272727274</v>
      </c>
      <c r="W25" s="118">
        <f>W179</f>
        <v>3827.7818181818179</v>
      </c>
      <c r="X25" s="118">
        <f>X179</f>
        <v>4019.1709090909094</v>
      </c>
    </row>
    <row r="26" spans="2:24" x14ac:dyDescent="0.2">
      <c r="B26" t="s">
        <v>32</v>
      </c>
      <c r="C26" s="41">
        <f>+C67+C60</f>
        <v>0</v>
      </c>
      <c r="D26" s="41">
        <f>+D67+D60</f>
        <v>0</v>
      </c>
      <c r="E26" s="41">
        <f>+E67+E60</f>
        <v>0</v>
      </c>
      <c r="F26" s="41">
        <f>+F67+F60</f>
        <v>0</v>
      </c>
      <c r="G26" s="41">
        <f>+G67+G60</f>
        <v>0</v>
      </c>
      <c r="H26" s="41">
        <f>+H67+H60</f>
        <v>0</v>
      </c>
      <c r="I26" s="41">
        <f>+I67+I60</f>
        <v>0</v>
      </c>
      <c r="J26" s="41">
        <f>+J67+J60</f>
        <v>0</v>
      </c>
      <c r="K26" s="41">
        <f>+K67+K60</f>
        <v>0</v>
      </c>
      <c r="L26" s="41">
        <f>+L67+L60</f>
        <v>1.5025789056304519</v>
      </c>
      <c r="M26" s="41">
        <f>+M67+M60</f>
        <v>5.454093264248705</v>
      </c>
      <c r="N26" s="41">
        <f>+N67+N60</f>
        <v>9.6425038167938926</v>
      </c>
      <c r="O26" s="41">
        <f>+O67+O60</f>
        <v>14.026032658393206</v>
      </c>
      <c r="P26" s="41">
        <f>+P67+P60</f>
        <v>18.572180135718693</v>
      </c>
      <c r="Q26" s="41">
        <f>+Q67+Q60</f>
        <v>23.255284628872001</v>
      </c>
      <c r="R26" s="41">
        <f>+R67+R60</f>
        <v>28.054813992226535</v>
      </c>
      <c r="S26" s="41">
        <f>+S67+S60</f>
        <v>32.954144896879953</v>
      </c>
      <c r="T26" s="41">
        <f>+T67+T60</f>
        <v>37.939674911660774</v>
      </c>
      <c r="U26" s="41">
        <f>+U67+U60</f>
        <v>42.917274216867469</v>
      </c>
      <c r="V26" s="41">
        <f>+V67+V60</f>
        <v>47.816474482758615</v>
      </c>
      <c r="W26" s="41">
        <f>+W67+W60</f>
        <v>52.747674725274727</v>
      </c>
      <c r="X26" s="41">
        <f>+X67+X60</f>
        <v>57.706832842105264</v>
      </c>
    </row>
    <row r="27" spans="2:24" x14ac:dyDescent="0.2">
      <c r="B27" t="s">
        <v>5</v>
      </c>
      <c r="C27" s="41">
        <f>+C66+C59</f>
        <v>0</v>
      </c>
      <c r="D27" s="41">
        <f>+D66+D59</f>
        <v>0</v>
      </c>
      <c r="E27" s="41">
        <f>+E66+E59</f>
        <v>0</v>
      </c>
      <c r="F27" s="41">
        <f>+F66+F59</f>
        <v>0</v>
      </c>
      <c r="G27" s="41">
        <f>+G66+G59</f>
        <v>0</v>
      </c>
      <c r="H27" s="41">
        <f>+H66+H59</f>
        <v>0</v>
      </c>
      <c r="I27" s="41">
        <f>+I66+I59</f>
        <v>0</v>
      </c>
      <c r="J27" s="41">
        <f>+J66+J59</f>
        <v>0</v>
      </c>
      <c r="K27" s="41">
        <f>+K66+K59</f>
        <v>0</v>
      </c>
      <c r="L27" s="41">
        <f>+L66+L59</f>
        <v>4.8756447264076126</v>
      </c>
      <c r="M27" s="41">
        <f>+M66+M59</f>
        <v>5.8635233160621762</v>
      </c>
      <c r="N27" s="41">
        <f>+N66+N59</f>
        <v>6.9106259541984727</v>
      </c>
      <c r="O27" s="41">
        <f>+O66+O59</f>
        <v>8.0065081645983014</v>
      </c>
      <c r="P27" s="41">
        <f>+P66+P59</f>
        <v>9.143045033929674</v>
      </c>
      <c r="Q27" s="41">
        <f>+Q66+Q59</f>
        <v>10.313821157218001</v>
      </c>
      <c r="R27" s="41">
        <f>+R66+R59</f>
        <v>11.513703498056634</v>
      </c>
      <c r="S27" s="41">
        <f>+S66+S59</f>
        <v>12.738536224219988</v>
      </c>
      <c r="T27" s="41">
        <f>+T66+T59</f>
        <v>13.984918727915193</v>
      </c>
      <c r="U27" s="41">
        <f>+U66+U59</f>
        <v>15.229318554216867</v>
      </c>
      <c r="V27" s="41">
        <f>+V66+V59</f>
        <v>16.454118620689655</v>
      </c>
      <c r="W27" s="41">
        <f>+W66+W59</f>
        <v>17.68691868131868</v>
      </c>
      <c r="X27" s="41">
        <f>+X66+X59</f>
        <v>18.926708210526314</v>
      </c>
    </row>
    <row r="28" spans="2:24" x14ac:dyDescent="0.2">
      <c r="B28" t="s">
        <v>6</v>
      </c>
      <c r="C28" s="41">
        <f>+C65+C58</f>
        <v>0</v>
      </c>
      <c r="D28" s="41">
        <f>+D65+D58</f>
        <v>0</v>
      </c>
      <c r="E28" s="41">
        <f>+E65+E58</f>
        <v>0</v>
      </c>
      <c r="F28" s="41">
        <f>+F65+F58</f>
        <v>0</v>
      </c>
      <c r="G28" s="41">
        <f>+G65+G58</f>
        <v>0</v>
      </c>
      <c r="H28" s="41">
        <f>+H65+H58</f>
        <v>0</v>
      </c>
      <c r="I28" s="41">
        <f>+I65+I58</f>
        <v>0</v>
      </c>
      <c r="J28" s="41">
        <f>+J65+J58</f>
        <v>1</v>
      </c>
      <c r="K28" s="41">
        <f>+K65+K58</f>
        <v>11</v>
      </c>
      <c r="L28" s="41">
        <f>+L65+L58</f>
        <v>12.831451229183189</v>
      </c>
      <c r="M28" s="41">
        <f>+M65+M58</f>
        <v>13.703108808290157</v>
      </c>
      <c r="N28" s="41">
        <f>+N65+N58</f>
        <v>14.627022900763361</v>
      </c>
      <c r="O28" s="41">
        <f>+O65+O58</f>
        <v>15.593977792292623</v>
      </c>
      <c r="P28" s="41">
        <f>+P65+P58</f>
        <v>16.596804441702655</v>
      </c>
      <c r="Q28" s="41">
        <f>+Q65+Q58</f>
        <v>17.629842197545301</v>
      </c>
      <c r="R28" s="41">
        <f>+R65+R58</f>
        <v>18.688561910049977</v>
      </c>
      <c r="S28" s="41">
        <f>+S65+S58</f>
        <v>19.769296668429405</v>
      </c>
      <c r="T28" s="41">
        <f>+T65+T58</f>
        <v>20.869045936395764</v>
      </c>
      <c r="U28" s="41">
        <f>+U65+U58</f>
        <v>21.967045783132537</v>
      </c>
      <c r="V28" s="41">
        <f>+V65+V58</f>
        <v>23.047751724137939</v>
      </c>
      <c r="W28" s="41">
        <f>+W65+W58</f>
        <v>24.13551648351649</v>
      </c>
      <c r="X28" s="41">
        <f>+X65+X58</f>
        <v>25.229448421052638</v>
      </c>
    </row>
    <row r="29" spans="2:24" x14ac:dyDescent="0.2">
      <c r="B29" t="s">
        <v>7</v>
      </c>
      <c r="C29" s="41">
        <f>+C64+C57</f>
        <v>0</v>
      </c>
      <c r="D29" s="41">
        <f>+D64+D57</f>
        <v>0</v>
      </c>
      <c r="E29" s="41">
        <f>+E64+E57</f>
        <v>0</v>
      </c>
      <c r="F29" s="41">
        <f>+F64+F57</f>
        <v>0</v>
      </c>
      <c r="G29" s="41">
        <f>+G64+G57</f>
        <v>0</v>
      </c>
      <c r="H29" s="41">
        <f>+H64+H57</f>
        <v>1.0000000000000036</v>
      </c>
      <c r="I29" s="41">
        <f>+I64+I57</f>
        <v>11</v>
      </c>
      <c r="J29" s="41">
        <f>+J64+J57</f>
        <v>20</v>
      </c>
      <c r="K29" s="41">
        <f>+K64+K57</f>
        <v>20</v>
      </c>
      <c r="L29" s="41">
        <f>+L64+L57</f>
        <v>20.359714512291831</v>
      </c>
      <c r="M29" s="41">
        <f>+M64+M57</f>
        <v>21.305699481865286</v>
      </c>
      <c r="N29" s="41">
        <f>+N64+N57</f>
        <v>22.308396946564883</v>
      </c>
      <c r="O29" s="41">
        <f>+O64+O57</f>
        <v>23.357805355976485</v>
      </c>
      <c r="P29" s="41">
        <f>+P64+P57</f>
        <v>24.446144355336212</v>
      </c>
      <c r="Q29" s="41">
        <f>+Q64+Q57</f>
        <v>25.56727060198714</v>
      </c>
      <c r="R29" s="41">
        <f>+R64+R57</f>
        <v>26.716268739589118</v>
      </c>
      <c r="S29" s="41">
        <f>+S64+S57</f>
        <v>27.889159175039662</v>
      </c>
      <c r="T29" s="41">
        <f>+T64+T57</f>
        <v>29.08268551236749</v>
      </c>
      <c r="U29" s="41">
        <f>+U64+U57</f>
        <v>30.27431325301205</v>
      </c>
      <c r="V29" s="41">
        <f>+V64+V57</f>
        <v>31.447172413793105</v>
      </c>
      <c r="W29" s="41">
        <f>+W64+W57</f>
        <v>32.627692307692307</v>
      </c>
      <c r="X29" s="41">
        <f>+X64+X57</f>
        <v>33.814905263157897</v>
      </c>
    </row>
    <row r="30" spans="2:24" x14ac:dyDescent="0.2">
      <c r="B30" t="s">
        <v>8</v>
      </c>
      <c r="C30" s="41">
        <f>+C63+C56</f>
        <v>0</v>
      </c>
      <c r="D30" s="41">
        <f>+D63+D56</f>
        <v>0</v>
      </c>
      <c r="E30" s="41">
        <f>+E63+E56</f>
        <v>0</v>
      </c>
      <c r="F30" s="41">
        <f>+F63+F56</f>
        <v>5.0000000000000036</v>
      </c>
      <c r="G30" s="41">
        <f>+G63+G56</f>
        <v>15</v>
      </c>
      <c r="H30" s="41">
        <f>+H63+H56</f>
        <v>23.999999999999996</v>
      </c>
      <c r="I30" s="41">
        <f>+I63+I56</f>
        <v>24</v>
      </c>
      <c r="J30" s="41">
        <f>+J63+J56</f>
        <v>24</v>
      </c>
      <c r="K30" s="41">
        <f>+K63+K56</f>
        <v>24</v>
      </c>
      <c r="L30" s="41">
        <f>+L63+L56</f>
        <v>24.558287073750993</v>
      </c>
      <c r="M30" s="41">
        <f>+M63+M56</f>
        <v>25.823834196891188</v>
      </c>
      <c r="N30" s="41">
        <f>+N63+N56</f>
        <v>26.931297709923662</v>
      </c>
      <c r="O30" s="41">
        <f>+O63+O56</f>
        <v>27.90855649902025</v>
      </c>
      <c r="P30" s="41">
        <f>+P63+P56</f>
        <v>28.777297964219617</v>
      </c>
      <c r="Q30" s="41">
        <f>+Q63+Q56</f>
        <v>29.554646405610754</v>
      </c>
      <c r="R30" s="41">
        <f>+R63+R56</f>
        <v>30.254303164908386</v>
      </c>
      <c r="S30" s="41">
        <f>+S63+S56</f>
        <v>30.887361184558433</v>
      </c>
      <c r="T30" s="41">
        <f>+T63+T56</f>
        <v>31.462897526501767</v>
      </c>
      <c r="U30" s="41">
        <f>+U63+U56</f>
        <v>32.154216867469877</v>
      </c>
      <c r="V30" s="41">
        <f>+V63+V56</f>
        <v>33.085057471264363</v>
      </c>
      <c r="W30" s="41">
        <f>+W63+W56</f>
        <v>34.021978021978022</v>
      </c>
      <c r="X30" s="41">
        <f>+X63+X56</f>
        <v>34.964210526315789</v>
      </c>
    </row>
    <row r="31" spans="2:24" x14ac:dyDescent="0.2">
      <c r="B31" t="s">
        <v>9</v>
      </c>
      <c r="C31" s="41">
        <f>+C62+C55</f>
        <v>0</v>
      </c>
      <c r="D31" s="41">
        <f>+D62+D55</f>
        <v>10</v>
      </c>
      <c r="E31" s="41">
        <f>+E62+E55</f>
        <v>20</v>
      </c>
      <c r="F31" s="41">
        <f>+F62+F55</f>
        <v>24.999999999999996</v>
      </c>
      <c r="G31" s="41">
        <f>+G62+G55</f>
        <v>25</v>
      </c>
      <c r="H31" s="41">
        <f>+H62+H55</f>
        <v>25</v>
      </c>
      <c r="I31" s="41">
        <f>+I62+I55</f>
        <v>24.999999999999996</v>
      </c>
      <c r="J31" s="41">
        <f>+J62+J55</f>
        <v>24.999999999999996</v>
      </c>
      <c r="K31" s="41">
        <f>+K62+K55</f>
        <v>25</v>
      </c>
      <c r="L31" s="41">
        <f>+L62+L55</f>
        <v>25.872323552735924</v>
      </c>
      <c r="M31" s="41">
        <f>+M62+M55</f>
        <v>27.849740932642487</v>
      </c>
      <c r="N31" s="41">
        <f>+N62+N55</f>
        <v>29.580152671755723</v>
      </c>
      <c r="O31" s="41">
        <f>+O62+O55</f>
        <v>31.107119529719135</v>
      </c>
      <c r="P31" s="41">
        <f>+P62+P55</f>
        <v>32.464528069093149</v>
      </c>
      <c r="Q31" s="41">
        <f>+Q62+Q55</f>
        <v>33.679135008766799</v>
      </c>
      <c r="R31" s="41">
        <f>+R62+R55</f>
        <v>34.772348695169349</v>
      </c>
      <c r="S31" s="41">
        <f>+S62+S55</f>
        <v>35.761501850872548</v>
      </c>
      <c r="T31" s="41">
        <f>+T62+T55</f>
        <v>36.660777385159008</v>
      </c>
      <c r="U31" s="41">
        <f>+U62+U55</f>
        <v>37.457831325301207</v>
      </c>
      <c r="V31" s="41">
        <f>+V62+V55</f>
        <v>38.149425287356323</v>
      </c>
      <c r="W31" s="41">
        <f>+W62+W55</f>
        <v>38.780219780219781</v>
      </c>
      <c r="X31" s="41">
        <f>+X62+X55</f>
        <v>39.357894736842105</v>
      </c>
    </row>
    <row r="32" spans="2:24" ht="13.5" thickBot="1" x14ac:dyDescent="0.25">
      <c r="B32" s="121" t="s">
        <v>42</v>
      </c>
      <c r="C32" s="75">
        <f>SUM(C26:C31)</f>
        <v>0</v>
      </c>
      <c r="D32" s="75">
        <f t="shared" ref="D32:X32" si="0">SUM(D26:D31)</f>
        <v>10</v>
      </c>
      <c r="E32" s="75">
        <f t="shared" si="0"/>
        <v>20</v>
      </c>
      <c r="F32" s="75">
        <f t="shared" si="0"/>
        <v>30</v>
      </c>
      <c r="G32" s="75">
        <f t="shared" si="0"/>
        <v>40</v>
      </c>
      <c r="H32" s="75">
        <f t="shared" si="0"/>
        <v>50</v>
      </c>
      <c r="I32" s="75">
        <f t="shared" si="0"/>
        <v>60</v>
      </c>
      <c r="J32" s="75">
        <f t="shared" si="0"/>
        <v>70</v>
      </c>
      <c r="K32" s="75">
        <f t="shared" si="0"/>
        <v>80</v>
      </c>
      <c r="L32" s="75">
        <f t="shared" si="0"/>
        <v>90</v>
      </c>
      <c r="M32" s="75">
        <f t="shared" si="0"/>
        <v>100</v>
      </c>
      <c r="N32" s="75">
        <f t="shared" si="0"/>
        <v>109.99999999999999</v>
      </c>
      <c r="O32" s="75">
        <f t="shared" si="0"/>
        <v>120</v>
      </c>
      <c r="P32" s="75">
        <f t="shared" si="0"/>
        <v>130</v>
      </c>
      <c r="Q32" s="75">
        <f t="shared" si="0"/>
        <v>140</v>
      </c>
      <c r="R32" s="75">
        <f t="shared" si="0"/>
        <v>150</v>
      </c>
      <c r="S32" s="75">
        <f t="shared" si="0"/>
        <v>160</v>
      </c>
      <c r="T32" s="75">
        <f t="shared" si="0"/>
        <v>170</v>
      </c>
      <c r="U32" s="75">
        <f t="shared" si="0"/>
        <v>180.00000000000003</v>
      </c>
      <c r="V32" s="75">
        <f t="shared" si="0"/>
        <v>190</v>
      </c>
      <c r="W32" s="75">
        <f t="shared" si="0"/>
        <v>200</v>
      </c>
      <c r="X32" s="75">
        <f t="shared" si="0"/>
        <v>210</v>
      </c>
    </row>
    <row r="33" spans="2:24" ht="13.5" thickTop="1" x14ac:dyDescent="0.2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 spans="2:24" ht="13.5" thickBot="1" x14ac:dyDescent="0.25">
      <c r="B34" s="42" t="s">
        <v>122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spans="2:24" ht="13.5" thickTop="1" x14ac:dyDescent="0.2">
      <c r="B35" t="s">
        <v>32</v>
      </c>
      <c r="C35" s="60">
        <f>C26/0.025</f>
        <v>0</v>
      </c>
      <c r="D35" s="60">
        <f>D26/0.025</f>
        <v>0</v>
      </c>
      <c r="E35" s="60">
        <f>E26/0.025</f>
        <v>0</v>
      </c>
      <c r="F35" s="60">
        <f>F26/0.025</f>
        <v>0</v>
      </c>
      <c r="G35" s="60">
        <f>G26/0.025</f>
        <v>0</v>
      </c>
      <c r="H35" s="60">
        <f>H26/0.025</f>
        <v>0</v>
      </c>
      <c r="I35" s="60">
        <f>I26/0.025</f>
        <v>0</v>
      </c>
      <c r="J35" s="60">
        <f>J26/0.025</f>
        <v>0</v>
      </c>
      <c r="K35" s="60">
        <f>K26/0.025</f>
        <v>0</v>
      </c>
      <c r="L35" s="60">
        <f>L26/0.025</f>
        <v>60.103156225218072</v>
      </c>
      <c r="M35" s="60">
        <f>M26/0.025</f>
        <v>218.1637305699482</v>
      </c>
      <c r="N35" s="60">
        <f>N26/0.025</f>
        <v>385.70015267175569</v>
      </c>
      <c r="O35" s="60">
        <f>O26/0.025</f>
        <v>561.04130633572822</v>
      </c>
      <c r="P35" s="60">
        <f>P26/0.025</f>
        <v>742.88720542874762</v>
      </c>
      <c r="Q35" s="60">
        <f>Q26/0.025</f>
        <v>930.21138515487996</v>
      </c>
      <c r="R35" s="60">
        <f>R26/0.025</f>
        <v>1122.1925596890612</v>
      </c>
      <c r="S35" s="60">
        <f>S26/0.025</f>
        <v>1318.165795875198</v>
      </c>
      <c r="T35" s="60">
        <f>T26/0.025</f>
        <v>1517.5869964664309</v>
      </c>
      <c r="U35" s="60">
        <f>U26/0.025</f>
        <v>1716.6909686746988</v>
      </c>
      <c r="V35" s="60">
        <f>V26/0.025</f>
        <v>1912.6589793103444</v>
      </c>
      <c r="W35" s="60">
        <f>W26/0.025</f>
        <v>2109.906989010989</v>
      </c>
      <c r="X35" s="60">
        <f>X26/0.025</f>
        <v>2308.2733136842103</v>
      </c>
    </row>
    <row r="36" spans="2:24" x14ac:dyDescent="0.2">
      <c r="B36" t="s">
        <v>5</v>
      </c>
      <c r="C36" s="60">
        <f>IFERROR(C27/Cases!$L$22,"")</f>
        <v>0</v>
      </c>
      <c r="D36" s="60">
        <f>IFERROR(D27/Cases!$L$22,"")</f>
        <v>0</v>
      </c>
      <c r="E36" s="60">
        <f>IFERROR(E27/Cases!$L$22,"")</f>
        <v>0</v>
      </c>
      <c r="F36" s="60">
        <f>IFERROR(F27/Cases!$L$22,"")</f>
        <v>0</v>
      </c>
      <c r="G36" s="60">
        <f>IFERROR(G27/Cases!$L$22,"")</f>
        <v>0</v>
      </c>
      <c r="H36" s="60">
        <f>IFERROR(H27/Cases!$L$22,"")</f>
        <v>0</v>
      </c>
      <c r="I36" s="60">
        <f>IFERROR(I27/Cases!$L$22,"")</f>
        <v>0</v>
      </c>
      <c r="J36" s="60">
        <f>IFERROR(J27/Cases!$L$22,"")</f>
        <v>0</v>
      </c>
      <c r="K36" s="60">
        <f>IFERROR(K27/Cases!$L$22,"")</f>
        <v>0</v>
      </c>
      <c r="L36" s="60">
        <f>IFERROR(L27/Cases!$L$22,"")</f>
        <v>3.2504298176050752</v>
      </c>
      <c r="M36" s="60">
        <f>IFERROR(M27/Cases!$L$22,"")</f>
        <v>3.9090155440414507</v>
      </c>
      <c r="N36" s="60">
        <f>IFERROR(N27/Cases!$L$22,"")</f>
        <v>4.6070839694656485</v>
      </c>
      <c r="O36" s="60">
        <f>IFERROR(O27/Cases!$L$22,"")</f>
        <v>5.3376721097322006</v>
      </c>
      <c r="P36" s="60">
        <f>IFERROR(P27/Cases!$L$22,"")</f>
        <v>6.0953633559531157</v>
      </c>
      <c r="Q36" s="60">
        <f>IFERROR(Q27/Cases!$L$22,"")</f>
        <v>6.8758807714786672</v>
      </c>
      <c r="R36" s="60">
        <f>IFERROR(R27/Cases!$L$22,"")</f>
        <v>7.6758023320377555</v>
      </c>
      <c r="S36" s="60">
        <f>IFERROR(S27/Cases!$L$22,"")</f>
        <v>8.4923574828133255</v>
      </c>
      <c r="T36" s="60">
        <f>IFERROR(T27/Cases!$L$22,"")</f>
        <v>9.3232791519434617</v>
      </c>
      <c r="U36" s="60">
        <f>IFERROR(U27/Cases!$L$22,"")</f>
        <v>10.152879036144578</v>
      </c>
      <c r="V36" s="60">
        <f>IFERROR(V27/Cases!$L$22,"")</f>
        <v>10.969412413793103</v>
      </c>
      <c r="W36" s="60">
        <f>IFERROR(W27/Cases!$L$22,"")</f>
        <v>11.791279120879119</v>
      </c>
      <c r="X36" s="60">
        <f>IFERROR(X27/Cases!$L$22,"")</f>
        <v>12.617805473684209</v>
      </c>
    </row>
    <row r="37" spans="2:24" x14ac:dyDescent="0.2">
      <c r="B37" t="s">
        <v>6</v>
      </c>
      <c r="C37" s="60">
        <f>IFERROR(C28/Cases!$M$22,"")</f>
        <v>0</v>
      </c>
      <c r="D37" s="60">
        <f>IFERROR(D28/Cases!$M$22,"")</f>
        <v>0</v>
      </c>
      <c r="E37" s="60">
        <f>IFERROR(E28/Cases!$M$22,"")</f>
        <v>0</v>
      </c>
      <c r="F37" s="60">
        <f>IFERROR(F28/Cases!$M$22,"")</f>
        <v>0</v>
      </c>
      <c r="G37" s="60">
        <f>IFERROR(G28/Cases!$M$22,"")</f>
        <v>0</v>
      </c>
      <c r="H37" s="60">
        <f>IFERROR(H28/Cases!$M$22,"")</f>
        <v>0</v>
      </c>
      <c r="I37" s="60">
        <f>IFERROR(I28/Cases!$M$22,"")</f>
        <v>0</v>
      </c>
      <c r="J37" s="60">
        <f>IFERROR(J28/Cases!$M$22,"")</f>
        <v>0.2</v>
      </c>
      <c r="K37" s="60">
        <f>IFERROR(K28/Cases!$M$22,"")</f>
        <v>2.2000000000000002</v>
      </c>
      <c r="L37" s="60">
        <f>IFERROR(L28/Cases!$M$22,"")</f>
        <v>2.5662902458366377</v>
      </c>
      <c r="M37" s="60">
        <f>IFERROR(M28/Cases!$M$22,"")</f>
        <v>2.7406217616580313</v>
      </c>
      <c r="N37" s="60">
        <f>IFERROR(N28/Cases!$M$22,"")</f>
        <v>2.925404580152672</v>
      </c>
      <c r="O37" s="60">
        <f>IFERROR(O28/Cases!$M$22,"")</f>
        <v>3.1187955584585247</v>
      </c>
      <c r="P37" s="60">
        <f>IFERROR(P28/Cases!$M$22,"")</f>
        <v>3.319360888340531</v>
      </c>
      <c r="Q37" s="60">
        <f>IFERROR(Q28/Cases!$M$22,"")</f>
        <v>3.52596843950906</v>
      </c>
      <c r="R37" s="60">
        <f>IFERROR(R28/Cases!$M$22,"")</f>
        <v>3.7377123820099953</v>
      </c>
      <c r="S37" s="60">
        <f>IFERROR(S28/Cases!$M$22,"")</f>
        <v>3.9538593336858812</v>
      </c>
      <c r="T37" s="60">
        <f>IFERROR(T28/Cases!$M$22,"")</f>
        <v>4.1738091872791525</v>
      </c>
      <c r="U37" s="60">
        <f>IFERROR(U28/Cases!$M$22,"")</f>
        <v>4.3934091566265074</v>
      </c>
      <c r="V37" s="60">
        <f>IFERROR(V28/Cases!$M$22,"")</f>
        <v>4.6095503448275874</v>
      </c>
      <c r="W37" s="60">
        <f>IFERROR(W28/Cases!$M$22,"")</f>
        <v>4.8271032967032976</v>
      </c>
      <c r="X37" s="60">
        <f>IFERROR(X28/Cases!$M$22,"")</f>
        <v>5.0458896842105272</v>
      </c>
    </row>
    <row r="38" spans="2:24" x14ac:dyDescent="0.2">
      <c r="B38" t="s">
        <v>7</v>
      </c>
      <c r="C38" s="60">
        <f>IFERROR(C29/Cases!$N$22,"")</f>
        <v>0</v>
      </c>
      <c r="D38" s="60">
        <f>IFERROR(D29/Cases!$N$22,"")</f>
        <v>0</v>
      </c>
      <c r="E38" s="60">
        <f>IFERROR(E29/Cases!$N$22,"")</f>
        <v>0</v>
      </c>
      <c r="F38" s="60">
        <f>IFERROR(F29/Cases!$N$22,"")</f>
        <v>0</v>
      </c>
      <c r="G38" s="60">
        <f>IFERROR(G29/Cases!$N$22,"")</f>
        <v>0</v>
      </c>
      <c r="H38" s="60">
        <f>IFERROR(H29/Cases!$N$22,"")</f>
        <v>0.10000000000000035</v>
      </c>
      <c r="I38" s="60">
        <f>IFERROR(I29/Cases!$N$22,"")</f>
        <v>1.1000000000000001</v>
      </c>
      <c r="J38" s="60">
        <f>IFERROR(J29/Cases!$N$22,"")</f>
        <v>2</v>
      </c>
      <c r="K38" s="60">
        <f>IFERROR(K29/Cases!$N$22,"")</f>
        <v>2</v>
      </c>
      <c r="L38" s="60">
        <f>IFERROR(L29/Cases!$N$22,"")</f>
        <v>2.0359714512291829</v>
      </c>
      <c r="M38" s="60">
        <f>IFERROR(M29/Cases!$N$22,"")</f>
        <v>2.1305699481865288</v>
      </c>
      <c r="N38" s="60">
        <f>IFERROR(N29/Cases!$N$22,"")</f>
        <v>2.2308396946564883</v>
      </c>
      <c r="O38" s="60">
        <f>IFERROR(O29/Cases!$N$22,"")</f>
        <v>2.3357805355976486</v>
      </c>
      <c r="P38" s="60">
        <f>IFERROR(P29/Cases!$N$22,"")</f>
        <v>2.4446144355336212</v>
      </c>
      <c r="Q38" s="60">
        <f>IFERROR(Q29/Cases!$N$22,"")</f>
        <v>2.556727060198714</v>
      </c>
      <c r="R38" s="60">
        <f>IFERROR(R29/Cases!$N$22,"")</f>
        <v>2.6716268739589117</v>
      </c>
      <c r="S38" s="60">
        <f>IFERROR(S29/Cases!$N$22,"")</f>
        <v>2.7889159175039664</v>
      </c>
      <c r="T38" s="60">
        <f>IFERROR(T29/Cases!$N$22,"")</f>
        <v>2.9082685512367492</v>
      </c>
      <c r="U38" s="60">
        <f>IFERROR(U29/Cases!$N$22,"")</f>
        <v>3.0274313253012051</v>
      </c>
      <c r="V38" s="60">
        <f>IFERROR(V29/Cases!$N$22,"")</f>
        <v>3.1447172413793103</v>
      </c>
      <c r="W38" s="60">
        <f>IFERROR(W29/Cases!$N$22,"")</f>
        <v>3.2627692307692309</v>
      </c>
      <c r="X38" s="60">
        <f>IFERROR(X29/Cases!$N$22,"")</f>
        <v>3.3814905263157895</v>
      </c>
    </row>
    <row r="39" spans="2:24" x14ac:dyDescent="0.2">
      <c r="B39" t="s">
        <v>8</v>
      </c>
      <c r="C39" s="60">
        <f>IFERROR(C30/Cases!$O$22,"")</f>
        <v>0</v>
      </c>
      <c r="D39" s="60">
        <f>IFERROR(D30/Cases!$O$22,"")</f>
        <v>0</v>
      </c>
      <c r="E39" s="60">
        <f>IFERROR(E30/Cases!$O$22,"")</f>
        <v>0</v>
      </c>
      <c r="F39" s="60">
        <f>IFERROR(F30/Cases!$O$22,"")</f>
        <v>0.31250000000000022</v>
      </c>
      <c r="G39" s="60">
        <f>IFERROR(G30/Cases!$O$22,"")</f>
        <v>0.9375</v>
      </c>
      <c r="H39" s="60">
        <f>IFERROR(H30/Cases!$O$22,"")</f>
        <v>1.4999999999999998</v>
      </c>
      <c r="I39" s="60">
        <f>IFERROR(I30/Cases!$O$22,"")</f>
        <v>1.5</v>
      </c>
      <c r="J39" s="60">
        <f>IFERROR(J30/Cases!$O$22,"")</f>
        <v>1.5</v>
      </c>
      <c r="K39" s="60">
        <f>IFERROR(K30/Cases!$O$22,"")</f>
        <v>1.5</v>
      </c>
      <c r="L39" s="60">
        <f>IFERROR(L30/Cases!$O$22,"")</f>
        <v>1.5348929421094371</v>
      </c>
      <c r="M39" s="60">
        <f>IFERROR(M30/Cases!$O$22,"")</f>
        <v>1.6139896373056992</v>
      </c>
      <c r="N39" s="60">
        <f>IFERROR(N30/Cases!$O$22,"")</f>
        <v>1.6832061068702289</v>
      </c>
      <c r="O39" s="60">
        <f>IFERROR(O30/Cases!$O$22,"")</f>
        <v>1.7442847811887656</v>
      </c>
      <c r="P39" s="60">
        <f>IFERROR(P30/Cases!$O$22,"")</f>
        <v>1.7985811227637261</v>
      </c>
      <c r="Q39" s="60">
        <f>IFERROR(Q30/Cases!$O$22,"")</f>
        <v>1.8471654003506721</v>
      </c>
      <c r="R39" s="60">
        <f>IFERROR(R30/Cases!$O$22,"")</f>
        <v>1.8908939478067741</v>
      </c>
      <c r="S39" s="60">
        <f>IFERROR(S30/Cases!$O$22,"")</f>
        <v>1.9304600740349021</v>
      </c>
      <c r="T39" s="60">
        <f>IFERROR(T30/Cases!$O$22,"")</f>
        <v>1.9664310954063604</v>
      </c>
      <c r="U39" s="60">
        <f>IFERROR(U30/Cases!$O$22,"")</f>
        <v>2.0096385542168673</v>
      </c>
      <c r="V39" s="60">
        <f>IFERROR(V30/Cases!$O$22,"")</f>
        <v>2.0678160919540227</v>
      </c>
      <c r="W39" s="60">
        <f>IFERROR(W30/Cases!$O$22,"")</f>
        <v>2.1263736263736264</v>
      </c>
      <c r="X39" s="60">
        <f>IFERROR(X30/Cases!$O$22,"")</f>
        <v>2.1852631578947368</v>
      </c>
    </row>
    <row r="40" spans="2:24" x14ac:dyDescent="0.2">
      <c r="B40" t="s">
        <v>9</v>
      </c>
      <c r="C40" s="60">
        <f>IFERROR(C31/Cases!$P$22,"")</f>
        <v>0</v>
      </c>
      <c r="D40" s="60">
        <f>IFERROR(D31/Cases!$P$22,"")</f>
        <v>0.4</v>
      </c>
      <c r="E40" s="60">
        <f>IFERROR(E31/Cases!$P$22,"")</f>
        <v>0.8</v>
      </c>
      <c r="F40" s="60">
        <f>IFERROR(F31/Cases!$P$22,"")</f>
        <v>0.99999999999999989</v>
      </c>
      <c r="G40" s="60">
        <f>IFERROR(G31/Cases!$P$22,"")</f>
        <v>1</v>
      </c>
      <c r="H40" s="60">
        <f>IFERROR(H31/Cases!$P$22,"")</f>
        <v>1</v>
      </c>
      <c r="I40" s="60">
        <f>IFERROR(I31/Cases!$P$22,"")</f>
        <v>0.99999999999999989</v>
      </c>
      <c r="J40" s="60">
        <f>IFERROR(J31/Cases!$P$22,"")</f>
        <v>0.99999999999999989</v>
      </c>
      <c r="K40" s="60">
        <f>IFERROR(K31/Cases!$P$22,"")</f>
        <v>1</v>
      </c>
      <c r="L40" s="60">
        <f>IFERROR(L31/Cases!$P$22,"")</f>
        <v>1.0348929421094371</v>
      </c>
      <c r="M40" s="60">
        <f>IFERROR(M31/Cases!$P$22,"")</f>
        <v>1.1139896373056994</v>
      </c>
      <c r="N40" s="60">
        <f>IFERROR(N31/Cases!$P$22,"")</f>
        <v>1.1832061068702289</v>
      </c>
      <c r="O40" s="60">
        <f>IFERROR(O31/Cases!$P$22,"")</f>
        <v>1.2442847811887654</v>
      </c>
      <c r="P40" s="60">
        <f>IFERROR(P31/Cases!$P$22,"")</f>
        <v>1.2985811227637258</v>
      </c>
      <c r="Q40" s="60">
        <f>IFERROR(Q31/Cases!$P$22,"")</f>
        <v>1.3471654003506719</v>
      </c>
      <c r="R40" s="60">
        <f>IFERROR(R31/Cases!$P$22,"")</f>
        <v>1.3908939478067739</v>
      </c>
      <c r="S40" s="60">
        <f>IFERROR(S31/Cases!$P$22,"")</f>
        <v>1.4304600740349018</v>
      </c>
      <c r="T40" s="60">
        <f>IFERROR(T31/Cases!$P$22,"")</f>
        <v>1.4664310954063604</v>
      </c>
      <c r="U40" s="60">
        <f>IFERROR(U31/Cases!$P$22,"")</f>
        <v>1.4983132530120482</v>
      </c>
      <c r="V40" s="60">
        <f>IFERROR(V31/Cases!$P$22,"")</f>
        <v>1.5259770114942528</v>
      </c>
      <c r="W40" s="60">
        <f>IFERROR(W31/Cases!$P$22,"")</f>
        <v>1.5512087912087913</v>
      </c>
      <c r="X40" s="60">
        <f>IFERROR(X31/Cases!$P$22,"")</f>
        <v>1.5743157894736841</v>
      </c>
    </row>
    <row r="41" spans="2:24" x14ac:dyDescent="0.2"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 spans="2:24" ht="13.5" thickBot="1" x14ac:dyDescent="0.25">
      <c r="B42" s="42" t="s">
        <v>123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spans="2:24" ht="13.5" thickTop="1" x14ac:dyDescent="0.2">
      <c r="B43" t="s">
        <v>32</v>
      </c>
      <c r="C43" s="63" t="str">
        <f>IFERROR(C26/C$21,"")</f>
        <v/>
      </c>
      <c r="D43" s="63">
        <f t="shared" ref="D43:X48" si="1">IFERROR(D26/D$21,"")</f>
        <v>0</v>
      </c>
      <c r="E43" s="63">
        <f t="shared" si="1"/>
        <v>0</v>
      </c>
      <c r="F43" s="63">
        <f t="shared" si="1"/>
        <v>0</v>
      </c>
      <c r="G43" s="63">
        <f t="shared" si="1"/>
        <v>0</v>
      </c>
      <c r="H43" s="63">
        <f t="shared" si="1"/>
        <v>0</v>
      </c>
      <c r="I43" s="63">
        <f t="shared" si="1"/>
        <v>0</v>
      </c>
      <c r="J43" s="63">
        <f t="shared" si="1"/>
        <v>0</v>
      </c>
      <c r="K43" s="63">
        <f t="shared" si="1"/>
        <v>0</v>
      </c>
      <c r="L43" s="63">
        <f t="shared" si="1"/>
        <v>1.6695321173671687E-2</v>
      </c>
      <c r="M43" s="63">
        <f t="shared" si="1"/>
        <v>5.454093264248705E-2</v>
      </c>
      <c r="N43" s="63">
        <f t="shared" si="1"/>
        <v>8.7659125607217211E-2</v>
      </c>
      <c r="O43" s="63">
        <f t="shared" si="1"/>
        <v>0.11688360548661005</v>
      </c>
      <c r="P43" s="63">
        <f t="shared" si="1"/>
        <v>0.14286292412091303</v>
      </c>
      <c r="Q43" s="63">
        <f t="shared" si="1"/>
        <v>0.1661091759205143</v>
      </c>
      <c r="R43" s="63">
        <f t="shared" si="1"/>
        <v>0.18703209328151024</v>
      </c>
      <c r="S43" s="63">
        <f t="shared" si="1"/>
        <v>0.20596340560549969</v>
      </c>
      <c r="T43" s="63">
        <f t="shared" si="1"/>
        <v>0.22317455830388691</v>
      </c>
      <c r="U43" s="63">
        <f t="shared" si="1"/>
        <v>0.23842930120481928</v>
      </c>
      <c r="V43" s="63">
        <f t="shared" si="1"/>
        <v>0.25166565517241374</v>
      </c>
      <c r="W43" s="63">
        <f t="shared" si="1"/>
        <v>0.26373837362637365</v>
      </c>
      <c r="X43" s="63">
        <f t="shared" si="1"/>
        <v>0.27479444210526316</v>
      </c>
    </row>
    <row r="44" spans="2:24" x14ac:dyDescent="0.2">
      <c r="B44" t="s">
        <v>5</v>
      </c>
      <c r="C44" s="63" t="str">
        <f t="shared" ref="C44:R48" si="2">IFERROR(C27/C$21,"")</f>
        <v/>
      </c>
      <c r="D44" s="63">
        <f t="shared" si="2"/>
        <v>0</v>
      </c>
      <c r="E44" s="63">
        <f t="shared" si="2"/>
        <v>0</v>
      </c>
      <c r="F44" s="63">
        <f t="shared" si="2"/>
        <v>0</v>
      </c>
      <c r="G44" s="63">
        <f t="shared" si="2"/>
        <v>0</v>
      </c>
      <c r="H44" s="63">
        <f t="shared" si="2"/>
        <v>0</v>
      </c>
      <c r="I44" s="63">
        <f t="shared" si="2"/>
        <v>0</v>
      </c>
      <c r="J44" s="63">
        <f t="shared" si="2"/>
        <v>0</v>
      </c>
      <c r="K44" s="63">
        <f t="shared" si="2"/>
        <v>0</v>
      </c>
      <c r="L44" s="63">
        <f t="shared" si="2"/>
        <v>5.4173830293417921E-2</v>
      </c>
      <c r="M44" s="63">
        <f t="shared" si="2"/>
        <v>5.8635233160621761E-2</v>
      </c>
      <c r="N44" s="63">
        <f t="shared" si="2"/>
        <v>6.2823872310895201E-2</v>
      </c>
      <c r="O44" s="63">
        <f t="shared" si="2"/>
        <v>6.6720901371652513E-2</v>
      </c>
      <c r="P44" s="63">
        <f t="shared" si="2"/>
        <v>7.0331115645612882E-2</v>
      </c>
      <c r="Q44" s="63">
        <f t="shared" si="2"/>
        <v>7.3670151122985722E-2</v>
      </c>
      <c r="R44" s="63">
        <f t="shared" si="2"/>
        <v>7.6758023320377552E-2</v>
      </c>
      <c r="S44" s="63">
        <f t="shared" si="1"/>
        <v>7.9615851401374921E-2</v>
      </c>
      <c r="T44" s="63">
        <f t="shared" si="1"/>
        <v>8.2264227811265841E-2</v>
      </c>
      <c r="U44" s="63">
        <f t="shared" si="1"/>
        <v>8.4607325301204822E-2</v>
      </c>
      <c r="V44" s="63">
        <f t="shared" si="1"/>
        <v>8.6600624319419242E-2</v>
      </c>
      <c r="W44" s="63">
        <f t="shared" si="1"/>
        <v>8.8434593406593404E-2</v>
      </c>
      <c r="X44" s="63">
        <f t="shared" si="1"/>
        <v>9.0127181954887212E-2</v>
      </c>
    </row>
    <row r="45" spans="2:24" x14ac:dyDescent="0.2">
      <c r="B45" t="s">
        <v>6</v>
      </c>
      <c r="C45" s="63" t="str">
        <f t="shared" si="2"/>
        <v/>
      </c>
      <c r="D45" s="63">
        <f t="shared" si="1"/>
        <v>0</v>
      </c>
      <c r="E45" s="63">
        <f t="shared" si="1"/>
        <v>0</v>
      </c>
      <c r="F45" s="63">
        <f t="shared" si="1"/>
        <v>0</v>
      </c>
      <c r="G45" s="63">
        <f t="shared" si="1"/>
        <v>0</v>
      </c>
      <c r="H45" s="63">
        <f t="shared" si="1"/>
        <v>0</v>
      </c>
      <c r="I45" s="63">
        <f t="shared" si="1"/>
        <v>0</v>
      </c>
      <c r="J45" s="63">
        <f t="shared" si="1"/>
        <v>1.4285714285714285E-2</v>
      </c>
      <c r="K45" s="63">
        <f t="shared" si="1"/>
        <v>0.13750000000000001</v>
      </c>
      <c r="L45" s="63">
        <f t="shared" si="1"/>
        <v>0.14257168032425765</v>
      </c>
      <c r="M45" s="63">
        <f t="shared" si="1"/>
        <v>0.13703108808290157</v>
      </c>
      <c r="N45" s="63">
        <f t="shared" si="1"/>
        <v>0.13297293546148509</v>
      </c>
      <c r="O45" s="63">
        <f t="shared" si="1"/>
        <v>0.12994981493577187</v>
      </c>
      <c r="P45" s="63">
        <f t="shared" si="1"/>
        <v>0.12766772647463581</v>
      </c>
      <c r="Q45" s="63">
        <f t="shared" si="1"/>
        <v>0.12592744426818073</v>
      </c>
      <c r="R45" s="63">
        <f t="shared" si="1"/>
        <v>0.12459041273366651</v>
      </c>
      <c r="S45" s="63">
        <f t="shared" si="1"/>
        <v>0.12355810417768379</v>
      </c>
      <c r="T45" s="63">
        <f t="shared" si="1"/>
        <v>0.12275909374350449</v>
      </c>
      <c r="U45" s="63">
        <f t="shared" si="1"/>
        <v>0.12203914323962521</v>
      </c>
      <c r="V45" s="63">
        <f t="shared" si="1"/>
        <v>0.12130395644283126</v>
      </c>
      <c r="W45" s="63">
        <f t="shared" si="1"/>
        <v>0.12067758241758245</v>
      </c>
      <c r="X45" s="63">
        <f t="shared" si="1"/>
        <v>0.12014023057644113</v>
      </c>
    </row>
    <row r="46" spans="2:24" x14ac:dyDescent="0.2">
      <c r="B46" t="s">
        <v>7</v>
      </c>
      <c r="C46" s="63" t="str">
        <f t="shared" si="2"/>
        <v/>
      </c>
      <c r="D46" s="63">
        <f t="shared" si="1"/>
        <v>0</v>
      </c>
      <c r="E46" s="63">
        <f t="shared" si="1"/>
        <v>0</v>
      </c>
      <c r="F46" s="63">
        <f t="shared" si="1"/>
        <v>0</v>
      </c>
      <c r="G46" s="63">
        <f t="shared" si="1"/>
        <v>0</v>
      </c>
      <c r="H46" s="63">
        <f t="shared" si="1"/>
        <v>2.000000000000007E-2</v>
      </c>
      <c r="I46" s="63">
        <f t="shared" si="1"/>
        <v>0.18333333333333332</v>
      </c>
      <c r="J46" s="63">
        <f t="shared" si="1"/>
        <v>0.2857142857142857</v>
      </c>
      <c r="K46" s="63">
        <f t="shared" si="1"/>
        <v>0.25</v>
      </c>
      <c r="L46" s="63">
        <f t="shared" si="1"/>
        <v>0.22621905013657589</v>
      </c>
      <c r="M46" s="63">
        <f t="shared" si="1"/>
        <v>0.21305699481865287</v>
      </c>
      <c r="N46" s="63">
        <f t="shared" si="1"/>
        <v>0.2028036086051353</v>
      </c>
      <c r="O46" s="63">
        <f t="shared" si="1"/>
        <v>0.19464837796647069</v>
      </c>
      <c r="P46" s="63">
        <f t="shared" si="1"/>
        <v>0.18804726427181701</v>
      </c>
      <c r="Q46" s="63">
        <f t="shared" si="1"/>
        <v>0.18262336144276528</v>
      </c>
      <c r="R46" s="63">
        <f t="shared" si="1"/>
        <v>0.17810845826392746</v>
      </c>
      <c r="S46" s="63">
        <f t="shared" si="1"/>
        <v>0.1743072448439979</v>
      </c>
      <c r="T46" s="63">
        <f t="shared" si="1"/>
        <v>0.17107462066098525</v>
      </c>
      <c r="U46" s="63">
        <f t="shared" si="1"/>
        <v>0.16819062918340028</v>
      </c>
      <c r="V46" s="63">
        <f t="shared" si="1"/>
        <v>0.16551143375680583</v>
      </c>
      <c r="W46" s="63">
        <f t="shared" si="1"/>
        <v>0.16313846153846154</v>
      </c>
      <c r="X46" s="63">
        <f t="shared" si="1"/>
        <v>0.16102335839599</v>
      </c>
    </row>
    <row r="47" spans="2:24" x14ac:dyDescent="0.2">
      <c r="B47" t="s">
        <v>8</v>
      </c>
      <c r="C47" s="63" t="str">
        <f t="shared" si="2"/>
        <v/>
      </c>
      <c r="D47" s="63">
        <f t="shared" si="1"/>
        <v>0</v>
      </c>
      <c r="E47" s="63">
        <f t="shared" si="1"/>
        <v>0</v>
      </c>
      <c r="F47" s="63">
        <f t="shared" si="1"/>
        <v>0.1666666666666668</v>
      </c>
      <c r="G47" s="63">
        <f t="shared" si="1"/>
        <v>0.375</v>
      </c>
      <c r="H47" s="63">
        <f t="shared" si="1"/>
        <v>0.47999999999999993</v>
      </c>
      <c r="I47" s="63">
        <f t="shared" si="1"/>
        <v>0.4</v>
      </c>
      <c r="J47" s="63">
        <f t="shared" si="1"/>
        <v>0.34285714285714286</v>
      </c>
      <c r="K47" s="63">
        <f t="shared" si="1"/>
        <v>0.3</v>
      </c>
      <c r="L47" s="63">
        <f t="shared" si="1"/>
        <v>0.27286985637501104</v>
      </c>
      <c r="M47" s="63">
        <f t="shared" si="1"/>
        <v>0.25823834196891188</v>
      </c>
      <c r="N47" s="63">
        <f t="shared" si="1"/>
        <v>0.2448299791811242</v>
      </c>
      <c r="O47" s="63">
        <f t="shared" si="1"/>
        <v>0.23257130415850208</v>
      </c>
      <c r="P47" s="63">
        <f t="shared" si="1"/>
        <v>0.22136383049399705</v>
      </c>
      <c r="Q47" s="63">
        <f t="shared" si="1"/>
        <v>0.21110461718293397</v>
      </c>
      <c r="R47" s="63">
        <f t="shared" si="1"/>
        <v>0.20169535443272257</v>
      </c>
      <c r="S47" s="63">
        <f t="shared" si="1"/>
        <v>0.19304600740349021</v>
      </c>
      <c r="T47" s="63">
        <f t="shared" si="1"/>
        <v>0.18507586780295157</v>
      </c>
      <c r="U47" s="63">
        <f t="shared" si="1"/>
        <v>0.17863453815261043</v>
      </c>
      <c r="V47" s="63">
        <f t="shared" si="1"/>
        <v>0.17413188142770716</v>
      </c>
      <c r="W47" s="63">
        <f t="shared" si="1"/>
        <v>0.17010989010989011</v>
      </c>
      <c r="X47" s="63">
        <f t="shared" si="1"/>
        <v>0.16649624060150375</v>
      </c>
    </row>
    <row r="48" spans="2:24" x14ac:dyDescent="0.2">
      <c r="B48" t="s">
        <v>9</v>
      </c>
      <c r="C48" s="63" t="str">
        <f t="shared" si="2"/>
        <v/>
      </c>
      <c r="D48" s="63">
        <f t="shared" si="1"/>
        <v>1</v>
      </c>
      <c r="E48" s="63">
        <f t="shared" si="1"/>
        <v>1</v>
      </c>
      <c r="F48" s="63">
        <f t="shared" si="1"/>
        <v>0.83333333333333326</v>
      </c>
      <c r="G48" s="63">
        <f t="shared" si="1"/>
        <v>0.625</v>
      </c>
      <c r="H48" s="63">
        <f t="shared" si="1"/>
        <v>0.5</v>
      </c>
      <c r="I48" s="63">
        <f t="shared" si="1"/>
        <v>0.41666666666666663</v>
      </c>
      <c r="J48" s="63">
        <f t="shared" si="1"/>
        <v>0.3571428571428571</v>
      </c>
      <c r="K48" s="63">
        <f t="shared" si="1"/>
        <v>0.3125</v>
      </c>
      <c r="L48" s="63">
        <f t="shared" si="1"/>
        <v>0.2874702616970658</v>
      </c>
      <c r="M48" s="63">
        <f t="shared" si="1"/>
        <v>0.27849740932642486</v>
      </c>
      <c r="N48" s="63">
        <f t="shared" si="1"/>
        <v>0.26891047883414293</v>
      </c>
      <c r="O48" s="63">
        <f t="shared" si="1"/>
        <v>0.25922599608099278</v>
      </c>
      <c r="P48" s="63">
        <f t="shared" si="1"/>
        <v>0.24972713899302423</v>
      </c>
      <c r="Q48" s="63">
        <f t="shared" si="1"/>
        <v>0.24056525006262</v>
      </c>
      <c r="R48" s="63">
        <f t="shared" si="1"/>
        <v>0.23181565796779566</v>
      </c>
      <c r="S48" s="63">
        <f t="shared" si="1"/>
        <v>0.22350938656795344</v>
      </c>
      <c r="T48" s="63">
        <f t="shared" si="1"/>
        <v>0.21565163167740592</v>
      </c>
      <c r="U48" s="63">
        <f t="shared" si="1"/>
        <v>0.20809906291834004</v>
      </c>
      <c r="V48" s="63">
        <f t="shared" si="1"/>
        <v>0.20078644888082275</v>
      </c>
      <c r="W48" s="63">
        <f t="shared" si="1"/>
        <v>0.19390109890109891</v>
      </c>
      <c r="X48" s="63">
        <f t="shared" si="1"/>
        <v>0.18741854636591479</v>
      </c>
    </row>
    <row r="49" spans="2:24" x14ac:dyDescent="0.2"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0" spans="2:24" x14ac:dyDescent="0.2">
      <c r="B50" s="43" t="s">
        <v>76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</row>
    <row r="52" spans="2:24" x14ac:dyDescent="0.2">
      <c r="B52" s="119" t="s">
        <v>124</v>
      </c>
    </row>
    <row r="54" spans="2:24" ht="13.5" thickBot="1" x14ac:dyDescent="0.25">
      <c r="B54" s="42" t="s">
        <v>47</v>
      </c>
      <c r="C54" s="45">
        <f>+C21</f>
        <v>0</v>
      </c>
      <c r="D54" s="45">
        <f>+D21</f>
        <v>10</v>
      </c>
      <c r="E54" s="45">
        <f>+E21</f>
        <v>20</v>
      </c>
      <c r="F54" s="45">
        <f>+F21</f>
        <v>30</v>
      </c>
      <c r="G54" s="45">
        <f>+G21</f>
        <v>40</v>
      </c>
      <c r="H54" s="45">
        <f>+H21</f>
        <v>50</v>
      </c>
      <c r="I54" s="45">
        <f>+I21</f>
        <v>60</v>
      </c>
      <c r="J54" s="45">
        <f>+J21</f>
        <v>70</v>
      </c>
      <c r="K54" s="45">
        <f>+K21</f>
        <v>80</v>
      </c>
      <c r="L54" s="45">
        <f>+L21</f>
        <v>90</v>
      </c>
      <c r="M54" s="45">
        <f>+M21</f>
        <v>100</v>
      </c>
      <c r="N54" s="45">
        <f>+N21</f>
        <v>110</v>
      </c>
      <c r="O54" s="45">
        <f>+O21</f>
        <v>120</v>
      </c>
      <c r="P54" s="45">
        <f>+P21</f>
        <v>130</v>
      </c>
      <c r="Q54" s="45">
        <f>+Q21</f>
        <v>140</v>
      </c>
      <c r="R54" s="45">
        <f>+R21</f>
        <v>150</v>
      </c>
      <c r="S54" s="45">
        <f>+S21</f>
        <v>160</v>
      </c>
      <c r="T54" s="45">
        <f>+T21</f>
        <v>170</v>
      </c>
      <c r="U54" s="45">
        <f>+U21</f>
        <v>180</v>
      </c>
      <c r="V54" s="45">
        <f>+V21</f>
        <v>190</v>
      </c>
      <c r="W54" s="45">
        <f>+W21</f>
        <v>200</v>
      </c>
      <c r="X54" s="45">
        <f>+X21</f>
        <v>210</v>
      </c>
    </row>
    <row r="55" spans="2:24" ht="13.5" thickTop="1" x14ac:dyDescent="0.2">
      <c r="B55" t="s">
        <v>58</v>
      </c>
      <c r="C55" s="41">
        <f>+C187</f>
        <v>0</v>
      </c>
      <c r="D55" s="41">
        <f t="shared" ref="D55:X55" si="3">+D187</f>
        <v>10</v>
      </c>
      <c r="E55" s="41">
        <f t="shared" si="3"/>
        <v>20</v>
      </c>
      <c r="F55" s="41">
        <f t="shared" si="3"/>
        <v>24.999999999999996</v>
      </c>
      <c r="G55" s="41">
        <f t="shared" si="3"/>
        <v>25</v>
      </c>
      <c r="H55" s="41">
        <f t="shared" si="3"/>
        <v>25</v>
      </c>
      <c r="I55" s="41">
        <f t="shared" si="3"/>
        <v>24.999999999999996</v>
      </c>
      <c r="J55" s="41">
        <f t="shared" si="3"/>
        <v>24.999999999999996</v>
      </c>
      <c r="K55" s="41">
        <f t="shared" si="3"/>
        <v>25</v>
      </c>
      <c r="L55" s="41">
        <f t="shared" si="3"/>
        <v>25</v>
      </c>
      <c r="M55" s="41">
        <f t="shared" si="3"/>
        <v>25</v>
      </c>
      <c r="N55" s="41">
        <f t="shared" si="3"/>
        <v>25</v>
      </c>
      <c r="O55" s="41">
        <f t="shared" si="3"/>
        <v>24.999999999999996</v>
      </c>
      <c r="P55" s="41">
        <f t="shared" si="3"/>
        <v>25</v>
      </c>
      <c r="Q55" s="41">
        <f t="shared" si="3"/>
        <v>24.999999999999996</v>
      </c>
      <c r="R55" s="41">
        <f t="shared" si="3"/>
        <v>25</v>
      </c>
      <c r="S55" s="41">
        <f t="shared" si="3"/>
        <v>25</v>
      </c>
      <c r="T55" s="41">
        <f t="shared" si="3"/>
        <v>25</v>
      </c>
      <c r="U55" s="41">
        <f t="shared" si="3"/>
        <v>25</v>
      </c>
      <c r="V55" s="41">
        <f t="shared" si="3"/>
        <v>25</v>
      </c>
      <c r="W55" s="41">
        <f t="shared" si="3"/>
        <v>25</v>
      </c>
      <c r="X55" s="41">
        <f t="shared" si="3"/>
        <v>25</v>
      </c>
    </row>
    <row r="56" spans="2:24" x14ac:dyDescent="0.2">
      <c r="B56" t="s">
        <v>59</v>
      </c>
      <c r="C56" s="41">
        <f>+C207</f>
        <v>0</v>
      </c>
      <c r="D56" s="41">
        <f t="shared" ref="D56:X56" si="4">+D207</f>
        <v>0</v>
      </c>
      <c r="E56" s="41">
        <f t="shared" si="4"/>
        <v>0</v>
      </c>
      <c r="F56" s="41">
        <f t="shared" si="4"/>
        <v>5.0000000000000036</v>
      </c>
      <c r="G56" s="41">
        <f t="shared" si="4"/>
        <v>15</v>
      </c>
      <c r="H56" s="41">
        <f t="shared" si="4"/>
        <v>23.999999999999996</v>
      </c>
      <c r="I56" s="41">
        <f t="shared" si="4"/>
        <v>24</v>
      </c>
      <c r="J56" s="41">
        <f t="shared" si="4"/>
        <v>24</v>
      </c>
      <c r="K56" s="41">
        <f t="shared" si="4"/>
        <v>24</v>
      </c>
      <c r="L56" s="41">
        <f t="shared" si="4"/>
        <v>24</v>
      </c>
      <c r="M56" s="41">
        <f t="shared" si="4"/>
        <v>23.999999999999996</v>
      </c>
      <c r="N56" s="41">
        <f t="shared" si="4"/>
        <v>24</v>
      </c>
      <c r="O56" s="41">
        <f t="shared" si="4"/>
        <v>24</v>
      </c>
      <c r="P56" s="41">
        <f t="shared" si="4"/>
        <v>24</v>
      </c>
      <c r="Q56" s="41">
        <f t="shared" si="4"/>
        <v>24</v>
      </c>
      <c r="R56" s="41">
        <f t="shared" si="4"/>
        <v>24.000000000000004</v>
      </c>
      <c r="S56" s="41">
        <f t="shared" si="4"/>
        <v>24</v>
      </c>
      <c r="T56" s="41">
        <f t="shared" si="4"/>
        <v>24</v>
      </c>
      <c r="U56" s="41">
        <f t="shared" si="4"/>
        <v>24</v>
      </c>
      <c r="V56" s="41">
        <f t="shared" si="4"/>
        <v>24</v>
      </c>
      <c r="W56" s="41">
        <f t="shared" si="4"/>
        <v>24</v>
      </c>
      <c r="X56" s="41">
        <f t="shared" si="4"/>
        <v>24</v>
      </c>
    </row>
    <row r="57" spans="2:24" x14ac:dyDescent="0.2">
      <c r="B57" t="s">
        <v>60</v>
      </c>
      <c r="C57" s="41">
        <f>+C227</f>
        <v>0</v>
      </c>
      <c r="D57" s="41">
        <f t="shared" ref="D57:T57" si="5">+D227</f>
        <v>0</v>
      </c>
      <c r="E57" s="41">
        <f t="shared" si="5"/>
        <v>0</v>
      </c>
      <c r="F57" s="41">
        <f t="shared" si="5"/>
        <v>0</v>
      </c>
      <c r="G57" s="41">
        <f t="shared" si="5"/>
        <v>0</v>
      </c>
      <c r="H57" s="41">
        <f t="shared" si="5"/>
        <v>1.0000000000000036</v>
      </c>
      <c r="I57" s="41">
        <f t="shared" si="5"/>
        <v>11</v>
      </c>
      <c r="J57" s="41">
        <f t="shared" si="5"/>
        <v>20</v>
      </c>
      <c r="K57" s="41">
        <f t="shared" si="5"/>
        <v>20</v>
      </c>
      <c r="L57" s="41">
        <f t="shared" si="5"/>
        <v>20</v>
      </c>
      <c r="M57" s="41">
        <f t="shared" si="5"/>
        <v>20</v>
      </c>
      <c r="N57" s="41">
        <f t="shared" si="5"/>
        <v>20</v>
      </c>
      <c r="O57" s="41">
        <f t="shared" si="5"/>
        <v>20</v>
      </c>
      <c r="P57" s="41">
        <f t="shared" si="5"/>
        <v>20</v>
      </c>
      <c r="Q57" s="41">
        <f t="shared" si="5"/>
        <v>20</v>
      </c>
      <c r="R57" s="41">
        <f t="shared" si="5"/>
        <v>20</v>
      </c>
      <c r="S57" s="41">
        <f t="shared" si="5"/>
        <v>20</v>
      </c>
      <c r="T57" s="41">
        <f t="shared" si="5"/>
        <v>20</v>
      </c>
      <c r="U57" s="41">
        <f t="shared" ref="U57:X57" si="6">+U227</f>
        <v>20</v>
      </c>
      <c r="V57" s="41">
        <f t="shared" si="6"/>
        <v>20</v>
      </c>
      <c r="W57" s="41">
        <f t="shared" si="6"/>
        <v>20</v>
      </c>
      <c r="X57" s="41">
        <f t="shared" si="6"/>
        <v>20</v>
      </c>
    </row>
    <row r="58" spans="2:24" x14ac:dyDescent="0.2">
      <c r="B58" t="s">
        <v>61</v>
      </c>
      <c r="C58" s="41">
        <f>+C247</f>
        <v>0</v>
      </c>
      <c r="D58" s="41">
        <f t="shared" ref="D58:T58" si="7">+D247</f>
        <v>0</v>
      </c>
      <c r="E58" s="41">
        <f t="shared" si="7"/>
        <v>0</v>
      </c>
      <c r="F58" s="41">
        <f t="shared" si="7"/>
        <v>0</v>
      </c>
      <c r="G58" s="41">
        <f t="shared" si="7"/>
        <v>0</v>
      </c>
      <c r="H58" s="41">
        <f t="shared" si="7"/>
        <v>0</v>
      </c>
      <c r="I58" s="41">
        <f t="shared" si="7"/>
        <v>0</v>
      </c>
      <c r="J58" s="41">
        <f t="shared" si="7"/>
        <v>1</v>
      </c>
      <c r="K58" s="41">
        <f t="shared" si="7"/>
        <v>11</v>
      </c>
      <c r="L58" s="41">
        <f t="shared" si="7"/>
        <v>12.500000000000002</v>
      </c>
      <c r="M58" s="41">
        <f t="shared" si="7"/>
        <v>12.500000000000002</v>
      </c>
      <c r="N58" s="41">
        <f t="shared" si="7"/>
        <v>12.500000000000002</v>
      </c>
      <c r="O58" s="41">
        <f t="shared" si="7"/>
        <v>12.500000000000002</v>
      </c>
      <c r="P58" s="41">
        <f t="shared" si="7"/>
        <v>12.500000000000002</v>
      </c>
      <c r="Q58" s="41">
        <f t="shared" si="7"/>
        <v>12.500000000000002</v>
      </c>
      <c r="R58" s="41">
        <f t="shared" si="7"/>
        <v>12.500000000000002</v>
      </c>
      <c r="S58" s="41">
        <f t="shared" si="7"/>
        <v>12.500000000000002</v>
      </c>
      <c r="T58" s="41">
        <f t="shared" si="7"/>
        <v>12.500000000000002</v>
      </c>
      <c r="U58" s="41">
        <f t="shared" ref="U58:X58" si="8">+U247</f>
        <v>12.500000000000002</v>
      </c>
      <c r="V58" s="41">
        <f t="shared" si="8"/>
        <v>12.500000000000002</v>
      </c>
      <c r="W58" s="41">
        <f t="shared" si="8"/>
        <v>12.500000000000002</v>
      </c>
      <c r="X58" s="41">
        <f t="shared" si="8"/>
        <v>12.500000000000002</v>
      </c>
    </row>
    <row r="59" spans="2:24" x14ac:dyDescent="0.2">
      <c r="B59" t="s">
        <v>62</v>
      </c>
      <c r="C59" s="41">
        <f>+C267</f>
        <v>0</v>
      </c>
      <c r="D59" s="41">
        <f>+D267</f>
        <v>0</v>
      </c>
      <c r="E59" s="41">
        <f>+E267</f>
        <v>0</v>
      </c>
      <c r="F59" s="41">
        <f>+F267</f>
        <v>0</v>
      </c>
      <c r="G59" s="41">
        <f>+G267</f>
        <v>0</v>
      </c>
      <c r="H59" s="41">
        <f>+H267</f>
        <v>0</v>
      </c>
      <c r="I59" s="41">
        <f>+I267</f>
        <v>0</v>
      </c>
      <c r="J59" s="41">
        <f>+J267</f>
        <v>0</v>
      </c>
      <c r="K59" s="41">
        <f>+K267</f>
        <v>0</v>
      </c>
      <c r="L59" s="41">
        <f>+L267</f>
        <v>4.5</v>
      </c>
      <c r="M59" s="41">
        <f>+M267</f>
        <v>4.5</v>
      </c>
      <c r="N59" s="41">
        <f>+N267</f>
        <v>4.5</v>
      </c>
      <c r="O59" s="41">
        <f>+O267</f>
        <v>4.5</v>
      </c>
      <c r="P59" s="41">
        <f>+P267</f>
        <v>4.5</v>
      </c>
      <c r="Q59" s="41">
        <f>+Q267</f>
        <v>4.5</v>
      </c>
      <c r="R59" s="41">
        <f>+R267</f>
        <v>4.5</v>
      </c>
      <c r="S59" s="41">
        <f>+S267</f>
        <v>4.5</v>
      </c>
      <c r="T59" s="41">
        <f>+T267</f>
        <v>4.5</v>
      </c>
      <c r="U59" s="41">
        <f t="shared" ref="U59:X59" si="9">+U267</f>
        <v>4.5</v>
      </c>
      <c r="V59" s="41">
        <f t="shared" si="9"/>
        <v>4.5</v>
      </c>
      <c r="W59" s="41">
        <f t="shared" si="9"/>
        <v>4.5</v>
      </c>
      <c r="X59" s="41">
        <f t="shared" si="9"/>
        <v>4.5</v>
      </c>
    </row>
    <row r="60" spans="2:24" x14ac:dyDescent="0.2">
      <c r="B60" t="s">
        <v>65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0</v>
      </c>
    </row>
    <row r="61" spans="2:24" ht="13.5" thickBot="1" x14ac:dyDescent="0.25">
      <c r="B61" s="42" t="s">
        <v>63</v>
      </c>
      <c r="C61" s="45">
        <f>C54-SUM(C55:C60)</f>
        <v>0</v>
      </c>
      <c r="D61" s="45">
        <f t="shared" ref="D61" si="10">D54-SUM(D55:D60)</f>
        <v>0</v>
      </c>
      <c r="E61" s="45">
        <f>E54-SUM(E55:E60)</f>
        <v>0</v>
      </c>
      <c r="F61" s="45">
        <f t="shared" ref="F61:X61" si="11">F54-SUM(F55:F60)</f>
        <v>0</v>
      </c>
      <c r="G61" s="45">
        <f t="shared" si="11"/>
        <v>0</v>
      </c>
      <c r="H61" s="45">
        <f t="shared" si="11"/>
        <v>0</v>
      </c>
      <c r="I61" s="45">
        <f t="shared" si="11"/>
        <v>0</v>
      </c>
      <c r="J61" s="45">
        <f t="shared" si="11"/>
        <v>0</v>
      </c>
      <c r="K61" s="45">
        <f t="shared" si="11"/>
        <v>0</v>
      </c>
      <c r="L61" s="45">
        <f t="shared" si="11"/>
        <v>4</v>
      </c>
      <c r="M61" s="45">
        <f t="shared" si="11"/>
        <v>14</v>
      </c>
      <c r="N61" s="45">
        <f t="shared" si="11"/>
        <v>24</v>
      </c>
      <c r="O61" s="45">
        <f t="shared" si="11"/>
        <v>34</v>
      </c>
      <c r="P61" s="45">
        <f t="shared" si="11"/>
        <v>44</v>
      </c>
      <c r="Q61" s="45">
        <f t="shared" si="11"/>
        <v>54</v>
      </c>
      <c r="R61" s="45">
        <f t="shared" si="11"/>
        <v>64</v>
      </c>
      <c r="S61" s="45">
        <f t="shared" si="11"/>
        <v>74</v>
      </c>
      <c r="T61" s="45">
        <f t="shared" si="11"/>
        <v>84</v>
      </c>
      <c r="U61" s="45">
        <f t="shared" si="11"/>
        <v>94</v>
      </c>
      <c r="V61" s="45">
        <f t="shared" si="11"/>
        <v>104</v>
      </c>
      <c r="W61" s="45">
        <f t="shared" si="11"/>
        <v>114</v>
      </c>
      <c r="X61" s="45">
        <f t="shared" si="11"/>
        <v>124</v>
      </c>
    </row>
    <row r="62" spans="2:24" ht="13.5" thickTop="1" x14ac:dyDescent="0.2">
      <c r="B62" t="s">
        <v>166</v>
      </c>
      <c r="C62" s="41">
        <f>+C327</f>
        <v>0</v>
      </c>
      <c r="D62" s="41">
        <f t="shared" ref="D62:X62" si="12">+D327</f>
        <v>0</v>
      </c>
      <c r="E62" s="41">
        <f t="shared" si="12"/>
        <v>0</v>
      </c>
      <c r="F62" s="41">
        <f t="shared" si="12"/>
        <v>0</v>
      </c>
      <c r="G62" s="41">
        <f t="shared" si="12"/>
        <v>0</v>
      </c>
      <c r="H62" s="41">
        <f t="shared" si="12"/>
        <v>0</v>
      </c>
      <c r="I62" s="41">
        <f t="shared" si="12"/>
        <v>0</v>
      </c>
      <c r="J62" s="41">
        <f t="shared" si="12"/>
        <v>0</v>
      </c>
      <c r="K62" s="41">
        <f t="shared" si="12"/>
        <v>0</v>
      </c>
      <c r="L62" s="41">
        <f t="shared" si="12"/>
        <v>0.87232355273592399</v>
      </c>
      <c r="M62" s="41">
        <f t="shared" si="12"/>
        <v>2.849740932642487</v>
      </c>
      <c r="N62" s="41">
        <f t="shared" si="12"/>
        <v>4.5801526717557239</v>
      </c>
      <c r="O62" s="41">
        <f t="shared" si="12"/>
        <v>6.107119529719137</v>
      </c>
      <c r="P62" s="41">
        <f t="shared" si="12"/>
        <v>7.4645280690931521</v>
      </c>
      <c r="Q62" s="41">
        <f t="shared" si="12"/>
        <v>8.6791350087668011</v>
      </c>
      <c r="R62" s="41">
        <f t="shared" si="12"/>
        <v>9.7723486951693506</v>
      </c>
      <c r="S62" s="41">
        <f t="shared" si="12"/>
        <v>10.761501850872552</v>
      </c>
      <c r="T62" s="41">
        <f t="shared" si="12"/>
        <v>11.66077738515901</v>
      </c>
      <c r="U62" s="41">
        <f t="shared" si="12"/>
        <v>12.457831325301205</v>
      </c>
      <c r="V62" s="41">
        <f t="shared" si="12"/>
        <v>13.149425287356321</v>
      </c>
      <c r="W62" s="41">
        <f t="shared" si="12"/>
        <v>13.780219780219781</v>
      </c>
      <c r="X62" s="41">
        <f t="shared" si="12"/>
        <v>14.357894736842105</v>
      </c>
    </row>
    <row r="63" spans="2:24" x14ac:dyDescent="0.2">
      <c r="B63" t="s">
        <v>167</v>
      </c>
      <c r="C63" s="41">
        <f>+C326</f>
        <v>0</v>
      </c>
      <c r="D63" s="41">
        <f t="shared" ref="D63:X63" si="13">+D326</f>
        <v>0</v>
      </c>
      <c r="E63" s="41">
        <f t="shared" si="13"/>
        <v>0</v>
      </c>
      <c r="F63" s="41">
        <f t="shared" si="13"/>
        <v>0</v>
      </c>
      <c r="G63" s="41">
        <f t="shared" si="13"/>
        <v>0</v>
      </c>
      <c r="H63" s="41">
        <f t="shared" si="13"/>
        <v>0</v>
      </c>
      <c r="I63" s="41">
        <f t="shared" si="13"/>
        <v>0</v>
      </c>
      <c r="J63" s="41">
        <f t="shared" si="13"/>
        <v>0</v>
      </c>
      <c r="K63" s="41">
        <f t="shared" si="13"/>
        <v>0</v>
      </c>
      <c r="L63" s="41">
        <f t="shared" si="13"/>
        <v>0.55828707375099129</v>
      </c>
      <c r="M63" s="41">
        <f t="shared" si="13"/>
        <v>1.8238341968911915</v>
      </c>
      <c r="N63" s="41">
        <f t="shared" si="13"/>
        <v>2.9312977099236637</v>
      </c>
      <c r="O63" s="41">
        <f t="shared" si="13"/>
        <v>3.9085564990202482</v>
      </c>
      <c r="P63" s="41">
        <f t="shared" si="13"/>
        <v>4.7772979642196178</v>
      </c>
      <c r="Q63" s="41">
        <f t="shared" si="13"/>
        <v>5.5546464056107538</v>
      </c>
      <c r="R63" s="41">
        <f t="shared" si="13"/>
        <v>6.254303164908384</v>
      </c>
      <c r="S63" s="41">
        <f t="shared" si="13"/>
        <v>6.8873611845584337</v>
      </c>
      <c r="T63" s="41">
        <f t="shared" si="13"/>
        <v>7.4628975265017665</v>
      </c>
      <c r="U63" s="41">
        <f t="shared" si="13"/>
        <v>8.1542168674698772</v>
      </c>
      <c r="V63" s="41">
        <f t="shared" si="13"/>
        <v>9.0850574712643652</v>
      </c>
      <c r="W63" s="41">
        <f t="shared" si="13"/>
        <v>10.02197802197802</v>
      </c>
      <c r="X63" s="41">
        <f t="shared" si="13"/>
        <v>10.964210526315787</v>
      </c>
    </row>
    <row r="64" spans="2:24" x14ac:dyDescent="0.2">
      <c r="B64" t="s">
        <v>168</v>
      </c>
      <c r="C64" s="41">
        <f>+C325</f>
        <v>0</v>
      </c>
      <c r="D64" s="41">
        <f t="shared" ref="D64:X64" si="14">+D325</f>
        <v>0</v>
      </c>
      <c r="E64" s="41">
        <f t="shared" si="14"/>
        <v>0</v>
      </c>
      <c r="F64" s="41">
        <f t="shared" si="14"/>
        <v>0</v>
      </c>
      <c r="G64" s="41">
        <f t="shared" si="14"/>
        <v>0</v>
      </c>
      <c r="H64" s="41">
        <f t="shared" si="14"/>
        <v>0</v>
      </c>
      <c r="I64" s="41">
        <f t="shared" si="14"/>
        <v>0</v>
      </c>
      <c r="J64" s="41">
        <f t="shared" si="14"/>
        <v>0</v>
      </c>
      <c r="K64" s="41">
        <f t="shared" si="14"/>
        <v>0</v>
      </c>
      <c r="L64" s="41">
        <f t="shared" si="14"/>
        <v>0.35971451229183188</v>
      </c>
      <c r="M64" s="41">
        <f t="shared" si="14"/>
        <v>1.3056994818652849</v>
      </c>
      <c r="N64" s="41">
        <f t="shared" si="14"/>
        <v>2.3083969465648853</v>
      </c>
      <c r="O64" s="41">
        <f t="shared" si="14"/>
        <v>3.357805355976486</v>
      </c>
      <c r="P64" s="41">
        <f t="shared" si="14"/>
        <v>4.4461443553362123</v>
      </c>
      <c r="Q64" s="41">
        <f t="shared" si="14"/>
        <v>5.5672706019871416</v>
      </c>
      <c r="R64" s="41">
        <f t="shared" si="14"/>
        <v>6.7162687395891165</v>
      </c>
      <c r="S64" s="41">
        <f t="shared" si="14"/>
        <v>7.8891591750396612</v>
      </c>
      <c r="T64" s="41">
        <f t="shared" si="14"/>
        <v>9.0826855123674903</v>
      </c>
      <c r="U64" s="41">
        <f t="shared" si="14"/>
        <v>10.27431325301205</v>
      </c>
      <c r="V64" s="41">
        <f t="shared" si="14"/>
        <v>11.447172413793103</v>
      </c>
      <c r="W64" s="41">
        <f t="shared" si="14"/>
        <v>12.627692307692309</v>
      </c>
      <c r="X64" s="41">
        <f t="shared" si="14"/>
        <v>13.814905263157897</v>
      </c>
    </row>
    <row r="65" spans="2:24" x14ac:dyDescent="0.2">
      <c r="B65" t="s">
        <v>169</v>
      </c>
      <c r="C65" s="41">
        <f>+C324</f>
        <v>0</v>
      </c>
      <c r="D65" s="41">
        <f t="shared" ref="D65:X65" si="15">+D324</f>
        <v>0</v>
      </c>
      <c r="E65" s="41">
        <f t="shared" si="15"/>
        <v>0</v>
      </c>
      <c r="F65" s="41">
        <f t="shared" si="15"/>
        <v>0</v>
      </c>
      <c r="G65" s="41">
        <f t="shared" si="15"/>
        <v>0</v>
      </c>
      <c r="H65" s="41">
        <f t="shared" si="15"/>
        <v>0</v>
      </c>
      <c r="I65" s="41">
        <f t="shared" si="15"/>
        <v>0</v>
      </c>
      <c r="J65" s="41">
        <f t="shared" si="15"/>
        <v>0</v>
      </c>
      <c r="K65" s="41">
        <f t="shared" si="15"/>
        <v>0</v>
      </c>
      <c r="L65" s="41">
        <f t="shared" si="15"/>
        <v>0.33145122918318815</v>
      </c>
      <c r="M65" s="41">
        <f t="shared" si="15"/>
        <v>1.203108808290156</v>
      </c>
      <c r="N65" s="41">
        <f t="shared" si="15"/>
        <v>2.1270229007633601</v>
      </c>
      <c r="O65" s="41">
        <f t="shared" si="15"/>
        <v>3.0939777922926206</v>
      </c>
      <c r="P65" s="41">
        <f t="shared" si="15"/>
        <v>4.0968044417026546</v>
      </c>
      <c r="Q65" s="41">
        <f t="shared" si="15"/>
        <v>5.1298421975452975</v>
      </c>
      <c r="R65" s="41">
        <f t="shared" si="15"/>
        <v>6.1885619100499749</v>
      </c>
      <c r="S65" s="41">
        <f t="shared" si="15"/>
        <v>7.2692966684294049</v>
      </c>
      <c r="T65" s="41">
        <f t="shared" si="15"/>
        <v>8.3690459363957643</v>
      </c>
      <c r="U65" s="41">
        <f t="shared" si="15"/>
        <v>9.4670457831325354</v>
      </c>
      <c r="V65" s="41">
        <f t="shared" si="15"/>
        <v>10.547751724137937</v>
      </c>
      <c r="W65" s="41">
        <f t="shared" si="15"/>
        <v>11.63551648351649</v>
      </c>
      <c r="X65" s="41">
        <f t="shared" si="15"/>
        <v>12.729448421052638</v>
      </c>
    </row>
    <row r="66" spans="2:24" x14ac:dyDescent="0.2">
      <c r="B66" t="s">
        <v>170</v>
      </c>
      <c r="C66" s="41">
        <f>+C323</f>
        <v>0</v>
      </c>
      <c r="D66" s="41">
        <f t="shared" ref="D66:X66" si="16">+D323</f>
        <v>0</v>
      </c>
      <c r="E66" s="41">
        <f t="shared" si="16"/>
        <v>0</v>
      </c>
      <c r="F66" s="41">
        <f t="shared" si="16"/>
        <v>0</v>
      </c>
      <c r="G66" s="41">
        <f t="shared" si="16"/>
        <v>0</v>
      </c>
      <c r="H66" s="41">
        <f t="shared" si="16"/>
        <v>0</v>
      </c>
      <c r="I66" s="41">
        <f t="shared" si="16"/>
        <v>0</v>
      </c>
      <c r="J66" s="41">
        <f t="shared" si="16"/>
        <v>0</v>
      </c>
      <c r="K66" s="41">
        <f t="shared" si="16"/>
        <v>0</v>
      </c>
      <c r="L66" s="41">
        <f t="shared" si="16"/>
        <v>0.37564472640761298</v>
      </c>
      <c r="M66" s="41">
        <f t="shared" si="16"/>
        <v>1.3635233160621762</v>
      </c>
      <c r="N66" s="41">
        <f t="shared" si="16"/>
        <v>2.4106259541984731</v>
      </c>
      <c r="O66" s="41">
        <f t="shared" si="16"/>
        <v>3.5065081645983014</v>
      </c>
      <c r="P66" s="41">
        <f t="shared" si="16"/>
        <v>4.6430450339296732</v>
      </c>
      <c r="Q66" s="41">
        <f t="shared" si="16"/>
        <v>5.8138211572180003</v>
      </c>
      <c r="R66" s="41">
        <f t="shared" si="16"/>
        <v>7.0137034980566337</v>
      </c>
      <c r="S66" s="41">
        <f t="shared" si="16"/>
        <v>8.2385362242199882</v>
      </c>
      <c r="T66" s="41">
        <f t="shared" si="16"/>
        <v>9.4849187279151934</v>
      </c>
      <c r="U66" s="41">
        <f t="shared" si="16"/>
        <v>10.729318554216867</v>
      </c>
      <c r="V66" s="41">
        <f t="shared" si="16"/>
        <v>11.954118620689654</v>
      </c>
      <c r="W66" s="41">
        <f t="shared" si="16"/>
        <v>13.186918681318682</v>
      </c>
      <c r="X66" s="41">
        <f t="shared" si="16"/>
        <v>14.426708210526316</v>
      </c>
    </row>
    <row r="67" spans="2:24" x14ac:dyDescent="0.2">
      <c r="B67" t="s">
        <v>32</v>
      </c>
      <c r="C67" s="41">
        <f>+C322</f>
        <v>0</v>
      </c>
      <c r="D67" s="41">
        <f t="shared" ref="D67:X67" si="17">+D322</f>
        <v>0</v>
      </c>
      <c r="E67" s="41">
        <f t="shared" si="17"/>
        <v>0</v>
      </c>
      <c r="F67" s="41">
        <f t="shared" si="17"/>
        <v>0</v>
      </c>
      <c r="G67" s="41">
        <f t="shared" si="17"/>
        <v>0</v>
      </c>
      <c r="H67" s="41">
        <f t="shared" si="17"/>
        <v>0</v>
      </c>
      <c r="I67" s="41">
        <f t="shared" si="17"/>
        <v>0</v>
      </c>
      <c r="J67" s="41">
        <f t="shared" si="17"/>
        <v>0</v>
      </c>
      <c r="K67" s="41">
        <f t="shared" si="17"/>
        <v>0</v>
      </c>
      <c r="L67" s="41">
        <f t="shared" si="17"/>
        <v>1.5025789056304519</v>
      </c>
      <c r="M67" s="41">
        <f t="shared" si="17"/>
        <v>5.454093264248705</v>
      </c>
      <c r="N67" s="41">
        <f t="shared" si="17"/>
        <v>9.6425038167938926</v>
      </c>
      <c r="O67" s="41">
        <f t="shared" si="17"/>
        <v>14.026032658393206</v>
      </c>
      <c r="P67" s="41">
        <f t="shared" si="17"/>
        <v>18.572180135718693</v>
      </c>
      <c r="Q67" s="41">
        <f t="shared" si="17"/>
        <v>23.255284628872001</v>
      </c>
      <c r="R67" s="41">
        <f t="shared" si="17"/>
        <v>28.054813992226535</v>
      </c>
      <c r="S67" s="41">
        <f t="shared" si="17"/>
        <v>32.954144896879953</v>
      </c>
      <c r="T67" s="41">
        <f t="shared" si="17"/>
        <v>37.939674911660774</v>
      </c>
      <c r="U67" s="41">
        <f t="shared" si="17"/>
        <v>42.917274216867469</v>
      </c>
      <c r="V67" s="41">
        <f t="shared" si="17"/>
        <v>47.816474482758615</v>
      </c>
      <c r="W67" s="41">
        <f t="shared" si="17"/>
        <v>52.747674725274727</v>
      </c>
      <c r="X67" s="41">
        <f t="shared" si="17"/>
        <v>57.706832842105264</v>
      </c>
    </row>
    <row r="68" spans="2:24" ht="13.5" thickBot="1" x14ac:dyDescent="0.25">
      <c r="B68" s="42" t="s">
        <v>64</v>
      </c>
      <c r="C68" s="45">
        <f>C61-SUM(C62:C67)</f>
        <v>0</v>
      </c>
      <c r="D68" s="45">
        <f t="shared" ref="D68:X68" si="18">D61-SUM(D62:D67)</f>
        <v>0</v>
      </c>
      <c r="E68" s="45">
        <f t="shared" si="18"/>
        <v>0</v>
      </c>
      <c r="F68" s="45">
        <f t="shared" si="18"/>
        <v>0</v>
      </c>
      <c r="G68" s="45">
        <f t="shared" si="18"/>
        <v>0</v>
      </c>
      <c r="H68" s="45">
        <f t="shared" si="18"/>
        <v>0</v>
      </c>
      <c r="I68" s="45">
        <f t="shared" si="18"/>
        <v>0</v>
      </c>
      <c r="J68" s="45">
        <f t="shared" si="18"/>
        <v>0</v>
      </c>
      <c r="K68" s="45">
        <f t="shared" si="18"/>
        <v>0</v>
      </c>
      <c r="L68" s="45">
        <f t="shared" si="18"/>
        <v>0</v>
      </c>
      <c r="M68" s="45">
        <f t="shared" si="18"/>
        <v>0</v>
      </c>
      <c r="N68" s="45">
        <f t="shared" si="18"/>
        <v>0</v>
      </c>
      <c r="O68" s="45">
        <f t="shared" si="18"/>
        <v>0</v>
      </c>
      <c r="P68" s="45">
        <f t="shared" si="18"/>
        <v>0</v>
      </c>
      <c r="Q68" s="45">
        <f t="shared" si="18"/>
        <v>0</v>
      </c>
      <c r="R68" s="45">
        <f t="shared" si="18"/>
        <v>0</v>
      </c>
      <c r="S68" s="45">
        <f t="shared" si="18"/>
        <v>0</v>
      </c>
      <c r="T68" s="45">
        <f t="shared" si="18"/>
        <v>0</v>
      </c>
      <c r="U68" s="45">
        <f t="shared" si="18"/>
        <v>0</v>
      </c>
      <c r="V68" s="45">
        <f t="shared" si="18"/>
        <v>0</v>
      </c>
      <c r="W68" s="45">
        <f t="shared" si="18"/>
        <v>0</v>
      </c>
      <c r="X68" s="45">
        <f t="shared" si="18"/>
        <v>0</v>
      </c>
    </row>
    <row r="69" spans="2:24" ht="13.5" thickTop="1" x14ac:dyDescent="0.2"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</row>
    <row r="70" spans="2:24" ht="15.75" customHeight="1" x14ac:dyDescent="0.2">
      <c r="B70" s="61" t="s">
        <v>73</v>
      </c>
      <c r="C70" s="61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</row>
    <row r="71" spans="2:24" x14ac:dyDescent="0.2">
      <c r="B71" s="61"/>
      <c r="C71" s="61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</row>
    <row r="73" spans="2:24" x14ac:dyDescent="0.2">
      <c r="B73" s="38" t="s">
        <v>107</v>
      </c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 s="78" customFormat="1" x14ac:dyDescent="0.2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2:24" s="78" customFormat="1" x14ac:dyDescent="0.2">
      <c r="B75" s="120" t="s">
        <v>125</v>
      </c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7" spans="2:24" ht="16.5" x14ac:dyDescent="0.3">
      <c r="B77" s="3"/>
      <c r="C77" s="14" t="s">
        <v>36</v>
      </c>
      <c r="D77" s="14">
        <v>2020</v>
      </c>
      <c r="E77" s="14"/>
      <c r="F77" s="14"/>
      <c r="G77" s="14"/>
      <c r="H77" s="14">
        <f>+D77+1</f>
        <v>2021</v>
      </c>
      <c r="I77" s="14"/>
      <c r="J77" s="14"/>
      <c r="K77" s="14"/>
      <c r="L77" s="14">
        <f>+H77+1</f>
        <v>2022</v>
      </c>
      <c r="M77" s="14"/>
      <c r="N77" s="14"/>
      <c r="O77" s="14"/>
      <c r="P77" s="14">
        <f>+L77+1</f>
        <v>2023</v>
      </c>
      <c r="Q77" s="14"/>
      <c r="R77" s="14"/>
      <c r="S77" s="14"/>
      <c r="T77" s="14">
        <f>+P77+1</f>
        <v>2024</v>
      </c>
      <c r="U77" s="14"/>
      <c r="V77" s="14"/>
      <c r="W77" s="14"/>
      <c r="X77" s="14" t="s">
        <v>34</v>
      </c>
    </row>
    <row r="78" spans="2:24" ht="16.5" x14ac:dyDescent="0.3">
      <c r="B78" s="3"/>
      <c r="C78" s="9" t="s">
        <v>1</v>
      </c>
      <c r="D78" s="9" t="s">
        <v>1</v>
      </c>
      <c r="E78" s="9" t="s">
        <v>2</v>
      </c>
      <c r="F78" s="9" t="s">
        <v>3</v>
      </c>
      <c r="G78" s="9" t="s">
        <v>4</v>
      </c>
      <c r="H78" s="9" t="s">
        <v>1</v>
      </c>
      <c r="I78" s="9" t="s">
        <v>2</v>
      </c>
      <c r="J78" s="9" t="s">
        <v>3</v>
      </c>
      <c r="K78" s="9" t="s">
        <v>4</v>
      </c>
      <c r="L78" s="9" t="s">
        <v>1</v>
      </c>
      <c r="M78" s="9" t="s">
        <v>2</v>
      </c>
      <c r="N78" s="9" t="s">
        <v>3</v>
      </c>
      <c r="O78" s="9" t="s">
        <v>4</v>
      </c>
      <c r="P78" s="9" t="s">
        <v>1</v>
      </c>
      <c r="Q78" s="9" t="s">
        <v>2</v>
      </c>
      <c r="R78" s="9" t="s">
        <v>3</v>
      </c>
      <c r="S78" s="9" t="s">
        <v>4</v>
      </c>
      <c r="T78" s="9" t="s">
        <v>1</v>
      </c>
      <c r="U78" s="9" t="s">
        <v>2</v>
      </c>
      <c r="V78" s="9" t="s">
        <v>3</v>
      </c>
      <c r="W78" s="9" t="s">
        <v>4</v>
      </c>
      <c r="X78" s="22"/>
    </row>
    <row r="79" spans="2:24" ht="16.5" x14ac:dyDescent="0.3">
      <c r="B79" s="3"/>
      <c r="C79" s="17">
        <f>EOMONTH('Dashboard &amp; Assump.'!Q25,0)</f>
        <v>43830</v>
      </c>
      <c r="D79" s="17">
        <f>EOMONTH(C79,3)</f>
        <v>43921</v>
      </c>
      <c r="E79" s="17">
        <f>EOMONTH(D79,3)</f>
        <v>44012</v>
      </c>
      <c r="F79" s="17">
        <f>EOMONTH(E79,3)</f>
        <v>44104</v>
      </c>
      <c r="G79" s="17">
        <f>EOMONTH(F79,3)</f>
        <v>44196</v>
      </c>
      <c r="H79" s="17">
        <f>EOMONTH(G79,3)</f>
        <v>44286</v>
      </c>
      <c r="I79" s="17">
        <f>EOMONTH(H79,3)</f>
        <v>44377</v>
      </c>
      <c r="J79" s="17">
        <f>EOMONTH(I79,3)</f>
        <v>44469</v>
      </c>
      <c r="K79" s="17">
        <f>EOMONTH(J79,3)</f>
        <v>44561</v>
      </c>
      <c r="L79" s="17">
        <f>EOMONTH(K79,3)</f>
        <v>44651</v>
      </c>
      <c r="M79" s="17">
        <f>EOMONTH(L79,3)</f>
        <v>44742</v>
      </c>
      <c r="N79" s="17">
        <f>EOMONTH(M79,3)</f>
        <v>44834</v>
      </c>
      <c r="O79" s="17">
        <f>EOMONTH(N79,3)</f>
        <v>44926</v>
      </c>
      <c r="P79" s="17">
        <f>EOMONTH(O79,3)</f>
        <v>45016</v>
      </c>
      <c r="Q79" s="17">
        <f>EOMONTH(P79,3)</f>
        <v>45107</v>
      </c>
      <c r="R79" s="17">
        <f>EOMONTH(Q79,3)</f>
        <v>45199</v>
      </c>
      <c r="S79" s="17">
        <f>EOMONTH(R79,3)</f>
        <v>45291</v>
      </c>
      <c r="T79" s="17">
        <f>EOMONTH(S79,3)</f>
        <v>45382</v>
      </c>
      <c r="U79" s="17">
        <f>EOMONTH(T79,3)</f>
        <v>45473</v>
      </c>
      <c r="V79" s="17">
        <f>EOMONTH(U79,3)</f>
        <v>45565</v>
      </c>
      <c r="W79" s="17">
        <f>EOMONTH(V79,3)</f>
        <v>45657</v>
      </c>
      <c r="X79" s="23"/>
    </row>
    <row r="80" spans="2:24" ht="16.5" x14ac:dyDescent="0.3">
      <c r="B80" s="18" t="s">
        <v>32</v>
      </c>
      <c r="C80" s="21">
        <v>25000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24">
        <f>SUM(C80:W80)</f>
        <v>25000</v>
      </c>
    </row>
    <row r="81" spans="2:24" ht="16.5" x14ac:dyDescent="0.3">
      <c r="B81" s="18" t="s">
        <v>5</v>
      </c>
      <c r="C81" s="19">
        <f>IFERROR((X80/(1-Cases!L23))-C80,"")</f>
        <v>6250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24">
        <f>SUM(C81:W81)</f>
        <v>6250</v>
      </c>
    </row>
    <row r="82" spans="2:24" ht="16.5" x14ac:dyDescent="0.3">
      <c r="B82" s="18" t="s">
        <v>6</v>
      </c>
      <c r="C82" s="19" t="str">
        <f>IFERROR(IF(C$79=Cases!$M$33,SUM($X$80:$X81)/(1-Cases!$M$23)-SUM($X$80:$X81),""),"")</f>
        <v/>
      </c>
      <c r="D82" s="19" t="str">
        <f>IFERROR(IF(D$79=Cases!$M$33,SUM($X$80:$X81)/(1-Cases!$M$23)-SUM($X$80:$X81),""),"")</f>
        <v/>
      </c>
      <c r="E82" s="19" t="str">
        <f>IFERROR(IF(E$79=Cases!$M$33,SUM($X$80:$X81)/(1-Cases!$M$23)-SUM($X$80:$X81),""),"")</f>
        <v/>
      </c>
      <c r="F82" s="19" t="str">
        <f>IFERROR(IF(F$79=Cases!$M$33,SUM($X$80:$X81)/(1-Cases!$M$23)-SUM($X$80:$X81),""),"")</f>
        <v/>
      </c>
      <c r="G82" s="19" t="str">
        <f>IFERROR(IF(G$79=Cases!$M$33,SUM($X$80:$X81)/(1-Cases!$M$23)-SUM($X$80:$X81),""),"")</f>
        <v/>
      </c>
      <c r="H82" s="19">
        <f>IFERROR(IF(H$79=Cases!$M$33,SUM($X$80:$X81)/(1-Cases!$M$23)-SUM($X$80:$X81),""),"")</f>
        <v>5514.7058823529442</v>
      </c>
      <c r="I82" s="19" t="str">
        <f>IFERROR(IF(I$79=Cases!$M$33,SUM($X$80:$X81)/(1-Cases!$M$23)-SUM($X$80:$X81),""),"")</f>
        <v/>
      </c>
      <c r="J82" s="19" t="str">
        <f>IFERROR(IF(J$79=Cases!$M$33,SUM($X$80:$X81)/(1-Cases!$M$23)-SUM($X$80:$X81),""),"")</f>
        <v/>
      </c>
      <c r="K82" s="19" t="str">
        <f>IFERROR(IF(K$79=Cases!$M$33,SUM($X$80:$X81)/(1-Cases!$M$23)-SUM($X$80:$X81),""),"")</f>
        <v/>
      </c>
      <c r="L82" s="19" t="str">
        <f>IFERROR(IF(L$79=Cases!$M$33,SUM($X$80:$X81)/(1-Cases!$M$23)-SUM($X$80:$X81),""),"")</f>
        <v/>
      </c>
      <c r="M82" s="19" t="str">
        <f>IFERROR(IF(M$79=Cases!$M$33,SUM($X$80:$X81)/(1-Cases!$M$23)-SUM($X$80:$X81),""),"")</f>
        <v/>
      </c>
      <c r="N82" s="19" t="str">
        <f>IFERROR(IF(N$79=Cases!$M$33,SUM($X$80:$X81)/(1-Cases!$M$23)-SUM($X$80:$X81),""),"")</f>
        <v/>
      </c>
      <c r="O82" s="19" t="str">
        <f>IFERROR(IF(O$79=Cases!$M$33,SUM($X$80:$X81)/(1-Cases!$M$23)-SUM($X$80:$X81),""),"")</f>
        <v/>
      </c>
      <c r="P82" s="19" t="str">
        <f>IFERROR(IF(P$79=Cases!$M$33,SUM($X$80:$X81)/(1-Cases!$M$23)-SUM($X$80:$X81),""),"")</f>
        <v/>
      </c>
      <c r="Q82" s="19" t="str">
        <f>IFERROR(IF(Q$79=Cases!$M$33,SUM($X$80:$X81)/(1-Cases!$M$23)-SUM($X$80:$X81),""),"")</f>
        <v/>
      </c>
      <c r="R82" s="19" t="str">
        <f>IFERROR(IF(R$79=Cases!$M$33,SUM($X$80:$X81)/(1-Cases!$M$23)-SUM($X$80:$X81),""),"")</f>
        <v/>
      </c>
      <c r="S82" s="19" t="str">
        <f>IFERROR(IF(S$79=Cases!$M$33,SUM($X$80:$X81)/(1-Cases!$M$23)-SUM($X$80:$X81),""),"")</f>
        <v/>
      </c>
      <c r="T82" s="19" t="str">
        <f>IFERROR(IF(T$79=Cases!$M$33,SUM($X$80:$X81)/(1-Cases!$M$23)-SUM($X$80:$X81),""),"")</f>
        <v/>
      </c>
      <c r="U82" s="19" t="str">
        <f>IFERROR(IF(U$79=Cases!$M$33,SUM($X$80:$X81)/(1-Cases!$M$23)-SUM($X$80:$X81),""),"")</f>
        <v/>
      </c>
      <c r="V82" s="19" t="str">
        <f>IFERROR(IF(V$79=Cases!$M$33,SUM($X$80:$X81)/(1-Cases!$M$23)-SUM($X$80:$X81),""),"")</f>
        <v/>
      </c>
      <c r="W82" s="19" t="str">
        <f>IFERROR(IF(W$79=Cases!$M$33,SUM($X$80:$X81)/(1-Cases!$M$23)-SUM($X$80:$X81),""),"")</f>
        <v/>
      </c>
      <c r="X82" s="24">
        <f>SUM(C82:W82)</f>
        <v>5514.7058823529442</v>
      </c>
    </row>
    <row r="83" spans="2:24" ht="16.5" x14ac:dyDescent="0.3">
      <c r="B83" s="18" t="s">
        <v>7</v>
      </c>
      <c r="C83" s="19" t="str">
        <f>IFERROR(IF(C$79=Cases!$N$33,SUM($X$80:$X82)/(1-Cases!$N$23)-SUM($X$80:$X82),""),"")</f>
        <v/>
      </c>
      <c r="D83" s="19" t="str">
        <f>IFERROR(IF(D$79=Cases!$N$33,SUM($X$80:$X82)/(1-Cases!$N$23)-SUM($X$80:$X82),""),"")</f>
        <v/>
      </c>
      <c r="E83" s="19" t="str">
        <f>IFERROR(IF(E$79=Cases!$N$33,SUM($X$80:$X82)/(1-Cases!$N$23)-SUM($X$80:$X82),""),"")</f>
        <v/>
      </c>
      <c r="F83" s="19" t="str">
        <f>IFERROR(IF(F$79=Cases!$N$33,SUM($X$80:$X82)/(1-Cases!$N$23)-SUM($X$80:$X82),""),"")</f>
        <v/>
      </c>
      <c r="G83" s="19" t="str">
        <f>IFERROR(IF(G$79=Cases!$N$33,SUM($X$80:$X82)/(1-Cases!$N$23)-SUM($X$80:$X82),""),"")</f>
        <v/>
      </c>
      <c r="H83" s="19" t="str">
        <f>IFERROR(IF(H$79=Cases!$N$33,SUM($X$80:$X82)/(1-Cases!$N$23)-SUM($X$80:$X82),""),"")</f>
        <v/>
      </c>
      <c r="I83" s="19" t="str">
        <f>IFERROR(IF(I$79=Cases!$N$33,SUM($X$80:$X82)/(1-Cases!$N$23)-SUM($X$80:$X82),""),"")</f>
        <v/>
      </c>
      <c r="J83" s="19" t="str">
        <f>IFERROR(IF(J$79=Cases!$N$33,SUM($X$80:$X82)/(1-Cases!$N$23)-SUM($X$80:$X82),""),"")</f>
        <v/>
      </c>
      <c r="K83" s="19" t="str">
        <f>IFERROR(IF(K$79=Cases!$N$33,SUM($X$80:$X82)/(1-Cases!$N$23)-SUM($X$80:$X82),""),"")</f>
        <v/>
      </c>
      <c r="L83" s="19" t="str">
        <f>IFERROR(IF(L$79=Cases!$N$33,SUM($X$80:$X82)/(1-Cases!$N$23)-SUM($X$80:$X82),""),"")</f>
        <v/>
      </c>
      <c r="M83" s="19">
        <f>IFERROR(IF(M$79=Cases!$N$33,SUM($X$80:$X82)/(1-Cases!$N$23)-SUM($X$80:$X82),""),"")</f>
        <v>5984.9521203830373</v>
      </c>
      <c r="N83" s="19" t="str">
        <f>IFERROR(IF(N$79=Cases!$N$33,SUM($X$80:$X82)/(1-Cases!$N$23)-SUM($X$80:$X82),""),"")</f>
        <v/>
      </c>
      <c r="O83" s="19" t="str">
        <f>IFERROR(IF(O$79=Cases!$N$33,SUM($X$80:$X82)/(1-Cases!$N$23)-SUM($X$80:$X82),""),"")</f>
        <v/>
      </c>
      <c r="P83" s="19" t="str">
        <f>IFERROR(IF(P$79=Cases!$N$33,SUM($X$80:$X82)/(1-Cases!$N$23)-SUM($X$80:$X82),""),"")</f>
        <v/>
      </c>
      <c r="Q83" s="19" t="str">
        <f>IFERROR(IF(Q$79=Cases!$N$33,SUM($X$80:$X82)/(1-Cases!$N$23)-SUM($X$80:$X82),""),"")</f>
        <v/>
      </c>
      <c r="R83" s="19" t="str">
        <f>IFERROR(IF(R$79=Cases!$N$33,SUM($X$80:$X82)/(1-Cases!$N$23)-SUM($X$80:$X82),""),"")</f>
        <v/>
      </c>
      <c r="S83" s="19" t="str">
        <f>IFERROR(IF(S$79=Cases!$N$33,SUM($X$80:$X82)/(1-Cases!$N$23)-SUM($X$80:$X82),""),"")</f>
        <v/>
      </c>
      <c r="T83" s="19" t="str">
        <f>IFERROR(IF(T$79=Cases!$N$33,SUM($X$80:$X82)/(1-Cases!$N$23)-SUM($X$80:$X82),""),"")</f>
        <v/>
      </c>
      <c r="U83" s="19" t="str">
        <f>IFERROR(IF(U$79=Cases!$N$33,SUM($X$80:$X82)/(1-Cases!$N$23)-SUM($X$80:$X82),""),"")</f>
        <v/>
      </c>
      <c r="V83" s="19" t="str">
        <f>IFERROR(IF(V$79=Cases!$N$33,SUM($X$80:$X82)/(1-Cases!$N$23)-SUM($X$80:$X82),""),"")</f>
        <v/>
      </c>
      <c r="W83" s="19" t="str">
        <f>IFERROR(IF(W$79=Cases!$N$33,SUM($X$80:$X82)/(1-Cases!$N$23)-SUM($X$80:$X82),""),"")</f>
        <v/>
      </c>
      <c r="X83" s="24">
        <f>SUM(C83:W83)</f>
        <v>5984.9521203830373</v>
      </c>
    </row>
    <row r="84" spans="2:24" ht="16.5" x14ac:dyDescent="0.3">
      <c r="B84" s="18" t="s">
        <v>8</v>
      </c>
      <c r="C84" s="19" t="str">
        <f>IFERROR(IF(C$79=Cases!$O$33,SUM($X$80:$X83)/(1-Cases!$O$23)-SUM($X$80:$X83),""),"")</f>
        <v/>
      </c>
      <c r="D84" s="19" t="str">
        <f>IFERROR(IF(D$79=Cases!$O$33,SUM($X$80:$X83)/(1-Cases!$O$23)-SUM($X$80:$X83),""),"")</f>
        <v/>
      </c>
      <c r="E84" s="19" t="str">
        <f>IFERROR(IF(E$79=Cases!$O$33,SUM($X$80:$X83)/(1-Cases!$O$23)-SUM($X$80:$X83),""),"")</f>
        <v/>
      </c>
      <c r="F84" s="19" t="str">
        <f>IFERROR(IF(F$79=Cases!$O$33,SUM($X$80:$X83)/(1-Cases!$O$23)-SUM($X$80:$X83),""),"")</f>
        <v/>
      </c>
      <c r="G84" s="19" t="str">
        <f>IFERROR(IF(G$79=Cases!$O$33,SUM($X$80:$X83)/(1-Cases!$O$23)-SUM($X$80:$X83),""),"")</f>
        <v/>
      </c>
      <c r="H84" s="19" t="str">
        <f>IFERROR(IF(H$79=Cases!$O$33,SUM($X$80:$X83)/(1-Cases!$O$23)-SUM($X$80:$X83),""),"")</f>
        <v/>
      </c>
      <c r="I84" s="19" t="str">
        <f>IFERROR(IF(I$79=Cases!$O$33,SUM($X$80:$X83)/(1-Cases!$O$23)-SUM($X$80:$X83),""),"")</f>
        <v/>
      </c>
      <c r="J84" s="19" t="str">
        <f>IFERROR(IF(J$79=Cases!$O$33,SUM($X$80:$X83)/(1-Cases!$O$23)-SUM($X$80:$X83),""),"")</f>
        <v/>
      </c>
      <c r="K84" s="19" t="str">
        <f>IFERROR(IF(K$79=Cases!$O$33,SUM($X$80:$X83)/(1-Cases!$O$23)-SUM($X$80:$X83),""),"")</f>
        <v/>
      </c>
      <c r="L84" s="19" t="str">
        <f>IFERROR(IF(L$79=Cases!$O$33,SUM($X$80:$X83)/(1-Cases!$O$23)-SUM($X$80:$X83),""),"")</f>
        <v/>
      </c>
      <c r="M84" s="19" t="str">
        <f>IFERROR(IF(M$79=Cases!$O$33,SUM($X$80:$X83)/(1-Cases!$O$23)-SUM($X$80:$X83),""),"")</f>
        <v/>
      </c>
      <c r="N84" s="19" t="str">
        <f>IFERROR(IF(N$79=Cases!$O$33,SUM($X$80:$X83)/(1-Cases!$O$23)-SUM($X$80:$X83),""),"")</f>
        <v/>
      </c>
      <c r="O84" s="19" t="str">
        <f>IFERROR(IF(O$79=Cases!$O$33,SUM($X$80:$X83)/(1-Cases!$O$23)-SUM($X$80:$X83),""),"")</f>
        <v/>
      </c>
      <c r="P84" s="19" t="str">
        <f>IFERROR(IF(P$79=Cases!$O$33,SUM($X$80:$X83)/(1-Cases!$O$23)-SUM($X$80:$X83),""),"")</f>
        <v/>
      </c>
      <c r="Q84" s="19" t="str">
        <f>IFERROR(IF(Q$79=Cases!$O$33,SUM($X$80:$X83)/(1-Cases!$O$23)-SUM($X$80:$X83),""),"")</f>
        <v/>
      </c>
      <c r="R84" s="19">
        <f>IFERROR(IF(R$79=Cases!$O$33,SUM($X$80:$X83)/(1-Cases!$O$23)-SUM($X$80:$X83),""),"")</f>
        <v>4749.9620003039963</v>
      </c>
      <c r="S84" s="19" t="str">
        <f>IFERROR(IF(S$79=Cases!$O$33,SUM($X$80:$X83)/(1-Cases!$O$23)-SUM($X$80:$X83),""),"")</f>
        <v/>
      </c>
      <c r="T84" s="19" t="str">
        <f>IFERROR(IF(T$79=Cases!$O$33,SUM($X$80:$X83)/(1-Cases!$O$23)-SUM($X$80:$X83),""),"")</f>
        <v/>
      </c>
      <c r="U84" s="19" t="str">
        <f>IFERROR(IF(U$79=Cases!$O$33,SUM($X$80:$X83)/(1-Cases!$O$23)-SUM($X$80:$X83),""),"")</f>
        <v/>
      </c>
      <c r="V84" s="19" t="str">
        <f>IFERROR(IF(V$79=Cases!$O$33,SUM($X$80:$X83)/(1-Cases!$O$23)-SUM($X$80:$X83),""),"")</f>
        <v/>
      </c>
      <c r="W84" s="19" t="str">
        <f>IFERROR(IF(W$79=Cases!$O$33,SUM($X$80:$X83)/(1-Cases!$O$23)-SUM($X$80:$X83),""),"")</f>
        <v/>
      </c>
      <c r="X84" s="24">
        <f>SUM(C84:W84)</f>
        <v>4749.9620003039963</v>
      </c>
    </row>
    <row r="85" spans="2:24" ht="16.5" x14ac:dyDescent="0.3">
      <c r="B85" s="18" t="s">
        <v>9</v>
      </c>
      <c r="C85" s="19" t="str" cm="1">
        <f t="array" ref="C85">IFERROR(IF(C$79=Cases!$P$33,SUM($X$80:$X84*Cases!$P$23),""),"")</f>
        <v/>
      </c>
      <c r="D85" s="19" t="str" cm="1">
        <f t="array" ref="D85">IFERROR(IF(D$79=Cases!$P$33,SUM($X$80:$X84*Cases!$P$23),""),"")</f>
        <v/>
      </c>
      <c r="E85" s="19" t="str" cm="1">
        <f t="array" ref="E85">IFERROR(IF(E$79=Cases!$P$33,SUM($X$80:$X84*Cases!$P$23),""),"")</f>
        <v/>
      </c>
      <c r="F85" s="19" t="str" cm="1">
        <f t="array" ref="F85">IFERROR(IF(F$79=Cases!$P$33,SUM($X$80:$X84*Cases!$P$23),""),"")</f>
        <v/>
      </c>
      <c r="G85" s="19" t="str" cm="1">
        <f t="array" ref="G85">IFERROR(IF(G$79=Cases!$P$33,SUM($X$80:$X84*Cases!$P$23),""),"")</f>
        <v/>
      </c>
      <c r="H85" s="19" t="str" cm="1">
        <f t="array" ref="H85">IFERROR(IF(H$79=Cases!$P$33,SUM($X$80:$X84*Cases!$P$23),""),"")</f>
        <v/>
      </c>
      <c r="I85" s="19" t="str" cm="1">
        <f t="array" ref="I85">IFERROR(IF(I$79=Cases!$P$33,SUM($X$80:$X84*Cases!$P$23),""),"")</f>
        <v/>
      </c>
      <c r="J85" s="19" t="str" cm="1">
        <f t="array" ref="J85">IFERROR(IF(J$79=Cases!$P$33,SUM($X$80:$X84*Cases!$P$23),""),"")</f>
        <v/>
      </c>
      <c r="K85" s="19" t="str" cm="1">
        <f t="array" ref="K85">IFERROR(IF(K$79=Cases!$P$33,SUM($X$80:$X84*Cases!$P$23),""),"")</f>
        <v/>
      </c>
      <c r="L85" s="19" t="str" cm="1">
        <f t="array" ref="L85">IFERROR(IF(L$79=Cases!$P$33,SUM($X$80:$X84*Cases!$P$23),""),"")</f>
        <v/>
      </c>
      <c r="M85" s="19" t="str" cm="1">
        <f t="array" ref="M85">IFERROR(IF(M$79=Cases!$P$33,SUM($X$80:$X84*Cases!$P$23),""),"")</f>
        <v/>
      </c>
      <c r="N85" s="19" t="str" cm="1">
        <f t="array" ref="N85">IFERROR(IF(N$79=Cases!$P$33,SUM($X$80:$X84*Cases!$P$23),""),"")</f>
        <v/>
      </c>
      <c r="O85" s="19" t="str" cm="1">
        <f t="array" ref="O85">IFERROR(IF(O$79=Cases!$P$33,SUM($X$80:$X84*Cases!$P$23),""),"")</f>
        <v/>
      </c>
      <c r="P85" s="19" t="str" cm="1">
        <f t="array" ref="P85">IFERROR(IF(P$79=Cases!$P$33,SUM($X$80:$X84*Cases!$P$23),""),"")</f>
        <v/>
      </c>
      <c r="Q85" s="19" t="str" cm="1">
        <f t="array" ref="Q85">IFERROR(IF(Q$79=Cases!$P$33,SUM($X$80:$X84*Cases!$P$23),""),"")</f>
        <v/>
      </c>
      <c r="R85" s="19" t="str" cm="1">
        <f t="array" ref="R85">IFERROR(IF(R$79=Cases!$P$33,SUM($X$80:$X84*Cases!$P$23),""),"")</f>
        <v/>
      </c>
      <c r="S85" s="19" t="str" cm="1">
        <f t="array" ref="S85">IFERROR(IF(S$79=Cases!$P$33,SUM($X$80:$X84*Cases!$P$23),""),"")</f>
        <v/>
      </c>
      <c r="T85" s="19" t="str" cm="1">
        <f t="array" ref="T85">IFERROR(IF(T$79=Cases!$P$33,SUM($X$80:$X84*Cases!$P$23),""),"")</f>
        <v/>
      </c>
      <c r="U85" s="19" t="str" cm="1">
        <f t="array" ref="U85">IFERROR(IF(U$79=Cases!$P$33,SUM($X$80:$X84*Cases!$P$23),""),"")</f>
        <v/>
      </c>
      <c r="V85" s="19" t="str" cm="1">
        <f t="array" ref="V85">IFERROR(IF(V$79=Cases!$P$33,SUM($X$80:$X84*Cases!$P$23),""),"")</f>
        <v/>
      </c>
      <c r="W85" s="19" cm="1">
        <f t="array" ref="W85">IFERROR(IF(W$79=Cases!$P$33,SUM($X$80:$X84*Cases!$P$23),""),"")</f>
        <v>4749.9620003039981</v>
      </c>
      <c r="X85" s="25">
        <f>SUM(C85:W85)</f>
        <v>4749.9620003039981</v>
      </c>
    </row>
    <row r="86" spans="2:24" ht="17.25" thickBot="1" x14ac:dyDescent="0.35">
      <c r="B86" s="3"/>
      <c r="C86" s="32">
        <f>SUM(C80:C85)</f>
        <v>31250</v>
      </c>
      <c r="D86" s="32">
        <f>SUM(D80:D85)</f>
        <v>0</v>
      </c>
      <c r="E86" s="32">
        <f>SUM(E80:E85)</f>
        <v>0</v>
      </c>
      <c r="F86" s="32">
        <f>SUM(F80:F85)</f>
        <v>0</v>
      </c>
      <c r="G86" s="32">
        <f>SUM(G80:G85)</f>
        <v>0</v>
      </c>
      <c r="H86" s="32">
        <f>SUM(H80:H85)</f>
        <v>5514.7058823529442</v>
      </c>
      <c r="I86" s="32">
        <f>SUM(I80:I85)</f>
        <v>0</v>
      </c>
      <c r="J86" s="32">
        <f>SUM(J80:J85)</f>
        <v>0</v>
      </c>
      <c r="K86" s="32">
        <f>SUM(K80:K85)</f>
        <v>0</v>
      </c>
      <c r="L86" s="32">
        <f>SUM(L80:L85)</f>
        <v>0</v>
      </c>
      <c r="M86" s="32">
        <f>SUM(M80:M85)</f>
        <v>5984.9521203830373</v>
      </c>
      <c r="N86" s="32">
        <f>SUM(N80:N85)</f>
        <v>0</v>
      </c>
      <c r="O86" s="32">
        <f>SUM(O80:O85)</f>
        <v>0</v>
      </c>
      <c r="P86" s="32">
        <f>SUM(P80:P85)</f>
        <v>0</v>
      </c>
      <c r="Q86" s="32">
        <f>SUM(Q80:Q85)</f>
        <v>0</v>
      </c>
      <c r="R86" s="32">
        <f>SUM(R80:R85)</f>
        <v>4749.9620003039963</v>
      </c>
      <c r="S86" s="32">
        <f>SUM(S80:S85)</f>
        <v>0</v>
      </c>
      <c r="T86" s="32">
        <f>SUM(T80:T85)</f>
        <v>0</v>
      </c>
      <c r="U86" s="32">
        <f>SUM(U80:U85)</f>
        <v>0</v>
      </c>
      <c r="V86" s="32">
        <f>SUM(V80:V85)</f>
        <v>0</v>
      </c>
      <c r="W86" s="36">
        <f>SUM(W80:W85)</f>
        <v>4749.9620003039981</v>
      </c>
      <c r="X86" s="26">
        <f>SUM(X80:X85)</f>
        <v>52249.582003343974</v>
      </c>
    </row>
    <row r="87" spans="2:24" ht="13.5" thickTop="1" x14ac:dyDescent="0.2"/>
    <row r="88" spans="2:24" ht="15.75" customHeight="1" x14ac:dyDescent="0.2">
      <c r="B88" s="61" t="s">
        <v>108</v>
      </c>
      <c r="C88" s="61"/>
      <c r="D88" s="61"/>
      <c r="E88" s="61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</row>
    <row r="89" spans="2:24" ht="12.75" customHeight="1" x14ac:dyDescent="0.2">
      <c r="B89" s="61"/>
      <c r="C89" s="61"/>
      <c r="D89" s="61"/>
      <c r="E89" s="61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</row>
    <row r="91" spans="2:24" x14ac:dyDescent="0.2">
      <c r="B91" s="119" t="s">
        <v>126</v>
      </c>
    </row>
    <row r="93" spans="2:24" x14ac:dyDescent="0.2">
      <c r="B93" s="38" t="s">
        <v>127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s="58" customFormat="1" x14ac:dyDescent="0.2">
      <c r="B94" s="76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</row>
    <row r="95" spans="2:24" s="58" customFormat="1" x14ac:dyDescent="0.2">
      <c r="B95" s="77" t="s">
        <v>92</v>
      </c>
      <c r="C95" s="79">
        <f>+C179</f>
        <v>0</v>
      </c>
      <c r="D95" s="79">
        <f t="shared" ref="D95:X95" si="19">+D179</f>
        <v>191.38909090909092</v>
      </c>
      <c r="E95" s="79">
        <f t="shared" si="19"/>
        <v>382.77818181818185</v>
      </c>
      <c r="F95" s="79">
        <f t="shared" si="19"/>
        <v>574.16727272727269</v>
      </c>
      <c r="G95" s="79">
        <f t="shared" si="19"/>
        <v>765.5563636363637</v>
      </c>
      <c r="H95" s="79">
        <f t="shared" si="19"/>
        <v>956.94545454545448</v>
      </c>
      <c r="I95" s="79">
        <f t="shared" si="19"/>
        <v>1148.3345454545454</v>
      </c>
      <c r="J95" s="79">
        <f t="shared" si="19"/>
        <v>1339.7236363636364</v>
      </c>
      <c r="K95" s="79">
        <f t="shared" si="19"/>
        <v>1531.1127272727274</v>
      </c>
      <c r="L95" s="79">
        <f t="shared" si="19"/>
        <v>1722.501818181818</v>
      </c>
      <c r="M95" s="79">
        <f t="shared" si="19"/>
        <v>1913.890909090909</v>
      </c>
      <c r="N95" s="79">
        <f t="shared" si="19"/>
        <v>2105.2800000000002</v>
      </c>
      <c r="O95" s="79">
        <f t="shared" si="19"/>
        <v>2296.6690909090908</v>
      </c>
      <c r="P95" s="79">
        <f t="shared" si="19"/>
        <v>2488.0581818181818</v>
      </c>
      <c r="Q95" s="79">
        <f t="shared" si="19"/>
        <v>2679.4472727272728</v>
      </c>
      <c r="R95" s="79">
        <f t="shared" si="19"/>
        <v>2870.8363636363633</v>
      </c>
      <c r="S95" s="79">
        <f t="shared" si="19"/>
        <v>3062.2254545454548</v>
      </c>
      <c r="T95" s="79">
        <f t="shared" si="19"/>
        <v>3253.6145454545454</v>
      </c>
      <c r="U95" s="79">
        <f t="shared" si="19"/>
        <v>3445.0036363636359</v>
      </c>
      <c r="V95" s="79">
        <f t="shared" si="19"/>
        <v>3636.3927272727274</v>
      </c>
      <c r="W95" s="79">
        <f t="shared" si="19"/>
        <v>3827.7818181818179</v>
      </c>
      <c r="X95" s="79">
        <f t="shared" si="19"/>
        <v>4019.1709090909094</v>
      </c>
    </row>
    <row r="96" spans="2:24" s="58" customFormat="1" x14ac:dyDescent="0.2">
      <c r="B96" s="76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</row>
    <row r="97" spans="2:24" s="58" customFormat="1" x14ac:dyDescent="0.2">
      <c r="B97" s="86" t="s">
        <v>93</v>
      </c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2:24" s="58" customFormat="1" ht="16.5" x14ac:dyDescent="0.3">
      <c r="B98" s="18" t="s">
        <v>32</v>
      </c>
      <c r="C98" s="59">
        <f>+$C$80</f>
        <v>25000</v>
      </c>
      <c r="D98" s="59">
        <f t="shared" ref="D98:X98" si="20">+$C$80</f>
        <v>25000</v>
      </c>
      <c r="E98" s="59">
        <f t="shared" si="20"/>
        <v>25000</v>
      </c>
      <c r="F98" s="59">
        <f t="shared" si="20"/>
        <v>25000</v>
      </c>
      <c r="G98" s="59">
        <f t="shared" si="20"/>
        <v>25000</v>
      </c>
      <c r="H98" s="59">
        <f t="shared" si="20"/>
        <v>25000</v>
      </c>
      <c r="I98" s="59">
        <f t="shared" si="20"/>
        <v>25000</v>
      </c>
      <c r="J98" s="59">
        <f t="shared" si="20"/>
        <v>25000</v>
      </c>
      <c r="K98" s="59">
        <f t="shared" si="20"/>
        <v>25000</v>
      </c>
      <c r="L98" s="59">
        <f t="shared" si="20"/>
        <v>25000</v>
      </c>
      <c r="M98" s="59">
        <f t="shared" si="20"/>
        <v>25000</v>
      </c>
      <c r="N98" s="59">
        <f t="shared" si="20"/>
        <v>25000</v>
      </c>
      <c r="O98" s="59">
        <f t="shared" si="20"/>
        <v>25000</v>
      </c>
      <c r="P98" s="59">
        <f t="shared" si="20"/>
        <v>25000</v>
      </c>
      <c r="Q98" s="59">
        <f t="shared" si="20"/>
        <v>25000</v>
      </c>
      <c r="R98" s="59">
        <f t="shared" si="20"/>
        <v>25000</v>
      </c>
      <c r="S98" s="59">
        <f t="shared" si="20"/>
        <v>25000</v>
      </c>
      <c r="T98" s="59">
        <f t="shared" si="20"/>
        <v>25000</v>
      </c>
      <c r="U98" s="59">
        <f t="shared" si="20"/>
        <v>25000</v>
      </c>
      <c r="V98" s="59">
        <f t="shared" si="20"/>
        <v>25000</v>
      </c>
      <c r="W98" s="59">
        <f t="shared" si="20"/>
        <v>25000</v>
      </c>
      <c r="X98" s="59">
        <f t="shared" si="20"/>
        <v>25000</v>
      </c>
    </row>
    <row r="99" spans="2:24" s="78" customFormat="1" ht="16.5" x14ac:dyDescent="0.3">
      <c r="B99" s="18" t="s">
        <v>5</v>
      </c>
      <c r="C99" s="59">
        <f>+$C$81</f>
        <v>6250</v>
      </c>
      <c r="D99" s="59">
        <f t="shared" ref="D99:X99" si="21">+$C$81</f>
        <v>6250</v>
      </c>
      <c r="E99" s="59">
        <f t="shared" si="21"/>
        <v>6250</v>
      </c>
      <c r="F99" s="59">
        <f t="shared" si="21"/>
        <v>6250</v>
      </c>
      <c r="G99" s="59">
        <f t="shared" si="21"/>
        <v>6250</v>
      </c>
      <c r="H99" s="59">
        <f t="shared" si="21"/>
        <v>6250</v>
      </c>
      <c r="I99" s="59">
        <f t="shared" si="21"/>
        <v>6250</v>
      </c>
      <c r="J99" s="59">
        <f t="shared" si="21"/>
        <v>6250</v>
      </c>
      <c r="K99" s="59">
        <f t="shared" si="21"/>
        <v>6250</v>
      </c>
      <c r="L99" s="59">
        <f t="shared" si="21"/>
        <v>6250</v>
      </c>
      <c r="M99" s="59">
        <f t="shared" si="21"/>
        <v>6250</v>
      </c>
      <c r="N99" s="59">
        <f t="shared" si="21"/>
        <v>6250</v>
      </c>
      <c r="O99" s="59">
        <f t="shared" si="21"/>
        <v>6250</v>
      </c>
      <c r="P99" s="59">
        <f t="shared" si="21"/>
        <v>6250</v>
      </c>
      <c r="Q99" s="59">
        <f t="shared" si="21"/>
        <v>6250</v>
      </c>
      <c r="R99" s="59">
        <f t="shared" si="21"/>
        <v>6250</v>
      </c>
      <c r="S99" s="59">
        <f t="shared" si="21"/>
        <v>6250</v>
      </c>
      <c r="T99" s="59">
        <f t="shared" si="21"/>
        <v>6250</v>
      </c>
      <c r="U99" s="59">
        <f t="shared" si="21"/>
        <v>6250</v>
      </c>
      <c r="V99" s="59">
        <f t="shared" si="21"/>
        <v>6250</v>
      </c>
      <c r="W99" s="59">
        <f t="shared" si="21"/>
        <v>6250</v>
      </c>
      <c r="X99" s="59">
        <f t="shared" si="21"/>
        <v>6250</v>
      </c>
    </row>
    <row r="100" spans="2:24" s="78" customFormat="1" ht="16.5" x14ac:dyDescent="0.3">
      <c r="B100" s="18" t="s">
        <v>6</v>
      </c>
      <c r="C100" s="59">
        <f>+C138</f>
        <v>5514.7058823529442</v>
      </c>
      <c r="D100" s="59">
        <f t="shared" ref="D100:X100" si="22">+D138</f>
        <v>5514.7058823529442</v>
      </c>
      <c r="E100" s="59">
        <f t="shared" si="22"/>
        <v>5514.7058823529442</v>
      </c>
      <c r="F100" s="59">
        <f t="shared" si="22"/>
        <v>5514.7058823529442</v>
      </c>
      <c r="G100" s="59">
        <f t="shared" si="22"/>
        <v>5514.7058823529442</v>
      </c>
      <c r="H100" s="59">
        <f t="shared" si="22"/>
        <v>5514.7058823529442</v>
      </c>
      <c r="I100" s="59">
        <f t="shared" si="22"/>
        <v>5514.7058823529442</v>
      </c>
      <c r="J100" s="59">
        <f t="shared" si="22"/>
        <v>5514.7058823529442</v>
      </c>
      <c r="K100" s="59">
        <f t="shared" si="22"/>
        <v>5514.7058823529442</v>
      </c>
      <c r="L100" s="59">
        <f t="shared" si="22"/>
        <v>5514.7058823529442</v>
      </c>
      <c r="M100" s="59">
        <f t="shared" si="22"/>
        <v>5514.7058823529442</v>
      </c>
      <c r="N100" s="59">
        <f t="shared" si="22"/>
        <v>5514.7058823529442</v>
      </c>
      <c r="O100" s="59">
        <f t="shared" si="22"/>
        <v>5514.7058823529442</v>
      </c>
      <c r="P100" s="59">
        <f t="shared" si="22"/>
        <v>5514.7058823529442</v>
      </c>
      <c r="Q100" s="59">
        <f t="shared" si="22"/>
        <v>5514.7058823529442</v>
      </c>
      <c r="R100" s="59">
        <f t="shared" si="22"/>
        <v>5514.7058823529442</v>
      </c>
      <c r="S100" s="59">
        <f t="shared" si="22"/>
        <v>5514.7058823529442</v>
      </c>
      <c r="T100" s="59">
        <f t="shared" si="22"/>
        <v>5514.7058823529442</v>
      </c>
      <c r="U100" s="59">
        <f t="shared" si="22"/>
        <v>5514.7058823529442</v>
      </c>
      <c r="V100" s="59">
        <f t="shared" si="22"/>
        <v>5514.7058823529442</v>
      </c>
      <c r="W100" s="59">
        <f t="shared" si="22"/>
        <v>5514.7058823529442</v>
      </c>
      <c r="X100" s="59">
        <f t="shared" si="22"/>
        <v>5514.7058823529442</v>
      </c>
    </row>
    <row r="101" spans="2:24" s="78" customFormat="1" ht="16.5" x14ac:dyDescent="0.3">
      <c r="B101" s="18" t="s">
        <v>7</v>
      </c>
      <c r="C101" s="59">
        <f>+C147</f>
        <v>5984.9521203830373</v>
      </c>
      <c r="D101" s="59">
        <f t="shared" ref="D101:X101" si="23">+D147</f>
        <v>5984.9521203830373</v>
      </c>
      <c r="E101" s="59">
        <f t="shared" si="23"/>
        <v>5984.9521203830373</v>
      </c>
      <c r="F101" s="59">
        <f t="shared" si="23"/>
        <v>5984.9521203830373</v>
      </c>
      <c r="G101" s="59">
        <f t="shared" si="23"/>
        <v>5984.9521203830373</v>
      </c>
      <c r="H101" s="59">
        <f t="shared" si="23"/>
        <v>5984.9521203830373</v>
      </c>
      <c r="I101" s="59">
        <f t="shared" si="23"/>
        <v>5984.9521203830373</v>
      </c>
      <c r="J101" s="59">
        <f t="shared" si="23"/>
        <v>5984.9521203830373</v>
      </c>
      <c r="K101" s="59">
        <f t="shared" si="23"/>
        <v>5984.9521203830373</v>
      </c>
      <c r="L101" s="59">
        <f t="shared" si="23"/>
        <v>5984.9521203830373</v>
      </c>
      <c r="M101" s="59">
        <f t="shared" si="23"/>
        <v>5984.9521203830373</v>
      </c>
      <c r="N101" s="59">
        <f t="shared" si="23"/>
        <v>5984.9521203830373</v>
      </c>
      <c r="O101" s="59">
        <f t="shared" si="23"/>
        <v>5984.9521203830373</v>
      </c>
      <c r="P101" s="59">
        <f t="shared" si="23"/>
        <v>5984.9521203830373</v>
      </c>
      <c r="Q101" s="59">
        <f t="shared" si="23"/>
        <v>5984.9521203830373</v>
      </c>
      <c r="R101" s="59">
        <f t="shared" si="23"/>
        <v>5984.9521203830373</v>
      </c>
      <c r="S101" s="59">
        <f t="shared" si="23"/>
        <v>5984.9521203830373</v>
      </c>
      <c r="T101" s="59">
        <f t="shared" si="23"/>
        <v>5984.9521203830373</v>
      </c>
      <c r="U101" s="59">
        <f t="shared" si="23"/>
        <v>5984.9521203830373</v>
      </c>
      <c r="V101" s="59">
        <f t="shared" si="23"/>
        <v>5984.9521203830373</v>
      </c>
      <c r="W101" s="59">
        <f t="shared" si="23"/>
        <v>5984.9521203830373</v>
      </c>
      <c r="X101" s="59">
        <f t="shared" si="23"/>
        <v>5984.9521203830373</v>
      </c>
    </row>
    <row r="102" spans="2:24" s="78" customFormat="1" ht="16.5" x14ac:dyDescent="0.3">
      <c r="B102" s="18" t="s">
        <v>8</v>
      </c>
      <c r="C102" s="59">
        <f>+C156</f>
        <v>4749.9620003039963</v>
      </c>
      <c r="D102" s="59">
        <f t="shared" ref="D102:X102" si="24">+D156</f>
        <v>4749.9620003039963</v>
      </c>
      <c r="E102" s="59">
        <f t="shared" si="24"/>
        <v>4749.9620003039963</v>
      </c>
      <c r="F102" s="59">
        <f t="shared" si="24"/>
        <v>4749.9620003039963</v>
      </c>
      <c r="G102" s="59">
        <f t="shared" si="24"/>
        <v>4749.9620003039963</v>
      </c>
      <c r="H102" s="59">
        <f t="shared" si="24"/>
        <v>4749.9620003039963</v>
      </c>
      <c r="I102" s="59">
        <f t="shared" si="24"/>
        <v>4749.9620003039963</v>
      </c>
      <c r="J102" s="59">
        <f t="shared" si="24"/>
        <v>4749.9620003039963</v>
      </c>
      <c r="K102" s="59">
        <f t="shared" si="24"/>
        <v>4749.9620003039963</v>
      </c>
      <c r="L102" s="59">
        <f t="shared" si="24"/>
        <v>4749.9620003039963</v>
      </c>
      <c r="M102" s="59">
        <f t="shared" si="24"/>
        <v>4749.9620003039963</v>
      </c>
      <c r="N102" s="59">
        <f t="shared" si="24"/>
        <v>4749.9620003039963</v>
      </c>
      <c r="O102" s="59">
        <f t="shared" si="24"/>
        <v>4749.9620003039963</v>
      </c>
      <c r="P102" s="59">
        <f t="shared" si="24"/>
        <v>4749.9620003039963</v>
      </c>
      <c r="Q102" s="59">
        <f t="shared" si="24"/>
        <v>4749.9620003039963</v>
      </c>
      <c r="R102" s="59">
        <f t="shared" si="24"/>
        <v>4749.9620003039963</v>
      </c>
      <c r="S102" s="59">
        <f t="shared" si="24"/>
        <v>4749.9620003039963</v>
      </c>
      <c r="T102" s="59">
        <f t="shared" si="24"/>
        <v>4749.9620003039963</v>
      </c>
      <c r="U102" s="59">
        <f t="shared" si="24"/>
        <v>4749.9620003039963</v>
      </c>
      <c r="V102" s="59">
        <f t="shared" si="24"/>
        <v>4749.9620003039963</v>
      </c>
      <c r="W102" s="59">
        <f t="shared" si="24"/>
        <v>4749.9620003039963</v>
      </c>
      <c r="X102" s="59">
        <f t="shared" si="24"/>
        <v>4749.9620003039963</v>
      </c>
    </row>
    <row r="103" spans="2:24" s="78" customFormat="1" ht="16.5" x14ac:dyDescent="0.3">
      <c r="B103" s="18" t="s">
        <v>9</v>
      </c>
      <c r="C103" s="59">
        <f>+C165</f>
        <v>4749.9620003039981</v>
      </c>
      <c r="D103" s="59">
        <f t="shared" ref="D103:X103" si="25">+D165</f>
        <v>4749.9620003039981</v>
      </c>
      <c r="E103" s="59">
        <f t="shared" si="25"/>
        <v>4749.9620003039981</v>
      </c>
      <c r="F103" s="59">
        <f t="shared" si="25"/>
        <v>4749.9620003039981</v>
      </c>
      <c r="G103" s="59">
        <f t="shared" si="25"/>
        <v>4749.9620003039981</v>
      </c>
      <c r="H103" s="59">
        <f t="shared" si="25"/>
        <v>4749.9620003039981</v>
      </c>
      <c r="I103" s="59">
        <f t="shared" si="25"/>
        <v>4749.9620003039981</v>
      </c>
      <c r="J103" s="59">
        <f t="shared" si="25"/>
        <v>4749.9620003039981</v>
      </c>
      <c r="K103" s="59">
        <f t="shared" si="25"/>
        <v>4749.9620003039981</v>
      </c>
      <c r="L103" s="59">
        <f t="shared" si="25"/>
        <v>4749.9620003039981</v>
      </c>
      <c r="M103" s="59">
        <f t="shared" si="25"/>
        <v>4749.9620003039981</v>
      </c>
      <c r="N103" s="59">
        <f t="shared" si="25"/>
        <v>4749.9620003039981</v>
      </c>
      <c r="O103" s="59">
        <f t="shared" si="25"/>
        <v>4749.9620003039981</v>
      </c>
      <c r="P103" s="59">
        <f t="shared" si="25"/>
        <v>4749.9620003039981</v>
      </c>
      <c r="Q103" s="59">
        <f t="shared" si="25"/>
        <v>4749.9620003039981</v>
      </c>
      <c r="R103" s="59">
        <f t="shared" si="25"/>
        <v>4749.9620003039981</v>
      </c>
      <c r="S103" s="59">
        <f t="shared" si="25"/>
        <v>4749.9620003039981</v>
      </c>
      <c r="T103" s="59">
        <f t="shared" si="25"/>
        <v>4749.9620003039981</v>
      </c>
      <c r="U103" s="59">
        <f t="shared" si="25"/>
        <v>4749.9620003039981</v>
      </c>
      <c r="V103" s="59">
        <f t="shared" si="25"/>
        <v>4749.9620003039981</v>
      </c>
      <c r="W103" s="59">
        <f t="shared" si="25"/>
        <v>4749.9620003039981</v>
      </c>
      <c r="X103" s="59">
        <f t="shared" si="25"/>
        <v>4749.9620003039981</v>
      </c>
    </row>
    <row r="104" spans="2:24" s="78" customFormat="1" ht="17.25" thickBot="1" x14ac:dyDescent="0.35">
      <c r="B104" s="82" t="s">
        <v>42</v>
      </c>
      <c r="C104" s="83">
        <f>SUM(C98:C103)</f>
        <v>52249.582003343974</v>
      </c>
      <c r="D104" s="83">
        <f t="shared" ref="D104:X104" si="26">SUM(D98:D103)</f>
        <v>52249.582003343974</v>
      </c>
      <c r="E104" s="83">
        <f t="shared" si="26"/>
        <v>52249.582003343974</v>
      </c>
      <c r="F104" s="83">
        <f t="shared" si="26"/>
        <v>52249.582003343974</v>
      </c>
      <c r="G104" s="83">
        <f t="shared" si="26"/>
        <v>52249.582003343974</v>
      </c>
      <c r="H104" s="83">
        <f t="shared" si="26"/>
        <v>52249.582003343974</v>
      </c>
      <c r="I104" s="83">
        <f t="shared" si="26"/>
        <v>52249.582003343974</v>
      </c>
      <c r="J104" s="83">
        <f t="shared" si="26"/>
        <v>52249.582003343974</v>
      </c>
      <c r="K104" s="83">
        <f t="shared" si="26"/>
        <v>52249.582003343974</v>
      </c>
      <c r="L104" s="83">
        <f t="shared" si="26"/>
        <v>52249.582003343974</v>
      </c>
      <c r="M104" s="83">
        <f t="shared" si="26"/>
        <v>52249.582003343974</v>
      </c>
      <c r="N104" s="83">
        <f t="shared" si="26"/>
        <v>52249.582003343974</v>
      </c>
      <c r="O104" s="83">
        <f t="shared" si="26"/>
        <v>52249.582003343974</v>
      </c>
      <c r="P104" s="83">
        <f t="shared" si="26"/>
        <v>52249.582003343974</v>
      </c>
      <c r="Q104" s="83">
        <f t="shared" si="26"/>
        <v>52249.582003343974</v>
      </c>
      <c r="R104" s="83">
        <f t="shared" si="26"/>
        <v>52249.582003343974</v>
      </c>
      <c r="S104" s="83">
        <f t="shared" si="26"/>
        <v>52249.582003343974</v>
      </c>
      <c r="T104" s="83">
        <f t="shared" si="26"/>
        <v>52249.582003343974</v>
      </c>
      <c r="U104" s="83">
        <f t="shared" si="26"/>
        <v>52249.582003343974</v>
      </c>
      <c r="V104" s="83">
        <f t="shared" si="26"/>
        <v>52249.582003343974</v>
      </c>
      <c r="W104" s="83">
        <f t="shared" si="26"/>
        <v>52249.582003343974</v>
      </c>
      <c r="X104" s="83">
        <f t="shared" si="26"/>
        <v>52249.582003343974</v>
      </c>
    </row>
    <row r="105" spans="2:24" s="78" customFormat="1" ht="17.25" thickTop="1" x14ac:dyDescent="0.3">
      <c r="B105" s="12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</row>
    <row r="106" spans="2:24" s="58" customFormat="1" x14ac:dyDescent="0.2">
      <c r="B106" s="86" t="s">
        <v>99</v>
      </c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2:24" s="58" customFormat="1" ht="16.5" x14ac:dyDescent="0.3">
      <c r="B107" s="18" t="s">
        <v>32</v>
      </c>
      <c r="C107" s="79">
        <f>+C98</f>
        <v>25000</v>
      </c>
      <c r="D107" s="79">
        <f t="shared" ref="D107:X107" si="27">+D98</f>
        <v>25000</v>
      </c>
      <c r="E107" s="79">
        <f t="shared" si="27"/>
        <v>25000</v>
      </c>
      <c r="F107" s="79">
        <f t="shared" si="27"/>
        <v>25000</v>
      </c>
      <c r="G107" s="79">
        <f t="shared" si="27"/>
        <v>25000</v>
      </c>
      <c r="H107" s="79">
        <f t="shared" si="27"/>
        <v>25000</v>
      </c>
      <c r="I107" s="79">
        <f t="shared" si="27"/>
        <v>25000</v>
      </c>
      <c r="J107" s="79">
        <f t="shared" si="27"/>
        <v>25000</v>
      </c>
      <c r="K107" s="79">
        <f t="shared" si="27"/>
        <v>25000</v>
      </c>
      <c r="L107" s="79">
        <f t="shared" si="27"/>
        <v>25000</v>
      </c>
      <c r="M107" s="79">
        <f t="shared" si="27"/>
        <v>25000</v>
      </c>
      <c r="N107" s="79">
        <f t="shared" si="27"/>
        <v>25000</v>
      </c>
      <c r="O107" s="79">
        <f t="shared" si="27"/>
        <v>25000</v>
      </c>
      <c r="P107" s="79">
        <f t="shared" si="27"/>
        <v>25000</v>
      </c>
      <c r="Q107" s="79">
        <f t="shared" si="27"/>
        <v>25000</v>
      </c>
      <c r="R107" s="79">
        <f t="shared" si="27"/>
        <v>25000</v>
      </c>
      <c r="S107" s="79">
        <f t="shared" si="27"/>
        <v>25000</v>
      </c>
      <c r="T107" s="79">
        <f t="shared" si="27"/>
        <v>25000</v>
      </c>
      <c r="U107" s="79">
        <f t="shared" si="27"/>
        <v>25000</v>
      </c>
      <c r="V107" s="79">
        <f t="shared" si="27"/>
        <v>25000</v>
      </c>
      <c r="W107" s="79">
        <f t="shared" si="27"/>
        <v>25000</v>
      </c>
      <c r="X107" s="79">
        <f t="shared" si="27"/>
        <v>25000</v>
      </c>
    </row>
    <row r="108" spans="2:24" s="78" customFormat="1" ht="16.5" x14ac:dyDescent="0.3">
      <c r="B108" s="18" t="s">
        <v>5</v>
      </c>
      <c r="C108" s="59">
        <f>IFERROR(+C132,"")</f>
        <v>6250</v>
      </c>
      <c r="D108" s="59">
        <f t="shared" ref="D108:X108" si="28">IFERROR(+D132,"")</f>
        <v>7837.437300501595</v>
      </c>
      <c r="E108" s="59">
        <f t="shared" si="28"/>
        <v>6250</v>
      </c>
      <c r="F108" s="59">
        <f t="shared" si="28"/>
        <v>6250</v>
      </c>
      <c r="G108" s="59">
        <f t="shared" si="28"/>
        <v>6250</v>
      </c>
      <c r="H108" s="59">
        <f t="shared" si="28"/>
        <v>6250</v>
      </c>
      <c r="I108" s="59">
        <f t="shared" si="28"/>
        <v>6250</v>
      </c>
      <c r="J108" s="59">
        <f t="shared" si="28"/>
        <v>6250</v>
      </c>
      <c r="K108" s="59">
        <f t="shared" si="28"/>
        <v>6250</v>
      </c>
      <c r="L108" s="59">
        <f t="shared" si="28"/>
        <v>6250</v>
      </c>
      <c r="M108" s="59">
        <f t="shared" si="28"/>
        <v>6250</v>
      </c>
      <c r="N108" s="59">
        <f t="shared" si="28"/>
        <v>6250</v>
      </c>
      <c r="O108" s="59">
        <f t="shared" si="28"/>
        <v>6250</v>
      </c>
      <c r="P108" s="59">
        <f t="shared" si="28"/>
        <v>6250</v>
      </c>
      <c r="Q108" s="59">
        <f t="shared" si="28"/>
        <v>6250</v>
      </c>
      <c r="R108" s="59">
        <f t="shared" si="28"/>
        <v>6250</v>
      </c>
      <c r="S108" s="59">
        <f t="shared" si="28"/>
        <v>6250</v>
      </c>
      <c r="T108" s="59">
        <f t="shared" si="28"/>
        <v>6250</v>
      </c>
      <c r="U108" s="59">
        <f t="shared" si="28"/>
        <v>6250</v>
      </c>
      <c r="V108" s="59">
        <f t="shared" si="28"/>
        <v>6250</v>
      </c>
      <c r="W108" s="59">
        <f t="shared" si="28"/>
        <v>6250</v>
      </c>
      <c r="X108" s="59">
        <f t="shared" si="28"/>
        <v>6250</v>
      </c>
    </row>
    <row r="109" spans="2:24" s="78" customFormat="1" ht="16.5" x14ac:dyDescent="0.3">
      <c r="B109" s="18" t="s">
        <v>6</v>
      </c>
      <c r="C109" s="59">
        <f>IFERROR(+C141,"")</f>
        <v>5514.7058823529442</v>
      </c>
      <c r="D109" s="59">
        <f t="shared" ref="D109:X109" si="29">IFERROR(+D141,"")</f>
        <v>26124.791001671983</v>
      </c>
      <c r="E109" s="59">
        <f t="shared" si="29"/>
        <v>13062.395500835992</v>
      </c>
      <c r="F109" s="59">
        <f t="shared" si="29"/>
        <v>8708.2636672239969</v>
      </c>
      <c r="G109" s="59">
        <f t="shared" si="29"/>
        <v>6531.1977504179958</v>
      </c>
      <c r="H109" s="59">
        <f t="shared" si="29"/>
        <v>5514.7058823529442</v>
      </c>
      <c r="I109" s="59">
        <f t="shared" si="29"/>
        <v>5514.7058823529442</v>
      </c>
      <c r="J109" s="59">
        <f t="shared" si="29"/>
        <v>5514.7058823529442</v>
      </c>
      <c r="K109" s="59">
        <f t="shared" si="29"/>
        <v>5514.7058823529442</v>
      </c>
      <c r="L109" s="59">
        <f t="shared" si="29"/>
        <v>5514.7058823529442</v>
      </c>
      <c r="M109" s="59">
        <f t="shared" si="29"/>
        <v>5514.7058823529442</v>
      </c>
      <c r="N109" s="59">
        <f t="shared" si="29"/>
        <v>5514.7058823529442</v>
      </c>
      <c r="O109" s="59">
        <f t="shared" si="29"/>
        <v>5514.7058823529442</v>
      </c>
      <c r="P109" s="59">
        <f t="shared" si="29"/>
        <v>5514.7058823529442</v>
      </c>
      <c r="Q109" s="59">
        <f t="shared" si="29"/>
        <v>5514.7058823529442</v>
      </c>
      <c r="R109" s="59">
        <f t="shared" si="29"/>
        <v>5514.7058823529442</v>
      </c>
      <c r="S109" s="59">
        <f t="shared" si="29"/>
        <v>5514.7058823529442</v>
      </c>
      <c r="T109" s="59">
        <f t="shared" si="29"/>
        <v>5514.7058823529442</v>
      </c>
      <c r="U109" s="59">
        <f t="shared" si="29"/>
        <v>5514.7058823529442</v>
      </c>
      <c r="V109" s="59">
        <f t="shared" si="29"/>
        <v>5514.7058823529442</v>
      </c>
      <c r="W109" s="59">
        <f t="shared" si="29"/>
        <v>5514.7058823529442</v>
      </c>
      <c r="X109" s="59">
        <f t="shared" si="29"/>
        <v>5514.7058823529442</v>
      </c>
    </row>
    <row r="110" spans="2:24" s="78" customFormat="1" ht="16.5" x14ac:dyDescent="0.3">
      <c r="B110" s="18" t="s">
        <v>7</v>
      </c>
      <c r="C110" s="59">
        <f>IFERROR(+C150,"")</f>
        <v>5984.9521203830373</v>
      </c>
      <c r="D110" s="59">
        <f t="shared" ref="D110:X110" si="30">IFERROR(+D150,"")</f>
        <v>52249.582003343967</v>
      </c>
      <c r="E110" s="59">
        <f t="shared" si="30"/>
        <v>26124.791001671983</v>
      </c>
      <c r="F110" s="59">
        <f t="shared" si="30"/>
        <v>17416.527334447994</v>
      </c>
      <c r="G110" s="59">
        <f t="shared" si="30"/>
        <v>13062.395500835992</v>
      </c>
      <c r="H110" s="59">
        <f t="shared" si="30"/>
        <v>10449.916400668795</v>
      </c>
      <c r="I110" s="59">
        <f t="shared" si="30"/>
        <v>8708.2636672239969</v>
      </c>
      <c r="J110" s="59">
        <f t="shared" si="30"/>
        <v>7464.2260004777099</v>
      </c>
      <c r="K110" s="59">
        <f t="shared" si="30"/>
        <v>6531.1977504179958</v>
      </c>
      <c r="L110" s="59">
        <f t="shared" si="30"/>
        <v>5984.9521203830373</v>
      </c>
      <c r="M110" s="59">
        <f t="shared" si="30"/>
        <v>5984.9521203830373</v>
      </c>
      <c r="N110" s="59">
        <f t="shared" si="30"/>
        <v>5984.9521203830373</v>
      </c>
      <c r="O110" s="59">
        <f t="shared" si="30"/>
        <v>5984.9521203830373</v>
      </c>
      <c r="P110" s="59">
        <f t="shared" si="30"/>
        <v>5984.9521203830373</v>
      </c>
      <c r="Q110" s="59">
        <f t="shared" si="30"/>
        <v>5984.9521203830373</v>
      </c>
      <c r="R110" s="59">
        <f t="shared" si="30"/>
        <v>5984.9521203830373</v>
      </c>
      <c r="S110" s="59">
        <f t="shared" si="30"/>
        <v>5984.9521203830373</v>
      </c>
      <c r="T110" s="59">
        <f t="shared" si="30"/>
        <v>5984.9521203830373</v>
      </c>
      <c r="U110" s="59">
        <f t="shared" si="30"/>
        <v>5984.9521203830373</v>
      </c>
      <c r="V110" s="59">
        <f t="shared" si="30"/>
        <v>5984.9521203830373</v>
      </c>
      <c r="W110" s="59">
        <f t="shared" si="30"/>
        <v>5984.9521203830373</v>
      </c>
      <c r="X110" s="59">
        <f t="shared" si="30"/>
        <v>5984.9521203830373</v>
      </c>
    </row>
    <row r="111" spans="2:24" s="78" customFormat="1" ht="16.5" x14ac:dyDescent="0.3">
      <c r="B111" s="18" t="s">
        <v>8</v>
      </c>
      <c r="C111" s="59">
        <f>IFERROR(+C159,"")</f>
        <v>4749.9620003039963</v>
      </c>
      <c r="D111" s="59">
        <f t="shared" ref="D111:X111" si="31">IFERROR(+D159,"")</f>
        <v>83599.331205350347</v>
      </c>
      <c r="E111" s="59">
        <f t="shared" si="31"/>
        <v>41799.665602675173</v>
      </c>
      <c r="F111" s="59">
        <f t="shared" si="31"/>
        <v>27866.443735116787</v>
      </c>
      <c r="G111" s="59">
        <f t="shared" si="31"/>
        <v>20899.832801337587</v>
      </c>
      <c r="H111" s="59">
        <f t="shared" si="31"/>
        <v>16719.866241070071</v>
      </c>
      <c r="I111" s="59">
        <f t="shared" si="31"/>
        <v>13933.221867558394</v>
      </c>
      <c r="J111" s="59">
        <f t="shared" si="31"/>
        <v>11942.761600764337</v>
      </c>
      <c r="K111" s="59">
        <f t="shared" si="31"/>
        <v>10449.916400668793</v>
      </c>
      <c r="L111" s="59">
        <f t="shared" si="31"/>
        <v>9288.814578372263</v>
      </c>
      <c r="M111" s="59">
        <f t="shared" si="31"/>
        <v>8359.9331205350354</v>
      </c>
      <c r="N111" s="59">
        <f t="shared" si="31"/>
        <v>7599.9392004863957</v>
      </c>
      <c r="O111" s="59">
        <f t="shared" si="31"/>
        <v>6966.6109337791968</v>
      </c>
      <c r="P111" s="59">
        <f t="shared" si="31"/>
        <v>6430.7177850269509</v>
      </c>
      <c r="Q111" s="59">
        <f t="shared" si="31"/>
        <v>5971.3808003821687</v>
      </c>
      <c r="R111" s="59">
        <f t="shared" si="31"/>
        <v>5573.2887470233582</v>
      </c>
      <c r="S111" s="59">
        <f t="shared" si="31"/>
        <v>5224.9582003343967</v>
      </c>
      <c r="T111" s="59">
        <f t="shared" si="31"/>
        <v>4917.607717961786</v>
      </c>
      <c r="U111" s="59">
        <f t="shared" si="31"/>
        <v>4749.9620003039963</v>
      </c>
      <c r="V111" s="59">
        <f t="shared" si="31"/>
        <v>4749.9620003039963</v>
      </c>
      <c r="W111" s="59">
        <f t="shared" si="31"/>
        <v>4749.9620003039963</v>
      </c>
      <c r="X111" s="59">
        <f t="shared" si="31"/>
        <v>4749.9620003039963</v>
      </c>
    </row>
    <row r="112" spans="2:24" s="78" customFormat="1" ht="16.5" x14ac:dyDescent="0.3">
      <c r="B112" s="18" t="s">
        <v>9</v>
      </c>
      <c r="C112" s="59">
        <f>IFERROR(+C168,"")</f>
        <v>4749.9620003039981</v>
      </c>
      <c r="D112" s="59">
        <f t="shared" ref="D112:X112" si="32">IFERROR(+D168,"")</f>
        <v>130623.95500835992</v>
      </c>
      <c r="E112" s="59">
        <f t="shared" si="32"/>
        <v>65311.977504179958</v>
      </c>
      <c r="F112" s="59">
        <f t="shared" si="32"/>
        <v>43541.318336119977</v>
      </c>
      <c r="G112" s="59">
        <f t="shared" si="32"/>
        <v>32655.988752089979</v>
      </c>
      <c r="H112" s="59">
        <f t="shared" si="32"/>
        <v>26124.791001671987</v>
      </c>
      <c r="I112" s="59">
        <f t="shared" si="32"/>
        <v>21770.659168059989</v>
      </c>
      <c r="J112" s="59">
        <f t="shared" si="32"/>
        <v>18660.565001194274</v>
      </c>
      <c r="K112" s="59">
        <f t="shared" si="32"/>
        <v>16327.99437604499</v>
      </c>
      <c r="L112" s="59">
        <f t="shared" si="32"/>
        <v>14513.772778706661</v>
      </c>
      <c r="M112" s="59">
        <f t="shared" si="32"/>
        <v>13062.395500835994</v>
      </c>
      <c r="N112" s="59">
        <f t="shared" si="32"/>
        <v>11874.905000759993</v>
      </c>
      <c r="O112" s="59">
        <f t="shared" si="32"/>
        <v>10885.329584029994</v>
      </c>
      <c r="P112" s="59">
        <f t="shared" si="32"/>
        <v>10047.99653910461</v>
      </c>
      <c r="Q112" s="59">
        <f t="shared" si="32"/>
        <v>9330.2825005971372</v>
      </c>
      <c r="R112" s="59">
        <f t="shared" si="32"/>
        <v>8708.2636672239969</v>
      </c>
      <c r="S112" s="59">
        <f t="shared" si="32"/>
        <v>8163.9971880224948</v>
      </c>
      <c r="T112" s="59">
        <f t="shared" si="32"/>
        <v>7683.7620593152906</v>
      </c>
      <c r="U112" s="59">
        <f t="shared" si="32"/>
        <v>7256.8863893533307</v>
      </c>
      <c r="V112" s="59">
        <f t="shared" si="32"/>
        <v>6874.945000439996</v>
      </c>
      <c r="W112" s="59">
        <f t="shared" si="32"/>
        <v>6531.1977504179968</v>
      </c>
      <c r="X112" s="59">
        <f t="shared" si="32"/>
        <v>6220.1883337314248</v>
      </c>
    </row>
    <row r="113" spans="2:24" s="78" customFormat="1" ht="17.25" thickBot="1" x14ac:dyDescent="0.35">
      <c r="B113" s="82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</row>
    <row r="114" spans="2:24" s="78" customFormat="1" ht="17.25" thickTop="1" x14ac:dyDescent="0.3">
      <c r="B114" s="12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2:24" s="58" customFormat="1" x14ac:dyDescent="0.2">
      <c r="B115" s="86" t="s">
        <v>106</v>
      </c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2:24" s="58" customFormat="1" ht="16.5" x14ac:dyDescent="0.3">
      <c r="B116" s="18" t="s">
        <v>32</v>
      </c>
      <c r="C116" s="59">
        <v>1</v>
      </c>
      <c r="D116" s="59">
        <f>+D137</f>
        <v>906.66666666666617</v>
      </c>
      <c r="E116" s="59">
        <f>+E137</f>
        <v>906.66666666666617</v>
      </c>
      <c r="F116" s="59">
        <f>+F137</f>
        <v>906.66666666666617</v>
      </c>
      <c r="G116" s="59">
        <f>+G137</f>
        <v>906.66666666666617</v>
      </c>
      <c r="H116" s="59">
        <f>+H137</f>
        <v>906.66666666666617</v>
      </c>
      <c r="I116" s="59">
        <f>+I137</f>
        <v>906.66666666666617</v>
      </c>
      <c r="J116" s="59">
        <f>+J137</f>
        <v>906.66666666666617</v>
      </c>
      <c r="K116" s="59">
        <f>+K137</f>
        <v>906.66666666666617</v>
      </c>
      <c r="L116" s="59">
        <f>+L137</f>
        <v>906.66666666666617</v>
      </c>
      <c r="M116" s="59">
        <f>+M137</f>
        <v>906.66666666666617</v>
      </c>
      <c r="N116" s="59">
        <f>+N137</f>
        <v>906.66666666666617</v>
      </c>
      <c r="O116" s="59">
        <f>+O137</f>
        <v>906.66666666666617</v>
      </c>
      <c r="P116" s="59">
        <f>+P137</f>
        <v>906.66666666666617</v>
      </c>
      <c r="Q116" s="59">
        <f>+Q137</f>
        <v>906.66666666666617</v>
      </c>
      <c r="R116" s="59">
        <f>+R137</f>
        <v>906.66666666666617</v>
      </c>
      <c r="S116" s="59">
        <f>+S137</f>
        <v>906.66666666666617</v>
      </c>
      <c r="T116" s="59">
        <f>+T137</f>
        <v>906.66666666666617</v>
      </c>
      <c r="U116" s="59">
        <f>+U137</f>
        <v>906.66666666666617</v>
      </c>
      <c r="V116" s="59">
        <f>+V137</f>
        <v>906.66666666666617</v>
      </c>
      <c r="W116" s="59">
        <f>+W137</f>
        <v>906.66666666666617</v>
      </c>
      <c r="X116" s="59">
        <f>+X137</f>
        <v>906.66666666666617</v>
      </c>
    </row>
    <row r="117" spans="2:24" s="78" customFormat="1" ht="16.5" x14ac:dyDescent="0.3">
      <c r="B117" s="18" t="s">
        <v>5</v>
      </c>
      <c r="C117" s="59">
        <f>+MIN(C128,C130)</f>
        <v>0</v>
      </c>
      <c r="D117" s="59">
        <f t="shared" ref="D117:X117" si="33">+MIN(D128,D130)</f>
        <v>191.38909090909092</v>
      </c>
      <c r="E117" s="59">
        <f t="shared" si="33"/>
        <v>240</v>
      </c>
      <c r="F117" s="59">
        <f t="shared" si="33"/>
        <v>240</v>
      </c>
      <c r="G117" s="59">
        <f t="shared" si="33"/>
        <v>240</v>
      </c>
      <c r="H117" s="59">
        <f t="shared" si="33"/>
        <v>240</v>
      </c>
      <c r="I117" s="59">
        <f t="shared" si="33"/>
        <v>240</v>
      </c>
      <c r="J117" s="59">
        <f t="shared" si="33"/>
        <v>240</v>
      </c>
      <c r="K117" s="59">
        <f t="shared" si="33"/>
        <v>240</v>
      </c>
      <c r="L117" s="59">
        <f t="shared" si="33"/>
        <v>240</v>
      </c>
      <c r="M117" s="59">
        <f t="shared" si="33"/>
        <v>240</v>
      </c>
      <c r="N117" s="59">
        <f t="shared" si="33"/>
        <v>240</v>
      </c>
      <c r="O117" s="59">
        <f t="shared" si="33"/>
        <v>240</v>
      </c>
      <c r="P117" s="59">
        <f t="shared" si="33"/>
        <v>240</v>
      </c>
      <c r="Q117" s="59">
        <f t="shared" si="33"/>
        <v>240</v>
      </c>
      <c r="R117" s="59">
        <f t="shared" si="33"/>
        <v>240</v>
      </c>
      <c r="S117" s="59">
        <f t="shared" si="33"/>
        <v>240</v>
      </c>
      <c r="T117" s="59">
        <f t="shared" si="33"/>
        <v>240</v>
      </c>
      <c r="U117" s="59">
        <f t="shared" si="33"/>
        <v>240</v>
      </c>
      <c r="V117" s="59">
        <f t="shared" si="33"/>
        <v>240</v>
      </c>
      <c r="W117" s="59">
        <f t="shared" si="33"/>
        <v>240</v>
      </c>
      <c r="X117" s="59">
        <f t="shared" si="33"/>
        <v>240</v>
      </c>
    </row>
    <row r="118" spans="2:24" s="78" customFormat="1" ht="16.5" x14ac:dyDescent="0.3">
      <c r="B118" s="18" t="s">
        <v>6</v>
      </c>
      <c r="C118" s="59">
        <f>MIN(C137,C139)</f>
        <v>0</v>
      </c>
      <c r="D118" s="59">
        <f t="shared" ref="D118:X118" si="34">MIN(D137,D139)</f>
        <v>191.38909090909092</v>
      </c>
      <c r="E118" s="59">
        <f t="shared" si="34"/>
        <v>382.77818181818185</v>
      </c>
      <c r="F118" s="59">
        <f t="shared" si="34"/>
        <v>574.16727272727269</v>
      </c>
      <c r="G118" s="59">
        <f t="shared" si="34"/>
        <v>765.5563636363637</v>
      </c>
      <c r="H118" s="59">
        <f t="shared" si="34"/>
        <v>906.66666666666617</v>
      </c>
      <c r="I118" s="59">
        <f t="shared" si="34"/>
        <v>906.66666666666617</v>
      </c>
      <c r="J118" s="59">
        <f t="shared" si="34"/>
        <v>906.66666666666617</v>
      </c>
      <c r="K118" s="59">
        <f t="shared" si="34"/>
        <v>906.66666666666617</v>
      </c>
      <c r="L118" s="59">
        <f t="shared" si="34"/>
        <v>906.66666666666617</v>
      </c>
      <c r="M118" s="59">
        <f t="shared" si="34"/>
        <v>906.66666666666617</v>
      </c>
      <c r="N118" s="59">
        <f t="shared" si="34"/>
        <v>906.66666666666617</v>
      </c>
      <c r="O118" s="59">
        <f t="shared" si="34"/>
        <v>906.66666666666617</v>
      </c>
      <c r="P118" s="59">
        <f t="shared" si="34"/>
        <v>906.66666666666617</v>
      </c>
      <c r="Q118" s="59">
        <f t="shared" si="34"/>
        <v>906.66666666666617</v>
      </c>
      <c r="R118" s="59">
        <f t="shared" si="34"/>
        <v>906.66666666666617</v>
      </c>
      <c r="S118" s="59">
        <f t="shared" si="34"/>
        <v>906.66666666666617</v>
      </c>
      <c r="T118" s="59">
        <f t="shared" si="34"/>
        <v>906.66666666666617</v>
      </c>
      <c r="U118" s="59">
        <f t="shared" si="34"/>
        <v>906.66666666666617</v>
      </c>
      <c r="V118" s="59">
        <f t="shared" si="34"/>
        <v>906.66666666666617</v>
      </c>
      <c r="W118" s="59">
        <f t="shared" si="34"/>
        <v>906.66666666666617</v>
      </c>
      <c r="X118" s="59">
        <f t="shared" si="34"/>
        <v>906.66666666666617</v>
      </c>
    </row>
    <row r="119" spans="2:24" s="78" customFormat="1" ht="16.5" x14ac:dyDescent="0.3">
      <c r="B119" s="18" t="s">
        <v>7</v>
      </c>
      <c r="C119" s="59">
        <f>MIN(C146,C148)</f>
        <v>0</v>
      </c>
      <c r="D119" s="59">
        <f t="shared" ref="D119:X119" si="35">MIN(D146,D148)</f>
        <v>191.38909090909092</v>
      </c>
      <c r="E119" s="59">
        <f t="shared" si="35"/>
        <v>382.77818181818185</v>
      </c>
      <c r="F119" s="59">
        <f t="shared" si="35"/>
        <v>574.16727272727269</v>
      </c>
      <c r="G119" s="59">
        <f t="shared" si="35"/>
        <v>765.5563636363637</v>
      </c>
      <c r="H119" s="59">
        <f t="shared" si="35"/>
        <v>956.94545454545448</v>
      </c>
      <c r="I119" s="59">
        <f t="shared" si="35"/>
        <v>1148.3345454545454</v>
      </c>
      <c r="J119" s="59">
        <f t="shared" si="35"/>
        <v>1339.7236363636364</v>
      </c>
      <c r="K119" s="59">
        <f t="shared" si="35"/>
        <v>1531.1127272727274</v>
      </c>
      <c r="L119" s="59">
        <f t="shared" si="35"/>
        <v>1670.8571428571427</v>
      </c>
      <c r="M119" s="59">
        <f t="shared" si="35"/>
        <v>1670.8571428571427</v>
      </c>
      <c r="N119" s="59">
        <f t="shared" si="35"/>
        <v>1670.8571428571427</v>
      </c>
      <c r="O119" s="59">
        <f t="shared" si="35"/>
        <v>1670.8571428571427</v>
      </c>
      <c r="P119" s="59">
        <f t="shared" si="35"/>
        <v>1670.8571428571427</v>
      </c>
      <c r="Q119" s="59">
        <f t="shared" si="35"/>
        <v>1670.8571428571427</v>
      </c>
      <c r="R119" s="59">
        <f t="shared" si="35"/>
        <v>1670.8571428571427</v>
      </c>
      <c r="S119" s="59">
        <f t="shared" si="35"/>
        <v>1670.8571428571427</v>
      </c>
      <c r="T119" s="59">
        <f t="shared" si="35"/>
        <v>1670.8571428571427</v>
      </c>
      <c r="U119" s="59">
        <f t="shared" si="35"/>
        <v>1670.8571428571427</v>
      </c>
      <c r="V119" s="59">
        <f t="shared" si="35"/>
        <v>1670.8571428571427</v>
      </c>
      <c r="W119" s="59">
        <f t="shared" si="35"/>
        <v>1670.8571428571427</v>
      </c>
      <c r="X119" s="59">
        <f t="shared" si="35"/>
        <v>1670.8571428571427</v>
      </c>
    </row>
    <row r="120" spans="2:24" s="78" customFormat="1" ht="16.5" x14ac:dyDescent="0.3">
      <c r="B120" s="18" t="s">
        <v>8</v>
      </c>
      <c r="C120" s="59">
        <f>MIN(C155,C157)</f>
        <v>0</v>
      </c>
      <c r="D120" s="59">
        <f t="shared" ref="D120:X120" si="36">MIN(D155,D157)</f>
        <v>191.38909090909092</v>
      </c>
      <c r="E120" s="59">
        <f t="shared" si="36"/>
        <v>382.77818181818185</v>
      </c>
      <c r="F120" s="59">
        <f t="shared" si="36"/>
        <v>574.16727272727269</v>
      </c>
      <c r="G120" s="59">
        <f t="shared" si="36"/>
        <v>765.5563636363637</v>
      </c>
      <c r="H120" s="59">
        <f t="shared" si="36"/>
        <v>956.94545454545448</v>
      </c>
      <c r="I120" s="59">
        <f t="shared" si="36"/>
        <v>1148.3345454545454</v>
      </c>
      <c r="J120" s="59">
        <f t="shared" si="36"/>
        <v>1339.7236363636364</v>
      </c>
      <c r="K120" s="59">
        <f t="shared" si="36"/>
        <v>1531.1127272727274</v>
      </c>
      <c r="L120" s="59">
        <f t="shared" si="36"/>
        <v>1722.501818181818</v>
      </c>
      <c r="M120" s="59">
        <f t="shared" si="36"/>
        <v>1913.890909090909</v>
      </c>
      <c r="N120" s="59">
        <f t="shared" si="36"/>
        <v>2105.2800000000002</v>
      </c>
      <c r="O120" s="59">
        <f t="shared" si="36"/>
        <v>2296.6690909090908</v>
      </c>
      <c r="P120" s="59">
        <f t="shared" si="36"/>
        <v>2488.0581818181818</v>
      </c>
      <c r="Q120" s="59">
        <f t="shared" si="36"/>
        <v>2679.4472727272728</v>
      </c>
      <c r="R120" s="59">
        <f t="shared" si="36"/>
        <v>2870.8363636363633</v>
      </c>
      <c r="S120" s="59">
        <f t="shared" si="36"/>
        <v>3062.2254545454548</v>
      </c>
      <c r="T120" s="59">
        <f t="shared" si="36"/>
        <v>3253.6145454545454</v>
      </c>
      <c r="U120" s="59">
        <f t="shared" si="36"/>
        <v>3368.4480000000008</v>
      </c>
      <c r="V120" s="59">
        <f t="shared" si="36"/>
        <v>3368.4480000000008</v>
      </c>
      <c r="W120" s="59">
        <f t="shared" si="36"/>
        <v>3368.4480000000008</v>
      </c>
      <c r="X120" s="59">
        <f t="shared" si="36"/>
        <v>3368.4480000000008</v>
      </c>
    </row>
    <row r="121" spans="2:24" s="78" customFormat="1" ht="16.5" x14ac:dyDescent="0.3">
      <c r="B121" s="18" t="s">
        <v>9</v>
      </c>
      <c r="C121" s="59">
        <f>MIN(C164,C166)</f>
        <v>0</v>
      </c>
      <c r="D121" s="59">
        <f t="shared" ref="D121:X121" si="37">MIN(D164,D166)</f>
        <v>191.38909090909092</v>
      </c>
      <c r="E121" s="59">
        <f t="shared" si="37"/>
        <v>382.77818181818185</v>
      </c>
      <c r="F121" s="59">
        <f t="shared" si="37"/>
        <v>574.16727272727269</v>
      </c>
      <c r="G121" s="59">
        <f t="shared" si="37"/>
        <v>765.5563636363637</v>
      </c>
      <c r="H121" s="59">
        <f t="shared" si="37"/>
        <v>956.94545454545448</v>
      </c>
      <c r="I121" s="59">
        <f t="shared" si="37"/>
        <v>1148.3345454545454</v>
      </c>
      <c r="J121" s="59">
        <f t="shared" si="37"/>
        <v>1339.7236363636364</v>
      </c>
      <c r="K121" s="59">
        <f t="shared" si="37"/>
        <v>1531.1127272727274</v>
      </c>
      <c r="L121" s="59">
        <f t="shared" si="37"/>
        <v>1722.501818181818</v>
      </c>
      <c r="M121" s="59">
        <f t="shared" si="37"/>
        <v>1913.890909090909</v>
      </c>
      <c r="N121" s="59">
        <f t="shared" si="37"/>
        <v>2105.2800000000002</v>
      </c>
      <c r="O121" s="59">
        <f t="shared" si="37"/>
        <v>2296.6690909090908</v>
      </c>
      <c r="P121" s="59">
        <f t="shared" si="37"/>
        <v>2488.0581818181818</v>
      </c>
      <c r="Q121" s="59">
        <f t="shared" si="37"/>
        <v>2679.4472727272728</v>
      </c>
      <c r="R121" s="59">
        <f t="shared" si="37"/>
        <v>2870.8363636363633</v>
      </c>
      <c r="S121" s="59">
        <f t="shared" si="37"/>
        <v>3062.2254545454548</v>
      </c>
      <c r="T121" s="59">
        <f t="shared" si="37"/>
        <v>3253.6145454545454</v>
      </c>
      <c r="U121" s="59">
        <f t="shared" si="37"/>
        <v>3445.0036363636359</v>
      </c>
      <c r="V121" s="59">
        <f t="shared" si="37"/>
        <v>3636.3927272727274</v>
      </c>
      <c r="W121" s="59">
        <f t="shared" si="37"/>
        <v>3827.7818181818179</v>
      </c>
      <c r="X121" s="59">
        <f t="shared" si="37"/>
        <v>4019.1709090909094</v>
      </c>
    </row>
    <row r="122" spans="2:24" s="78" customFormat="1" x14ac:dyDescent="0.2">
      <c r="B122" s="77"/>
    </row>
    <row r="123" spans="2:24" x14ac:dyDescent="0.2">
      <c r="B123" s="38" t="s">
        <v>128</v>
      </c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s="58" customFormat="1" x14ac:dyDescent="0.2">
      <c r="B124" s="76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</row>
    <row r="125" spans="2:24" s="78" customFormat="1" outlineLevel="1" x14ac:dyDescent="0.2">
      <c r="B125" s="86" t="s">
        <v>94</v>
      </c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2:24" s="78" customFormat="1" outlineLevel="1" x14ac:dyDescent="0.2">
      <c r="B126" s="77"/>
    </row>
    <row r="127" spans="2:24" s="78" customFormat="1" outlineLevel="1" x14ac:dyDescent="0.2">
      <c r="B127" s="77" t="s">
        <v>102</v>
      </c>
      <c r="C127" s="81">
        <f>+Cases!$L$22</f>
        <v>1.5</v>
      </c>
      <c r="D127" s="81">
        <f>+Cases!$L$22</f>
        <v>1.5</v>
      </c>
      <c r="E127" s="81">
        <f>+Cases!$L$22</f>
        <v>1.5</v>
      </c>
      <c r="F127" s="81">
        <f>+Cases!$L$22</f>
        <v>1.5</v>
      </c>
      <c r="G127" s="81">
        <f>+Cases!$L$22</f>
        <v>1.5</v>
      </c>
      <c r="H127" s="81">
        <f>+Cases!$L$22</f>
        <v>1.5</v>
      </c>
      <c r="I127" s="81">
        <f>+Cases!$L$22</f>
        <v>1.5</v>
      </c>
      <c r="J127" s="81">
        <f>+Cases!$L$22</f>
        <v>1.5</v>
      </c>
      <c r="K127" s="81">
        <f>+Cases!$L$22</f>
        <v>1.5</v>
      </c>
      <c r="L127" s="81">
        <f>+Cases!$L$22</f>
        <v>1.5</v>
      </c>
      <c r="M127" s="81">
        <f>+Cases!$L$22</f>
        <v>1.5</v>
      </c>
      <c r="N127" s="81">
        <f>+Cases!$L$22</f>
        <v>1.5</v>
      </c>
      <c r="O127" s="81">
        <f>+Cases!$L$22</f>
        <v>1.5</v>
      </c>
      <c r="P127" s="81">
        <f>+Cases!$L$22</f>
        <v>1.5</v>
      </c>
      <c r="Q127" s="81">
        <f>+Cases!$L$22</f>
        <v>1.5</v>
      </c>
      <c r="R127" s="81">
        <f>+Cases!$L$22</f>
        <v>1.5</v>
      </c>
      <c r="S127" s="81">
        <f>+Cases!$L$22</f>
        <v>1.5</v>
      </c>
      <c r="T127" s="81">
        <f>+Cases!$L$22</f>
        <v>1.5</v>
      </c>
      <c r="U127" s="81">
        <f>+Cases!$L$22</f>
        <v>1.5</v>
      </c>
      <c r="V127" s="81">
        <f>+Cases!$L$22</f>
        <v>1.5</v>
      </c>
      <c r="W127" s="81">
        <f>+Cases!$L$22</f>
        <v>1.5</v>
      </c>
      <c r="X127" s="81">
        <f>+Cases!$L$22</f>
        <v>1.5</v>
      </c>
    </row>
    <row r="128" spans="2:24" s="78" customFormat="1" outlineLevel="1" x14ac:dyDescent="0.2">
      <c r="B128" s="77" t="s">
        <v>103</v>
      </c>
      <c r="C128" s="79">
        <f>+'Dashboard &amp; Assump.'!$N$46</f>
        <v>240</v>
      </c>
      <c r="D128" s="79">
        <f>+'Dashboard &amp; Assump.'!$N$46</f>
        <v>240</v>
      </c>
      <c r="E128" s="79">
        <f>+'Dashboard &amp; Assump.'!$N$46</f>
        <v>240</v>
      </c>
      <c r="F128" s="79">
        <f>+'Dashboard &amp; Assump.'!$N$46</f>
        <v>240</v>
      </c>
      <c r="G128" s="79">
        <f>+'Dashboard &amp; Assump.'!$N$46</f>
        <v>240</v>
      </c>
      <c r="H128" s="79">
        <f>+'Dashboard &amp; Assump.'!$N$46</f>
        <v>240</v>
      </c>
      <c r="I128" s="79">
        <f>+'Dashboard &amp; Assump.'!$N$46</f>
        <v>240</v>
      </c>
      <c r="J128" s="79">
        <f>+'Dashboard &amp; Assump.'!$N$46</f>
        <v>240</v>
      </c>
      <c r="K128" s="79">
        <f>+'Dashboard &amp; Assump.'!$N$46</f>
        <v>240</v>
      </c>
      <c r="L128" s="79">
        <f>+'Dashboard &amp; Assump.'!$N$46</f>
        <v>240</v>
      </c>
      <c r="M128" s="79">
        <f>+'Dashboard &amp; Assump.'!$N$46</f>
        <v>240</v>
      </c>
      <c r="N128" s="79">
        <f>+'Dashboard &amp; Assump.'!$N$46</f>
        <v>240</v>
      </c>
      <c r="O128" s="79">
        <f>+'Dashboard &amp; Assump.'!$N$46</f>
        <v>240</v>
      </c>
      <c r="P128" s="79">
        <f>+'Dashboard &amp; Assump.'!$N$46</f>
        <v>240</v>
      </c>
      <c r="Q128" s="79">
        <f>+'Dashboard &amp; Assump.'!$N$46</f>
        <v>240</v>
      </c>
      <c r="R128" s="79">
        <f>+'Dashboard &amp; Assump.'!$N$46</f>
        <v>240</v>
      </c>
      <c r="S128" s="79">
        <f>+'Dashboard &amp; Assump.'!$N$46</f>
        <v>240</v>
      </c>
      <c r="T128" s="79">
        <f>+'Dashboard &amp; Assump.'!$N$46</f>
        <v>240</v>
      </c>
      <c r="U128" s="79">
        <f>+'Dashboard &amp; Assump.'!$N$46</f>
        <v>240</v>
      </c>
      <c r="V128" s="79">
        <f>+'Dashboard &amp; Assump.'!$N$46</f>
        <v>240</v>
      </c>
      <c r="W128" s="79">
        <f>+'Dashboard &amp; Assump.'!$N$46</f>
        <v>240</v>
      </c>
      <c r="X128" s="79">
        <f>+'Dashboard &amp; Assump.'!$N$46</f>
        <v>240</v>
      </c>
    </row>
    <row r="129" spans="2:24" s="78" customFormat="1" outlineLevel="1" x14ac:dyDescent="0.2">
      <c r="B129" s="77" t="s">
        <v>95</v>
      </c>
      <c r="C129" s="79">
        <f>IFERROR(C127*1000000/C128,"")</f>
        <v>6250</v>
      </c>
      <c r="D129" s="79">
        <f t="shared" ref="D129:X129" si="38">IFERROR(D127*1000000/D128,"")</f>
        <v>6250</v>
      </c>
      <c r="E129" s="79">
        <f t="shared" si="38"/>
        <v>6250</v>
      </c>
      <c r="F129" s="79">
        <f t="shared" si="38"/>
        <v>6250</v>
      </c>
      <c r="G129" s="79">
        <f t="shared" si="38"/>
        <v>6250</v>
      </c>
      <c r="H129" s="79">
        <f t="shared" si="38"/>
        <v>6250</v>
      </c>
      <c r="I129" s="79">
        <f t="shared" si="38"/>
        <v>6250</v>
      </c>
      <c r="J129" s="79">
        <f t="shared" si="38"/>
        <v>6250</v>
      </c>
      <c r="K129" s="79">
        <f t="shared" si="38"/>
        <v>6250</v>
      </c>
      <c r="L129" s="79">
        <f t="shared" si="38"/>
        <v>6250</v>
      </c>
      <c r="M129" s="79">
        <f t="shared" si="38"/>
        <v>6250</v>
      </c>
      <c r="N129" s="79">
        <f t="shared" si="38"/>
        <v>6250</v>
      </c>
      <c r="O129" s="79">
        <f t="shared" si="38"/>
        <v>6250</v>
      </c>
      <c r="P129" s="79">
        <f t="shared" si="38"/>
        <v>6250</v>
      </c>
      <c r="Q129" s="79">
        <f t="shared" si="38"/>
        <v>6250</v>
      </c>
      <c r="R129" s="79">
        <f t="shared" si="38"/>
        <v>6250</v>
      </c>
      <c r="S129" s="79">
        <f t="shared" si="38"/>
        <v>6250</v>
      </c>
      <c r="T129" s="79">
        <f t="shared" si="38"/>
        <v>6250</v>
      </c>
      <c r="U129" s="79">
        <f t="shared" si="38"/>
        <v>6250</v>
      </c>
      <c r="V129" s="79">
        <f t="shared" si="38"/>
        <v>6250</v>
      </c>
      <c r="W129" s="79">
        <f t="shared" si="38"/>
        <v>6250</v>
      </c>
      <c r="X129" s="79">
        <f t="shared" si="38"/>
        <v>6250</v>
      </c>
    </row>
    <row r="130" spans="2:24" s="78" customFormat="1" outlineLevel="1" x14ac:dyDescent="0.2">
      <c r="B130" s="77" t="s">
        <v>96</v>
      </c>
      <c r="C130" s="79">
        <f>+C95</f>
        <v>0</v>
      </c>
      <c r="D130" s="79">
        <f>+D95</f>
        <v>191.38909090909092</v>
      </c>
      <c r="E130" s="79">
        <f>+E95</f>
        <v>382.77818181818185</v>
      </c>
      <c r="F130" s="79">
        <f>+F95</f>
        <v>574.16727272727269</v>
      </c>
      <c r="G130" s="79">
        <f>+G95</f>
        <v>765.5563636363637</v>
      </c>
      <c r="H130" s="79">
        <f>+H95</f>
        <v>956.94545454545448</v>
      </c>
      <c r="I130" s="79">
        <f>+I95</f>
        <v>1148.3345454545454</v>
      </c>
      <c r="J130" s="79">
        <f>+J95</f>
        <v>1339.7236363636364</v>
      </c>
      <c r="K130" s="79">
        <f>+K95</f>
        <v>1531.1127272727274</v>
      </c>
      <c r="L130" s="79">
        <f>+L95</f>
        <v>1722.501818181818</v>
      </c>
      <c r="M130" s="79">
        <f>+M95</f>
        <v>1913.890909090909</v>
      </c>
      <c r="N130" s="79">
        <f>+N95</f>
        <v>2105.2800000000002</v>
      </c>
      <c r="O130" s="79">
        <f>+O95</f>
        <v>2296.6690909090908</v>
      </c>
      <c r="P130" s="79">
        <f>+P95</f>
        <v>2488.0581818181818</v>
      </c>
      <c r="Q130" s="79">
        <f>+Q95</f>
        <v>2679.4472727272728</v>
      </c>
      <c r="R130" s="79">
        <f>+R95</f>
        <v>2870.8363636363633</v>
      </c>
      <c r="S130" s="79">
        <f>+S95</f>
        <v>3062.2254545454548</v>
      </c>
      <c r="T130" s="79">
        <f>+T95</f>
        <v>3253.6145454545454</v>
      </c>
      <c r="U130" s="79">
        <f>+U95</f>
        <v>3445.0036363636359</v>
      </c>
      <c r="V130" s="79">
        <f>+V95</f>
        <v>3636.3927272727274</v>
      </c>
      <c r="W130" s="79">
        <f>+W95</f>
        <v>3827.7818181818179</v>
      </c>
      <c r="X130" s="79">
        <f>+X95</f>
        <v>4019.1709090909094</v>
      </c>
    </row>
    <row r="131" spans="2:24" s="78" customFormat="1" outlineLevel="1" x14ac:dyDescent="0.2">
      <c r="B131" s="77" t="s">
        <v>97</v>
      </c>
      <c r="C131" s="79" t="str">
        <f>IFERROR(C127*1000000/C130,"")</f>
        <v/>
      </c>
      <c r="D131" s="79">
        <f t="shared" ref="D131" si="39">IFERROR(D127*1000000/D130,"")</f>
        <v>7837.437300501595</v>
      </c>
      <c r="E131" s="79">
        <f t="shared" ref="E131" si="40">IFERROR(E127*1000000/E130,"")</f>
        <v>3918.7186502507975</v>
      </c>
      <c r="F131" s="79">
        <f t="shared" ref="F131" si="41">IFERROR(F127*1000000/F130,"")</f>
        <v>2612.4791001671988</v>
      </c>
      <c r="G131" s="79">
        <f t="shared" ref="G131" si="42">IFERROR(G127*1000000/G130,"")</f>
        <v>1959.3593251253988</v>
      </c>
      <c r="H131" s="79">
        <f t="shared" ref="H131" si="43">IFERROR(H127*1000000/H130,"")</f>
        <v>1567.4874601003194</v>
      </c>
      <c r="I131" s="79">
        <f t="shared" ref="I131" si="44">IFERROR(I127*1000000/I130,"")</f>
        <v>1306.2395500835994</v>
      </c>
      <c r="J131" s="79">
        <f t="shared" ref="J131" si="45">IFERROR(J127*1000000/J130,"")</f>
        <v>1119.6339000716566</v>
      </c>
      <c r="K131" s="79">
        <f t="shared" ref="K131" si="46">IFERROR(K127*1000000/K130,"")</f>
        <v>979.67966256269938</v>
      </c>
      <c r="L131" s="79">
        <f t="shared" ref="L131" si="47">IFERROR(L127*1000000/L130,"")</f>
        <v>870.82636672239971</v>
      </c>
      <c r="M131" s="79">
        <f t="shared" ref="M131" si="48">IFERROR(M127*1000000/M130,"")</f>
        <v>783.74373005015968</v>
      </c>
      <c r="N131" s="79">
        <f t="shared" ref="N131" si="49">IFERROR(N127*1000000/N130,"")</f>
        <v>712.49430004559952</v>
      </c>
      <c r="O131" s="79">
        <f t="shared" ref="O131" si="50">IFERROR(O127*1000000/O130,"")</f>
        <v>653.1197750417997</v>
      </c>
      <c r="P131" s="79">
        <f t="shared" ref="P131" si="51">IFERROR(P127*1000000/P130,"")</f>
        <v>602.87979234627664</v>
      </c>
      <c r="Q131" s="79">
        <f t="shared" ref="Q131" si="52">IFERROR(Q127*1000000/Q130,"")</f>
        <v>559.81695003582831</v>
      </c>
      <c r="R131" s="79">
        <f t="shared" ref="R131" si="53">IFERROR(R127*1000000/R130,"")</f>
        <v>522.49582003343983</v>
      </c>
      <c r="S131" s="79">
        <f t="shared" ref="S131" si="54">IFERROR(S127*1000000/S130,"")</f>
        <v>489.83983128134969</v>
      </c>
      <c r="T131" s="79">
        <f t="shared" ref="T131" si="55">IFERROR(T127*1000000/T130,"")</f>
        <v>461.02572355891743</v>
      </c>
      <c r="U131" s="79">
        <f t="shared" ref="U131" si="56">IFERROR(U127*1000000/U130,"")</f>
        <v>435.41318336119986</v>
      </c>
      <c r="V131" s="79">
        <f t="shared" ref="V131" si="57">IFERROR(V127*1000000/V130,"")</f>
        <v>412.49670002639976</v>
      </c>
      <c r="W131" s="79">
        <f t="shared" ref="W131" si="58">IFERROR(W127*1000000/W130,"")</f>
        <v>391.87186502507984</v>
      </c>
      <c r="X131" s="79">
        <f t="shared" ref="X131" si="59">IFERROR(X127*1000000/X130,"")</f>
        <v>373.21130002388549</v>
      </c>
    </row>
    <row r="132" spans="2:24" s="78" customFormat="1" ht="13.5" outlineLevel="1" thickBot="1" x14ac:dyDescent="0.25">
      <c r="B132" s="88" t="s">
        <v>98</v>
      </c>
      <c r="C132" s="83">
        <f>MAX(C131,C129)</f>
        <v>6250</v>
      </c>
      <c r="D132" s="83">
        <f>MAX(D131,D129)</f>
        <v>7837.437300501595</v>
      </c>
      <c r="E132" s="83">
        <f>MAX(E131,E129)</f>
        <v>6250</v>
      </c>
      <c r="F132" s="83">
        <f>MAX(F131,F129)</f>
        <v>6250</v>
      </c>
      <c r="G132" s="83">
        <f>MAX(G131,G129)</f>
        <v>6250</v>
      </c>
      <c r="H132" s="83">
        <f>MAX(H131,H129)</f>
        <v>6250</v>
      </c>
      <c r="I132" s="83">
        <f>MAX(I131,I129)</f>
        <v>6250</v>
      </c>
      <c r="J132" s="83">
        <f>MAX(J131,J129)</f>
        <v>6250</v>
      </c>
      <c r="K132" s="83">
        <f>MAX(K131,K129)</f>
        <v>6250</v>
      </c>
      <c r="L132" s="83">
        <f>MAX(L131,L129)</f>
        <v>6250</v>
      </c>
      <c r="M132" s="83">
        <f>MAX(M131,M129)</f>
        <v>6250</v>
      </c>
      <c r="N132" s="83">
        <f>MAX(N131,N129)</f>
        <v>6250</v>
      </c>
      <c r="O132" s="83">
        <f>MAX(O131,O129)</f>
        <v>6250</v>
      </c>
      <c r="P132" s="83">
        <f>MAX(P131,P129)</f>
        <v>6250</v>
      </c>
      <c r="Q132" s="83">
        <f>MAX(Q131,Q129)</f>
        <v>6250</v>
      </c>
      <c r="R132" s="83">
        <f>MAX(R131,R129)</f>
        <v>6250</v>
      </c>
      <c r="S132" s="83">
        <f>MAX(S131,S129)</f>
        <v>6250</v>
      </c>
      <c r="T132" s="83">
        <f>MAX(T131,T129)</f>
        <v>6250</v>
      </c>
      <c r="U132" s="83">
        <f>MAX(U131,U129)</f>
        <v>6250</v>
      </c>
      <c r="V132" s="83">
        <f>MAX(V131,V129)</f>
        <v>6250</v>
      </c>
      <c r="W132" s="83">
        <f>MAX(W131,W129)</f>
        <v>6250</v>
      </c>
      <c r="X132" s="83">
        <f>MAX(X131,X129)</f>
        <v>6250</v>
      </c>
    </row>
    <row r="133" spans="2:24" s="78" customFormat="1" ht="13.5" outlineLevel="1" thickTop="1" x14ac:dyDescent="0.2"/>
    <row r="134" spans="2:24" s="78" customFormat="1" outlineLevel="1" x14ac:dyDescent="0.2">
      <c r="B134" s="86" t="s">
        <v>100</v>
      </c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2:24" s="78" customFormat="1" outlineLevel="1" x14ac:dyDescent="0.2">
      <c r="B135" s="77"/>
    </row>
    <row r="136" spans="2:24" s="78" customFormat="1" outlineLevel="1" x14ac:dyDescent="0.2">
      <c r="B136" s="77" t="s">
        <v>102</v>
      </c>
      <c r="C136" s="81">
        <f>+Cases!$M$22</f>
        <v>5</v>
      </c>
      <c r="D136" s="81">
        <f>+Cases!$M$22</f>
        <v>5</v>
      </c>
      <c r="E136" s="81">
        <f>+Cases!$M$22</f>
        <v>5</v>
      </c>
      <c r="F136" s="81">
        <f>+Cases!$M$22</f>
        <v>5</v>
      </c>
      <c r="G136" s="81">
        <f>+Cases!$M$22</f>
        <v>5</v>
      </c>
      <c r="H136" s="81">
        <f>+Cases!$M$22</f>
        <v>5</v>
      </c>
      <c r="I136" s="81">
        <f>+Cases!$M$22</f>
        <v>5</v>
      </c>
      <c r="J136" s="81">
        <f>+Cases!$M$22</f>
        <v>5</v>
      </c>
      <c r="K136" s="81">
        <f>+Cases!$M$22</f>
        <v>5</v>
      </c>
      <c r="L136" s="81">
        <f>+Cases!$M$22</f>
        <v>5</v>
      </c>
      <c r="M136" s="81">
        <f>+Cases!$M$22</f>
        <v>5</v>
      </c>
      <c r="N136" s="81">
        <f>+Cases!$M$22</f>
        <v>5</v>
      </c>
      <c r="O136" s="81">
        <f>+Cases!$M$22</f>
        <v>5</v>
      </c>
      <c r="P136" s="81">
        <f>+Cases!$M$22</f>
        <v>5</v>
      </c>
      <c r="Q136" s="81">
        <f>+Cases!$M$22</f>
        <v>5</v>
      </c>
      <c r="R136" s="81">
        <f>+Cases!$M$22</f>
        <v>5</v>
      </c>
      <c r="S136" s="81">
        <f>+Cases!$M$22</f>
        <v>5</v>
      </c>
      <c r="T136" s="81">
        <f>+Cases!$M$22</f>
        <v>5</v>
      </c>
      <c r="U136" s="81">
        <f>+Cases!$M$22</f>
        <v>5</v>
      </c>
      <c r="V136" s="81">
        <f>+Cases!$M$22</f>
        <v>5</v>
      </c>
      <c r="W136" s="81">
        <f>+Cases!$M$22</f>
        <v>5</v>
      </c>
      <c r="X136" s="81">
        <f>+Cases!$M$22</f>
        <v>5</v>
      </c>
    </row>
    <row r="137" spans="2:24" s="78" customFormat="1" outlineLevel="1" x14ac:dyDescent="0.2">
      <c r="B137" s="77" t="s">
        <v>103</v>
      </c>
      <c r="C137" s="79">
        <f>+'Dashboard &amp; Assump.'!$N$47</f>
        <v>906.66666666666617</v>
      </c>
      <c r="D137" s="79">
        <f>+'Dashboard &amp; Assump.'!$N$47</f>
        <v>906.66666666666617</v>
      </c>
      <c r="E137" s="79">
        <f>+'Dashboard &amp; Assump.'!$N$47</f>
        <v>906.66666666666617</v>
      </c>
      <c r="F137" s="79">
        <f>+'Dashboard &amp; Assump.'!$N$47</f>
        <v>906.66666666666617</v>
      </c>
      <c r="G137" s="79">
        <f>+'Dashboard &amp; Assump.'!$N$47</f>
        <v>906.66666666666617</v>
      </c>
      <c r="H137" s="79">
        <f>+'Dashboard &amp; Assump.'!$N$47</f>
        <v>906.66666666666617</v>
      </c>
      <c r="I137" s="79">
        <f>+'Dashboard &amp; Assump.'!$N$47</f>
        <v>906.66666666666617</v>
      </c>
      <c r="J137" s="79">
        <f>+'Dashboard &amp; Assump.'!$N$47</f>
        <v>906.66666666666617</v>
      </c>
      <c r="K137" s="79">
        <f>+'Dashboard &amp; Assump.'!$N$47</f>
        <v>906.66666666666617</v>
      </c>
      <c r="L137" s="79">
        <f>+'Dashboard &amp; Assump.'!$N$47</f>
        <v>906.66666666666617</v>
      </c>
      <c r="M137" s="79">
        <f>+'Dashboard &amp; Assump.'!$N$47</f>
        <v>906.66666666666617</v>
      </c>
      <c r="N137" s="79">
        <f>+'Dashboard &amp; Assump.'!$N$47</f>
        <v>906.66666666666617</v>
      </c>
      <c r="O137" s="79">
        <f>+'Dashboard &amp; Assump.'!$N$47</f>
        <v>906.66666666666617</v>
      </c>
      <c r="P137" s="79">
        <f>+'Dashboard &amp; Assump.'!$N$47</f>
        <v>906.66666666666617</v>
      </c>
      <c r="Q137" s="79">
        <f>+'Dashboard &amp; Assump.'!$N$47</f>
        <v>906.66666666666617</v>
      </c>
      <c r="R137" s="79">
        <f>+'Dashboard &amp; Assump.'!$N$47</f>
        <v>906.66666666666617</v>
      </c>
      <c r="S137" s="79">
        <f>+'Dashboard &amp; Assump.'!$N$47</f>
        <v>906.66666666666617</v>
      </c>
      <c r="T137" s="79">
        <f>+'Dashboard &amp; Assump.'!$N$47</f>
        <v>906.66666666666617</v>
      </c>
      <c r="U137" s="79">
        <f>+'Dashboard &amp; Assump.'!$N$47</f>
        <v>906.66666666666617</v>
      </c>
      <c r="V137" s="79">
        <f>+'Dashboard &amp; Assump.'!$N$47</f>
        <v>906.66666666666617</v>
      </c>
      <c r="W137" s="79">
        <f>+'Dashboard &amp; Assump.'!$N$47</f>
        <v>906.66666666666617</v>
      </c>
      <c r="X137" s="79">
        <f>+'Dashboard &amp; Assump.'!$N$47</f>
        <v>906.66666666666617</v>
      </c>
    </row>
    <row r="138" spans="2:24" s="78" customFormat="1" outlineLevel="1" x14ac:dyDescent="0.2">
      <c r="B138" s="77" t="s">
        <v>95</v>
      </c>
      <c r="C138" s="79">
        <f>IFERROR(C136*1000000/C137,"")</f>
        <v>5514.7058823529442</v>
      </c>
      <c r="D138" s="79">
        <f t="shared" ref="D138:X138" si="60">IFERROR(D136*1000000/D137,"")</f>
        <v>5514.7058823529442</v>
      </c>
      <c r="E138" s="79">
        <f t="shared" si="60"/>
        <v>5514.7058823529442</v>
      </c>
      <c r="F138" s="79">
        <f t="shared" si="60"/>
        <v>5514.7058823529442</v>
      </c>
      <c r="G138" s="79">
        <f t="shared" si="60"/>
        <v>5514.7058823529442</v>
      </c>
      <c r="H138" s="79">
        <f t="shared" si="60"/>
        <v>5514.7058823529442</v>
      </c>
      <c r="I138" s="79">
        <f t="shared" si="60"/>
        <v>5514.7058823529442</v>
      </c>
      <c r="J138" s="79">
        <f t="shared" si="60"/>
        <v>5514.7058823529442</v>
      </c>
      <c r="K138" s="79">
        <f t="shared" si="60"/>
        <v>5514.7058823529442</v>
      </c>
      <c r="L138" s="79">
        <f t="shared" si="60"/>
        <v>5514.7058823529442</v>
      </c>
      <c r="M138" s="79">
        <f t="shared" si="60"/>
        <v>5514.7058823529442</v>
      </c>
      <c r="N138" s="79">
        <f t="shared" si="60"/>
        <v>5514.7058823529442</v>
      </c>
      <c r="O138" s="79">
        <f t="shared" si="60"/>
        <v>5514.7058823529442</v>
      </c>
      <c r="P138" s="79">
        <f t="shared" si="60"/>
        <v>5514.7058823529442</v>
      </c>
      <c r="Q138" s="79">
        <f t="shared" si="60"/>
        <v>5514.7058823529442</v>
      </c>
      <c r="R138" s="79">
        <f t="shared" si="60"/>
        <v>5514.7058823529442</v>
      </c>
      <c r="S138" s="79">
        <f t="shared" si="60"/>
        <v>5514.7058823529442</v>
      </c>
      <c r="T138" s="79">
        <f t="shared" si="60"/>
        <v>5514.7058823529442</v>
      </c>
      <c r="U138" s="79">
        <f t="shared" si="60"/>
        <v>5514.7058823529442</v>
      </c>
      <c r="V138" s="79">
        <f t="shared" si="60"/>
        <v>5514.7058823529442</v>
      </c>
      <c r="W138" s="79">
        <f t="shared" si="60"/>
        <v>5514.7058823529442</v>
      </c>
      <c r="X138" s="79">
        <f t="shared" si="60"/>
        <v>5514.7058823529442</v>
      </c>
    </row>
    <row r="139" spans="2:24" s="78" customFormat="1" outlineLevel="1" x14ac:dyDescent="0.2">
      <c r="B139" s="77" t="s">
        <v>96</v>
      </c>
      <c r="C139" s="79">
        <f>+C95</f>
        <v>0</v>
      </c>
      <c r="D139" s="79">
        <f>+D95</f>
        <v>191.38909090909092</v>
      </c>
      <c r="E139" s="79">
        <f>+E95</f>
        <v>382.77818181818185</v>
      </c>
      <c r="F139" s="79">
        <f>+F95</f>
        <v>574.16727272727269</v>
      </c>
      <c r="G139" s="79">
        <f>+G95</f>
        <v>765.5563636363637</v>
      </c>
      <c r="H139" s="79">
        <f>+H95</f>
        <v>956.94545454545448</v>
      </c>
      <c r="I139" s="79">
        <f>+I95</f>
        <v>1148.3345454545454</v>
      </c>
      <c r="J139" s="79">
        <f>+J95</f>
        <v>1339.7236363636364</v>
      </c>
      <c r="K139" s="79">
        <f>+K95</f>
        <v>1531.1127272727274</v>
      </c>
      <c r="L139" s="79">
        <f>+L95</f>
        <v>1722.501818181818</v>
      </c>
      <c r="M139" s="79">
        <f>+M95</f>
        <v>1913.890909090909</v>
      </c>
      <c r="N139" s="79">
        <f>+N95</f>
        <v>2105.2800000000002</v>
      </c>
      <c r="O139" s="79">
        <f>+O95</f>
        <v>2296.6690909090908</v>
      </c>
      <c r="P139" s="79">
        <f>+P95</f>
        <v>2488.0581818181818</v>
      </c>
      <c r="Q139" s="79">
        <f>+Q95</f>
        <v>2679.4472727272728</v>
      </c>
      <c r="R139" s="79">
        <f>+R95</f>
        <v>2870.8363636363633</v>
      </c>
      <c r="S139" s="79">
        <f>+S95</f>
        <v>3062.2254545454548</v>
      </c>
      <c r="T139" s="79">
        <f>+T95</f>
        <v>3253.6145454545454</v>
      </c>
      <c r="U139" s="79">
        <f>+U95</f>
        <v>3445.0036363636359</v>
      </c>
      <c r="V139" s="79">
        <f>+V95</f>
        <v>3636.3927272727274</v>
      </c>
      <c r="W139" s="79">
        <f>+W95</f>
        <v>3827.7818181818179</v>
      </c>
      <c r="X139" s="79">
        <f>+X95</f>
        <v>4019.1709090909094</v>
      </c>
    </row>
    <row r="140" spans="2:24" s="78" customFormat="1" outlineLevel="1" x14ac:dyDescent="0.2">
      <c r="B140" s="77" t="s">
        <v>97</v>
      </c>
      <c r="C140" s="79" t="str">
        <f>IFERROR(C136*1000000/C139,"")</f>
        <v/>
      </c>
      <c r="D140" s="79">
        <f t="shared" ref="D140" si="61">IFERROR(D136*1000000/D139,"")</f>
        <v>26124.791001671983</v>
      </c>
      <c r="E140" s="79">
        <f t="shared" ref="E140" si="62">IFERROR(E136*1000000/E139,"")</f>
        <v>13062.395500835992</v>
      </c>
      <c r="F140" s="79">
        <f t="shared" ref="F140" si="63">IFERROR(F136*1000000/F139,"")</f>
        <v>8708.2636672239969</v>
      </c>
      <c r="G140" s="79">
        <f t="shared" ref="G140" si="64">IFERROR(G136*1000000/G139,"")</f>
        <v>6531.1977504179958</v>
      </c>
      <c r="H140" s="79">
        <f t="shared" ref="H140" si="65">IFERROR(H136*1000000/H139,"")</f>
        <v>5224.9582003343976</v>
      </c>
      <c r="I140" s="79">
        <f t="shared" ref="I140" si="66">IFERROR(I136*1000000/I139,"")</f>
        <v>4354.1318336119984</v>
      </c>
      <c r="J140" s="79">
        <f t="shared" ref="J140" si="67">IFERROR(J136*1000000/J139,"")</f>
        <v>3732.113000238855</v>
      </c>
      <c r="K140" s="79">
        <f t="shared" ref="K140" si="68">IFERROR(K136*1000000/K139,"")</f>
        <v>3265.5988752089979</v>
      </c>
      <c r="L140" s="79">
        <f t="shared" ref="L140" si="69">IFERROR(L136*1000000/L139,"")</f>
        <v>2902.7545557413323</v>
      </c>
      <c r="M140" s="79">
        <f t="shared" ref="M140" si="70">IFERROR(M136*1000000/M139,"")</f>
        <v>2612.4791001671988</v>
      </c>
      <c r="N140" s="79">
        <f t="shared" ref="N140" si="71">IFERROR(N136*1000000/N139,"")</f>
        <v>2374.9810001519986</v>
      </c>
      <c r="O140" s="79">
        <f t="shared" ref="O140" si="72">IFERROR(O136*1000000/O139,"")</f>
        <v>2177.0659168059992</v>
      </c>
      <c r="P140" s="79">
        <f t="shared" ref="P140" si="73">IFERROR(P136*1000000/P139,"")</f>
        <v>2009.5993078209221</v>
      </c>
      <c r="Q140" s="79">
        <f t="shared" ref="Q140" si="74">IFERROR(Q136*1000000/Q139,"")</f>
        <v>1866.0565001194275</v>
      </c>
      <c r="R140" s="79">
        <f t="shared" ref="R140" si="75">IFERROR(R136*1000000/R139,"")</f>
        <v>1741.6527334447992</v>
      </c>
      <c r="S140" s="79">
        <f t="shared" ref="S140" si="76">IFERROR(S136*1000000/S139,"")</f>
        <v>1632.799437604499</v>
      </c>
      <c r="T140" s="79">
        <f t="shared" ref="T140" si="77">IFERROR(T136*1000000/T139,"")</f>
        <v>1536.7524118630581</v>
      </c>
      <c r="U140" s="79">
        <f t="shared" ref="U140" si="78">IFERROR(U136*1000000/U139,"")</f>
        <v>1451.3772778706661</v>
      </c>
      <c r="V140" s="79">
        <f t="shared" ref="V140" si="79">IFERROR(V136*1000000/V139,"")</f>
        <v>1374.9890000879993</v>
      </c>
      <c r="W140" s="79">
        <f t="shared" ref="W140" si="80">IFERROR(W136*1000000/W139,"")</f>
        <v>1306.2395500835994</v>
      </c>
      <c r="X140" s="79">
        <f t="shared" ref="X140" si="81">IFERROR(X136*1000000/X139,"")</f>
        <v>1244.0376667462849</v>
      </c>
    </row>
    <row r="141" spans="2:24" s="78" customFormat="1" ht="13.5" outlineLevel="1" thickBot="1" x14ac:dyDescent="0.25">
      <c r="B141" s="88" t="s">
        <v>98</v>
      </c>
      <c r="C141" s="83">
        <f>MAX(C140,C138)</f>
        <v>5514.7058823529442</v>
      </c>
      <c r="D141" s="83">
        <f>MAX(D140,D138)</f>
        <v>26124.791001671983</v>
      </c>
      <c r="E141" s="83">
        <f>MAX(E140,E138)</f>
        <v>13062.395500835992</v>
      </c>
      <c r="F141" s="83">
        <f>MAX(F140,F138)</f>
        <v>8708.2636672239969</v>
      </c>
      <c r="G141" s="83">
        <f>MAX(G140,G138)</f>
        <v>6531.1977504179958</v>
      </c>
      <c r="H141" s="83">
        <f>MAX(H140,H138)</f>
        <v>5514.7058823529442</v>
      </c>
      <c r="I141" s="83">
        <f>MAX(I140,I138)</f>
        <v>5514.7058823529442</v>
      </c>
      <c r="J141" s="83">
        <f>MAX(J140,J138)</f>
        <v>5514.7058823529442</v>
      </c>
      <c r="K141" s="83">
        <f>MAX(K140,K138)</f>
        <v>5514.7058823529442</v>
      </c>
      <c r="L141" s="83">
        <f>MAX(L140,L138)</f>
        <v>5514.7058823529442</v>
      </c>
      <c r="M141" s="83">
        <f>MAX(M140,M138)</f>
        <v>5514.7058823529442</v>
      </c>
      <c r="N141" s="83">
        <f>MAX(N140,N138)</f>
        <v>5514.7058823529442</v>
      </c>
      <c r="O141" s="83">
        <f>MAX(O140,O138)</f>
        <v>5514.7058823529442</v>
      </c>
      <c r="P141" s="83">
        <f>MAX(P140,P138)</f>
        <v>5514.7058823529442</v>
      </c>
      <c r="Q141" s="83">
        <f>MAX(Q140,Q138)</f>
        <v>5514.7058823529442</v>
      </c>
      <c r="R141" s="83">
        <f>MAX(R140,R138)</f>
        <v>5514.7058823529442</v>
      </c>
      <c r="S141" s="83">
        <f>MAX(S140,S138)</f>
        <v>5514.7058823529442</v>
      </c>
      <c r="T141" s="83">
        <f>MAX(T140,T138)</f>
        <v>5514.7058823529442</v>
      </c>
      <c r="U141" s="83">
        <f>MAX(U140,U138)</f>
        <v>5514.7058823529442</v>
      </c>
      <c r="V141" s="83">
        <f>MAX(V140,V138)</f>
        <v>5514.7058823529442</v>
      </c>
      <c r="W141" s="83">
        <f>MAX(W140,W138)</f>
        <v>5514.7058823529442</v>
      </c>
      <c r="X141" s="83">
        <f>MAX(X140,X138)</f>
        <v>5514.7058823529442</v>
      </c>
    </row>
    <row r="142" spans="2:24" s="78" customFormat="1" ht="13.5" outlineLevel="1" thickTop="1" x14ac:dyDescent="0.2"/>
    <row r="143" spans="2:24" s="78" customFormat="1" outlineLevel="1" x14ac:dyDescent="0.2">
      <c r="B143" s="86" t="s">
        <v>101</v>
      </c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2:24" s="78" customFormat="1" outlineLevel="1" x14ac:dyDescent="0.2">
      <c r="B144" s="77"/>
    </row>
    <row r="145" spans="2:24" s="78" customFormat="1" outlineLevel="1" x14ac:dyDescent="0.2">
      <c r="B145" s="77" t="s">
        <v>102</v>
      </c>
      <c r="C145" s="81">
        <f>+Cases!$N$22</f>
        <v>10</v>
      </c>
      <c r="D145" s="81">
        <f>+Cases!$N$22</f>
        <v>10</v>
      </c>
      <c r="E145" s="81">
        <f>+Cases!$N$22</f>
        <v>10</v>
      </c>
      <c r="F145" s="81">
        <f>+Cases!$N$22</f>
        <v>10</v>
      </c>
      <c r="G145" s="81">
        <f>+Cases!$N$22</f>
        <v>10</v>
      </c>
      <c r="H145" s="81">
        <f>+Cases!$N$22</f>
        <v>10</v>
      </c>
      <c r="I145" s="81">
        <f>+Cases!$N$22</f>
        <v>10</v>
      </c>
      <c r="J145" s="81">
        <f>+Cases!$N$22</f>
        <v>10</v>
      </c>
      <c r="K145" s="81">
        <f>+Cases!$N$22</f>
        <v>10</v>
      </c>
      <c r="L145" s="81">
        <f>+Cases!$N$22</f>
        <v>10</v>
      </c>
      <c r="M145" s="81">
        <f>+Cases!$N$22</f>
        <v>10</v>
      </c>
      <c r="N145" s="81">
        <f>+Cases!$N$22</f>
        <v>10</v>
      </c>
      <c r="O145" s="81">
        <f>+Cases!$N$22</f>
        <v>10</v>
      </c>
      <c r="P145" s="81">
        <f>+Cases!$N$22</f>
        <v>10</v>
      </c>
      <c r="Q145" s="81">
        <f>+Cases!$N$22</f>
        <v>10</v>
      </c>
      <c r="R145" s="81">
        <f>+Cases!$N$22</f>
        <v>10</v>
      </c>
      <c r="S145" s="81">
        <f>+Cases!$N$22</f>
        <v>10</v>
      </c>
      <c r="T145" s="81">
        <f>+Cases!$N$22</f>
        <v>10</v>
      </c>
      <c r="U145" s="81">
        <f>+Cases!$N$22</f>
        <v>10</v>
      </c>
      <c r="V145" s="81">
        <f>+Cases!$N$22</f>
        <v>10</v>
      </c>
      <c r="W145" s="81">
        <f>+Cases!$N$22</f>
        <v>10</v>
      </c>
      <c r="X145" s="81">
        <f>+Cases!$N$22</f>
        <v>10</v>
      </c>
    </row>
    <row r="146" spans="2:24" s="78" customFormat="1" outlineLevel="1" x14ac:dyDescent="0.2">
      <c r="B146" s="77" t="s">
        <v>103</v>
      </c>
      <c r="C146" s="79">
        <f>+'Dashboard &amp; Assump.'!$N$48</f>
        <v>1670.8571428571427</v>
      </c>
      <c r="D146" s="79">
        <f>+'Dashboard &amp; Assump.'!$N$48</f>
        <v>1670.8571428571427</v>
      </c>
      <c r="E146" s="79">
        <f>+'Dashboard &amp; Assump.'!$N$48</f>
        <v>1670.8571428571427</v>
      </c>
      <c r="F146" s="79">
        <f>+'Dashboard &amp; Assump.'!$N$48</f>
        <v>1670.8571428571427</v>
      </c>
      <c r="G146" s="79">
        <f>+'Dashboard &amp; Assump.'!$N$48</f>
        <v>1670.8571428571427</v>
      </c>
      <c r="H146" s="79">
        <f>+'Dashboard &amp; Assump.'!$N$48</f>
        <v>1670.8571428571427</v>
      </c>
      <c r="I146" s="79">
        <f>+'Dashboard &amp; Assump.'!$N$48</f>
        <v>1670.8571428571427</v>
      </c>
      <c r="J146" s="79">
        <f>+'Dashboard &amp; Assump.'!$N$48</f>
        <v>1670.8571428571427</v>
      </c>
      <c r="K146" s="79">
        <f>+'Dashboard &amp; Assump.'!$N$48</f>
        <v>1670.8571428571427</v>
      </c>
      <c r="L146" s="79">
        <f>+'Dashboard &amp; Assump.'!$N$48</f>
        <v>1670.8571428571427</v>
      </c>
      <c r="M146" s="79">
        <f>+'Dashboard &amp; Assump.'!$N$48</f>
        <v>1670.8571428571427</v>
      </c>
      <c r="N146" s="79">
        <f>+'Dashboard &amp; Assump.'!$N$48</f>
        <v>1670.8571428571427</v>
      </c>
      <c r="O146" s="79">
        <f>+'Dashboard &amp; Assump.'!$N$48</f>
        <v>1670.8571428571427</v>
      </c>
      <c r="P146" s="79">
        <f>+'Dashboard &amp; Assump.'!$N$48</f>
        <v>1670.8571428571427</v>
      </c>
      <c r="Q146" s="79">
        <f>+'Dashboard &amp; Assump.'!$N$48</f>
        <v>1670.8571428571427</v>
      </c>
      <c r="R146" s="79">
        <f>+'Dashboard &amp; Assump.'!$N$48</f>
        <v>1670.8571428571427</v>
      </c>
      <c r="S146" s="79">
        <f>+'Dashboard &amp; Assump.'!$N$48</f>
        <v>1670.8571428571427</v>
      </c>
      <c r="T146" s="79">
        <f>+'Dashboard &amp; Assump.'!$N$48</f>
        <v>1670.8571428571427</v>
      </c>
      <c r="U146" s="79">
        <f>+'Dashboard &amp; Assump.'!$N$48</f>
        <v>1670.8571428571427</v>
      </c>
      <c r="V146" s="79">
        <f>+'Dashboard &amp; Assump.'!$N$48</f>
        <v>1670.8571428571427</v>
      </c>
      <c r="W146" s="79">
        <f>+'Dashboard &amp; Assump.'!$N$48</f>
        <v>1670.8571428571427</v>
      </c>
      <c r="X146" s="79">
        <f>+'Dashboard &amp; Assump.'!$N$48</f>
        <v>1670.8571428571427</v>
      </c>
    </row>
    <row r="147" spans="2:24" s="78" customFormat="1" outlineLevel="1" x14ac:dyDescent="0.2">
      <c r="B147" s="77" t="s">
        <v>95</v>
      </c>
      <c r="C147" s="79">
        <f>IFERROR(C145*1000000/C146,"")</f>
        <v>5984.9521203830373</v>
      </c>
      <c r="D147" s="79">
        <f t="shared" ref="D147:X147" si="82">IFERROR(D145*1000000/D146,"")</f>
        <v>5984.9521203830373</v>
      </c>
      <c r="E147" s="79">
        <f t="shared" si="82"/>
        <v>5984.9521203830373</v>
      </c>
      <c r="F147" s="79">
        <f t="shared" si="82"/>
        <v>5984.9521203830373</v>
      </c>
      <c r="G147" s="79">
        <f t="shared" si="82"/>
        <v>5984.9521203830373</v>
      </c>
      <c r="H147" s="79">
        <f t="shared" si="82"/>
        <v>5984.9521203830373</v>
      </c>
      <c r="I147" s="79">
        <f t="shared" si="82"/>
        <v>5984.9521203830373</v>
      </c>
      <c r="J147" s="79">
        <f t="shared" si="82"/>
        <v>5984.9521203830373</v>
      </c>
      <c r="K147" s="79">
        <f t="shared" si="82"/>
        <v>5984.9521203830373</v>
      </c>
      <c r="L147" s="79">
        <f t="shared" si="82"/>
        <v>5984.9521203830373</v>
      </c>
      <c r="M147" s="79">
        <f t="shared" si="82"/>
        <v>5984.9521203830373</v>
      </c>
      <c r="N147" s="79">
        <f t="shared" si="82"/>
        <v>5984.9521203830373</v>
      </c>
      <c r="O147" s="79">
        <f t="shared" si="82"/>
        <v>5984.9521203830373</v>
      </c>
      <c r="P147" s="79">
        <f t="shared" si="82"/>
        <v>5984.9521203830373</v>
      </c>
      <c r="Q147" s="79">
        <f t="shared" si="82"/>
        <v>5984.9521203830373</v>
      </c>
      <c r="R147" s="79">
        <f t="shared" si="82"/>
        <v>5984.9521203830373</v>
      </c>
      <c r="S147" s="79">
        <f t="shared" si="82"/>
        <v>5984.9521203830373</v>
      </c>
      <c r="T147" s="79">
        <f t="shared" si="82"/>
        <v>5984.9521203830373</v>
      </c>
      <c r="U147" s="79">
        <f t="shared" si="82"/>
        <v>5984.9521203830373</v>
      </c>
      <c r="V147" s="79">
        <f t="shared" si="82"/>
        <v>5984.9521203830373</v>
      </c>
      <c r="W147" s="79">
        <f t="shared" si="82"/>
        <v>5984.9521203830373</v>
      </c>
      <c r="X147" s="79">
        <f t="shared" si="82"/>
        <v>5984.9521203830373</v>
      </c>
    </row>
    <row r="148" spans="2:24" s="78" customFormat="1" outlineLevel="1" x14ac:dyDescent="0.2">
      <c r="B148" s="77" t="s">
        <v>96</v>
      </c>
      <c r="C148" s="79">
        <f>+C95</f>
        <v>0</v>
      </c>
      <c r="D148" s="79">
        <f>+D95</f>
        <v>191.38909090909092</v>
      </c>
      <c r="E148" s="79">
        <f>+E95</f>
        <v>382.77818181818185</v>
      </c>
      <c r="F148" s="79">
        <f>+F95</f>
        <v>574.16727272727269</v>
      </c>
      <c r="G148" s="79">
        <f>+G95</f>
        <v>765.5563636363637</v>
      </c>
      <c r="H148" s="79">
        <f>+H95</f>
        <v>956.94545454545448</v>
      </c>
      <c r="I148" s="79">
        <f>+I95</f>
        <v>1148.3345454545454</v>
      </c>
      <c r="J148" s="79">
        <f>+J95</f>
        <v>1339.7236363636364</v>
      </c>
      <c r="K148" s="79">
        <f>+K95</f>
        <v>1531.1127272727274</v>
      </c>
      <c r="L148" s="79">
        <f>+L95</f>
        <v>1722.501818181818</v>
      </c>
      <c r="M148" s="79">
        <f>+M95</f>
        <v>1913.890909090909</v>
      </c>
      <c r="N148" s="79">
        <f>+N95</f>
        <v>2105.2800000000002</v>
      </c>
      <c r="O148" s="79">
        <f>+O95</f>
        <v>2296.6690909090908</v>
      </c>
      <c r="P148" s="79">
        <f>+P95</f>
        <v>2488.0581818181818</v>
      </c>
      <c r="Q148" s="79">
        <f>+Q95</f>
        <v>2679.4472727272728</v>
      </c>
      <c r="R148" s="79">
        <f>+R95</f>
        <v>2870.8363636363633</v>
      </c>
      <c r="S148" s="79">
        <f>+S95</f>
        <v>3062.2254545454548</v>
      </c>
      <c r="T148" s="79">
        <f>+T95</f>
        <v>3253.6145454545454</v>
      </c>
      <c r="U148" s="79">
        <f>+U95</f>
        <v>3445.0036363636359</v>
      </c>
      <c r="V148" s="79">
        <f>+V95</f>
        <v>3636.3927272727274</v>
      </c>
      <c r="W148" s="79">
        <f>+W95</f>
        <v>3827.7818181818179</v>
      </c>
      <c r="X148" s="79">
        <f>+X95</f>
        <v>4019.1709090909094</v>
      </c>
    </row>
    <row r="149" spans="2:24" s="78" customFormat="1" outlineLevel="1" x14ac:dyDescent="0.2">
      <c r="B149" s="77" t="s">
        <v>97</v>
      </c>
      <c r="C149" s="79" t="str">
        <f>IFERROR(C145*1000000/C148,"")</f>
        <v/>
      </c>
      <c r="D149" s="79">
        <f t="shared" ref="D149" si="83">IFERROR(D145*1000000/D148,"")</f>
        <v>52249.582003343967</v>
      </c>
      <c r="E149" s="79">
        <f t="shared" ref="E149" si="84">IFERROR(E145*1000000/E148,"")</f>
        <v>26124.791001671983</v>
      </c>
      <c r="F149" s="79">
        <f t="shared" ref="F149" si="85">IFERROR(F145*1000000/F148,"")</f>
        <v>17416.527334447994</v>
      </c>
      <c r="G149" s="79">
        <f t="shared" ref="G149" si="86">IFERROR(G145*1000000/G148,"")</f>
        <v>13062.395500835992</v>
      </c>
      <c r="H149" s="79">
        <f t="shared" ref="H149" si="87">IFERROR(H145*1000000/H148,"")</f>
        <v>10449.916400668795</v>
      </c>
      <c r="I149" s="79">
        <f t="shared" ref="I149" si="88">IFERROR(I145*1000000/I148,"")</f>
        <v>8708.2636672239969</v>
      </c>
      <c r="J149" s="79">
        <f t="shared" ref="J149" si="89">IFERROR(J145*1000000/J148,"")</f>
        <v>7464.2260004777099</v>
      </c>
      <c r="K149" s="79">
        <f t="shared" ref="K149" si="90">IFERROR(K145*1000000/K148,"")</f>
        <v>6531.1977504179958</v>
      </c>
      <c r="L149" s="79">
        <f t="shared" ref="L149" si="91">IFERROR(L145*1000000/L148,"")</f>
        <v>5805.5091114826646</v>
      </c>
      <c r="M149" s="79">
        <f t="shared" ref="M149" si="92">IFERROR(M145*1000000/M148,"")</f>
        <v>5224.9582003343976</v>
      </c>
      <c r="N149" s="79">
        <f t="shared" ref="N149" si="93">IFERROR(N145*1000000/N148,"")</f>
        <v>4749.9620003039972</v>
      </c>
      <c r="O149" s="79">
        <f t="shared" ref="O149" si="94">IFERROR(O145*1000000/O148,"")</f>
        <v>4354.1318336119984</v>
      </c>
      <c r="P149" s="79">
        <f t="shared" ref="P149" si="95">IFERROR(P145*1000000/P148,"")</f>
        <v>4019.1986156418443</v>
      </c>
      <c r="Q149" s="79">
        <f t="shared" ref="Q149" si="96">IFERROR(Q145*1000000/Q148,"")</f>
        <v>3732.113000238855</v>
      </c>
      <c r="R149" s="79">
        <f t="shared" ref="R149" si="97">IFERROR(R145*1000000/R148,"")</f>
        <v>3483.3054668895984</v>
      </c>
      <c r="S149" s="79">
        <f t="shared" ref="S149" si="98">IFERROR(S145*1000000/S148,"")</f>
        <v>3265.5988752089979</v>
      </c>
      <c r="T149" s="79">
        <f t="shared" ref="T149" si="99">IFERROR(T145*1000000/T148,"")</f>
        <v>3073.5048237261162</v>
      </c>
      <c r="U149" s="79">
        <f t="shared" ref="U149" si="100">IFERROR(U145*1000000/U148,"")</f>
        <v>2902.7545557413323</v>
      </c>
      <c r="V149" s="79">
        <f t="shared" ref="V149" si="101">IFERROR(V145*1000000/V148,"")</f>
        <v>2749.9780001759987</v>
      </c>
      <c r="W149" s="79">
        <f t="shared" ref="W149" si="102">IFERROR(W145*1000000/W148,"")</f>
        <v>2612.4791001671988</v>
      </c>
      <c r="X149" s="79">
        <f t="shared" ref="X149" si="103">IFERROR(X145*1000000/X148,"")</f>
        <v>2488.0753334925698</v>
      </c>
    </row>
    <row r="150" spans="2:24" s="78" customFormat="1" ht="13.5" outlineLevel="1" thickBot="1" x14ac:dyDescent="0.25">
      <c r="B150" s="88" t="s">
        <v>98</v>
      </c>
      <c r="C150" s="83">
        <f>MAX(C149,C147)</f>
        <v>5984.9521203830373</v>
      </c>
      <c r="D150" s="83">
        <f>MAX(D149,D147)</f>
        <v>52249.582003343967</v>
      </c>
      <c r="E150" s="83">
        <f>MAX(E149,E147)</f>
        <v>26124.791001671983</v>
      </c>
      <c r="F150" s="83">
        <f>MAX(F149,F147)</f>
        <v>17416.527334447994</v>
      </c>
      <c r="G150" s="83">
        <f>MAX(G149,G147)</f>
        <v>13062.395500835992</v>
      </c>
      <c r="H150" s="83">
        <f>MAX(H149,H147)</f>
        <v>10449.916400668795</v>
      </c>
      <c r="I150" s="83">
        <f>MAX(I149,I147)</f>
        <v>8708.2636672239969</v>
      </c>
      <c r="J150" s="83">
        <f>MAX(J149,J147)</f>
        <v>7464.2260004777099</v>
      </c>
      <c r="K150" s="83">
        <f>MAX(K149,K147)</f>
        <v>6531.1977504179958</v>
      </c>
      <c r="L150" s="83">
        <f>MAX(L149,L147)</f>
        <v>5984.9521203830373</v>
      </c>
      <c r="M150" s="83">
        <f>MAX(M149,M147)</f>
        <v>5984.9521203830373</v>
      </c>
      <c r="N150" s="83">
        <f>MAX(N149,N147)</f>
        <v>5984.9521203830373</v>
      </c>
      <c r="O150" s="83">
        <f>MAX(O149,O147)</f>
        <v>5984.9521203830373</v>
      </c>
      <c r="P150" s="83">
        <f>MAX(P149,P147)</f>
        <v>5984.9521203830373</v>
      </c>
      <c r="Q150" s="83">
        <f>MAX(Q149,Q147)</f>
        <v>5984.9521203830373</v>
      </c>
      <c r="R150" s="83">
        <f>MAX(R149,R147)</f>
        <v>5984.9521203830373</v>
      </c>
      <c r="S150" s="83">
        <f>MAX(S149,S147)</f>
        <v>5984.9521203830373</v>
      </c>
      <c r="T150" s="83">
        <f>MAX(T149,T147)</f>
        <v>5984.9521203830373</v>
      </c>
      <c r="U150" s="83">
        <f>MAX(U149,U147)</f>
        <v>5984.9521203830373</v>
      </c>
      <c r="V150" s="83">
        <f>MAX(V149,V147)</f>
        <v>5984.9521203830373</v>
      </c>
      <c r="W150" s="83">
        <f>MAX(W149,W147)</f>
        <v>5984.9521203830373</v>
      </c>
      <c r="X150" s="83">
        <f>MAX(X149,X147)</f>
        <v>5984.9521203830373</v>
      </c>
    </row>
    <row r="151" spans="2:24" s="78" customFormat="1" ht="13.5" outlineLevel="1" thickTop="1" x14ac:dyDescent="0.2"/>
    <row r="152" spans="2:24" s="78" customFormat="1" outlineLevel="1" x14ac:dyDescent="0.2">
      <c r="B152" s="86" t="s">
        <v>104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2:24" s="78" customFormat="1" outlineLevel="1" x14ac:dyDescent="0.2">
      <c r="B153" s="77"/>
    </row>
    <row r="154" spans="2:24" s="78" customFormat="1" outlineLevel="1" x14ac:dyDescent="0.2">
      <c r="B154" s="77" t="s">
        <v>102</v>
      </c>
      <c r="C154" s="81">
        <f>+Cases!$O$22</f>
        <v>16</v>
      </c>
      <c r="D154" s="81">
        <f>+Cases!$O$22</f>
        <v>16</v>
      </c>
      <c r="E154" s="81">
        <f>+Cases!$O$22</f>
        <v>16</v>
      </c>
      <c r="F154" s="81">
        <f>+Cases!$O$22</f>
        <v>16</v>
      </c>
      <c r="G154" s="81">
        <f>+Cases!$O$22</f>
        <v>16</v>
      </c>
      <c r="H154" s="81">
        <f>+Cases!$O$22</f>
        <v>16</v>
      </c>
      <c r="I154" s="81">
        <f>+Cases!$O$22</f>
        <v>16</v>
      </c>
      <c r="J154" s="81">
        <f>+Cases!$O$22</f>
        <v>16</v>
      </c>
      <c r="K154" s="81">
        <f>+Cases!$O$22</f>
        <v>16</v>
      </c>
      <c r="L154" s="81">
        <f>+Cases!$O$22</f>
        <v>16</v>
      </c>
      <c r="M154" s="81">
        <f>+Cases!$O$22</f>
        <v>16</v>
      </c>
      <c r="N154" s="81">
        <f>+Cases!$O$22</f>
        <v>16</v>
      </c>
      <c r="O154" s="81">
        <f>+Cases!$O$22</f>
        <v>16</v>
      </c>
      <c r="P154" s="81">
        <f>+Cases!$O$22</f>
        <v>16</v>
      </c>
      <c r="Q154" s="81">
        <f>+Cases!$O$22</f>
        <v>16</v>
      </c>
      <c r="R154" s="81">
        <f>+Cases!$O$22</f>
        <v>16</v>
      </c>
      <c r="S154" s="81">
        <f>+Cases!$O$22</f>
        <v>16</v>
      </c>
      <c r="T154" s="81">
        <f>+Cases!$O$22</f>
        <v>16</v>
      </c>
      <c r="U154" s="81">
        <f>+Cases!$O$22</f>
        <v>16</v>
      </c>
      <c r="V154" s="81">
        <f>+Cases!$O$22</f>
        <v>16</v>
      </c>
      <c r="W154" s="81">
        <f>+Cases!$O$22</f>
        <v>16</v>
      </c>
      <c r="X154" s="81">
        <f>+Cases!$O$22</f>
        <v>16</v>
      </c>
    </row>
    <row r="155" spans="2:24" s="78" customFormat="1" outlineLevel="1" x14ac:dyDescent="0.2">
      <c r="B155" s="77" t="s">
        <v>103</v>
      </c>
      <c r="C155" s="79">
        <f>+'Dashboard &amp; Assump.'!$N$49</f>
        <v>3368.4480000000008</v>
      </c>
      <c r="D155" s="79">
        <f>+'Dashboard &amp; Assump.'!$N$49</f>
        <v>3368.4480000000008</v>
      </c>
      <c r="E155" s="79">
        <f>+'Dashboard &amp; Assump.'!$N$49</f>
        <v>3368.4480000000008</v>
      </c>
      <c r="F155" s="79">
        <f>+'Dashboard &amp; Assump.'!$N$49</f>
        <v>3368.4480000000008</v>
      </c>
      <c r="G155" s="79">
        <f>+'Dashboard &amp; Assump.'!$N$49</f>
        <v>3368.4480000000008</v>
      </c>
      <c r="H155" s="79">
        <f>+'Dashboard &amp; Assump.'!$N$49</f>
        <v>3368.4480000000008</v>
      </c>
      <c r="I155" s="79">
        <f>+'Dashboard &amp; Assump.'!$N$49</f>
        <v>3368.4480000000008</v>
      </c>
      <c r="J155" s="79">
        <f>+'Dashboard &amp; Assump.'!$N$49</f>
        <v>3368.4480000000008</v>
      </c>
      <c r="K155" s="79">
        <f>+'Dashboard &amp; Assump.'!$N$49</f>
        <v>3368.4480000000008</v>
      </c>
      <c r="L155" s="79">
        <f>+'Dashboard &amp; Assump.'!$N$49</f>
        <v>3368.4480000000008</v>
      </c>
      <c r="M155" s="79">
        <f>+'Dashboard &amp; Assump.'!$N$49</f>
        <v>3368.4480000000008</v>
      </c>
      <c r="N155" s="79">
        <f>+'Dashboard &amp; Assump.'!$N$49</f>
        <v>3368.4480000000008</v>
      </c>
      <c r="O155" s="79">
        <f>+'Dashboard &amp; Assump.'!$N$49</f>
        <v>3368.4480000000008</v>
      </c>
      <c r="P155" s="79">
        <f>+'Dashboard &amp; Assump.'!$N$49</f>
        <v>3368.4480000000008</v>
      </c>
      <c r="Q155" s="79">
        <f>+'Dashboard &amp; Assump.'!$N$49</f>
        <v>3368.4480000000008</v>
      </c>
      <c r="R155" s="79">
        <f>+'Dashboard &amp; Assump.'!$N$49</f>
        <v>3368.4480000000008</v>
      </c>
      <c r="S155" s="79">
        <f>+'Dashboard &amp; Assump.'!$N$49</f>
        <v>3368.4480000000008</v>
      </c>
      <c r="T155" s="79">
        <f>+'Dashboard &amp; Assump.'!$N$49</f>
        <v>3368.4480000000008</v>
      </c>
      <c r="U155" s="79">
        <f>+'Dashboard &amp; Assump.'!$N$49</f>
        <v>3368.4480000000008</v>
      </c>
      <c r="V155" s="79">
        <f>+'Dashboard &amp; Assump.'!$N$49</f>
        <v>3368.4480000000008</v>
      </c>
      <c r="W155" s="79">
        <f>+'Dashboard &amp; Assump.'!$N$49</f>
        <v>3368.4480000000008</v>
      </c>
      <c r="X155" s="79">
        <f>+'Dashboard &amp; Assump.'!$N$49</f>
        <v>3368.4480000000008</v>
      </c>
    </row>
    <row r="156" spans="2:24" s="78" customFormat="1" outlineLevel="1" x14ac:dyDescent="0.2">
      <c r="B156" s="77" t="s">
        <v>95</v>
      </c>
      <c r="C156" s="79">
        <f>IFERROR(C154*1000000/C155,"")</f>
        <v>4749.9620003039963</v>
      </c>
      <c r="D156" s="79">
        <f t="shared" ref="D156:X156" si="104">IFERROR(D154*1000000/D155,"")</f>
        <v>4749.9620003039963</v>
      </c>
      <c r="E156" s="79">
        <f t="shared" si="104"/>
        <v>4749.9620003039963</v>
      </c>
      <c r="F156" s="79">
        <f t="shared" si="104"/>
        <v>4749.9620003039963</v>
      </c>
      <c r="G156" s="79">
        <f t="shared" si="104"/>
        <v>4749.9620003039963</v>
      </c>
      <c r="H156" s="79">
        <f t="shared" si="104"/>
        <v>4749.9620003039963</v>
      </c>
      <c r="I156" s="79">
        <f t="shared" si="104"/>
        <v>4749.9620003039963</v>
      </c>
      <c r="J156" s="79">
        <f t="shared" si="104"/>
        <v>4749.9620003039963</v>
      </c>
      <c r="K156" s="79">
        <f t="shared" si="104"/>
        <v>4749.9620003039963</v>
      </c>
      <c r="L156" s="79">
        <f t="shared" si="104"/>
        <v>4749.9620003039963</v>
      </c>
      <c r="M156" s="79">
        <f t="shared" si="104"/>
        <v>4749.9620003039963</v>
      </c>
      <c r="N156" s="79">
        <f t="shared" si="104"/>
        <v>4749.9620003039963</v>
      </c>
      <c r="O156" s="79">
        <f t="shared" si="104"/>
        <v>4749.9620003039963</v>
      </c>
      <c r="P156" s="79">
        <f t="shared" si="104"/>
        <v>4749.9620003039963</v>
      </c>
      <c r="Q156" s="79">
        <f t="shared" si="104"/>
        <v>4749.9620003039963</v>
      </c>
      <c r="R156" s="79">
        <f t="shared" si="104"/>
        <v>4749.9620003039963</v>
      </c>
      <c r="S156" s="79">
        <f t="shared" si="104"/>
        <v>4749.9620003039963</v>
      </c>
      <c r="T156" s="79">
        <f t="shared" si="104"/>
        <v>4749.9620003039963</v>
      </c>
      <c r="U156" s="79">
        <f t="shared" si="104"/>
        <v>4749.9620003039963</v>
      </c>
      <c r="V156" s="79">
        <f t="shared" si="104"/>
        <v>4749.9620003039963</v>
      </c>
      <c r="W156" s="79">
        <f t="shared" si="104"/>
        <v>4749.9620003039963</v>
      </c>
      <c r="X156" s="79">
        <f t="shared" si="104"/>
        <v>4749.9620003039963</v>
      </c>
    </row>
    <row r="157" spans="2:24" s="78" customFormat="1" outlineLevel="1" x14ac:dyDescent="0.2">
      <c r="B157" s="77" t="s">
        <v>96</v>
      </c>
      <c r="C157" s="79">
        <f>+C95</f>
        <v>0</v>
      </c>
      <c r="D157" s="79">
        <f>+D95</f>
        <v>191.38909090909092</v>
      </c>
      <c r="E157" s="79">
        <f>+E95</f>
        <v>382.77818181818185</v>
      </c>
      <c r="F157" s="79">
        <f>+F95</f>
        <v>574.16727272727269</v>
      </c>
      <c r="G157" s="79">
        <f>+G95</f>
        <v>765.5563636363637</v>
      </c>
      <c r="H157" s="79">
        <f>+H95</f>
        <v>956.94545454545448</v>
      </c>
      <c r="I157" s="79">
        <f>+I95</f>
        <v>1148.3345454545454</v>
      </c>
      <c r="J157" s="79">
        <f>+J95</f>
        <v>1339.7236363636364</v>
      </c>
      <c r="K157" s="79">
        <f>+K95</f>
        <v>1531.1127272727274</v>
      </c>
      <c r="L157" s="79">
        <f>+L95</f>
        <v>1722.501818181818</v>
      </c>
      <c r="M157" s="79">
        <f>+M95</f>
        <v>1913.890909090909</v>
      </c>
      <c r="N157" s="79">
        <f>+N95</f>
        <v>2105.2800000000002</v>
      </c>
      <c r="O157" s="79">
        <f>+O95</f>
        <v>2296.6690909090908</v>
      </c>
      <c r="P157" s="79">
        <f>+P95</f>
        <v>2488.0581818181818</v>
      </c>
      <c r="Q157" s="79">
        <f>+Q95</f>
        <v>2679.4472727272728</v>
      </c>
      <c r="R157" s="79">
        <f>+R95</f>
        <v>2870.8363636363633</v>
      </c>
      <c r="S157" s="79">
        <f>+S95</f>
        <v>3062.2254545454548</v>
      </c>
      <c r="T157" s="79">
        <f>+T95</f>
        <v>3253.6145454545454</v>
      </c>
      <c r="U157" s="79">
        <f>+U95</f>
        <v>3445.0036363636359</v>
      </c>
      <c r="V157" s="79">
        <f>+V95</f>
        <v>3636.3927272727274</v>
      </c>
      <c r="W157" s="79">
        <f>+W95</f>
        <v>3827.7818181818179</v>
      </c>
      <c r="X157" s="79">
        <f>+X95</f>
        <v>4019.1709090909094</v>
      </c>
    </row>
    <row r="158" spans="2:24" s="78" customFormat="1" outlineLevel="1" x14ac:dyDescent="0.2">
      <c r="B158" s="77" t="s">
        <v>97</v>
      </c>
      <c r="C158" s="79" t="str">
        <f>IFERROR(C154*1000000/C157,"")</f>
        <v/>
      </c>
      <c r="D158" s="79">
        <f t="shared" ref="D158" si="105">IFERROR(D154*1000000/D157,"")</f>
        <v>83599.331205350347</v>
      </c>
      <c r="E158" s="79">
        <f t="shared" ref="E158" si="106">IFERROR(E154*1000000/E157,"")</f>
        <v>41799.665602675173</v>
      </c>
      <c r="F158" s="79">
        <f t="shared" ref="F158" si="107">IFERROR(F154*1000000/F157,"")</f>
        <v>27866.443735116787</v>
      </c>
      <c r="G158" s="79">
        <f t="shared" ref="G158" si="108">IFERROR(G154*1000000/G157,"")</f>
        <v>20899.832801337587</v>
      </c>
      <c r="H158" s="79">
        <f t="shared" ref="H158" si="109">IFERROR(H154*1000000/H157,"")</f>
        <v>16719.866241070071</v>
      </c>
      <c r="I158" s="79">
        <f t="shared" ref="I158" si="110">IFERROR(I154*1000000/I157,"")</f>
        <v>13933.221867558394</v>
      </c>
      <c r="J158" s="79">
        <f t="shared" ref="J158" si="111">IFERROR(J154*1000000/J157,"")</f>
        <v>11942.761600764337</v>
      </c>
      <c r="K158" s="79">
        <f t="shared" ref="K158" si="112">IFERROR(K154*1000000/K157,"")</f>
        <v>10449.916400668793</v>
      </c>
      <c r="L158" s="79">
        <f t="shared" ref="L158" si="113">IFERROR(L154*1000000/L157,"")</f>
        <v>9288.814578372263</v>
      </c>
      <c r="M158" s="79">
        <f t="shared" ref="M158" si="114">IFERROR(M154*1000000/M157,"")</f>
        <v>8359.9331205350354</v>
      </c>
      <c r="N158" s="79">
        <f t="shared" ref="N158" si="115">IFERROR(N154*1000000/N157,"")</f>
        <v>7599.9392004863957</v>
      </c>
      <c r="O158" s="79">
        <f t="shared" ref="O158" si="116">IFERROR(O154*1000000/O157,"")</f>
        <v>6966.6109337791968</v>
      </c>
      <c r="P158" s="79">
        <f t="shared" ref="P158" si="117">IFERROR(P154*1000000/P157,"")</f>
        <v>6430.7177850269509</v>
      </c>
      <c r="Q158" s="79">
        <f t="shared" ref="Q158" si="118">IFERROR(Q154*1000000/Q157,"")</f>
        <v>5971.3808003821687</v>
      </c>
      <c r="R158" s="79">
        <f t="shared" ref="R158" si="119">IFERROR(R154*1000000/R157,"")</f>
        <v>5573.2887470233582</v>
      </c>
      <c r="S158" s="79">
        <f t="shared" ref="S158" si="120">IFERROR(S154*1000000/S157,"")</f>
        <v>5224.9582003343967</v>
      </c>
      <c r="T158" s="79">
        <f t="shared" ref="T158" si="121">IFERROR(T154*1000000/T157,"")</f>
        <v>4917.607717961786</v>
      </c>
      <c r="U158" s="79">
        <f t="shared" ref="U158" si="122">IFERROR(U154*1000000/U157,"")</f>
        <v>4644.4072891861315</v>
      </c>
      <c r="V158" s="79">
        <f t="shared" ref="V158" si="123">IFERROR(V154*1000000/V157,"")</f>
        <v>4399.9648002815975</v>
      </c>
      <c r="W158" s="79">
        <f t="shared" ref="W158" si="124">IFERROR(W154*1000000/W157,"")</f>
        <v>4179.9665602675177</v>
      </c>
      <c r="X158" s="79">
        <f t="shared" ref="X158" si="125">IFERROR(X154*1000000/X157,"")</f>
        <v>3980.920533588112</v>
      </c>
    </row>
    <row r="159" spans="2:24" s="78" customFormat="1" ht="13.5" outlineLevel="1" thickBot="1" x14ac:dyDescent="0.25">
      <c r="B159" s="88" t="s">
        <v>98</v>
      </c>
      <c r="C159" s="83">
        <f>MAX(C158,C156)</f>
        <v>4749.9620003039963</v>
      </c>
      <c r="D159" s="83">
        <f>MAX(D158,D156)</f>
        <v>83599.331205350347</v>
      </c>
      <c r="E159" s="83">
        <f>MAX(E158,E156)</f>
        <v>41799.665602675173</v>
      </c>
      <c r="F159" s="83">
        <f>MAX(F158,F156)</f>
        <v>27866.443735116787</v>
      </c>
      <c r="G159" s="83">
        <f>MAX(G158,G156)</f>
        <v>20899.832801337587</v>
      </c>
      <c r="H159" s="83">
        <f>MAX(H158,H156)</f>
        <v>16719.866241070071</v>
      </c>
      <c r="I159" s="83">
        <f>MAX(I158,I156)</f>
        <v>13933.221867558394</v>
      </c>
      <c r="J159" s="83">
        <f>MAX(J158,J156)</f>
        <v>11942.761600764337</v>
      </c>
      <c r="K159" s="83">
        <f>MAX(K158,K156)</f>
        <v>10449.916400668793</v>
      </c>
      <c r="L159" s="83">
        <f>MAX(L158,L156)</f>
        <v>9288.814578372263</v>
      </c>
      <c r="M159" s="83">
        <f>MAX(M158,M156)</f>
        <v>8359.9331205350354</v>
      </c>
      <c r="N159" s="83">
        <f>MAX(N158,N156)</f>
        <v>7599.9392004863957</v>
      </c>
      <c r="O159" s="83">
        <f>MAX(O158,O156)</f>
        <v>6966.6109337791968</v>
      </c>
      <c r="P159" s="83">
        <f>MAX(P158,P156)</f>
        <v>6430.7177850269509</v>
      </c>
      <c r="Q159" s="83">
        <f>MAX(Q158,Q156)</f>
        <v>5971.3808003821687</v>
      </c>
      <c r="R159" s="83">
        <f>MAX(R158,R156)</f>
        <v>5573.2887470233582</v>
      </c>
      <c r="S159" s="83">
        <f>MAX(S158,S156)</f>
        <v>5224.9582003343967</v>
      </c>
      <c r="T159" s="83">
        <f>MAX(T158,T156)</f>
        <v>4917.607717961786</v>
      </c>
      <c r="U159" s="83">
        <f>MAX(U158,U156)</f>
        <v>4749.9620003039963</v>
      </c>
      <c r="V159" s="83">
        <f>MAX(V158,V156)</f>
        <v>4749.9620003039963</v>
      </c>
      <c r="W159" s="83">
        <f>MAX(W158,W156)</f>
        <v>4749.9620003039963</v>
      </c>
      <c r="X159" s="83">
        <f>MAX(X158,X156)</f>
        <v>4749.9620003039963</v>
      </c>
    </row>
    <row r="160" spans="2:24" s="78" customFormat="1" ht="13.5" outlineLevel="1" thickTop="1" x14ac:dyDescent="0.2"/>
    <row r="161" spans="2:24" s="78" customFormat="1" outlineLevel="1" x14ac:dyDescent="0.2">
      <c r="B161" s="86" t="s">
        <v>105</v>
      </c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2:24" s="78" customFormat="1" outlineLevel="1" x14ac:dyDescent="0.2">
      <c r="B162" s="77"/>
    </row>
    <row r="163" spans="2:24" s="78" customFormat="1" outlineLevel="1" x14ac:dyDescent="0.2">
      <c r="B163" s="77" t="s">
        <v>102</v>
      </c>
      <c r="C163" s="81">
        <f>+Cases!$P$22</f>
        <v>25</v>
      </c>
      <c r="D163" s="81">
        <f>+Cases!$P$22</f>
        <v>25</v>
      </c>
      <c r="E163" s="81">
        <f>+Cases!$P$22</f>
        <v>25</v>
      </c>
      <c r="F163" s="81">
        <f>+Cases!$P$22</f>
        <v>25</v>
      </c>
      <c r="G163" s="81">
        <f>+Cases!$P$22</f>
        <v>25</v>
      </c>
      <c r="H163" s="81">
        <f>+Cases!$P$22</f>
        <v>25</v>
      </c>
      <c r="I163" s="81">
        <f>+Cases!$P$22</f>
        <v>25</v>
      </c>
      <c r="J163" s="81">
        <f>+Cases!$P$22</f>
        <v>25</v>
      </c>
      <c r="K163" s="81">
        <f>+Cases!$P$22</f>
        <v>25</v>
      </c>
      <c r="L163" s="81">
        <f>+Cases!$P$22</f>
        <v>25</v>
      </c>
      <c r="M163" s="81">
        <f>+Cases!$P$22</f>
        <v>25</v>
      </c>
      <c r="N163" s="81">
        <f>+Cases!$P$22</f>
        <v>25</v>
      </c>
      <c r="O163" s="81">
        <f>+Cases!$P$22</f>
        <v>25</v>
      </c>
      <c r="P163" s="81">
        <f>+Cases!$P$22</f>
        <v>25</v>
      </c>
      <c r="Q163" s="81">
        <f>+Cases!$P$22</f>
        <v>25</v>
      </c>
      <c r="R163" s="81">
        <f>+Cases!$P$22</f>
        <v>25</v>
      </c>
      <c r="S163" s="81">
        <f>+Cases!$P$22</f>
        <v>25</v>
      </c>
      <c r="T163" s="81">
        <f>+Cases!$P$22</f>
        <v>25</v>
      </c>
      <c r="U163" s="81">
        <f>+Cases!$P$22</f>
        <v>25</v>
      </c>
      <c r="V163" s="81">
        <f>+Cases!$P$22</f>
        <v>25</v>
      </c>
      <c r="W163" s="81">
        <f>+Cases!$P$22</f>
        <v>25</v>
      </c>
      <c r="X163" s="81">
        <f>+Cases!$P$22</f>
        <v>25</v>
      </c>
    </row>
    <row r="164" spans="2:24" s="78" customFormat="1" outlineLevel="1" x14ac:dyDescent="0.2">
      <c r="B164" s="77" t="s">
        <v>103</v>
      </c>
      <c r="C164" s="79">
        <f>+'Dashboard &amp; Assump.'!$N$50</f>
        <v>5263.2</v>
      </c>
      <c r="D164" s="79">
        <f>+'Dashboard &amp; Assump.'!$N$50</f>
        <v>5263.2</v>
      </c>
      <c r="E164" s="79">
        <f>+'Dashboard &amp; Assump.'!$N$50</f>
        <v>5263.2</v>
      </c>
      <c r="F164" s="79">
        <f>+'Dashboard &amp; Assump.'!$N$50</f>
        <v>5263.2</v>
      </c>
      <c r="G164" s="79">
        <f>+'Dashboard &amp; Assump.'!$N$50</f>
        <v>5263.2</v>
      </c>
      <c r="H164" s="79">
        <f>+'Dashboard &amp; Assump.'!$N$50</f>
        <v>5263.2</v>
      </c>
      <c r="I164" s="79">
        <f>+'Dashboard &amp; Assump.'!$N$50</f>
        <v>5263.2</v>
      </c>
      <c r="J164" s="79">
        <f>+'Dashboard &amp; Assump.'!$N$50</f>
        <v>5263.2</v>
      </c>
      <c r="K164" s="79">
        <f>+'Dashboard &amp; Assump.'!$N$50</f>
        <v>5263.2</v>
      </c>
      <c r="L164" s="79">
        <f>+'Dashboard &amp; Assump.'!$N$50</f>
        <v>5263.2</v>
      </c>
      <c r="M164" s="79">
        <f>+'Dashboard &amp; Assump.'!$N$50</f>
        <v>5263.2</v>
      </c>
      <c r="N164" s="79">
        <f>+'Dashboard &amp; Assump.'!$N$50</f>
        <v>5263.2</v>
      </c>
      <c r="O164" s="79">
        <f>+'Dashboard &amp; Assump.'!$N$50</f>
        <v>5263.2</v>
      </c>
      <c r="P164" s="79">
        <f>+'Dashboard &amp; Assump.'!$N$50</f>
        <v>5263.2</v>
      </c>
      <c r="Q164" s="79">
        <f>+'Dashboard &amp; Assump.'!$N$50</f>
        <v>5263.2</v>
      </c>
      <c r="R164" s="79">
        <f>+'Dashboard &amp; Assump.'!$N$50</f>
        <v>5263.2</v>
      </c>
      <c r="S164" s="79">
        <f>+'Dashboard &amp; Assump.'!$N$50</f>
        <v>5263.2</v>
      </c>
      <c r="T164" s="79">
        <f>+'Dashboard &amp; Assump.'!$N$50</f>
        <v>5263.2</v>
      </c>
      <c r="U164" s="79">
        <f>+'Dashboard &amp; Assump.'!$N$50</f>
        <v>5263.2</v>
      </c>
      <c r="V164" s="79">
        <f>+'Dashboard &amp; Assump.'!$N$50</f>
        <v>5263.2</v>
      </c>
      <c r="W164" s="79">
        <f>+'Dashboard &amp; Assump.'!$N$50</f>
        <v>5263.2</v>
      </c>
      <c r="X164" s="79">
        <f>+'Dashboard &amp; Assump.'!$N$50</f>
        <v>5263.2</v>
      </c>
    </row>
    <row r="165" spans="2:24" s="78" customFormat="1" outlineLevel="1" x14ac:dyDescent="0.2">
      <c r="B165" s="77" t="s">
        <v>95</v>
      </c>
      <c r="C165" s="79">
        <f>IFERROR(C163*1000000/C164,"")</f>
        <v>4749.9620003039981</v>
      </c>
      <c r="D165" s="79">
        <f t="shared" ref="D165:X165" si="126">IFERROR(D163*1000000/D164,"")</f>
        <v>4749.9620003039981</v>
      </c>
      <c r="E165" s="79">
        <f t="shared" si="126"/>
        <v>4749.9620003039981</v>
      </c>
      <c r="F165" s="79">
        <f t="shared" si="126"/>
        <v>4749.9620003039981</v>
      </c>
      <c r="G165" s="79">
        <f t="shared" si="126"/>
        <v>4749.9620003039981</v>
      </c>
      <c r="H165" s="79">
        <f t="shared" si="126"/>
        <v>4749.9620003039981</v>
      </c>
      <c r="I165" s="79">
        <f t="shared" si="126"/>
        <v>4749.9620003039981</v>
      </c>
      <c r="J165" s="79">
        <f t="shared" si="126"/>
        <v>4749.9620003039981</v>
      </c>
      <c r="K165" s="79">
        <f t="shared" si="126"/>
        <v>4749.9620003039981</v>
      </c>
      <c r="L165" s="79">
        <f t="shared" si="126"/>
        <v>4749.9620003039981</v>
      </c>
      <c r="M165" s="79">
        <f t="shared" si="126"/>
        <v>4749.9620003039981</v>
      </c>
      <c r="N165" s="79">
        <f t="shared" si="126"/>
        <v>4749.9620003039981</v>
      </c>
      <c r="O165" s="79">
        <f t="shared" si="126"/>
        <v>4749.9620003039981</v>
      </c>
      <c r="P165" s="79">
        <f t="shared" si="126"/>
        <v>4749.9620003039981</v>
      </c>
      <c r="Q165" s="79">
        <f t="shared" si="126"/>
        <v>4749.9620003039981</v>
      </c>
      <c r="R165" s="79">
        <f t="shared" si="126"/>
        <v>4749.9620003039981</v>
      </c>
      <c r="S165" s="79">
        <f t="shared" si="126"/>
        <v>4749.9620003039981</v>
      </c>
      <c r="T165" s="79">
        <f t="shared" si="126"/>
        <v>4749.9620003039981</v>
      </c>
      <c r="U165" s="79">
        <f t="shared" si="126"/>
        <v>4749.9620003039981</v>
      </c>
      <c r="V165" s="79">
        <f t="shared" si="126"/>
        <v>4749.9620003039981</v>
      </c>
      <c r="W165" s="79">
        <f t="shared" si="126"/>
        <v>4749.9620003039981</v>
      </c>
      <c r="X165" s="79">
        <f t="shared" si="126"/>
        <v>4749.9620003039981</v>
      </c>
    </row>
    <row r="166" spans="2:24" s="78" customFormat="1" outlineLevel="1" x14ac:dyDescent="0.2">
      <c r="B166" s="77" t="s">
        <v>96</v>
      </c>
      <c r="C166" s="79">
        <f>+C95</f>
        <v>0</v>
      </c>
      <c r="D166" s="79">
        <f>+D95</f>
        <v>191.38909090909092</v>
      </c>
      <c r="E166" s="79">
        <f>+E95</f>
        <v>382.77818181818185</v>
      </c>
      <c r="F166" s="79">
        <f>+F95</f>
        <v>574.16727272727269</v>
      </c>
      <c r="G166" s="79">
        <f>+G95</f>
        <v>765.5563636363637</v>
      </c>
      <c r="H166" s="79">
        <f>+H95</f>
        <v>956.94545454545448</v>
      </c>
      <c r="I166" s="79">
        <f>+I95</f>
        <v>1148.3345454545454</v>
      </c>
      <c r="J166" s="79">
        <f>+J95</f>
        <v>1339.7236363636364</v>
      </c>
      <c r="K166" s="79">
        <f>+K95</f>
        <v>1531.1127272727274</v>
      </c>
      <c r="L166" s="79">
        <f>+L95</f>
        <v>1722.501818181818</v>
      </c>
      <c r="M166" s="79">
        <f>+M95</f>
        <v>1913.890909090909</v>
      </c>
      <c r="N166" s="79">
        <f>+N95</f>
        <v>2105.2800000000002</v>
      </c>
      <c r="O166" s="79">
        <f>+O95</f>
        <v>2296.6690909090908</v>
      </c>
      <c r="P166" s="79">
        <f>+P95</f>
        <v>2488.0581818181818</v>
      </c>
      <c r="Q166" s="79">
        <f>+Q95</f>
        <v>2679.4472727272728</v>
      </c>
      <c r="R166" s="79">
        <f>+R95</f>
        <v>2870.8363636363633</v>
      </c>
      <c r="S166" s="79">
        <f>+S95</f>
        <v>3062.2254545454548</v>
      </c>
      <c r="T166" s="79">
        <f>+T95</f>
        <v>3253.6145454545454</v>
      </c>
      <c r="U166" s="79">
        <f>+U95</f>
        <v>3445.0036363636359</v>
      </c>
      <c r="V166" s="79">
        <f>+V95</f>
        <v>3636.3927272727274</v>
      </c>
      <c r="W166" s="79">
        <f>+W95</f>
        <v>3827.7818181818179</v>
      </c>
      <c r="X166" s="79">
        <f>+X95</f>
        <v>4019.1709090909094</v>
      </c>
    </row>
    <row r="167" spans="2:24" s="78" customFormat="1" outlineLevel="1" x14ac:dyDescent="0.2">
      <c r="B167" s="77" t="s">
        <v>97</v>
      </c>
      <c r="C167" s="79" t="str">
        <f>IFERROR(C163*1000000/C166,"")</f>
        <v/>
      </c>
      <c r="D167" s="79">
        <f t="shared" ref="D167:X167" si="127">IFERROR(D163*1000000/D166,"")</f>
        <v>130623.95500835992</v>
      </c>
      <c r="E167" s="79">
        <f t="shared" si="127"/>
        <v>65311.977504179958</v>
      </c>
      <c r="F167" s="79">
        <f t="shared" si="127"/>
        <v>43541.318336119977</v>
      </c>
      <c r="G167" s="79">
        <f t="shared" si="127"/>
        <v>32655.988752089979</v>
      </c>
      <c r="H167" s="79">
        <f t="shared" si="127"/>
        <v>26124.791001671987</v>
      </c>
      <c r="I167" s="79">
        <f t="shared" si="127"/>
        <v>21770.659168059989</v>
      </c>
      <c r="J167" s="79">
        <f t="shared" si="127"/>
        <v>18660.565001194274</v>
      </c>
      <c r="K167" s="79">
        <f t="shared" si="127"/>
        <v>16327.99437604499</v>
      </c>
      <c r="L167" s="79">
        <f t="shared" si="127"/>
        <v>14513.772778706661</v>
      </c>
      <c r="M167" s="79">
        <f t="shared" si="127"/>
        <v>13062.395500835994</v>
      </c>
      <c r="N167" s="79">
        <f t="shared" si="127"/>
        <v>11874.905000759993</v>
      </c>
      <c r="O167" s="79">
        <f t="shared" si="127"/>
        <v>10885.329584029994</v>
      </c>
      <c r="P167" s="79">
        <f t="shared" si="127"/>
        <v>10047.99653910461</v>
      </c>
      <c r="Q167" s="79">
        <f t="shared" si="127"/>
        <v>9330.2825005971372</v>
      </c>
      <c r="R167" s="79">
        <f t="shared" si="127"/>
        <v>8708.2636672239969</v>
      </c>
      <c r="S167" s="79">
        <f t="shared" si="127"/>
        <v>8163.9971880224948</v>
      </c>
      <c r="T167" s="79">
        <f t="shared" si="127"/>
        <v>7683.7620593152906</v>
      </c>
      <c r="U167" s="79">
        <f t="shared" si="127"/>
        <v>7256.8863893533307</v>
      </c>
      <c r="V167" s="79">
        <f t="shared" si="127"/>
        <v>6874.945000439996</v>
      </c>
      <c r="W167" s="79">
        <f t="shared" si="127"/>
        <v>6531.1977504179968</v>
      </c>
      <c r="X167" s="79">
        <f t="shared" si="127"/>
        <v>6220.1883337314248</v>
      </c>
    </row>
    <row r="168" spans="2:24" s="78" customFormat="1" ht="13.5" outlineLevel="1" thickBot="1" x14ac:dyDescent="0.25">
      <c r="B168" s="88" t="s">
        <v>98</v>
      </c>
      <c r="C168" s="83">
        <f>MAX(C167,C165)</f>
        <v>4749.9620003039981</v>
      </c>
      <c r="D168" s="83">
        <f>MAX(D167,D165)</f>
        <v>130623.95500835992</v>
      </c>
      <c r="E168" s="83">
        <f>MAX(E167,E165)</f>
        <v>65311.977504179958</v>
      </c>
      <c r="F168" s="83">
        <f>MAX(F167,F165)</f>
        <v>43541.318336119977</v>
      </c>
      <c r="G168" s="83">
        <f>MAX(G167,G165)</f>
        <v>32655.988752089979</v>
      </c>
      <c r="H168" s="83">
        <f>MAX(H167,H165)</f>
        <v>26124.791001671987</v>
      </c>
      <c r="I168" s="83">
        <f>MAX(I167,I165)</f>
        <v>21770.659168059989</v>
      </c>
      <c r="J168" s="83">
        <f>MAX(J167,J165)</f>
        <v>18660.565001194274</v>
      </c>
      <c r="K168" s="83">
        <f>MAX(K167,K165)</f>
        <v>16327.99437604499</v>
      </c>
      <c r="L168" s="83">
        <f>MAX(L167,L165)</f>
        <v>14513.772778706661</v>
      </c>
      <c r="M168" s="83">
        <f>MAX(M167,M165)</f>
        <v>13062.395500835994</v>
      </c>
      <c r="N168" s="83">
        <f>MAX(N167,N165)</f>
        <v>11874.905000759993</v>
      </c>
      <c r="O168" s="83">
        <f>MAX(O167,O165)</f>
        <v>10885.329584029994</v>
      </c>
      <c r="P168" s="83">
        <f>MAX(P167,P165)</f>
        <v>10047.99653910461</v>
      </c>
      <c r="Q168" s="83">
        <f>MAX(Q167,Q165)</f>
        <v>9330.2825005971372</v>
      </c>
      <c r="R168" s="83">
        <f>MAX(R167,R165)</f>
        <v>8708.2636672239969</v>
      </c>
      <c r="S168" s="83">
        <f>MAX(S167,S165)</f>
        <v>8163.9971880224948</v>
      </c>
      <c r="T168" s="83">
        <f>MAX(T167,T165)</f>
        <v>7683.7620593152906</v>
      </c>
      <c r="U168" s="83">
        <f>MAX(U167,U165)</f>
        <v>7256.8863893533307</v>
      </c>
      <c r="V168" s="83">
        <f>MAX(V167,V165)</f>
        <v>6874.945000439996</v>
      </c>
      <c r="W168" s="83">
        <f>MAX(W167,W165)</f>
        <v>6531.1977504179968</v>
      </c>
      <c r="X168" s="83">
        <f>MAX(X167,X165)</f>
        <v>6220.1883337314248</v>
      </c>
    </row>
    <row r="169" spans="2:24" s="78" customFormat="1" ht="13.5" thickTop="1" x14ac:dyDescent="0.2"/>
    <row r="170" spans="2:24" ht="15.75" customHeight="1" x14ac:dyDescent="0.2">
      <c r="B170" s="61" t="s">
        <v>84</v>
      </c>
      <c r="C170" s="61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</row>
    <row r="171" spans="2:24" x14ac:dyDescent="0.2">
      <c r="B171" s="61"/>
      <c r="C171" s="61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</row>
    <row r="173" spans="2:24" x14ac:dyDescent="0.2">
      <c r="B173" s="38" t="s">
        <v>66</v>
      </c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</row>
    <row r="175" spans="2:24" x14ac:dyDescent="0.2">
      <c r="B175" s="43" t="s">
        <v>75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</row>
    <row r="177" spans="2:24" x14ac:dyDescent="0.2">
      <c r="B177" t="s">
        <v>47</v>
      </c>
      <c r="C177" s="41">
        <f>+C54</f>
        <v>0</v>
      </c>
      <c r="D177" s="41">
        <f>+D54</f>
        <v>10</v>
      </c>
      <c r="E177" s="41">
        <f>+E54</f>
        <v>20</v>
      </c>
      <c r="F177" s="41">
        <f>+F54</f>
        <v>30</v>
      </c>
      <c r="G177" s="41">
        <f>+G54</f>
        <v>40</v>
      </c>
      <c r="H177" s="41">
        <f>+H54</f>
        <v>50</v>
      </c>
      <c r="I177" s="41">
        <f>+I54</f>
        <v>60</v>
      </c>
      <c r="J177" s="41">
        <f>+J54</f>
        <v>70</v>
      </c>
      <c r="K177" s="41">
        <f>+K54</f>
        <v>80</v>
      </c>
      <c r="L177" s="41">
        <f>+L54</f>
        <v>90</v>
      </c>
      <c r="M177" s="41">
        <f>+M54</f>
        <v>100</v>
      </c>
      <c r="N177" s="41">
        <f>+N54</f>
        <v>110</v>
      </c>
      <c r="O177" s="41">
        <f>+O54</f>
        <v>120</v>
      </c>
      <c r="P177" s="41">
        <f>+P54</f>
        <v>130</v>
      </c>
      <c r="Q177" s="41">
        <f>+Q54</f>
        <v>140</v>
      </c>
      <c r="R177" s="41">
        <f>+R54</f>
        <v>150</v>
      </c>
      <c r="S177" s="41">
        <f>+S54</f>
        <v>160</v>
      </c>
      <c r="T177" s="41">
        <f>+T54</f>
        <v>170</v>
      </c>
      <c r="U177" s="41">
        <f>+U54</f>
        <v>180</v>
      </c>
      <c r="V177" s="41">
        <f>+V54</f>
        <v>190</v>
      </c>
      <c r="W177" s="41">
        <f>+W54</f>
        <v>200</v>
      </c>
      <c r="X177" s="41">
        <f>+X54</f>
        <v>210</v>
      </c>
    </row>
    <row r="178" spans="2:24" x14ac:dyDescent="0.2">
      <c r="B178" t="s">
        <v>174</v>
      </c>
      <c r="C178" s="41">
        <f>$X$86</f>
        <v>52249.582003343974</v>
      </c>
      <c r="D178" s="41">
        <f>$X$86</f>
        <v>52249.582003343974</v>
      </c>
      <c r="E178" s="41">
        <f>$X$86</f>
        <v>52249.582003343974</v>
      </c>
      <c r="F178" s="41">
        <f>$X$86</f>
        <v>52249.582003343974</v>
      </c>
      <c r="G178" s="41">
        <f>$X$86</f>
        <v>52249.582003343974</v>
      </c>
      <c r="H178" s="41">
        <f>$X$86</f>
        <v>52249.582003343974</v>
      </c>
      <c r="I178" s="41">
        <f>$X$86</f>
        <v>52249.582003343974</v>
      </c>
      <c r="J178" s="41">
        <f>$X$86</f>
        <v>52249.582003343974</v>
      </c>
      <c r="K178" s="41">
        <f>$X$86</f>
        <v>52249.582003343974</v>
      </c>
      <c r="L178" s="41">
        <f>$X$86</f>
        <v>52249.582003343974</v>
      </c>
      <c r="M178" s="41">
        <f>$X$86</f>
        <v>52249.582003343974</v>
      </c>
      <c r="N178" s="41">
        <f>$X$86</f>
        <v>52249.582003343974</v>
      </c>
      <c r="O178" s="41">
        <f>$X$86</f>
        <v>52249.582003343974</v>
      </c>
      <c r="P178" s="41">
        <f>$X$86</f>
        <v>52249.582003343974</v>
      </c>
      <c r="Q178" s="41">
        <f>$X$86</f>
        <v>52249.582003343974</v>
      </c>
      <c r="R178" s="41">
        <f>$X$86</f>
        <v>52249.582003343974</v>
      </c>
      <c r="S178" s="41">
        <f>$X$86</f>
        <v>52249.582003343974</v>
      </c>
      <c r="T178" s="41">
        <f>$X$86</f>
        <v>52249.582003343974</v>
      </c>
      <c r="U178" s="41">
        <f>$X$86</f>
        <v>52249.582003343974</v>
      </c>
      <c r="V178" s="41">
        <f>$X$86</f>
        <v>52249.582003343974</v>
      </c>
      <c r="W178" s="41">
        <f>$X$86</f>
        <v>52249.582003343974</v>
      </c>
      <c r="X178" s="41">
        <f>$X$86</f>
        <v>52249.582003343974</v>
      </c>
    </row>
    <row r="179" spans="2:24" x14ac:dyDescent="0.2">
      <c r="B179" t="s">
        <v>92</v>
      </c>
      <c r="C179" s="41">
        <f>C177/C178*1000000</f>
        <v>0</v>
      </c>
      <c r="D179" s="41">
        <f t="shared" ref="D179:X179" si="128">D177/D178*1000000</f>
        <v>191.38909090909092</v>
      </c>
      <c r="E179" s="41">
        <f t="shared" si="128"/>
        <v>382.77818181818185</v>
      </c>
      <c r="F179" s="41">
        <f t="shared" si="128"/>
        <v>574.16727272727269</v>
      </c>
      <c r="G179" s="41">
        <f t="shared" si="128"/>
        <v>765.5563636363637</v>
      </c>
      <c r="H179" s="41">
        <f t="shared" si="128"/>
        <v>956.94545454545448</v>
      </c>
      <c r="I179" s="41">
        <f t="shared" si="128"/>
        <v>1148.3345454545454</v>
      </c>
      <c r="J179" s="41">
        <f t="shared" si="128"/>
        <v>1339.7236363636364</v>
      </c>
      <c r="K179" s="41">
        <f t="shared" si="128"/>
        <v>1531.1127272727274</v>
      </c>
      <c r="L179" s="41">
        <f t="shared" si="128"/>
        <v>1722.501818181818</v>
      </c>
      <c r="M179" s="41">
        <f t="shared" si="128"/>
        <v>1913.890909090909</v>
      </c>
      <c r="N179" s="41">
        <f t="shared" si="128"/>
        <v>2105.2800000000002</v>
      </c>
      <c r="O179" s="41">
        <f t="shared" si="128"/>
        <v>2296.6690909090908</v>
      </c>
      <c r="P179" s="41">
        <f t="shared" si="128"/>
        <v>2488.0581818181818</v>
      </c>
      <c r="Q179" s="41">
        <f t="shared" si="128"/>
        <v>2679.4472727272728</v>
      </c>
      <c r="R179" s="41">
        <f t="shared" si="128"/>
        <v>2870.8363636363633</v>
      </c>
      <c r="S179" s="41">
        <f t="shared" si="128"/>
        <v>3062.2254545454548</v>
      </c>
      <c r="T179" s="41">
        <f t="shared" si="128"/>
        <v>3253.6145454545454</v>
      </c>
      <c r="U179" s="41">
        <f t="shared" si="128"/>
        <v>3445.0036363636359</v>
      </c>
      <c r="V179" s="41">
        <f t="shared" si="128"/>
        <v>3636.3927272727274</v>
      </c>
      <c r="W179" s="41">
        <f t="shared" si="128"/>
        <v>3827.7818181818179</v>
      </c>
      <c r="X179" s="41">
        <f t="shared" si="128"/>
        <v>4019.1709090909094</v>
      </c>
    </row>
    <row r="180" spans="2:24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</row>
    <row r="181" spans="2:24" x14ac:dyDescent="0.2">
      <c r="B181" s="43" t="s">
        <v>9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</row>
    <row r="183" spans="2:24" x14ac:dyDescent="0.2">
      <c r="B183" s="119" t="s">
        <v>129</v>
      </c>
    </row>
    <row r="184" spans="2:24" x14ac:dyDescent="0.2">
      <c r="B184" s="119" t="s">
        <v>130</v>
      </c>
    </row>
    <row r="186" spans="2:24" x14ac:dyDescent="0.2">
      <c r="B186" t="s">
        <v>50</v>
      </c>
      <c r="C186" s="41">
        <f>+C177</f>
        <v>0</v>
      </c>
      <c r="D186" s="41">
        <f>+D177</f>
        <v>10</v>
      </c>
      <c r="E186" s="41">
        <f>+E177</f>
        <v>20</v>
      </c>
      <c r="F186" s="41">
        <f>+F177</f>
        <v>30</v>
      </c>
      <c r="G186" s="41">
        <f>+G177</f>
        <v>40</v>
      </c>
      <c r="H186" s="41">
        <f>+H177</f>
        <v>50</v>
      </c>
      <c r="I186" s="41">
        <f>+I177</f>
        <v>60</v>
      </c>
      <c r="J186" s="41">
        <f>+J177</f>
        <v>70</v>
      </c>
      <c r="K186" s="41">
        <f>+K177</f>
        <v>80</v>
      </c>
      <c r="L186" s="41">
        <f>+L177</f>
        <v>90</v>
      </c>
      <c r="M186" s="41">
        <f>+M177</f>
        <v>100</v>
      </c>
      <c r="N186" s="41">
        <f>+N177</f>
        <v>110</v>
      </c>
      <c r="O186" s="41">
        <f>+O177</f>
        <v>120</v>
      </c>
      <c r="P186" s="41">
        <f>+P177</f>
        <v>130</v>
      </c>
      <c r="Q186" s="41">
        <f>+Q177</f>
        <v>140</v>
      </c>
      <c r="R186" s="41">
        <f>+R177</f>
        <v>150</v>
      </c>
      <c r="S186" s="41">
        <f>+S177</f>
        <v>160</v>
      </c>
      <c r="T186" s="41">
        <f>+T177</f>
        <v>170</v>
      </c>
      <c r="U186" s="41">
        <f>+U177</f>
        <v>180</v>
      </c>
      <c r="V186" s="41">
        <f>+V177</f>
        <v>190</v>
      </c>
      <c r="W186" s="41">
        <f>+W177</f>
        <v>200</v>
      </c>
      <c r="X186" s="41">
        <f>+X177</f>
        <v>210</v>
      </c>
    </row>
    <row r="187" spans="2:24" x14ac:dyDescent="0.2">
      <c r="B187" t="s">
        <v>56</v>
      </c>
      <c r="C187" s="41">
        <f>MIN(C186,C200)</f>
        <v>0</v>
      </c>
      <c r="D187" s="41">
        <f t="shared" ref="D187:X187" si="129">MIN(D186,D200)</f>
        <v>10</v>
      </c>
      <c r="E187" s="41">
        <f t="shared" si="129"/>
        <v>20</v>
      </c>
      <c r="F187" s="41">
        <f t="shared" si="129"/>
        <v>24.999999999999996</v>
      </c>
      <c r="G187" s="41">
        <f t="shared" si="129"/>
        <v>25</v>
      </c>
      <c r="H187" s="41">
        <f t="shared" si="129"/>
        <v>25</v>
      </c>
      <c r="I187" s="41">
        <f t="shared" si="129"/>
        <v>24.999999999999996</v>
      </c>
      <c r="J187" s="41">
        <f t="shared" si="129"/>
        <v>24.999999999999996</v>
      </c>
      <c r="K187" s="41">
        <f t="shared" si="129"/>
        <v>25</v>
      </c>
      <c r="L187" s="41">
        <f t="shared" si="129"/>
        <v>25</v>
      </c>
      <c r="M187" s="41">
        <f t="shared" si="129"/>
        <v>25</v>
      </c>
      <c r="N187" s="41">
        <f t="shared" si="129"/>
        <v>25</v>
      </c>
      <c r="O187" s="41">
        <f t="shared" si="129"/>
        <v>24.999999999999996</v>
      </c>
      <c r="P187" s="41">
        <f t="shared" si="129"/>
        <v>25</v>
      </c>
      <c r="Q187" s="41">
        <f t="shared" si="129"/>
        <v>24.999999999999996</v>
      </c>
      <c r="R187" s="41">
        <f t="shared" si="129"/>
        <v>25</v>
      </c>
      <c r="S187" s="41">
        <f t="shared" si="129"/>
        <v>25</v>
      </c>
      <c r="T187" s="41">
        <f t="shared" si="129"/>
        <v>25</v>
      </c>
      <c r="U187" s="41">
        <f t="shared" si="129"/>
        <v>25</v>
      </c>
      <c r="V187" s="41">
        <f t="shared" si="129"/>
        <v>25</v>
      </c>
      <c r="W187" s="41">
        <f t="shared" si="129"/>
        <v>25</v>
      </c>
      <c r="X187" s="41">
        <f t="shared" si="129"/>
        <v>25</v>
      </c>
    </row>
    <row r="188" spans="2:24" ht="13.5" thickBot="1" x14ac:dyDescent="0.25">
      <c r="B188" s="42" t="s">
        <v>57</v>
      </c>
      <c r="C188" s="45">
        <f>C186-C187</f>
        <v>0</v>
      </c>
      <c r="D188" s="45">
        <f t="shared" ref="D188:X188" si="130">D186-D187</f>
        <v>0</v>
      </c>
      <c r="E188" s="45">
        <f t="shared" si="130"/>
        <v>0</v>
      </c>
      <c r="F188" s="45">
        <f t="shared" si="130"/>
        <v>5.0000000000000036</v>
      </c>
      <c r="G188" s="45">
        <f t="shared" si="130"/>
        <v>15</v>
      </c>
      <c r="H188" s="45">
        <f t="shared" si="130"/>
        <v>25</v>
      </c>
      <c r="I188" s="45">
        <f t="shared" si="130"/>
        <v>35</v>
      </c>
      <c r="J188" s="45">
        <f t="shared" si="130"/>
        <v>45</v>
      </c>
      <c r="K188" s="45">
        <f t="shared" si="130"/>
        <v>55</v>
      </c>
      <c r="L188" s="45">
        <f t="shared" si="130"/>
        <v>65</v>
      </c>
      <c r="M188" s="45">
        <f t="shared" si="130"/>
        <v>75</v>
      </c>
      <c r="N188" s="45">
        <f t="shared" si="130"/>
        <v>85</v>
      </c>
      <c r="O188" s="45">
        <f t="shared" si="130"/>
        <v>95</v>
      </c>
      <c r="P188" s="45">
        <f t="shared" si="130"/>
        <v>105</v>
      </c>
      <c r="Q188" s="45">
        <f t="shared" si="130"/>
        <v>115</v>
      </c>
      <c r="R188" s="45">
        <f t="shared" si="130"/>
        <v>125</v>
      </c>
      <c r="S188" s="45">
        <f t="shared" si="130"/>
        <v>135</v>
      </c>
      <c r="T188" s="45">
        <f t="shared" si="130"/>
        <v>145</v>
      </c>
      <c r="U188" s="45">
        <f t="shared" si="130"/>
        <v>155</v>
      </c>
      <c r="V188" s="45">
        <f t="shared" si="130"/>
        <v>165</v>
      </c>
      <c r="W188" s="45">
        <f t="shared" si="130"/>
        <v>175</v>
      </c>
      <c r="X188" s="45">
        <f t="shared" si="130"/>
        <v>185</v>
      </c>
    </row>
    <row r="189" spans="2:24" ht="13.5" thickTop="1" x14ac:dyDescent="0.2"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</row>
    <row r="190" spans="2:24" ht="13.5" thickBot="1" x14ac:dyDescent="0.25">
      <c r="B190" s="48" t="s">
        <v>53</v>
      </c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spans="2:24" x14ac:dyDescent="0.2">
      <c r="B191" t="s">
        <v>91</v>
      </c>
      <c r="C191" s="41">
        <f>+C112</f>
        <v>4749.9620003039981</v>
      </c>
      <c r="D191" s="41">
        <f>+D112</f>
        <v>130623.95500835992</v>
      </c>
      <c r="E191" s="41">
        <f>+E112</f>
        <v>65311.977504179958</v>
      </c>
      <c r="F191" s="41">
        <f>+F112</f>
        <v>43541.318336119977</v>
      </c>
      <c r="G191" s="41">
        <f>+G112</f>
        <v>32655.988752089979</v>
      </c>
      <c r="H191" s="41">
        <f>+H112</f>
        <v>26124.791001671987</v>
      </c>
      <c r="I191" s="41">
        <f>+I112</f>
        <v>21770.659168059989</v>
      </c>
      <c r="J191" s="41">
        <f>+J112</f>
        <v>18660.565001194274</v>
      </c>
      <c r="K191" s="41">
        <f>+K112</f>
        <v>16327.99437604499</v>
      </c>
      <c r="L191" s="41">
        <f>+L112</f>
        <v>14513.772778706661</v>
      </c>
      <c r="M191" s="41">
        <f>+M112</f>
        <v>13062.395500835994</v>
      </c>
      <c r="N191" s="41">
        <f>+N112</f>
        <v>11874.905000759993</v>
      </c>
      <c r="O191" s="41">
        <f>+O112</f>
        <v>10885.329584029994</v>
      </c>
      <c r="P191" s="41">
        <f>+P112</f>
        <v>10047.99653910461</v>
      </c>
      <c r="Q191" s="41">
        <f>+Q112</f>
        <v>9330.2825005971372</v>
      </c>
      <c r="R191" s="41">
        <f>+R112</f>
        <v>8708.2636672239969</v>
      </c>
      <c r="S191" s="41">
        <f>+S112</f>
        <v>8163.9971880224948</v>
      </c>
      <c r="T191" s="41">
        <f>+T112</f>
        <v>7683.7620593152906</v>
      </c>
      <c r="U191" s="41">
        <f>+U112</f>
        <v>7256.8863893533307</v>
      </c>
      <c r="V191" s="41">
        <f>+V112</f>
        <v>6874.945000439996</v>
      </c>
      <c r="W191" s="41">
        <f>+W112</f>
        <v>6531.1977504179968</v>
      </c>
      <c r="X191" s="41">
        <f>+X112</f>
        <v>6220.1883337314248</v>
      </c>
    </row>
    <row r="192" spans="2:24" x14ac:dyDescent="0.2">
      <c r="B192" t="s">
        <v>51</v>
      </c>
      <c r="C192" s="41">
        <f>+C121</f>
        <v>0</v>
      </c>
      <c r="D192" s="41">
        <f>+D121</f>
        <v>191.38909090909092</v>
      </c>
      <c r="E192" s="41">
        <f>+E121</f>
        <v>382.77818181818185</v>
      </c>
      <c r="F192" s="41">
        <f>+F121</f>
        <v>574.16727272727269</v>
      </c>
      <c r="G192" s="41">
        <f>+G121</f>
        <v>765.5563636363637</v>
      </c>
      <c r="H192" s="41">
        <f>+H121</f>
        <v>956.94545454545448</v>
      </c>
      <c r="I192" s="41">
        <f>+I121</f>
        <v>1148.3345454545454</v>
      </c>
      <c r="J192" s="41">
        <f>+J121</f>
        <v>1339.7236363636364</v>
      </c>
      <c r="K192" s="41">
        <f>+K121</f>
        <v>1531.1127272727274</v>
      </c>
      <c r="L192" s="41">
        <f>+L121</f>
        <v>1722.501818181818</v>
      </c>
      <c r="M192" s="41">
        <f>+M121</f>
        <v>1913.890909090909</v>
      </c>
      <c r="N192" s="41">
        <f>+N121</f>
        <v>2105.2800000000002</v>
      </c>
      <c r="O192" s="41">
        <f>+O121</f>
        <v>2296.6690909090908</v>
      </c>
      <c r="P192" s="41">
        <f>+P121</f>
        <v>2488.0581818181818</v>
      </c>
      <c r="Q192" s="41">
        <f>+Q121</f>
        <v>2679.4472727272728</v>
      </c>
      <c r="R192" s="41">
        <f>+R121</f>
        <v>2870.8363636363633</v>
      </c>
      <c r="S192" s="41">
        <f>+S121</f>
        <v>3062.2254545454548</v>
      </c>
      <c r="T192" s="41">
        <f>+T121</f>
        <v>3253.6145454545454</v>
      </c>
      <c r="U192" s="41">
        <f>+U121</f>
        <v>3445.0036363636359</v>
      </c>
      <c r="V192" s="41">
        <f>+V121</f>
        <v>3636.3927272727274</v>
      </c>
      <c r="W192" s="41">
        <f>+W121</f>
        <v>3827.7818181818179</v>
      </c>
      <c r="X192" s="41">
        <f>+X121</f>
        <v>4019.1709090909094</v>
      </c>
    </row>
    <row r="193" spans="2:24" x14ac:dyDescent="0.2">
      <c r="B193" t="s">
        <v>49</v>
      </c>
      <c r="C193" s="50">
        <f>IFERROR('Dashboard &amp; Assump.'!$P$50,0)</f>
        <v>1</v>
      </c>
      <c r="D193" s="50">
        <f>'Dashboard &amp; Assump.'!$P$50</f>
        <v>1</v>
      </c>
      <c r="E193" s="50">
        <f>'Dashboard &amp; Assump.'!$P$50</f>
        <v>1</v>
      </c>
      <c r="F193" s="50">
        <f>'Dashboard &amp; Assump.'!$P$50</f>
        <v>1</v>
      </c>
      <c r="G193" s="50">
        <f>'Dashboard &amp; Assump.'!$P$50</f>
        <v>1</v>
      </c>
      <c r="H193" s="50">
        <f>'Dashboard &amp; Assump.'!$P$50</f>
        <v>1</v>
      </c>
      <c r="I193" s="50">
        <f>'Dashboard &amp; Assump.'!$P$50</f>
        <v>1</v>
      </c>
      <c r="J193" s="50">
        <f>'Dashboard &amp; Assump.'!$P$50</f>
        <v>1</v>
      </c>
      <c r="K193" s="50">
        <f>'Dashboard &amp; Assump.'!$P$50</f>
        <v>1</v>
      </c>
      <c r="L193" s="50">
        <f>'Dashboard &amp; Assump.'!$P$50</f>
        <v>1</v>
      </c>
      <c r="M193" s="50">
        <f>'Dashboard &amp; Assump.'!$P$50</f>
        <v>1</v>
      </c>
      <c r="N193" s="50">
        <f>'Dashboard &amp; Assump.'!$P$50</f>
        <v>1</v>
      </c>
      <c r="O193" s="50">
        <f>'Dashboard &amp; Assump.'!$P$50</f>
        <v>1</v>
      </c>
      <c r="P193" s="50">
        <f>'Dashboard &amp; Assump.'!$P$50</f>
        <v>1</v>
      </c>
      <c r="Q193" s="50">
        <f>'Dashboard &amp; Assump.'!$P$50</f>
        <v>1</v>
      </c>
      <c r="R193" s="50">
        <f>'Dashboard &amp; Assump.'!$P$50</f>
        <v>1</v>
      </c>
      <c r="S193" s="50">
        <f>'Dashboard &amp; Assump.'!$P$50</f>
        <v>1</v>
      </c>
      <c r="T193" s="50">
        <f>'Dashboard &amp; Assump.'!$P$50</f>
        <v>1</v>
      </c>
      <c r="U193" s="50">
        <f>'Dashboard &amp; Assump.'!$P$50</f>
        <v>1</v>
      </c>
      <c r="V193" s="50">
        <f>'Dashboard &amp; Assump.'!$P$50</f>
        <v>1</v>
      </c>
      <c r="W193" s="50">
        <f>'Dashboard &amp; Assump.'!$P$50</f>
        <v>1</v>
      </c>
      <c r="X193" s="50">
        <f>'Dashboard &amp; Assump.'!$P$50</f>
        <v>1</v>
      </c>
    </row>
    <row r="194" spans="2:24" x14ac:dyDescent="0.2">
      <c r="B194" t="s">
        <v>52</v>
      </c>
      <c r="C194" s="1">
        <f>C193*C192*C191/1000000</f>
        <v>0</v>
      </c>
      <c r="D194" s="1">
        <f t="shared" ref="D194:X194" si="131">D193*D192*D191/1000000</f>
        <v>25</v>
      </c>
      <c r="E194" s="1">
        <f t="shared" si="131"/>
        <v>25</v>
      </c>
      <c r="F194" s="1">
        <f t="shared" si="131"/>
        <v>24.999999999999996</v>
      </c>
      <c r="G194" s="1">
        <f t="shared" si="131"/>
        <v>25</v>
      </c>
      <c r="H194" s="1">
        <f t="shared" si="131"/>
        <v>25</v>
      </c>
      <c r="I194" s="1">
        <f t="shared" si="131"/>
        <v>24.999999999999996</v>
      </c>
      <c r="J194" s="1">
        <f t="shared" si="131"/>
        <v>24.999999999999996</v>
      </c>
      <c r="K194" s="1">
        <f t="shared" si="131"/>
        <v>25</v>
      </c>
      <c r="L194" s="1">
        <f t="shared" si="131"/>
        <v>25</v>
      </c>
      <c r="M194" s="1">
        <f t="shared" si="131"/>
        <v>25</v>
      </c>
      <c r="N194" s="1">
        <f t="shared" si="131"/>
        <v>25</v>
      </c>
      <c r="O194" s="1">
        <f t="shared" si="131"/>
        <v>24.999999999999996</v>
      </c>
      <c r="P194" s="1">
        <f t="shared" si="131"/>
        <v>25</v>
      </c>
      <c r="Q194" s="1">
        <f t="shared" si="131"/>
        <v>24.999999999999996</v>
      </c>
      <c r="R194" s="1">
        <f t="shared" si="131"/>
        <v>25</v>
      </c>
      <c r="S194" s="1">
        <f t="shared" si="131"/>
        <v>25</v>
      </c>
      <c r="T194" s="1">
        <f t="shared" si="131"/>
        <v>25</v>
      </c>
      <c r="U194" s="1">
        <f t="shared" si="131"/>
        <v>25</v>
      </c>
      <c r="V194" s="1">
        <f t="shared" si="131"/>
        <v>25</v>
      </c>
      <c r="W194" s="1">
        <f t="shared" si="131"/>
        <v>25</v>
      </c>
      <c r="X194" s="1">
        <f t="shared" si="131"/>
        <v>25</v>
      </c>
    </row>
    <row r="195" spans="2:24" ht="13.5" thickBot="1" x14ac:dyDescent="0.25">
      <c r="B195" s="47" t="s">
        <v>54</v>
      </c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</row>
    <row r="196" spans="2:24" x14ac:dyDescent="0.2">
      <c r="B196" t="s">
        <v>91</v>
      </c>
      <c r="C196" s="40">
        <f>+C191</f>
        <v>4749.9620003039981</v>
      </c>
      <c r="D196" s="40">
        <f t="shared" ref="D196:X196" si="132">+D191</f>
        <v>130623.95500835992</v>
      </c>
      <c r="E196" s="40">
        <f t="shared" si="132"/>
        <v>65311.977504179958</v>
      </c>
      <c r="F196" s="40">
        <f t="shared" si="132"/>
        <v>43541.318336119977</v>
      </c>
      <c r="G196" s="40">
        <f t="shared" si="132"/>
        <v>32655.988752089979</v>
      </c>
      <c r="H196" s="40">
        <f t="shared" si="132"/>
        <v>26124.791001671987</v>
      </c>
      <c r="I196" s="40">
        <f t="shared" si="132"/>
        <v>21770.659168059989</v>
      </c>
      <c r="J196" s="40">
        <f t="shared" si="132"/>
        <v>18660.565001194274</v>
      </c>
      <c r="K196" s="40">
        <f t="shared" si="132"/>
        <v>16327.99437604499</v>
      </c>
      <c r="L196" s="40">
        <f t="shared" si="132"/>
        <v>14513.772778706661</v>
      </c>
      <c r="M196" s="40">
        <f t="shared" si="132"/>
        <v>13062.395500835994</v>
      </c>
      <c r="N196" s="40">
        <f t="shared" si="132"/>
        <v>11874.905000759993</v>
      </c>
      <c r="O196" s="40">
        <f t="shared" si="132"/>
        <v>10885.329584029994</v>
      </c>
      <c r="P196" s="40">
        <f t="shared" si="132"/>
        <v>10047.99653910461</v>
      </c>
      <c r="Q196" s="40">
        <f t="shared" si="132"/>
        <v>9330.2825005971372</v>
      </c>
      <c r="R196" s="40">
        <f t="shared" si="132"/>
        <v>8708.2636672239969</v>
      </c>
      <c r="S196" s="40">
        <f t="shared" si="132"/>
        <v>8163.9971880224948</v>
      </c>
      <c r="T196" s="40">
        <f t="shared" si="132"/>
        <v>7683.7620593152906</v>
      </c>
      <c r="U196" s="40">
        <f t="shared" si="132"/>
        <v>7256.8863893533307</v>
      </c>
      <c r="V196" s="40">
        <f t="shared" si="132"/>
        <v>6874.945000439996</v>
      </c>
      <c r="W196" s="40">
        <f t="shared" si="132"/>
        <v>6531.1977504179968</v>
      </c>
      <c r="X196" s="40">
        <f t="shared" si="132"/>
        <v>6220.1883337314248</v>
      </c>
    </row>
    <row r="197" spans="2:24" x14ac:dyDescent="0.2">
      <c r="B197" t="s">
        <v>48</v>
      </c>
      <c r="C197" s="40">
        <f>+C95</f>
        <v>0</v>
      </c>
      <c r="D197" s="40">
        <f>+D95</f>
        <v>191.38909090909092</v>
      </c>
      <c r="E197" s="40">
        <f>+E95</f>
        <v>382.77818181818185</v>
      </c>
      <c r="F197" s="40">
        <f>+F95</f>
        <v>574.16727272727269</v>
      </c>
      <c r="G197" s="40">
        <f>+G95</f>
        <v>765.5563636363637</v>
      </c>
      <c r="H197" s="40">
        <f>+H95</f>
        <v>956.94545454545448</v>
      </c>
      <c r="I197" s="40">
        <f>+I95</f>
        <v>1148.3345454545454</v>
      </c>
      <c r="J197" s="40">
        <f>+J95</f>
        <v>1339.7236363636364</v>
      </c>
      <c r="K197" s="40">
        <f>+K95</f>
        <v>1531.1127272727274</v>
      </c>
      <c r="L197" s="40">
        <f>+L95</f>
        <v>1722.501818181818</v>
      </c>
      <c r="M197" s="40">
        <f>+M95</f>
        <v>1913.890909090909</v>
      </c>
      <c r="N197" s="40">
        <f>+N95</f>
        <v>2105.2800000000002</v>
      </c>
      <c r="O197" s="40">
        <f>+O95</f>
        <v>2296.6690909090908</v>
      </c>
      <c r="P197" s="40">
        <f>+P95</f>
        <v>2488.0581818181818</v>
      </c>
      <c r="Q197" s="40">
        <f>+Q95</f>
        <v>2679.4472727272728</v>
      </c>
      <c r="R197" s="40">
        <f>+R95</f>
        <v>2870.8363636363633</v>
      </c>
      <c r="S197" s="40">
        <f>+S95</f>
        <v>3062.2254545454548</v>
      </c>
      <c r="T197" s="40">
        <f>+T95</f>
        <v>3253.6145454545454</v>
      </c>
      <c r="U197" s="40">
        <f>+U95</f>
        <v>3445.0036363636359</v>
      </c>
      <c r="V197" s="40">
        <f>+V95</f>
        <v>3636.3927272727274</v>
      </c>
      <c r="W197" s="40">
        <f>+W95</f>
        <v>3827.7818181818179</v>
      </c>
      <c r="X197" s="40">
        <f>+X95</f>
        <v>4019.1709090909094</v>
      </c>
    </row>
    <row r="198" spans="2:24" x14ac:dyDescent="0.2">
      <c r="B198" t="s">
        <v>55</v>
      </c>
      <c r="C198" s="1">
        <f>C197*C196/1000000</f>
        <v>0</v>
      </c>
      <c r="D198" s="1">
        <f t="shared" ref="D198:X198" si="133">D197*D196/1000000</f>
        <v>25</v>
      </c>
      <c r="E198" s="1">
        <f t="shared" si="133"/>
        <v>25</v>
      </c>
      <c r="F198" s="1">
        <f t="shared" si="133"/>
        <v>24.999999999999996</v>
      </c>
      <c r="G198" s="1">
        <f t="shared" si="133"/>
        <v>25</v>
      </c>
      <c r="H198" s="1">
        <f t="shared" si="133"/>
        <v>25</v>
      </c>
      <c r="I198" s="1">
        <f t="shared" si="133"/>
        <v>24.999999999999996</v>
      </c>
      <c r="J198" s="1">
        <f t="shared" si="133"/>
        <v>24.999999999999996</v>
      </c>
      <c r="K198" s="1">
        <f t="shared" si="133"/>
        <v>25</v>
      </c>
      <c r="L198" s="1">
        <f t="shared" si="133"/>
        <v>25</v>
      </c>
      <c r="M198" s="1">
        <f t="shared" si="133"/>
        <v>25</v>
      </c>
      <c r="N198" s="1">
        <f t="shared" si="133"/>
        <v>25</v>
      </c>
      <c r="O198" s="1">
        <f t="shared" si="133"/>
        <v>24.999999999999996</v>
      </c>
      <c r="P198" s="1">
        <f t="shared" si="133"/>
        <v>25</v>
      </c>
      <c r="Q198" s="1">
        <f t="shared" si="133"/>
        <v>24.999999999999996</v>
      </c>
      <c r="R198" s="1">
        <f t="shared" si="133"/>
        <v>25</v>
      </c>
      <c r="S198" s="1">
        <f t="shared" si="133"/>
        <v>25</v>
      </c>
      <c r="T198" s="1">
        <f t="shared" si="133"/>
        <v>25</v>
      </c>
      <c r="U198" s="1">
        <f t="shared" si="133"/>
        <v>25</v>
      </c>
      <c r="V198" s="1">
        <f t="shared" si="133"/>
        <v>25</v>
      </c>
      <c r="W198" s="1">
        <f t="shared" si="133"/>
        <v>25</v>
      </c>
      <c r="X198" s="1">
        <f t="shared" si="133"/>
        <v>25</v>
      </c>
    </row>
    <row r="200" spans="2:24" x14ac:dyDescent="0.2">
      <c r="B200" t="s">
        <v>172</v>
      </c>
      <c r="C200" s="41">
        <f>IF(C202,C194,IF(C194&gt;C198,C194,0))</f>
        <v>0</v>
      </c>
      <c r="D200" s="41">
        <f t="shared" ref="D200:X200" si="134">IF(D202,D194,IF(D194&gt;D198,D194,0))</f>
        <v>25</v>
      </c>
      <c r="E200" s="41">
        <f t="shared" si="134"/>
        <v>25</v>
      </c>
      <c r="F200" s="41">
        <f t="shared" si="134"/>
        <v>24.999999999999996</v>
      </c>
      <c r="G200" s="41">
        <f t="shared" si="134"/>
        <v>25</v>
      </c>
      <c r="H200" s="41">
        <f t="shared" si="134"/>
        <v>25</v>
      </c>
      <c r="I200" s="41">
        <f t="shared" si="134"/>
        <v>24.999999999999996</v>
      </c>
      <c r="J200" s="41">
        <f t="shared" si="134"/>
        <v>24.999999999999996</v>
      </c>
      <c r="K200" s="41">
        <f t="shared" si="134"/>
        <v>25</v>
      </c>
      <c r="L200" s="41">
        <f t="shared" si="134"/>
        <v>25</v>
      </c>
      <c r="M200" s="41">
        <f t="shared" si="134"/>
        <v>25</v>
      </c>
      <c r="N200" s="41">
        <f t="shared" si="134"/>
        <v>25</v>
      </c>
      <c r="O200" s="41">
        <f t="shared" si="134"/>
        <v>24.999999999999996</v>
      </c>
      <c r="P200" s="41">
        <f t="shared" si="134"/>
        <v>25</v>
      </c>
      <c r="Q200" s="41">
        <f t="shared" si="134"/>
        <v>24.999999999999996</v>
      </c>
      <c r="R200" s="41">
        <f t="shared" si="134"/>
        <v>25</v>
      </c>
      <c r="S200" s="41">
        <f t="shared" si="134"/>
        <v>25</v>
      </c>
      <c r="T200" s="41">
        <f t="shared" si="134"/>
        <v>25</v>
      </c>
      <c r="U200" s="41">
        <f t="shared" si="134"/>
        <v>25</v>
      </c>
      <c r="V200" s="41">
        <f t="shared" si="134"/>
        <v>25</v>
      </c>
      <c r="W200" s="41">
        <f t="shared" si="134"/>
        <v>25</v>
      </c>
      <c r="X200" s="41">
        <f t="shared" si="134"/>
        <v>25</v>
      </c>
    </row>
    <row r="201" spans="2:24" x14ac:dyDescent="0.2">
      <c r="B201" t="s">
        <v>173</v>
      </c>
      <c r="C201" s="66" t="b">
        <f>IF(C202,TRUE,IF(C200&lt;&gt;0,TRUE,FALSE))</f>
        <v>1</v>
      </c>
      <c r="D201" s="66" t="b">
        <f t="shared" ref="D201" si="135">IF(D202,TRUE,IF(D200&lt;&gt;0,TRUE,FALSE))</f>
        <v>1</v>
      </c>
      <c r="E201" s="66" t="b">
        <f t="shared" ref="E201" si="136">IF(E202,TRUE,IF(E200&lt;&gt;0,TRUE,FALSE))</f>
        <v>1</v>
      </c>
      <c r="F201" s="66" t="b">
        <f t="shared" ref="F201" si="137">IF(F202,TRUE,IF(F200&lt;&gt;0,TRUE,FALSE))</f>
        <v>1</v>
      </c>
      <c r="G201" s="66" t="b">
        <f t="shared" ref="G201" si="138">IF(G202,TRUE,IF(G200&lt;&gt;0,TRUE,FALSE))</f>
        <v>1</v>
      </c>
      <c r="H201" s="66" t="b">
        <f t="shared" ref="H201" si="139">IF(H202,TRUE,IF(H200&lt;&gt;0,TRUE,FALSE))</f>
        <v>1</v>
      </c>
      <c r="I201" s="66" t="b">
        <f t="shared" ref="I201" si="140">IF(I202,TRUE,IF(I200&lt;&gt;0,TRUE,FALSE))</f>
        <v>1</v>
      </c>
      <c r="J201" s="66" t="b">
        <f t="shared" ref="J201" si="141">IF(J202,TRUE,IF(J200&lt;&gt;0,TRUE,FALSE))</f>
        <v>1</v>
      </c>
      <c r="K201" s="66" t="b">
        <f t="shared" ref="K201" si="142">IF(K202,TRUE,IF(K200&lt;&gt;0,TRUE,FALSE))</f>
        <v>1</v>
      </c>
      <c r="L201" s="66" t="b">
        <f t="shared" ref="L201" si="143">IF(L202,TRUE,IF(L200&lt;&gt;0,TRUE,FALSE))</f>
        <v>1</v>
      </c>
      <c r="M201" s="66" t="b">
        <f t="shared" ref="M201" si="144">IF(M202,TRUE,IF(M200&lt;&gt;0,TRUE,FALSE))</f>
        <v>1</v>
      </c>
      <c r="N201" s="66" t="b">
        <f t="shared" ref="N201" si="145">IF(N202,TRUE,IF(N200&lt;&gt;0,TRUE,FALSE))</f>
        <v>1</v>
      </c>
      <c r="O201" s="66" t="b">
        <f t="shared" ref="O201" si="146">IF(O202,TRUE,IF(O200&lt;&gt;0,TRUE,FALSE))</f>
        <v>1</v>
      </c>
      <c r="P201" s="66" t="b">
        <f t="shared" ref="P201" si="147">IF(P202,TRUE,IF(P200&lt;&gt;0,TRUE,FALSE))</f>
        <v>1</v>
      </c>
      <c r="Q201" s="66" t="b">
        <f t="shared" ref="Q201" si="148">IF(Q202,TRUE,IF(Q200&lt;&gt;0,TRUE,FALSE))</f>
        <v>1</v>
      </c>
      <c r="R201" s="66" t="b">
        <f t="shared" ref="R201" si="149">IF(R202,TRUE,IF(R200&lt;&gt;0,TRUE,FALSE))</f>
        <v>1</v>
      </c>
      <c r="S201" s="66" t="b">
        <f t="shared" ref="S201" si="150">IF(S202,TRUE,IF(S200&lt;&gt;0,TRUE,FALSE))</f>
        <v>1</v>
      </c>
      <c r="T201" s="66" t="b">
        <f t="shared" ref="T201" si="151">IF(T202,TRUE,IF(T200&lt;&gt;0,TRUE,FALSE))</f>
        <v>1</v>
      </c>
      <c r="U201" s="66" t="b">
        <f t="shared" ref="U201" si="152">IF(U202,TRUE,IF(U200&lt;&gt;0,TRUE,FALSE))</f>
        <v>1</v>
      </c>
      <c r="V201" s="66" t="b">
        <f t="shared" ref="V201" si="153">IF(V202,TRUE,IF(V200&lt;&gt;0,TRUE,FALSE))</f>
        <v>1</v>
      </c>
      <c r="W201" s="66" t="b">
        <f t="shared" ref="W201" si="154">IF(W202,TRUE,IF(W200&lt;&gt;0,TRUE,FALSE))</f>
        <v>1</v>
      </c>
      <c r="X201" s="66" t="b">
        <f t="shared" ref="X201" si="155">IF(X202,TRUE,IF(X200&lt;&gt;0,TRUE,FALSE))</f>
        <v>1</v>
      </c>
    </row>
    <row r="202" spans="2:24" x14ac:dyDescent="0.2">
      <c r="B202" t="s">
        <v>171</v>
      </c>
      <c r="C202" s="66" t="b">
        <f>C297</f>
        <v>1</v>
      </c>
      <c r="D202" s="66" t="b">
        <f t="shared" ref="D202:X202" si="156">D297</f>
        <v>1</v>
      </c>
      <c r="E202" s="66" t="b">
        <f t="shared" si="156"/>
        <v>1</v>
      </c>
      <c r="F202" s="66" t="b">
        <f t="shared" si="156"/>
        <v>1</v>
      </c>
      <c r="G202" s="66" t="b">
        <f t="shared" si="156"/>
        <v>1</v>
      </c>
      <c r="H202" s="66" t="b">
        <f t="shared" si="156"/>
        <v>1</v>
      </c>
      <c r="I202" s="66" t="b">
        <f t="shared" si="156"/>
        <v>1</v>
      </c>
      <c r="J202" s="66" t="b">
        <f t="shared" si="156"/>
        <v>1</v>
      </c>
      <c r="K202" s="66" t="b">
        <f t="shared" si="156"/>
        <v>1</v>
      </c>
      <c r="L202" s="66" t="b">
        <f t="shared" si="156"/>
        <v>1</v>
      </c>
      <c r="M202" s="66" t="b">
        <f t="shared" si="156"/>
        <v>1</v>
      </c>
      <c r="N202" s="66" t="b">
        <f t="shared" si="156"/>
        <v>1</v>
      </c>
      <c r="O202" s="66" t="b">
        <f t="shared" si="156"/>
        <v>1</v>
      </c>
      <c r="P202" s="66" t="b">
        <f t="shared" si="156"/>
        <v>1</v>
      </c>
      <c r="Q202" s="66" t="b">
        <f t="shared" si="156"/>
        <v>1</v>
      </c>
      <c r="R202" s="66" t="b">
        <f t="shared" si="156"/>
        <v>1</v>
      </c>
      <c r="S202" s="66" t="b">
        <f t="shared" si="156"/>
        <v>1</v>
      </c>
      <c r="T202" s="66" t="b">
        <f t="shared" si="156"/>
        <v>1</v>
      </c>
      <c r="U202" s="66" t="b">
        <f t="shared" si="156"/>
        <v>1</v>
      </c>
      <c r="V202" s="66" t="b">
        <f t="shared" si="156"/>
        <v>1</v>
      </c>
      <c r="W202" s="66" t="b">
        <f t="shared" si="156"/>
        <v>1</v>
      </c>
      <c r="X202" s="66" t="b">
        <f t="shared" si="156"/>
        <v>1</v>
      </c>
    </row>
    <row r="204" spans="2:24" x14ac:dyDescent="0.2">
      <c r="B204" s="43" t="s">
        <v>8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</row>
    <row r="206" spans="2:24" x14ac:dyDescent="0.2">
      <c r="B206" t="s">
        <v>50</v>
      </c>
      <c r="C206" s="41">
        <f>+C188</f>
        <v>0</v>
      </c>
      <c r="D206" s="41">
        <f t="shared" ref="D206:X206" si="157">+D188</f>
        <v>0</v>
      </c>
      <c r="E206" s="41">
        <f t="shared" si="157"/>
        <v>0</v>
      </c>
      <c r="F206" s="41">
        <f t="shared" si="157"/>
        <v>5.0000000000000036</v>
      </c>
      <c r="G206" s="41">
        <f t="shared" si="157"/>
        <v>15</v>
      </c>
      <c r="H206" s="41">
        <f t="shared" si="157"/>
        <v>25</v>
      </c>
      <c r="I206" s="41">
        <f t="shared" si="157"/>
        <v>35</v>
      </c>
      <c r="J206" s="41">
        <f t="shared" si="157"/>
        <v>45</v>
      </c>
      <c r="K206" s="41">
        <f t="shared" si="157"/>
        <v>55</v>
      </c>
      <c r="L206" s="41">
        <f t="shared" si="157"/>
        <v>65</v>
      </c>
      <c r="M206" s="41">
        <f t="shared" si="157"/>
        <v>75</v>
      </c>
      <c r="N206" s="41">
        <f t="shared" si="157"/>
        <v>85</v>
      </c>
      <c r="O206" s="41">
        <f t="shared" si="157"/>
        <v>95</v>
      </c>
      <c r="P206" s="41">
        <f t="shared" si="157"/>
        <v>105</v>
      </c>
      <c r="Q206" s="41">
        <f t="shared" si="157"/>
        <v>115</v>
      </c>
      <c r="R206" s="41">
        <f t="shared" si="157"/>
        <v>125</v>
      </c>
      <c r="S206" s="41">
        <f t="shared" si="157"/>
        <v>135</v>
      </c>
      <c r="T206" s="41">
        <f t="shared" si="157"/>
        <v>145</v>
      </c>
      <c r="U206" s="41">
        <f t="shared" si="157"/>
        <v>155</v>
      </c>
      <c r="V206" s="41">
        <f t="shared" si="157"/>
        <v>165</v>
      </c>
      <c r="W206" s="41">
        <f t="shared" si="157"/>
        <v>175</v>
      </c>
      <c r="X206" s="41">
        <f t="shared" si="157"/>
        <v>185</v>
      </c>
    </row>
    <row r="207" spans="2:24" x14ac:dyDescent="0.2">
      <c r="B207" t="s">
        <v>56</v>
      </c>
      <c r="C207" s="41">
        <f>MIN(C206,C220)</f>
        <v>0</v>
      </c>
      <c r="D207" s="41">
        <f t="shared" ref="D207" si="158">MIN(D206,D220)</f>
        <v>0</v>
      </c>
      <c r="E207" s="41">
        <f t="shared" ref="E207" si="159">MIN(E206,E220)</f>
        <v>0</v>
      </c>
      <c r="F207" s="41">
        <f t="shared" ref="F207" si="160">MIN(F206,F220)</f>
        <v>5.0000000000000036</v>
      </c>
      <c r="G207" s="41">
        <f t="shared" ref="G207" si="161">MIN(G206,G220)</f>
        <v>15</v>
      </c>
      <c r="H207" s="41">
        <f t="shared" ref="H207" si="162">MIN(H206,H220)</f>
        <v>23.999999999999996</v>
      </c>
      <c r="I207" s="41">
        <f t="shared" ref="I207" si="163">MIN(I206,I220)</f>
        <v>24</v>
      </c>
      <c r="J207" s="41">
        <f t="shared" ref="J207" si="164">MIN(J206,J220)</f>
        <v>24</v>
      </c>
      <c r="K207" s="41">
        <f t="shared" ref="K207" si="165">MIN(K206,K220)</f>
        <v>24</v>
      </c>
      <c r="L207" s="41">
        <f t="shared" ref="L207" si="166">MIN(L206,L220)</f>
        <v>24</v>
      </c>
      <c r="M207" s="41">
        <f t="shared" ref="M207" si="167">MIN(M206,M220)</f>
        <v>23.999999999999996</v>
      </c>
      <c r="N207" s="41">
        <f t="shared" ref="N207" si="168">MIN(N206,N220)</f>
        <v>24</v>
      </c>
      <c r="O207" s="41">
        <f t="shared" ref="O207" si="169">MIN(O206,O220)</f>
        <v>24</v>
      </c>
      <c r="P207" s="41">
        <f t="shared" ref="P207" si="170">MIN(P206,P220)</f>
        <v>24</v>
      </c>
      <c r="Q207" s="41">
        <f t="shared" ref="Q207" si="171">MIN(Q206,Q220)</f>
        <v>24</v>
      </c>
      <c r="R207" s="41">
        <f t="shared" ref="R207" si="172">MIN(R206,R220)</f>
        <v>24.000000000000004</v>
      </c>
      <c r="S207" s="41">
        <f t="shared" ref="S207" si="173">MIN(S206,S220)</f>
        <v>24</v>
      </c>
      <c r="T207" s="41">
        <f t="shared" ref="T207" si="174">MIN(T206,T220)</f>
        <v>24</v>
      </c>
      <c r="U207" s="41">
        <f t="shared" ref="U207" si="175">MIN(U206,U220)</f>
        <v>24</v>
      </c>
      <c r="V207" s="41">
        <f t="shared" ref="V207" si="176">MIN(V206,V220)</f>
        <v>24</v>
      </c>
      <c r="W207" s="41">
        <f t="shared" ref="W207" si="177">MIN(W206,W220)</f>
        <v>24</v>
      </c>
      <c r="X207" s="41">
        <f t="shared" ref="X207" si="178">MIN(X206,X220)</f>
        <v>24</v>
      </c>
    </row>
    <row r="208" spans="2:24" ht="13.5" thickBot="1" x14ac:dyDescent="0.25">
      <c r="B208" s="42" t="s">
        <v>57</v>
      </c>
      <c r="C208" s="45">
        <f>C206-C207</f>
        <v>0</v>
      </c>
      <c r="D208" s="45">
        <f t="shared" ref="D208" si="179">D206-D207</f>
        <v>0</v>
      </c>
      <c r="E208" s="45">
        <f t="shared" ref="E208" si="180">E206-E207</f>
        <v>0</v>
      </c>
      <c r="F208" s="45">
        <f t="shared" ref="F208" si="181">F206-F207</f>
        <v>0</v>
      </c>
      <c r="G208" s="45">
        <f t="shared" ref="G208" si="182">G206-G207</f>
        <v>0</v>
      </c>
      <c r="H208" s="45">
        <f t="shared" ref="H208" si="183">H206-H207</f>
        <v>1.0000000000000036</v>
      </c>
      <c r="I208" s="45">
        <f t="shared" ref="I208" si="184">I206-I207</f>
        <v>11</v>
      </c>
      <c r="J208" s="45">
        <f t="shared" ref="J208" si="185">J206-J207</f>
        <v>21</v>
      </c>
      <c r="K208" s="45">
        <f t="shared" ref="K208" si="186">K206-K207</f>
        <v>31</v>
      </c>
      <c r="L208" s="45">
        <f t="shared" ref="L208" si="187">L206-L207</f>
        <v>41</v>
      </c>
      <c r="M208" s="45">
        <f t="shared" ref="M208" si="188">M206-M207</f>
        <v>51</v>
      </c>
      <c r="N208" s="45">
        <f t="shared" ref="N208" si="189">N206-N207</f>
        <v>61</v>
      </c>
      <c r="O208" s="45">
        <f t="shared" ref="O208" si="190">O206-O207</f>
        <v>71</v>
      </c>
      <c r="P208" s="45">
        <f t="shared" ref="P208" si="191">P206-P207</f>
        <v>81</v>
      </c>
      <c r="Q208" s="45">
        <f t="shared" ref="Q208" si="192">Q206-Q207</f>
        <v>91</v>
      </c>
      <c r="R208" s="45">
        <f t="shared" ref="R208" si="193">R206-R207</f>
        <v>101</v>
      </c>
      <c r="S208" s="45">
        <f t="shared" ref="S208" si="194">S206-S207</f>
        <v>111</v>
      </c>
      <c r="T208" s="45">
        <f t="shared" ref="T208" si="195">T206-T207</f>
        <v>121</v>
      </c>
      <c r="U208" s="45">
        <f t="shared" ref="U208" si="196">U206-U207</f>
        <v>131</v>
      </c>
      <c r="V208" s="45">
        <f t="shared" ref="V208" si="197">V206-V207</f>
        <v>141</v>
      </c>
      <c r="W208" s="45">
        <f t="shared" ref="W208" si="198">W206-W207</f>
        <v>151</v>
      </c>
      <c r="X208" s="45">
        <f t="shared" ref="X208" si="199">X206-X207</f>
        <v>161</v>
      </c>
    </row>
    <row r="209" spans="2:24" ht="13.5" thickTop="1" x14ac:dyDescent="0.2"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</row>
    <row r="210" spans="2:24" ht="13.5" thickBot="1" x14ac:dyDescent="0.25">
      <c r="B210" s="48" t="s">
        <v>53</v>
      </c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spans="2:24" x14ac:dyDescent="0.2">
      <c r="B211" t="s">
        <v>91</v>
      </c>
      <c r="C211" s="41">
        <f>+C111</f>
        <v>4749.9620003039963</v>
      </c>
      <c r="D211" s="41">
        <f t="shared" ref="D211:X211" si="200">+D111</f>
        <v>83599.331205350347</v>
      </c>
      <c r="E211" s="41">
        <f t="shared" si="200"/>
        <v>41799.665602675173</v>
      </c>
      <c r="F211" s="41">
        <f t="shared" si="200"/>
        <v>27866.443735116787</v>
      </c>
      <c r="G211" s="41">
        <f t="shared" si="200"/>
        <v>20899.832801337587</v>
      </c>
      <c r="H211" s="41">
        <f t="shared" si="200"/>
        <v>16719.866241070071</v>
      </c>
      <c r="I211" s="41">
        <f t="shared" si="200"/>
        <v>13933.221867558394</v>
      </c>
      <c r="J211" s="41">
        <f t="shared" si="200"/>
        <v>11942.761600764337</v>
      </c>
      <c r="K211" s="41">
        <f t="shared" si="200"/>
        <v>10449.916400668793</v>
      </c>
      <c r="L211" s="41">
        <f t="shared" si="200"/>
        <v>9288.814578372263</v>
      </c>
      <c r="M211" s="41">
        <f t="shared" si="200"/>
        <v>8359.9331205350354</v>
      </c>
      <c r="N211" s="41">
        <f t="shared" si="200"/>
        <v>7599.9392004863957</v>
      </c>
      <c r="O211" s="41">
        <f t="shared" si="200"/>
        <v>6966.6109337791968</v>
      </c>
      <c r="P211" s="41">
        <f t="shared" si="200"/>
        <v>6430.7177850269509</v>
      </c>
      <c r="Q211" s="41">
        <f t="shared" si="200"/>
        <v>5971.3808003821687</v>
      </c>
      <c r="R211" s="41">
        <f t="shared" si="200"/>
        <v>5573.2887470233582</v>
      </c>
      <c r="S211" s="41">
        <f t="shared" si="200"/>
        <v>5224.9582003343967</v>
      </c>
      <c r="T211" s="41">
        <f t="shared" si="200"/>
        <v>4917.607717961786</v>
      </c>
      <c r="U211" s="41">
        <f t="shared" si="200"/>
        <v>4749.9620003039963</v>
      </c>
      <c r="V211" s="41">
        <f t="shared" si="200"/>
        <v>4749.9620003039963</v>
      </c>
      <c r="W211" s="41">
        <f t="shared" si="200"/>
        <v>4749.9620003039963</v>
      </c>
      <c r="X211" s="41">
        <f t="shared" si="200"/>
        <v>4749.9620003039963</v>
      </c>
    </row>
    <row r="212" spans="2:24" x14ac:dyDescent="0.2">
      <c r="B212" t="s">
        <v>51</v>
      </c>
      <c r="C212" s="41">
        <f>+C120</f>
        <v>0</v>
      </c>
      <c r="D212" s="41">
        <f>+D120</f>
        <v>191.38909090909092</v>
      </c>
      <c r="E212" s="41">
        <f>+E120</f>
        <v>382.77818181818185</v>
      </c>
      <c r="F212" s="41">
        <f>+F120</f>
        <v>574.16727272727269</v>
      </c>
      <c r="G212" s="41">
        <f>+G120</f>
        <v>765.5563636363637</v>
      </c>
      <c r="H212" s="41">
        <f>+H120</f>
        <v>956.94545454545448</v>
      </c>
      <c r="I212" s="41">
        <f>+I120</f>
        <v>1148.3345454545454</v>
      </c>
      <c r="J212" s="41">
        <f>+J120</f>
        <v>1339.7236363636364</v>
      </c>
      <c r="K212" s="41">
        <f>+K120</f>
        <v>1531.1127272727274</v>
      </c>
      <c r="L212" s="41">
        <f>+L120</f>
        <v>1722.501818181818</v>
      </c>
      <c r="M212" s="41">
        <f>+M120</f>
        <v>1913.890909090909</v>
      </c>
      <c r="N212" s="41">
        <f>+N120</f>
        <v>2105.2800000000002</v>
      </c>
      <c r="O212" s="41">
        <f>+O120</f>
        <v>2296.6690909090908</v>
      </c>
      <c r="P212" s="41">
        <f>+P120</f>
        <v>2488.0581818181818</v>
      </c>
      <c r="Q212" s="41">
        <f>+Q120</f>
        <v>2679.4472727272728</v>
      </c>
      <c r="R212" s="41">
        <f>+R120</f>
        <v>2870.8363636363633</v>
      </c>
      <c r="S212" s="41">
        <f>+S120</f>
        <v>3062.2254545454548</v>
      </c>
      <c r="T212" s="41">
        <f>+T120</f>
        <v>3253.6145454545454</v>
      </c>
      <c r="U212" s="41">
        <f>+U120</f>
        <v>3368.4480000000008</v>
      </c>
      <c r="V212" s="41">
        <f>+V120</f>
        <v>3368.4480000000008</v>
      </c>
      <c r="W212" s="41">
        <f>+W120</f>
        <v>3368.4480000000008</v>
      </c>
      <c r="X212" s="41">
        <f>+X120</f>
        <v>3368.4480000000008</v>
      </c>
    </row>
    <row r="213" spans="2:24" x14ac:dyDescent="0.2">
      <c r="B213" t="s">
        <v>49</v>
      </c>
      <c r="C213" s="50">
        <f>+'Dashboard &amp; Assump.'!$P$49</f>
        <v>1.5</v>
      </c>
      <c r="D213" s="50">
        <f>+'Dashboard &amp; Assump.'!$P$49</f>
        <v>1.5</v>
      </c>
      <c r="E213" s="50">
        <f>+'Dashboard &amp; Assump.'!$P$49</f>
        <v>1.5</v>
      </c>
      <c r="F213" s="50">
        <f>+'Dashboard &amp; Assump.'!$P$49</f>
        <v>1.5</v>
      </c>
      <c r="G213" s="50">
        <f>+'Dashboard &amp; Assump.'!$P$49</f>
        <v>1.5</v>
      </c>
      <c r="H213" s="50">
        <f>+'Dashboard &amp; Assump.'!$P$49</f>
        <v>1.5</v>
      </c>
      <c r="I213" s="50">
        <f>+'Dashboard &amp; Assump.'!$P$49</f>
        <v>1.5</v>
      </c>
      <c r="J213" s="50">
        <f>+'Dashboard &amp; Assump.'!$P$49</f>
        <v>1.5</v>
      </c>
      <c r="K213" s="50">
        <f>+'Dashboard &amp; Assump.'!$P$49</f>
        <v>1.5</v>
      </c>
      <c r="L213" s="50">
        <f>+'Dashboard &amp; Assump.'!$P$49</f>
        <v>1.5</v>
      </c>
      <c r="M213" s="50">
        <f>+'Dashboard &amp; Assump.'!$P$49</f>
        <v>1.5</v>
      </c>
      <c r="N213" s="50">
        <f>+'Dashboard &amp; Assump.'!$P$49</f>
        <v>1.5</v>
      </c>
      <c r="O213" s="50">
        <f>+'Dashboard &amp; Assump.'!$P$49</f>
        <v>1.5</v>
      </c>
      <c r="P213" s="50">
        <f>+'Dashboard &amp; Assump.'!$P$49</f>
        <v>1.5</v>
      </c>
      <c r="Q213" s="50">
        <f>+'Dashboard &amp; Assump.'!$P$49</f>
        <v>1.5</v>
      </c>
      <c r="R213" s="50">
        <f>+'Dashboard &amp; Assump.'!$P$49</f>
        <v>1.5</v>
      </c>
      <c r="S213" s="50">
        <f>+'Dashboard &amp; Assump.'!$P$49</f>
        <v>1.5</v>
      </c>
      <c r="T213" s="50">
        <f>+'Dashboard &amp; Assump.'!$P$49</f>
        <v>1.5</v>
      </c>
      <c r="U213" s="50">
        <f>+'Dashboard &amp; Assump.'!$P$49</f>
        <v>1.5</v>
      </c>
      <c r="V213" s="50">
        <f>+'Dashboard &amp; Assump.'!$P$49</f>
        <v>1.5</v>
      </c>
      <c r="W213" s="50">
        <f>+'Dashboard &amp; Assump.'!$P$49</f>
        <v>1.5</v>
      </c>
      <c r="X213" s="50">
        <f>+'Dashboard &amp; Assump.'!$P$49</f>
        <v>1.5</v>
      </c>
    </row>
    <row r="214" spans="2:24" x14ac:dyDescent="0.2">
      <c r="B214" t="s">
        <v>52</v>
      </c>
      <c r="C214" s="1">
        <f>C213*C212*C211/1000000</f>
        <v>0</v>
      </c>
      <c r="D214" s="1">
        <f t="shared" ref="D214" si="201">D213*D212*D211/1000000</f>
        <v>24</v>
      </c>
      <c r="E214" s="1">
        <f t="shared" ref="E214" si="202">E213*E212*E211/1000000</f>
        <v>24</v>
      </c>
      <c r="F214" s="1">
        <f t="shared" ref="F214" si="203">F213*F212*F211/1000000</f>
        <v>24</v>
      </c>
      <c r="G214" s="1">
        <f t="shared" ref="G214" si="204">G213*G212*G211/1000000</f>
        <v>24</v>
      </c>
      <c r="H214" s="1">
        <f t="shared" ref="H214" si="205">H213*H212*H211/1000000</f>
        <v>23.999999999999996</v>
      </c>
      <c r="I214" s="1">
        <f t="shared" ref="I214" si="206">I213*I212*I211/1000000</f>
        <v>24</v>
      </c>
      <c r="J214" s="1">
        <f t="shared" ref="J214" si="207">J213*J212*J211/1000000</f>
        <v>24</v>
      </c>
      <c r="K214" s="1">
        <f t="shared" ref="K214" si="208">K213*K212*K211/1000000</f>
        <v>24</v>
      </c>
      <c r="L214" s="1">
        <f t="shared" ref="L214" si="209">L213*L212*L211/1000000</f>
        <v>24</v>
      </c>
      <c r="M214" s="1">
        <f t="shared" ref="M214" si="210">M213*M212*M211/1000000</f>
        <v>23.999999999999996</v>
      </c>
      <c r="N214" s="1">
        <f t="shared" ref="N214" si="211">N213*N212*N211/1000000</f>
        <v>24</v>
      </c>
      <c r="O214" s="1">
        <f t="shared" ref="O214" si="212">O213*O212*O211/1000000</f>
        <v>24</v>
      </c>
      <c r="P214" s="1">
        <f t="shared" ref="P214" si="213">P213*P212*P211/1000000</f>
        <v>24</v>
      </c>
      <c r="Q214" s="1">
        <f t="shared" ref="Q214" si="214">Q213*Q212*Q211/1000000</f>
        <v>24</v>
      </c>
      <c r="R214" s="1">
        <f t="shared" ref="R214" si="215">R213*R212*R211/1000000</f>
        <v>24.000000000000004</v>
      </c>
      <c r="S214" s="1">
        <f t="shared" ref="S214" si="216">S213*S212*S211/1000000</f>
        <v>24</v>
      </c>
      <c r="T214" s="1">
        <f t="shared" ref="T214" si="217">T213*T212*T211/1000000</f>
        <v>24</v>
      </c>
      <c r="U214" s="1">
        <f t="shared" ref="U214" si="218">U213*U212*U211/1000000</f>
        <v>24</v>
      </c>
      <c r="V214" s="1">
        <f t="shared" ref="V214" si="219">V213*V212*V211/1000000</f>
        <v>24</v>
      </c>
      <c r="W214" s="1">
        <f t="shared" ref="W214" si="220">W213*W212*W211/1000000</f>
        <v>24</v>
      </c>
      <c r="X214" s="1">
        <f t="shared" ref="X214" si="221">X213*X212*X211/1000000</f>
        <v>24</v>
      </c>
    </row>
    <row r="215" spans="2:24" ht="13.5" thickBot="1" x14ac:dyDescent="0.25">
      <c r="B215" s="47" t="s">
        <v>54</v>
      </c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</row>
    <row r="216" spans="2:24" x14ac:dyDescent="0.2">
      <c r="B216" t="s">
        <v>91</v>
      </c>
      <c r="C216" s="40">
        <f>+C211</f>
        <v>4749.9620003039963</v>
      </c>
      <c r="D216" s="40">
        <f t="shared" ref="D216:X216" si="222">+D211</f>
        <v>83599.331205350347</v>
      </c>
      <c r="E216" s="40">
        <f t="shared" si="222"/>
        <v>41799.665602675173</v>
      </c>
      <c r="F216" s="40">
        <f t="shared" si="222"/>
        <v>27866.443735116787</v>
      </c>
      <c r="G216" s="40">
        <f t="shared" si="222"/>
        <v>20899.832801337587</v>
      </c>
      <c r="H216" s="40">
        <f t="shared" si="222"/>
        <v>16719.866241070071</v>
      </c>
      <c r="I216" s="40">
        <f t="shared" si="222"/>
        <v>13933.221867558394</v>
      </c>
      <c r="J216" s="40">
        <f t="shared" si="222"/>
        <v>11942.761600764337</v>
      </c>
      <c r="K216" s="40">
        <f t="shared" si="222"/>
        <v>10449.916400668793</v>
      </c>
      <c r="L216" s="40">
        <f t="shared" si="222"/>
        <v>9288.814578372263</v>
      </c>
      <c r="M216" s="40">
        <f t="shared" si="222"/>
        <v>8359.9331205350354</v>
      </c>
      <c r="N216" s="40">
        <f t="shared" si="222"/>
        <v>7599.9392004863957</v>
      </c>
      <c r="O216" s="40">
        <f t="shared" si="222"/>
        <v>6966.6109337791968</v>
      </c>
      <c r="P216" s="40">
        <f t="shared" si="222"/>
        <v>6430.7177850269509</v>
      </c>
      <c r="Q216" s="40">
        <f t="shared" si="222"/>
        <v>5971.3808003821687</v>
      </c>
      <c r="R216" s="40">
        <f t="shared" si="222"/>
        <v>5573.2887470233582</v>
      </c>
      <c r="S216" s="40">
        <f t="shared" si="222"/>
        <v>5224.9582003343967</v>
      </c>
      <c r="T216" s="40">
        <f t="shared" si="222"/>
        <v>4917.607717961786</v>
      </c>
      <c r="U216" s="40">
        <f t="shared" si="222"/>
        <v>4749.9620003039963</v>
      </c>
      <c r="V216" s="40">
        <f t="shared" si="222"/>
        <v>4749.9620003039963</v>
      </c>
      <c r="W216" s="40">
        <f t="shared" si="222"/>
        <v>4749.9620003039963</v>
      </c>
      <c r="X216" s="40">
        <f t="shared" si="222"/>
        <v>4749.9620003039963</v>
      </c>
    </row>
    <row r="217" spans="2:24" x14ac:dyDescent="0.2">
      <c r="B217" t="s">
        <v>48</v>
      </c>
      <c r="C217" s="40">
        <f>+C179</f>
        <v>0</v>
      </c>
      <c r="D217" s="40">
        <f>+D179</f>
        <v>191.38909090909092</v>
      </c>
      <c r="E217" s="40">
        <f>+E179</f>
        <v>382.77818181818185</v>
      </c>
      <c r="F217" s="40">
        <f>+F179</f>
        <v>574.16727272727269</v>
      </c>
      <c r="G217" s="40">
        <f>+G179</f>
        <v>765.5563636363637</v>
      </c>
      <c r="H217" s="40">
        <f>+H179</f>
        <v>956.94545454545448</v>
      </c>
      <c r="I217" s="40">
        <f>+I179</f>
        <v>1148.3345454545454</v>
      </c>
      <c r="J217" s="40">
        <f>+J179</f>
        <v>1339.7236363636364</v>
      </c>
      <c r="K217" s="40">
        <f>+K179</f>
        <v>1531.1127272727274</v>
      </c>
      <c r="L217" s="40">
        <f>+L179</f>
        <v>1722.501818181818</v>
      </c>
      <c r="M217" s="40">
        <f>+M179</f>
        <v>1913.890909090909</v>
      </c>
      <c r="N217" s="40">
        <f>+N179</f>
        <v>2105.2800000000002</v>
      </c>
      <c r="O217" s="40">
        <f>+O179</f>
        <v>2296.6690909090908</v>
      </c>
      <c r="P217" s="40">
        <f>+P179</f>
        <v>2488.0581818181818</v>
      </c>
      <c r="Q217" s="40">
        <f>+Q179</f>
        <v>2679.4472727272728</v>
      </c>
      <c r="R217" s="40">
        <f>+R179</f>
        <v>2870.8363636363633</v>
      </c>
      <c r="S217" s="40">
        <f>+S179</f>
        <v>3062.2254545454548</v>
      </c>
      <c r="T217" s="40">
        <f>+T179</f>
        <v>3253.6145454545454</v>
      </c>
      <c r="U217" s="40">
        <f>+U179</f>
        <v>3445.0036363636359</v>
      </c>
      <c r="V217" s="40">
        <f>+V179</f>
        <v>3636.3927272727274</v>
      </c>
      <c r="W217" s="40">
        <f>+W179</f>
        <v>3827.7818181818179</v>
      </c>
      <c r="X217" s="40">
        <f>+X179</f>
        <v>4019.1709090909094</v>
      </c>
    </row>
    <row r="218" spans="2:24" x14ac:dyDescent="0.2">
      <c r="B218" t="s">
        <v>55</v>
      </c>
      <c r="C218" s="1">
        <f>C217*C216/1000000</f>
        <v>0</v>
      </c>
      <c r="D218" s="1">
        <f t="shared" ref="D218" si="223">D217*D216/1000000</f>
        <v>16</v>
      </c>
      <c r="E218" s="1">
        <f t="shared" ref="E218" si="224">E217*E216/1000000</f>
        <v>16</v>
      </c>
      <c r="F218" s="1">
        <f t="shared" ref="F218" si="225">F217*F216/1000000</f>
        <v>16</v>
      </c>
      <c r="G218" s="1">
        <f t="shared" ref="G218" si="226">G217*G216/1000000</f>
        <v>16</v>
      </c>
      <c r="H218" s="1">
        <f t="shared" ref="H218" si="227">H217*H216/1000000</f>
        <v>15.999999999999998</v>
      </c>
      <c r="I218" s="1">
        <f t="shared" ref="I218" si="228">I217*I216/1000000</f>
        <v>16</v>
      </c>
      <c r="J218" s="1">
        <f t="shared" ref="J218" si="229">J217*J216/1000000</f>
        <v>16.000000000000004</v>
      </c>
      <c r="K218" s="1">
        <f t="shared" ref="K218" si="230">K217*K216/1000000</f>
        <v>16</v>
      </c>
      <c r="L218" s="1">
        <f t="shared" ref="L218" si="231">L217*L216/1000000</f>
        <v>16</v>
      </c>
      <c r="M218" s="1">
        <f t="shared" ref="M218" si="232">M217*M216/1000000</f>
        <v>15.999999999999998</v>
      </c>
      <c r="N218" s="1">
        <f t="shared" ref="N218" si="233">N217*N216/1000000</f>
        <v>16</v>
      </c>
      <c r="O218" s="1">
        <f t="shared" ref="O218" si="234">O217*O216/1000000</f>
        <v>16</v>
      </c>
      <c r="P218" s="1">
        <f t="shared" ref="P218" si="235">P217*P216/1000000</f>
        <v>16</v>
      </c>
      <c r="Q218" s="1">
        <f t="shared" ref="Q218" si="236">Q217*Q216/1000000</f>
        <v>16.000000000000004</v>
      </c>
      <c r="R218" s="1">
        <f t="shared" ref="R218" si="237">R217*R216/1000000</f>
        <v>16.000000000000004</v>
      </c>
      <c r="S218" s="1">
        <f t="shared" ref="S218" si="238">S217*S216/1000000</f>
        <v>16</v>
      </c>
      <c r="T218" s="1">
        <f t="shared" ref="T218" si="239">T217*T216/1000000</f>
        <v>16</v>
      </c>
      <c r="U218" s="1">
        <f t="shared" ref="U218" si="240">U217*U216/1000000</f>
        <v>16.363636363636356</v>
      </c>
      <c r="V218" s="1">
        <f t="shared" ref="V218" si="241">V217*V216/1000000</f>
        <v>17.27272727272727</v>
      </c>
      <c r="W218" s="1">
        <f t="shared" ref="W218" si="242">W217*W216/1000000</f>
        <v>18.181818181818176</v>
      </c>
      <c r="X218" s="1">
        <f t="shared" ref="X218" si="243">X217*X216/1000000</f>
        <v>19.090909090909086</v>
      </c>
    </row>
    <row r="220" spans="2:24" x14ac:dyDescent="0.2">
      <c r="B220" t="s">
        <v>172</v>
      </c>
      <c r="C220" s="41">
        <f>IF(C222,C214,IF(C214&gt;C218,C214,0))</f>
        <v>0</v>
      </c>
      <c r="D220" s="41">
        <f t="shared" ref="D220:X220" si="244">IF(D222,D214,IF(D214&gt;D218,D214,0))</f>
        <v>24</v>
      </c>
      <c r="E220" s="41">
        <f t="shared" si="244"/>
        <v>24</v>
      </c>
      <c r="F220" s="41">
        <f t="shared" si="244"/>
        <v>24</v>
      </c>
      <c r="G220" s="41">
        <f t="shared" si="244"/>
        <v>24</v>
      </c>
      <c r="H220" s="41">
        <f t="shared" si="244"/>
        <v>23.999999999999996</v>
      </c>
      <c r="I220" s="41">
        <f t="shared" si="244"/>
        <v>24</v>
      </c>
      <c r="J220" s="41">
        <f t="shared" si="244"/>
        <v>24</v>
      </c>
      <c r="K220" s="41">
        <f t="shared" si="244"/>
        <v>24</v>
      </c>
      <c r="L220" s="41">
        <f t="shared" si="244"/>
        <v>24</v>
      </c>
      <c r="M220" s="41">
        <f t="shared" si="244"/>
        <v>23.999999999999996</v>
      </c>
      <c r="N220" s="41">
        <f t="shared" si="244"/>
        <v>24</v>
      </c>
      <c r="O220" s="41">
        <f t="shared" si="244"/>
        <v>24</v>
      </c>
      <c r="P220" s="41">
        <f t="shared" si="244"/>
        <v>24</v>
      </c>
      <c r="Q220" s="41">
        <f t="shared" si="244"/>
        <v>24</v>
      </c>
      <c r="R220" s="41">
        <f t="shared" si="244"/>
        <v>24.000000000000004</v>
      </c>
      <c r="S220" s="41">
        <f t="shared" si="244"/>
        <v>24</v>
      </c>
      <c r="T220" s="41">
        <f t="shared" si="244"/>
        <v>24</v>
      </c>
      <c r="U220" s="41">
        <f t="shared" si="244"/>
        <v>24</v>
      </c>
      <c r="V220" s="41">
        <f t="shared" si="244"/>
        <v>24</v>
      </c>
      <c r="W220" s="41">
        <f t="shared" si="244"/>
        <v>24</v>
      </c>
      <c r="X220" s="41">
        <f t="shared" si="244"/>
        <v>24</v>
      </c>
    </row>
    <row r="221" spans="2:24" x14ac:dyDescent="0.2">
      <c r="B221" t="s">
        <v>173</v>
      </c>
      <c r="C221" s="66" t="b">
        <f>IF(C222,TRUE,IF(C220&lt;&gt;0,TRUE,FALSE))</f>
        <v>1</v>
      </c>
      <c r="D221" s="66" t="b">
        <f t="shared" ref="D221" si="245">IF(D222,TRUE,IF(D220&lt;&gt;0,TRUE,FALSE))</f>
        <v>1</v>
      </c>
      <c r="E221" s="66" t="b">
        <f t="shared" ref="E221" si="246">IF(E222,TRUE,IF(E220&lt;&gt;0,TRUE,FALSE))</f>
        <v>1</v>
      </c>
      <c r="F221" s="66" t="b">
        <f t="shared" ref="F221" si="247">IF(F222,TRUE,IF(F220&lt;&gt;0,TRUE,FALSE))</f>
        <v>1</v>
      </c>
      <c r="G221" s="66" t="b">
        <f t="shared" ref="G221" si="248">IF(G222,TRUE,IF(G220&lt;&gt;0,TRUE,FALSE))</f>
        <v>1</v>
      </c>
      <c r="H221" s="66" t="b">
        <f t="shared" ref="H221" si="249">IF(H222,TRUE,IF(H220&lt;&gt;0,TRUE,FALSE))</f>
        <v>1</v>
      </c>
      <c r="I221" s="66" t="b">
        <f t="shared" ref="I221" si="250">IF(I222,TRUE,IF(I220&lt;&gt;0,TRUE,FALSE))</f>
        <v>1</v>
      </c>
      <c r="J221" s="66" t="b">
        <f t="shared" ref="J221" si="251">IF(J222,TRUE,IF(J220&lt;&gt;0,TRUE,FALSE))</f>
        <v>1</v>
      </c>
      <c r="K221" s="66" t="b">
        <f t="shared" ref="K221" si="252">IF(K222,TRUE,IF(K220&lt;&gt;0,TRUE,FALSE))</f>
        <v>1</v>
      </c>
      <c r="L221" s="66" t="b">
        <f t="shared" ref="L221" si="253">IF(L222,TRUE,IF(L220&lt;&gt;0,TRUE,FALSE))</f>
        <v>1</v>
      </c>
      <c r="M221" s="66" t="b">
        <f t="shared" ref="M221" si="254">IF(M222,TRUE,IF(M220&lt;&gt;0,TRUE,FALSE))</f>
        <v>1</v>
      </c>
      <c r="N221" s="66" t="b">
        <f t="shared" ref="N221" si="255">IF(N222,TRUE,IF(N220&lt;&gt;0,TRUE,FALSE))</f>
        <v>1</v>
      </c>
      <c r="O221" s="66" t="b">
        <f t="shared" ref="O221" si="256">IF(O222,TRUE,IF(O220&lt;&gt;0,TRUE,FALSE))</f>
        <v>1</v>
      </c>
      <c r="P221" s="66" t="b">
        <f t="shared" ref="P221" si="257">IF(P222,TRUE,IF(P220&lt;&gt;0,TRUE,FALSE))</f>
        <v>1</v>
      </c>
      <c r="Q221" s="66" t="b">
        <f t="shared" ref="Q221" si="258">IF(Q222,TRUE,IF(Q220&lt;&gt;0,TRUE,FALSE))</f>
        <v>1</v>
      </c>
      <c r="R221" s="66" t="b">
        <f t="shared" ref="R221" si="259">IF(R222,TRUE,IF(R220&lt;&gt;0,TRUE,FALSE))</f>
        <v>1</v>
      </c>
      <c r="S221" s="66" t="b">
        <f t="shared" ref="S221" si="260">IF(S222,TRUE,IF(S220&lt;&gt;0,TRUE,FALSE))</f>
        <v>1</v>
      </c>
      <c r="T221" s="66" t="b">
        <f t="shared" ref="T221" si="261">IF(T222,TRUE,IF(T220&lt;&gt;0,TRUE,FALSE))</f>
        <v>1</v>
      </c>
      <c r="U221" s="66" t="b">
        <f t="shared" ref="U221" si="262">IF(U222,TRUE,IF(U220&lt;&gt;0,TRUE,FALSE))</f>
        <v>1</v>
      </c>
      <c r="V221" s="66" t="b">
        <f t="shared" ref="V221" si="263">IF(V222,TRUE,IF(V220&lt;&gt;0,TRUE,FALSE))</f>
        <v>1</v>
      </c>
      <c r="W221" s="66" t="b">
        <f t="shared" ref="W221" si="264">IF(W222,TRUE,IF(W220&lt;&gt;0,TRUE,FALSE))</f>
        <v>1</v>
      </c>
      <c r="X221" s="66" t="b">
        <f t="shared" ref="X221" si="265">IF(X222,TRUE,IF(X220&lt;&gt;0,TRUE,FALSE))</f>
        <v>1</v>
      </c>
    </row>
    <row r="222" spans="2:24" x14ac:dyDescent="0.2">
      <c r="B222" t="s">
        <v>171</v>
      </c>
      <c r="C222" s="66" t="b">
        <f>+C298</f>
        <v>1</v>
      </c>
      <c r="D222" s="66" t="b">
        <f t="shared" ref="D222:X222" si="266">+D298</f>
        <v>1</v>
      </c>
      <c r="E222" s="66" t="b">
        <f t="shared" si="266"/>
        <v>1</v>
      </c>
      <c r="F222" s="66" t="b">
        <f t="shared" si="266"/>
        <v>1</v>
      </c>
      <c r="G222" s="66" t="b">
        <f t="shared" si="266"/>
        <v>1</v>
      </c>
      <c r="H222" s="66" t="b">
        <f t="shared" si="266"/>
        <v>1</v>
      </c>
      <c r="I222" s="66" t="b">
        <f t="shared" si="266"/>
        <v>1</v>
      </c>
      <c r="J222" s="66" t="b">
        <f t="shared" si="266"/>
        <v>1</v>
      </c>
      <c r="K222" s="66" t="b">
        <f t="shared" si="266"/>
        <v>1</v>
      </c>
      <c r="L222" s="66" t="b">
        <f t="shared" si="266"/>
        <v>1</v>
      </c>
      <c r="M222" s="66" t="b">
        <f t="shared" si="266"/>
        <v>1</v>
      </c>
      <c r="N222" s="66" t="b">
        <f t="shared" si="266"/>
        <v>1</v>
      </c>
      <c r="O222" s="66" t="b">
        <f t="shared" si="266"/>
        <v>1</v>
      </c>
      <c r="P222" s="66" t="b">
        <f t="shared" si="266"/>
        <v>1</v>
      </c>
      <c r="Q222" s="66" t="b">
        <f t="shared" si="266"/>
        <v>1</v>
      </c>
      <c r="R222" s="66" t="b">
        <f t="shared" si="266"/>
        <v>1</v>
      </c>
      <c r="S222" s="66" t="b">
        <f t="shared" si="266"/>
        <v>1</v>
      </c>
      <c r="T222" s="66" t="b">
        <f t="shared" si="266"/>
        <v>1</v>
      </c>
      <c r="U222" s="66" t="b">
        <f t="shared" si="266"/>
        <v>1</v>
      </c>
      <c r="V222" s="66" t="b">
        <f t="shared" si="266"/>
        <v>1</v>
      </c>
      <c r="W222" s="66" t="b">
        <f t="shared" si="266"/>
        <v>1</v>
      </c>
      <c r="X222" s="66" t="b">
        <f t="shared" si="266"/>
        <v>1</v>
      </c>
    </row>
    <row r="224" spans="2:24" x14ac:dyDescent="0.2">
      <c r="B224" s="43" t="s">
        <v>7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</row>
    <row r="226" spans="2:24" x14ac:dyDescent="0.2">
      <c r="B226" t="s">
        <v>50</v>
      </c>
      <c r="C226" s="41">
        <f>+C208</f>
        <v>0</v>
      </c>
      <c r="D226" s="41">
        <f t="shared" ref="D226:X226" si="267">+D208</f>
        <v>0</v>
      </c>
      <c r="E226" s="41">
        <f t="shared" si="267"/>
        <v>0</v>
      </c>
      <c r="F226" s="41">
        <f t="shared" si="267"/>
        <v>0</v>
      </c>
      <c r="G226" s="41">
        <f t="shared" si="267"/>
        <v>0</v>
      </c>
      <c r="H226" s="41">
        <f t="shared" si="267"/>
        <v>1.0000000000000036</v>
      </c>
      <c r="I226" s="41">
        <f t="shared" si="267"/>
        <v>11</v>
      </c>
      <c r="J226" s="41">
        <f t="shared" si="267"/>
        <v>21</v>
      </c>
      <c r="K226" s="41">
        <f t="shared" si="267"/>
        <v>31</v>
      </c>
      <c r="L226" s="41">
        <f t="shared" si="267"/>
        <v>41</v>
      </c>
      <c r="M226" s="41">
        <f t="shared" si="267"/>
        <v>51</v>
      </c>
      <c r="N226" s="41">
        <f t="shared" si="267"/>
        <v>61</v>
      </c>
      <c r="O226" s="41">
        <f t="shared" si="267"/>
        <v>71</v>
      </c>
      <c r="P226" s="41">
        <f t="shared" si="267"/>
        <v>81</v>
      </c>
      <c r="Q226" s="41">
        <f t="shared" si="267"/>
        <v>91</v>
      </c>
      <c r="R226" s="41">
        <f t="shared" si="267"/>
        <v>101</v>
      </c>
      <c r="S226" s="41">
        <f t="shared" si="267"/>
        <v>111</v>
      </c>
      <c r="T226" s="41">
        <f t="shared" si="267"/>
        <v>121</v>
      </c>
      <c r="U226" s="41">
        <f t="shared" si="267"/>
        <v>131</v>
      </c>
      <c r="V226" s="41">
        <f t="shared" si="267"/>
        <v>141</v>
      </c>
      <c r="W226" s="41">
        <f t="shared" si="267"/>
        <v>151</v>
      </c>
      <c r="X226" s="41">
        <f t="shared" si="267"/>
        <v>161</v>
      </c>
    </row>
    <row r="227" spans="2:24" x14ac:dyDescent="0.2">
      <c r="B227" t="s">
        <v>56</v>
      </c>
      <c r="C227" s="41">
        <f>MIN(C226,C240)</f>
        <v>0</v>
      </c>
      <c r="D227" s="41">
        <f t="shared" ref="D227" si="268">MIN(D226,D240)</f>
        <v>0</v>
      </c>
      <c r="E227" s="41">
        <f t="shared" ref="E227" si="269">MIN(E226,E240)</f>
        <v>0</v>
      </c>
      <c r="F227" s="41">
        <f t="shared" ref="F227" si="270">MIN(F226,F240)</f>
        <v>0</v>
      </c>
      <c r="G227" s="41">
        <f t="shared" ref="G227" si="271">MIN(G226,G240)</f>
        <v>0</v>
      </c>
      <c r="H227" s="41">
        <f t="shared" ref="H227" si="272">MIN(H226,H240)</f>
        <v>1.0000000000000036</v>
      </c>
      <c r="I227" s="41">
        <f t="shared" ref="I227" si="273">MIN(I226,I240)</f>
        <v>11</v>
      </c>
      <c r="J227" s="41">
        <f t="shared" ref="J227" si="274">MIN(J226,J240)</f>
        <v>20</v>
      </c>
      <c r="K227" s="41">
        <f t="shared" ref="K227" si="275">MIN(K226,K240)</f>
        <v>20</v>
      </c>
      <c r="L227" s="41">
        <f t="shared" ref="L227" si="276">MIN(L226,L240)</f>
        <v>20</v>
      </c>
      <c r="M227" s="41">
        <f t="shared" ref="M227" si="277">MIN(M226,M240)</f>
        <v>20</v>
      </c>
      <c r="N227" s="41">
        <f t="shared" ref="N227" si="278">MIN(N226,N240)</f>
        <v>20</v>
      </c>
      <c r="O227" s="41">
        <f t="shared" ref="O227" si="279">MIN(O226,O240)</f>
        <v>20</v>
      </c>
      <c r="P227" s="41">
        <f t="shared" ref="P227" si="280">MIN(P226,P240)</f>
        <v>20</v>
      </c>
      <c r="Q227" s="41">
        <f t="shared" ref="Q227" si="281">MIN(Q226,Q240)</f>
        <v>20</v>
      </c>
      <c r="R227" s="41">
        <f t="shared" ref="R227" si="282">MIN(R226,R240)</f>
        <v>20</v>
      </c>
      <c r="S227" s="41">
        <f t="shared" ref="S227" si="283">MIN(S226,S240)</f>
        <v>20</v>
      </c>
      <c r="T227" s="41">
        <f t="shared" ref="T227" si="284">MIN(T226,T240)</f>
        <v>20</v>
      </c>
      <c r="U227" s="41">
        <f t="shared" ref="U227" si="285">MIN(U226,U240)</f>
        <v>20</v>
      </c>
      <c r="V227" s="41">
        <f t="shared" ref="V227" si="286">MIN(V226,V240)</f>
        <v>20</v>
      </c>
      <c r="W227" s="41">
        <f t="shared" ref="W227" si="287">MIN(W226,W240)</f>
        <v>20</v>
      </c>
      <c r="X227" s="41">
        <f t="shared" ref="X227" si="288">MIN(X226,X240)</f>
        <v>20</v>
      </c>
    </row>
    <row r="228" spans="2:24" ht="13.5" thickBot="1" x14ac:dyDescent="0.25">
      <c r="B228" s="42" t="s">
        <v>57</v>
      </c>
      <c r="C228" s="45">
        <f>C226-C227</f>
        <v>0</v>
      </c>
      <c r="D228" s="45">
        <f t="shared" ref="D228" si="289">D226-D227</f>
        <v>0</v>
      </c>
      <c r="E228" s="45">
        <f t="shared" ref="E228" si="290">E226-E227</f>
        <v>0</v>
      </c>
      <c r="F228" s="45">
        <f t="shared" ref="F228" si="291">F226-F227</f>
        <v>0</v>
      </c>
      <c r="G228" s="45">
        <f t="shared" ref="G228" si="292">G226-G227</f>
        <v>0</v>
      </c>
      <c r="H228" s="45">
        <f t="shared" ref="H228" si="293">H226-H227</f>
        <v>0</v>
      </c>
      <c r="I228" s="45">
        <f t="shared" ref="I228" si="294">I226-I227</f>
        <v>0</v>
      </c>
      <c r="J228" s="45">
        <f t="shared" ref="J228" si="295">J226-J227</f>
        <v>1</v>
      </c>
      <c r="K228" s="45">
        <f t="shared" ref="K228" si="296">K226-K227</f>
        <v>11</v>
      </c>
      <c r="L228" s="45">
        <f t="shared" ref="L228" si="297">L226-L227</f>
        <v>21</v>
      </c>
      <c r="M228" s="45">
        <f t="shared" ref="M228" si="298">M226-M227</f>
        <v>31</v>
      </c>
      <c r="N228" s="45">
        <f t="shared" ref="N228" si="299">N226-N227</f>
        <v>41</v>
      </c>
      <c r="O228" s="45">
        <f t="shared" ref="O228" si="300">O226-O227</f>
        <v>51</v>
      </c>
      <c r="P228" s="45">
        <f t="shared" ref="P228" si="301">P226-P227</f>
        <v>61</v>
      </c>
      <c r="Q228" s="45">
        <f t="shared" ref="Q228" si="302">Q226-Q227</f>
        <v>71</v>
      </c>
      <c r="R228" s="45">
        <f t="shared" ref="R228" si="303">R226-R227</f>
        <v>81</v>
      </c>
      <c r="S228" s="45">
        <f t="shared" ref="S228" si="304">S226-S227</f>
        <v>91</v>
      </c>
      <c r="T228" s="45">
        <f t="shared" ref="T228" si="305">T226-T227</f>
        <v>101</v>
      </c>
      <c r="U228" s="45">
        <f t="shared" ref="U228" si="306">U226-U227</f>
        <v>111</v>
      </c>
      <c r="V228" s="45">
        <f t="shared" ref="V228" si="307">V226-V227</f>
        <v>121</v>
      </c>
      <c r="W228" s="45">
        <f t="shared" ref="W228" si="308">W226-W227</f>
        <v>131</v>
      </c>
      <c r="X228" s="45">
        <f t="shared" ref="X228" si="309">X226-X227</f>
        <v>141</v>
      </c>
    </row>
    <row r="229" spans="2:24" ht="13.5" thickTop="1" x14ac:dyDescent="0.2"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</row>
    <row r="230" spans="2:24" ht="13.5" thickBot="1" x14ac:dyDescent="0.25">
      <c r="B230" s="48" t="s">
        <v>53</v>
      </c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spans="2:24" x14ac:dyDescent="0.2">
      <c r="B231" t="s">
        <v>91</v>
      </c>
      <c r="C231" s="41">
        <f>+C110</f>
        <v>5984.9521203830373</v>
      </c>
      <c r="D231" s="41">
        <f t="shared" ref="D231:X231" si="310">+D110</f>
        <v>52249.582003343967</v>
      </c>
      <c r="E231" s="41">
        <f t="shared" si="310"/>
        <v>26124.791001671983</v>
      </c>
      <c r="F231" s="41">
        <f t="shared" si="310"/>
        <v>17416.527334447994</v>
      </c>
      <c r="G231" s="41">
        <f t="shared" si="310"/>
        <v>13062.395500835992</v>
      </c>
      <c r="H231" s="41">
        <f t="shared" si="310"/>
        <v>10449.916400668795</v>
      </c>
      <c r="I231" s="41">
        <f t="shared" si="310"/>
        <v>8708.2636672239969</v>
      </c>
      <c r="J231" s="41">
        <f t="shared" si="310"/>
        <v>7464.2260004777099</v>
      </c>
      <c r="K231" s="41">
        <f t="shared" si="310"/>
        <v>6531.1977504179958</v>
      </c>
      <c r="L231" s="41">
        <f t="shared" si="310"/>
        <v>5984.9521203830373</v>
      </c>
      <c r="M231" s="41">
        <f t="shared" si="310"/>
        <v>5984.9521203830373</v>
      </c>
      <c r="N231" s="41">
        <f t="shared" si="310"/>
        <v>5984.9521203830373</v>
      </c>
      <c r="O231" s="41">
        <f t="shared" si="310"/>
        <v>5984.9521203830373</v>
      </c>
      <c r="P231" s="41">
        <f t="shared" si="310"/>
        <v>5984.9521203830373</v>
      </c>
      <c r="Q231" s="41">
        <f t="shared" si="310"/>
        <v>5984.9521203830373</v>
      </c>
      <c r="R231" s="41">
        <f t="shared" si="310"/>
        <v>5984.9521203830373</v>
      </c>
      <c r="S231" s="41">
        <f t="shared" si="310"/>
        <v>5984.9521203830373</v>
      </c>
      <c r="T231" s="41">
        <f t="shared" si="310"/>
        <v>5984.9521203830373</v>
      </c>
      <c r="U231" s="41">
        <f t="shared" si="310"/>
        <v>5984.9521203830373</v>
      </c>
      <c r="V231" s="41">
        <f t="shared" si="310"/>
        <v>5984.9521203830373</v>
      </c>
      <c r="W231" s="41">
        <f t="shared" si="310"/>
        <v>5984.9521203830373</v>
      </c>
      <c r="X231" s="41">
        <f t="shared" si="310"/>
        <v>5984.9521203830373</v>
      </c>
    </row>
    <row r="232" spans="2:24" x14ac:dyDescent="0.2">
      <c r="B232" t="s">
        <v>51</v>
      </c>
      <c r="C232" s="41">
        <f>+C119</f>
        <v>0</v>
      </c>
      <c r="D232" s="41">
        <f t="shared" ref="D232:X232" si="311">+D119</f>
        <v>191.38909090909092</v>
      </c>
      <c r="E232" s="41">
        <f t="shared" si="311"/>
        <v>382.77818181818185</v>
      </c>
      <c r="F232" s="41">
        <f t="shared" si="311"/>
        <v>574.16727272727269</v>
      </c>
      <c r="G232" s="41">
        <f t="shared" si="311"/>
        <v>765.5563636363637</v>
      </c>
      <c r="H232" s="41">
        <f t="shared" si="311"/>
        <v>956.94545454545448</v>
      </c>
      <c r="I232" s="41">
        <f t="shared" si="311"/>
        <v>1148.3345454545454</v>
      </c>
      <c r="J232" s="41">
        <f t="shared" si="311"/>
        <v>1339.7236363636364</v>
      </c>
      <c r="K232" s="41">
        <f t="shared" si="311"/>
        <v>1531.1127272727274</v>
      </c>
      <c r="L232" s="41">
        <f t="shared" si="311"/>
        <v>1670.8571428571427</v>
      </c>
      <c r="M232" s="41">
        <f t="shared" si="311"/>
        <v>1670.8571428571427</v>
      </c>
      <c r="N232" s="41">
        <f t="shared" si="311"/>
        <v>1670.8571428571427</v>
      </c>
      <c r="O232" s="41">
        <f t="shared" si="311"/>
        <v>1670.8571428571427</v>
      </c>
      <c r="P232" s="41">
        <f t="shared" si="311"/>
        <v>1670.8571428571427</v>
      </c>
      <c r="Q232" s="41">
        <f t="shared" si="311"/>
        <v>1670.8571428571427</v>
      </c>
      <c r="R232" s="41">
        <f t="shared" si="311"/>
        <v>1670.8571428571427</v>
      </c>
      <c r="S232" s="41">
        <f t="shared" si="311"/>
        <v>1670.8571428571427</v>
      </c>
      <c r="T232" s="41">
        <f t="shared" si="311"/>
        <v>1670.8571428571427</v>
      </c>
      <c r="U232" s="41">
        <f t="shared" si="311"/>
        <v>1670.8571428571427</v>
      </c>
      <c r="V232" s="41">
        <f t="shared" si="311"/>
        <v>1670.8571428571427</v>
      </c>
      <c r="W232" s="41">
        <f t="shared" si="311"/>
        <v>1670.8571428571427</v>
      </c>
      <c r="X232" s="41">
        <f t="shared" si="311"/>
        <v>1670.8571428571427</v>
      </c>
    </row>
    <row r="233" spans="2:24" x14ac:dyDescent="0.2">
      <c r="B233" t="s">
        <v>49</v>
      </c>
      <c r="C233" s="50">
        <f>+'Dashboard &amp; Assump.'!$P$48</f>
        <v>2</v>
      </c>
      <c r="D233" s="50">
        <f>+'Dashboard &amp; Assump.'!$P$48</f>
        <v>2</v>
      </c>
      <c r="E233" s="50">
        <f>+'Dashboard &amp; Assump.'!$P$48</f>
        <v>2</v>
      </c>
      <c r="F233" s="50">
        <f>+'Dashboard &amp; Assump.'!$P$48</f>
        <v>2</v>
      </c>
      <c r="G233" s="50">
        <f>+'Dashboard &amp; Assump.'!$P$48</f>
        <v>2</v>
      </c>
      <c r="H233" s="50">
        <f>+'Dashboard &amp; Assump.'!$P$48</f>
        <v>2</v>
      </c>
      <c r="I233" s="50">
        <f>+'Dashboard &amp; Assump.'!$P$48</f>
        <v>2</v>
      </c>
      <c r="J233" s="50">
        <f>+'Dashboard &amp; Assump.'!$P$48</f>
        <v>2</v>
      </c>
      <c r="K233" s="50">
        <f>+'Dashboard &amp; Assump.'!$P$48</f>
        <v>2</v>
      </c>
      <c r="L233" s="50">
        <f>+'Dashboard &amp; Assump.'!$P$48</f>
        <v>2</v>
      </c>
      <c r="M233" s="50">
        <f>+'Dashboard &amp; Assump.'!$P$48</f>
        <v>2</v>
      </c>
      <c r="N233" s="50">
        <f>+'Dashboard &amp; Assump.'!$P$48</f>
        <v>2</v>
      </c>
      <c r="O233" s="50">
        <f>+'Dashboard &amp; Assump.'!$P$48</f>
        <v>2</v>
      </c>
      <c r="P233" s="50">
        <f>+'Dashboard &amp; Assump.'!$P$48</f>
        <v>2</v>
      </c>
      <c r="Q233" s="50">
        <f>+'Dashboard &amp; Assump.'!$P$48</f>
        <v>2</v>
      </c>
      <c r="R233" s="50">
        <f>+'Dashboard &amp; Assump.'!$P$48</f>
        <v>2</v>
      </c>
      <c r="S233" s="50">
        <f>+'Dashboard &amp; Assump.'!$P$48</f>
        <v>2</v>
      </c>
      <c r="T233" s="50">
        <f>+'Dashboard &amp; Assump.'!$P$48</f>
        <v>2</v>
      </c>
      <c r="U233" s="50">
        <f>+'Dashboard &amp; Assump.'!$P$48</f>
        <v>2</v>
      </c>
      <c r="V233" s="50">
        <f>+'Dashboard &amp; Assump.'!$P$48</f>
        <v>2</v>
      </c>
      <c r="W233" s="50">
        <f>+'Dashboard &amp; Assump.'!$P$48</f>
        <v>2</v>
      </c>
      <c r="X233" s="50">
        <f>+'Dashboard &amp; Assump.'!$P$48</f>
        <v>2</v>
      </c>
    </row>
    <row r="234" spans="2:24" x14ac:dyDescent="0.2">
      <c r="B234" t="s">
        <v>52</v>
      </c>
      <c r="C234" s="1">
        <f>C233*C232*C231/1000000</f>
        <v>0</v>
      </c>
      <c r="D234" s="1">
        <f t="shared" ref="D234" si="312">D233*D232*D231/1000000</f>
        <v>20</v>
      </c>
      <c r="E234" s="1">
        <f t="shared" ref="E234" si="313">E233*E232*E231/1000000</f>
        <v>20</v>
      </c>
      <c r="F234" s="1">
        <f t="shared" ref="F234" si="314">F233*F232*F231/1000000</f>
        <v>20</v>
      </c>
      <c r="G234" s="1">
        <f t="shared" ref="G234" si="315">G233*G232*G231/1000000</f>
        <v>20</v>
      </c>
      <c r="H234" s="1">
        <f t="shared" ref="H234" si="316">H233*H232*H231/1000000</f>
        <v>20</v>
      </c>
      <c r="I234" s="1">
        <f t="shared" ref="I234" si="317">I233*I232*I231/1000000</f>
        <v>20</v>
      </c>
      <c r="J234" s="1">
        <f t="shared" ref="J234" si="318">J233*J232*J231/1000000</f>
        <v>20</v>
      </c>
      <c r="K234" s="1">
        <f t="shared" ref="K234" si="319">K233*K232*K231/1000000</f>
        <v>20</v>
      </c>
      <c r="L234" s="1">
        <f t="shared" ref="L234" si="320">L233*L232*L231/1000000</f>
        <v>20</v>
      </c>
      <c r="M234" s="1">
        <f t="shared" ref="M234" si="321">M233*M232*M231/1000000</f>
        <v>20</v>
      </c>
      <c r="N234" s="1">
        <f t="shared" ref="N234" si="322">N233*N232*N231/1000000</f>
        <v>20</v>
      </c>
      <c r="O234" s="1">
        <f t="shared" ref="O234" si="323">O233*O232*O231/1000000</f>
        <v>20</v>
      </c>
      <c r="P234" s="1">
        <f t="shared" ref="P234" si="324">P233*P232*P231/1000000</f>
        <v>20</v>
      </c>
      <c r="Q234" s="1">
        <f t="shared" ref="Q234" si="325">Q233*Q232*Q231/1000000</f>
        <v>20</v>
      </c>
      <c r="R234" s="1">
        <f t="shared" ref="R234" si="326">R233*R232*R231/1000000</f>
        <v>20</v>
      </c>
      <c r="S234" s="1">
        <f t="shared" ref="S234" si="327">S233*S232*S231/1000000</f>
        <v>20</v>
      </c>
      <c r="T234" s="1">
        <f t="shared" ref="T234" si="328">T233*T232*T231/1000000</f>
        <v>20</v>
      </c>
      <c r="U234" s="1">
        <f t="shared" ref="U234" si="329">U233*U232*U231/1000000</f>
        <v>20</v>
      </c>
      <c r="V234" s="1">
        <f t="shared" ref="V234" si="330">V233*V232*V231/1000000</f>
        <v>20</v>
      </c>
      <c r="W234" s="1">
        <f t="shared" ref="W234" si="331">W233*W232*W231/1000000</f>
        <v>20</v>
      </c>
      <c r="X234" s="1">
        <f t="shared" ref="X234" si="332">X233*X232*X231/1000000</f>
        <v>20</v>
      </c>
    </row>
    <row r="235" spans="2:24" ht="13.5" thickBot="1" x14ac:dyDescent="0.25">
      <c r="B235" s="47" t="s">
        <v>54</v>
      </c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</row>
    <row r="236" spans="2:24" x14ac:dyDescent="0.2">
      <c r="B236" t="s">
        <v>91</v>
      </c>
      <c r="C236" s="40">
        <f>+C231</f>
        <v>5984.9521203830373</v>
      </c>
      <c r="D236" s="40">
        <f t="shared" ref="D236:X236" si="333">+D231</f>
        <v>52249.582003343967</v>
      </c>
      <c r="E236" s="40">
        <f t="shared" si="333"/>
        <v>26124.791001671983</v>
      </c>
      <c r="F236" s="40">
        <f t="shared" si="333"/>
        <v>17416.527334447994</v>
      </c>
      <c r="G236" s="40">
        <f t="shared" si="333"/>
        <v>13062.395500835992</v>
      </c>
      <c r="H236" s="40">
        <f t="shared" si="333"/>
        <v>10449.916400668795</v>
      </c>
      <c r="I236" s="40">
        <f t="shared" si="333"/>
        <v>8708.2636672239969</v>
      </c>
      <c r="J236" s="40">
        <f t="shared" si="333"/>
        <v>7464.2260004777099</v>
      </c>
      <c r="K236" s="40">
        <f t="shared" si="333"/>
        <v>6531.1977504179958</v>
      </c>
      <c r="L236" s="40">
        <f t="shared" si="333"/>
        <v>5984.9521203830373</v>
      </c>
      <c r="M236" s="40">
        <f t="shared" si="333"/>
        <v>5984.9521203830373</v>
      </c>
      <c r="N236" s="40">
        <f t="shared" si="333"/>
        <v>5984.9521203830373</v>
      </c>
      <c r="O236" s="40">
        <f t="shared" si="333"/>
        <v>5984.9521203830373</v>
      </c>
      <c r="P236" s="40">
        <f t="shared" si="333"/>
        <v>5984.9521203830373</v>
      </c>
      <c r="Q236" s="40">
        <f t="shared" si="333"/>
        <v>5984.9521203830373</v>
      </c>
      <c r="R236" s="40">
        <f t="shared" si="333"/>
        <v>5984.9521203830373</v>
      </c>
      <c r="S236" s="40">
        <f t="shared" si="333"/>
        <v>5984.9521203830373</v>
      </c>
      <c r="T236" s="40">
        <f t="shared" si="333"/>
        <v>5984.9521203830373</v>
      </c>
      <c r="U236" s="40">
        <f t="shared" si="333"/>
        <v>5984.9521203830373</v>
      </c>
      <c r="V236" s="40">
        <f t="shared" si="333"/>
        <v>5984.9521203830373</v>
      </c>
      <c r="W236" s="40">
        <f t="shared" si="333"/>
        <v>5984.9521203830373</v>
      </c>
      <c r="X236" s="40">
        <f t="shared" si="333"/>
        <v>5984.9521203830373</v>
      </c>
    </row>
    <row r="237" spans="2:24" x14ac:dyDescent="0.2">
      <c r="B237" t="s">
        <v>48</v>
      </c>
      <c r="C237" s="40">
        <f>+C179</f>
        <v>0</v>
      </c>
      <c r="D237" s="40">
        <f>+D179</f>
        <v>191.38909090909092</v>
      </c>
      <c r="E237" s="40">
        <f>+E179</f>
        <v>382.77818181818185</v>
      </c>
      <c r="F237" s="40">
        <f>+F179</f>
        <v>574.16727272727269</v>
      </c>
      <c r="G237" s="40">
        <f>+G179</f>
        <v>765.5563636363637</v>
      </c>
      <c r="H237" s="40">
        <f>+H179</f>
        <v>956.94545454545448</v>
      </c>
      <c r="I237" s="40">
        <f>+I179</f>
        <v>1148.3345454545454</v>
      </c>
      <c r="J237" s="40">
        <f>+J179</f>
        <v>1339.7236363636364</v>
      </c>
      <c r="K237" s="40">
        <f>+K179</f>
        <v>1531.1127272727274</v>
      </c>
      <c r="L237" s="40">
        <f>+L179</f>
        <v>1722.501818181818</v>
      </c>
      <c r="M237" s="40">
        <f>+M179</f>
        <v>1913.890909090909</v>
      </c>
      <c r="N237" s="40">
        <f>+N179</f>
        <v>2105.2800000000002</v>
      </c>
      <c r="O237" s="40">
        <f>+O179</f>
        <v>2296.6690909090908</v>
      </c>
      <c r="P237" s="40">
        <f>+P179</f>
        <v>2488.0581818181818</v>
      </c>
      <c r="Q237" s="40">
        <f>+Q179</f>
        <v>2679.4472727272728</v>
      </c>
      <c r="R237" s="40">
        <f>+R179</f>
        <v>2870.8363636363633</v>
      </c>
      <c r="S237" s="40">
        <f>+S179</f>
        <v>3062.2254545454548</v>
      </c>
      <c r="T237" s="40">
        <f>+T179</f>
        <v>3253.6145454545454</v>
      </c>
      <c r="U237" s="40">
        <f>+U179</f>
        <v>3445.0036363636359</v>
      </c>
      <c r="V237" s="40">
        <f>+V179</f>
        <v>3636.3927272727274</v>
      </c>
      <c r="W237" s="40">
        <f>+W179</f>
        <v>3827.7818181818179</v>
      </c>
      <c r="X237" s="40">
        <f>+X179</f>
        <v>4019.1709090909094</v>
      </c>
    </row>
    <row r="238" spans="2:24" x14ac:dyDescent="0.2">
      <c r="B238" t="s">
        <v>55</v>
      </c>
      <c r="C238" s="1">
        <f>C237*C236/1000000</f>
        <v>0</v>
      </c>
      <c r="D238" s="1">
        <f t="shared" ref="D238" si="334">D237*D236/1000000</f>
        <v>10</v>
      </c>
      <c r="E238" s="1">
        <f t="shared" ref="E238" si="335">E237*E236/1000000</f>
        <v>10</v>
      </c>
      <c r="F238" s="1">
        <f t="shared" ref="F238" si="336">F237*F236/1000000</f>
        <v>10</v>
      </c>
      <c r="G238" s="1">
        <f t="shared" ref="G238" si="337">G237*G236/1000000</f>
        <v>10</v>
      </c>
      <c r="H238" s="1">
        <f t="shared" ref="H238" si="338">H237*H236/1000000</f>
        <v>10</v>
      </c>
      <c r="I238" s="1">
        <f t="shared" ref="I238" si="339">I237*I236/1000000</f>
        <v>10</v>
      </c>
      <c r="J238" s="1">
        <f t="shared" ref="J238" si="340">J237*J236/1000000</f>
        <v>10</v>
      </c>
      <c r="K238" s="1">
        <f t="shared" ref="K238" si="341">K237*K236/1000000</f>
        <v>10</v>
      </c>
      <c r="L238" s="1">
        <f t="shared" ref="L238" si="342">L237*L236/1000000</f>
        <v>10.309090909090909</v>
      </c>
      <c r="M238" s="1">
        <f t="shared" ref="M238" si="343">M237*M236/1000000</f>
        <v>11.454545454545455</v>
      </c>
      <c r="N238" s="1">
        <f t="shared" ref="N238" si="344">N237*N236/1000000</f>
        <v>12.600000000000001</v>
      </c>
      <c r="O238" s="1">
        <f t="shared" ref="O238" si="345">O237*O236/1000000</f>
        <v>13.745454545454544</v>
      </c>
      <c r="P238" s="1">
        <f t="shared" ref="P238" si="346">P237*P236/1000000</f>
        <v>14.890909090909092</v>
      </c>
      <c r="Q238" s="1">
        <f t="shared" ref="Q238" si="347">Q237*Q236/1000000</f>
        <v>16.036363636363635</v>
      </c>
      <c r="R238" s="1">
        <f t="shared" ref="R238" si="348">R237*R236/1000000</f>
        <v>17.18181818181818</v>
      </c>
      <c r="S238" s="1">
        <f t="shared" ref="S238" si="349">S237*S236/1000000</f>
        <v>18.327272727272732</v>
      </c>
      <c r="T238" s="1">
        <f t="shared" ref="T238" si="350">T237*T236/1000000</f>
        <v>19.472727272727273</v>
      </c>
      <c r="U238" s="1">
        <f t="shared" ref="U238" si="351">U237*U236/1000000</f>
        <v>20.618181818181817</v>
      </c>
      <c r="V238" s="1">
        <f t="shared" ref="V238" si="352">V237*V236/1000000</f>
        <v>21.763636363636365</v>
      </c>
      <c r="W238" s="1">
        <f t="shared" ref="W238" si="353">W237*W236/1000000</f>
        <v>22.90909090909091</v>
      </c>
      <c r="X238" s="1">
        <f t="shared" ref="X238" si="354">X237*X236/1000000</f>
        <v>24.054545454545458</v>
      </c>
    </row>
    <row r="240" spans="2:24" x14ac:dyDescent="0.2">
      <c r="B240" t="s">
        <v>172</v>
      </c>
      <c r="C240" s="41">
        <f>IF(C242,C234,IF(C234&gt;C238,C234,0))</f>
        <v>0</v>
      </c>
      <c r="D240" s="41">
        <f t="shared" ref="D240:X240" si="355">IF(D242,D234,IF(D234&gt;D238,D234,0))</f>
        <v>20</v>
      </c>
      <c r="E240" s="41">
        <f t="shared" si="355"/>
        <v>20</v>
      </c>
      <c r="F240" s="41">
        <f t="shared" si="355"/>
        <v>20</v>
      </c>
      <c r="G240" s="41">
        <f t="shared" si="355"/>
        <v>20</v>
      </c>
      <c r="H240" s="41">
        <f t="shared" si="355"/>
        <v>20</v>
      </c>
      <c r="I240" s="41">
        <f t="shared" si="355"/>
        <v>20</v>
      </c>
      <c r="J240" s="41">
        <f t="shared" si="355"/>
        <v>20</v>
      </c>
      <c r="K240" s="41">
        <f t="shared" si="355"/>
        <v>20</v>
      </c>
      <c r="L240" s="41">
        <f t="shared" si="355"/>
        <v>20</v>
      </c>
      <c r="M240" s="41">
        <f t="shared" si="355"/>
        <v>20</v>
      </c>
      <c r="N240" s="41">
        <f t="shared" si="355"/>
        <v>20</v>
      </c>
      <c r="O240" s="41">
        <f t="shared" si="355"/>
        <v>20</v>
      </c>
      <c r="P240" s="41">
        <f t="shared" si="355"/>
        <v>20</v>
      </c>
      <c r="Q240" s="41">
        <f t="shared" si="355"/>
        <v>20</v>
      </c>
      <c r="R240" s="41">
        <f t="shared" si="355"/>
        <v>20</v>
      </c>
      <c r="S240" s="41">
        <f t="shared" si="355"/>
        <v>20</v>
      </c>
      <c r="T240" s="41">
        <f t="shared" si="355"/>
        <v>20</v>
      </c>
      <c r="U240" s="41">
        <f t="shared" si="355"/>
        <v>20</v>
      </c>
      <c r="V240" s="41">
        <f t="shared" si="355"/>
        <v>20</v>
      </c>
      <c r="W240" s="41">
        <f t="shared" si="355"/>
        <v>20</v>
      </c>
      <c r="X240" s="41">
        <f t="shared" si="355"/>
        <v>20</v>
      </c>
    </row>
    <row r="241" spans="2:24" x14ac:dyDescent="0.2">
      <c r="B241" t="s">
        <v>173</v>
      </c>
      <c r="C241" s="66" t="b">
        <f>IF(C242,TRUE,IF(C240&lt;&gt;0,TRUE,FALSE))</f>
        <v>1</v>
      </c>
      <c r="D241" s="66" t="b">
        <f t="shared" ref="D241" si="356">IF(D242,TRUE,IF(D240&lt;&gt;0,TRUE,FALSE))</f>
        <v>1</v>
      </c>
      <c r="E241" s="66" t="b">
        <f t="shared" ref="E241" si="357">IF(E242,TRUE,IF(E240&lt;&gt;0,TRUE,FALSE))</f>
        <v>1</v>
      </c>
      <c r="F241" s="66" t="b">
        <f t="shared" ref="F241" si="358">IF(F242,TRUE,IF(F240&lt;&gt;0,TRUE,FALSE))</f>
        <v>1</v>
      </c>
      <c r="G241" s="66" t="b">
        <f t="shared" ref="G241" si="359">IF(G242,TRUE,IF(G240&lt;&gt;0,TRUE,FALSE))</f>
        <v>1</v>
      </c>
      <c r="H241" s="66" t="b">
        <f t="shared" ref="H241" si="360">IF(H242,TRUE,IF(H240&lt;&gt;0,TRUE,FALSE))</f>
        <v>1</v>
      </c>
      <c r="I241" s="66" t="b">
        <f t="shared" ref="I241" si="361">IF(I242,TRUE,IF(I240&lt;&gt;0,TRUE,FALSE))</f>
        <v>1</v>
      </c>
      <c r="J241" s="66" t="b">
        <f t="shared" ref="J241" si="362">IF(J242,TRUE,IF(J240&lt;&gt;0,TRUE,FALSE))</f>
        <v>1</v>
      </c>
      <c r="K241" s="66" t="b">
        <f t="shared" ref="K241" si="363">IF(K242,TRUE,IF(K240&lt;&gt;0,TRUE,FALSE))</f>
        <v>1</v>
      </c>
      <c r="L241" s="66" t="b">
        <f t="shared" ref="L241" si="364">IF(L242,TRUE,IF(L240&lt;&gt;0,TRUE,FALSE))</f>
        <v>1</v>
      </c>
      <c r="M241" s="66" t="b">
        <f t="shared" ref="M241" si="365">IF(M242,TRUE,IF(M240&lt;&gt;0,TRUE,FALSE))</f>
        <v>1</v>
      </c>
      <c r="N241" s="66" t="b">
        <f t="shared" ref="N241" si="366">IF(N242,TRUE,IF(N240&lt;&gt;0,TRUE,FALSE))</f>
        <v>1</v>
      </c>
      <c r="O241" s="66" t="b">
        <f t="shared" ref="O241" si="367">IF(O242,TRUE,IF(O240&lt;&gt;0,TRUE,FALSE))</f>
        <v>1</v>
      </c>
      <c r="P241" s="66" t="b">
        <f t="shared" ref="P241" si="368">IF(P242,TRUE,IF(P240&lt;&gt;0,TRUE,FALSE))</f>
        <v>1</v>
      </c>
      <c r="Q241" s="66" t="b">
        <f t="shared" ref="Q241" si="369">IF(Q242,TRUE,IF(Q240&lt;&gt;0,TRUE,FALSE))</f>
        <v>1</v>
      </c>
      <c r="R241" s="66" t="b">
        <f t="shared" ref="R241" si="370">IF(R242,TRUE,IF(R240&lt;&gt;0,TRUE,FALSE))</f>
        <v>1</v>
      </c>
      <c r="S241" s="66" t="b">
        <f t="shared" ref="S241" si="371">IF(S242,TRUE,IF(S240&lt;&gt;0,TRUE,FALSE))</f>
        <v>1</v>
      </c>
      <c r="T241" s="66" t="b">
        <f t="shared" ref="T241" si="372">IF(T242,TRUE,IF(T240&lt;&gt;0,TRUE,FALSE))</f>
        <v>1</v>
      </c>
      <c r="U241" s="66" t="b">
        <f t="shared" ref="U241" si="373">IF(U242,TRUE,IF(U240&lt;&gt;0,TRUE,FALSE))</f>
        <v>1</v>
      </c>
      <c r="V241" s="66" t="b">
        <f t="shared" ref="V241" si="374">IF(V242,TRUE,IF(V240&lt;&gt;0,TRUE,FALSE))</f>
        <v>1</v>
      </c>
      <c r="W241" s="66" t="b">
        <f t="shared" ref="W241" si="375">IF(W242,TRUE,IF(W240&lt;&gt;0,TRUE,FALSE))</f>
        <v>1</v>
      </c>
      <c r="X241" s="66" t="b">
        <f t="shared" ref="X241" si="376">IF(X242,TRUE,IF(X240&lt;&gt;0,TRUE,FALSE))</f>
        <v>1</v>
      </c>
    </row>
    <row r="242" spans="2:24" x14ac:dyDescent="0.2">
      <c r="B242" t="s">
        <v>171</v>
      </c>
      <c r="C242" s="66" t="b">
        <f>+C299</f>
        <v>1</v>
      </c>
      <c r="D242" s="66" t="b">
        <f t="shared" ref="D242:X242" si="377">+D299</f>
        <v>1</v>
      </c>
      <c r="E242" s="66" t="b">
        <f t="shared" si="377"/>
        <v>1</v>
      </c>
      <c r="F242" s="66" t="b">
        <f t="shared" si="377"/>
        <v>1</v>
      </c>
      <c r="G242" s="66" t="b">
        <f t="shared" si="377"/>
        <v>1</v>
      </c>
      <c r="H242" s="66" t="b">
        <f t="shared" si="377"/>
        <v>1</v>
      </c>
      <c r="I242" s="66" t="b">
        <f t="shared" si="377"/>
        <v>1</v>
      </c>
      <c r="J242" s="66" t="b">
        <f t="shared" si="377"/>
        <v>1</v>
      </c>
      <c r="K242" s="66" t="b">
        <f t="shared" si="377"/>
        <v>1</v>
      </c>
      <c r="L242" s="66" t="b">
        <f t="shared" si="377"/>
        <v>1</v>
      </c>
      <c r="M242" s="66" t="b">
        <f t="shared" si="377"/>
        <v>1</v>
      </c>
      <c r="N242" s="66" t="b">
        <f t="shared" si="377"/>
        <v>1</v>
      </c>
      <c r="O242" s="66" t="b">
        <f t="shared" si="377"/>
        <v>1</v>
      </c>
      <c r="P242" s="66" t="b">
        <f t="shared" si="377"/>
        <v>1</v>
      </c>
      <c r="Q242" s="66" t="b">
        <f t="shared" si="377"/>
        <v>1</v>
      </c>
      <c r="R242" s="66" t="b">
        <f t="shared" si="377"/>
        <v>1</v>
      </c>
      <c r="S242" s="66" t="b">
        <f t="shared" si="377"/>
        <v>1</v>
      </c>
      <c r="T242" s="66" t="b">
        <f t="shared" si="377"/>
        <v>1</v>
      </c>
      <c r="U242" s="66" t="b">
        <f t="shared" si="377"/>
        <v>1</v>
      </c>
      <c r="V242" s="66" t="b">
        <f t="shared" si="377"/>
        <v>1</v>
      </c>
      <c r="W242" s="66" t="b">
        <f t="shared" si="377"/>
        <v>1</v>
      </c>
      <c r="X242" s="66" t="b">
        <f t="shared" si="377"/>
        <v>1</v>
      </c>
    </row>
    <row r="244" spans="2:24" x14ac:dyDescent="0.2">
      <c r="B244" s="43" t="s">
        <v>6</v>
      </c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</row>
    <row r="246" spans="2:24" x14ac:dyDescent="0.2">
      <c r="B246" t="s">
        <v>50</v>
      </c>
      <c r="C246" s="41">
        <f>+C228</f>
        <v>0</v>
      </c>
      <c r="D246" s="41">
        <f t="shared" ref="D246:X246" si="378">+D228</f>
        <v>0</v>
      </c>
      <c r="E246" s="41">
        <f t="shared" si="378"/>
        <v>0</v>
      </c>
      <c r="F246" s="41">
        <f t="shared" si="378"/>
        <v>0</v>
      </c>
      <c r="G246" s="41">
        <f t="shared" si="378"/>
        <v>0</v>
      </c>
      <c r="H246" s="41">
        <f t="shared" si="378"/>
        <v>0</v>
      </c>
      <c r="I246" s="41">
        <f t="shared" si="378"/>
        <v>0</v>
      </c>
      <c r="J246" s="41">
        <f t="shared" si="378"/>
        <v>1</v>
      </c>
      <c r="K246" s="41">
        <f t="shared" si="378"/>
        <v>11</v>
      </c>
      <c r="L246" s="41">
        <f t="shared" si="378"/>
        <v>21</v>
      </c>
      <c r="M246" s="41">
        <f t="shared" si="378"/>
        <v>31</v>
      </c>
      <c r="N246" s="41">
        <f t="shared" si="378"/>
        <v>41</v>
      </c>
      <c r="O246" s="41">
        <f t="shared" si="378"/>
        <v>51</v>
      </c>
      <c r="P246" s="41">
        <f t="shared" si="378"/>
        <v>61</v>
      </c>
      <c r="Q246" s="41">
        <f t="shared" si="378"/>
        <v>71</v>
      </c>
      <c r="R246" s="41">
        <f t="shared" si="378"/>
        <v>81</v>
      </c>
      <c r="S246" s="41">
        <f t="shared" si="378"/>
        <v>91</v>
      </c>
      <c r="T246" s="41">
        <f t="shared" si="378"/>
        <v>101</v>
      </c>
      <c r="U246" s="41">
        <f t="shared" si="378"/>
        <v>111</v>
      </c>
      <c r="V246" s="41">
        <f t="shared" si="378"/>
        <v>121</v>
      </c>
      <c r="W246" s="41">
        <f t="shared" si="378"/>
        <v>131</v>
      </c>
      <c r="X246" s="41">
        <f t="shared" si="378"/>
        <v>141</v>
      </c>
    </row>
    <row r="247" spans="2:24" x14ac:dyDescent="0.2">
      <c r="B247" t="s">
        <v>56</v>
      </c>
      <c r="C247" s="41">
        <f>MIN(C246,C260)</f>
        <v>0</v>
      </c>
      <c r="D247" s="41">
        <f t="shared" ref="D247" si="379">MIN(D246,D260)</f>
        <v>0</v>
      </c>
      <c r="E247" s="41">
        <f t="shared" ref="E247" si="380">MIN(E246,E260)</f>
        <v>0</v>
      </c>
      <c r="F247" s="41">
        <f t="shared" ref="F247" si="381">MIN(F246,F260)</f>
        <v>0</v>
      </c>
      <c r="G247" s="41">
        <f t="shared" ref="G247" si="382">MIN(G246,G260)</f>
        <v>0</v>
      </c>
      <c r="H247" s="41">
        <f t="shared" ref="H247" si="383">MIN(H246,H260)</f>
        <v>0</v>
      </c>
      <c r="I247" s="41">
        <f t="shared" ref="I247" si="384">MIN(I246,I260)</f>
        <v>0</v>
      </c>
      <c r="J247" s="41">
        <f t="shared" ref="J247" si="385">MIN(J246,J260)</f>
        <v>1</v>
      </c>
      <c r="K247" s="41">
        <f t="shared" ref="K247" si="386">MIN(K246,K260)</f>
        <v>11</v>
      </c>
      <c r="L247" s="41">
        <f t="shared" ref="L247" si="387">MIN(L246,L260)</f>
        <v>12.500000000000002</v>
      </c>
      <c r="M247" s="41">
        <f t="shared" ref="M247" si="388">MIN(M246,M260)</f>
        <v>12.500000000000002</v>
      </c>
      <c r="N247" s="41">
        <f t="shared" ref="N247" si="389">MIN(N246,N260)</f>
        <v>12.500000000000002</v>
      </c>
      <c r="O247" s="41">
        <f t="shared" ref="O247" si="390">MIN(O246,O260)</f>
        <v>12.500000000000002</v>
      </c>
      <c r="P247" s="41">
        <f t="shared" ref="P247" si="391">MIN(P246,P260)</f>
        <v>12.500000000000002</v>
      </c>
      <c r="Q247" s="41">
        <f t="shared" ref="Q247" si="392">MIN(Q246,Q260)</f>
        <v>12.500000000000002</v>
      </c>
      <c r="R247" s="41">
        <f t="shared" ref="R247" si="393">MIN(R246,R260)</f>
        <v>12.500000000000002</v>
      </c>
      <c r="S247" s="41">
        <f t="shared" ref="S247" si="394">MIN(S246,S260)</f>
        <v>12.500000000000002</v>
      </c>
      <c r="T247" s="41">
        <f t="shared" ref="T247" si="395">MIN(T246,T260)</f>
        <v>12.500000000000002</v>
      </c>
      <c r="U247" s="41">
        <f t="shared" ref="U247" si="396">MIN(U246,U260)</f>
        <v>12.500000000000002</v>
      </c>
      <c r="V247" s="41">
        <f t="shared" ref="V247" si="397">MIN(V246,V260)</f>
        <v>12.500000000000002</v>
      </c>
      <c r="W247" s="41">
        <f t="shared" ref="W247" si="398">MIN(W246,W260)</f>
        <v>12.500000000000002</v>
      </c>
      <c r="X247" s="41">
        <f t="shared" ref="X247" si="399">MIN(X246,X260)</f>
        <v>12.500000000000002</v>
      </c>
    </row>
    <row r="248" spans="2:24" ht="13.5" thickBot="1" x14ac:dyDescent="0.25">
      <c r="B248" s="42" t="s">
        <v>57</v>
      </c>
      <c r="C248" s="45">
        <f>C246-C247</f>
        <v>0</v>
      </c>
      <c r="D248" s="45">
        <f t="shared" ref="D248" si="400">D246-D247</f>
        <v>0</v>
      </c>
      <c r="E248" s="45">
        <f t="shared" ref="E248" si="401">E246-E247</f>
        <v>0</v>
      </c>
      <c r="F248" s="45">
        <f t="shared" ref="F248" si="402">F246-F247</f>
        <v>0</v>
      </c>
      <c r="G248" s="45">
        <f t="shared" ref="G248" si="403">G246-G247</f>
        <v>0</v>
      </c>
      <c r="H248" s="45">
        <f t="shared" ref="H248" si="404">H246-H247</f>
        <v>0</v>
      </c>
      <c r="I248" s="45">
        <f t="shared" ref="I248" si="405">I246-I247</f>
        <v>0</v>
      </c>
      <c r="J248" s="45">
        <f t="shared" ref="J248" si="406">J246-J247</f>
        <v>0</v>
      </c>
      <c r="K248" s="45">
        <f t="shared" ref="K248" si="407">K246-K247</f>
        <v>0</v>
      </c>
      <c r="L248" s="45">
        <f t="shared" ref="L248" si="408">L246-L247</f>
        <v>8.4999999999999982</v>
      </c>
      <c r="M248" s="45">
        <f t="shared" ref="M248" si="409">M246-M247</f>
        <v>18.5</v>
      </c>
      <c r="N248" s="45">
        <f t="shared" ref="N248" si="410">N246-N247</f>
        <v>28.5</v>
      </c>
      <c r="O248" s="45">
        <f t="shared" ref="O248" si="411">O246-O247</f>
        <v>38.5</v>
      </c>
      <c r="P248" s="45">
        <f t="shared" ref="P248" si="412">P246-P247</f>
        <v>48.5</v>
      </c>
      <c r="Q248" s="45">
        <f t="shared" ref="Q248" si="413">Q246-Q247</f>
        <v>58.5</v>
      </c>
      <c r="R248" s="45">
        <f t="shared" ref="R248" si="414">R246-R247</f>
        <v>68.5</v>
      </c>
      <c r="S248" s="45">
        <f t="shared" ref="S248" si="415">S246-S247</f>
        <v>78.5</v>
      </c>
      <c r="T248" s="45">
        <f t="shared" ref="T248" si="416">T246-T247</f>
        <v>88.5</v>
      </c>
      <c r="U248" s="45">
        <f t="shared" ref="U248" si="417">U246-U247</f>
        <v>98.5</v>
      </c>
      <c r="V248" s="45">
        <f t="shared" ref="V248" si="418">V246-V247</f>
        <v>108.5</v>
      </c>
      <c r="W248" s="45">
        <f t="shared" ref="W248" si="419">W246-W247</f>
        <v>118.5</v>
      </c>
      <c r="X248" s="45">
        <f t="shared" ref="X248" si="420">X246-X247</f>
        <v>128.5</v>
      </c>
    </row>
    <row r="249" spans="2:24" ht="13.5" thickTop="1" x14ac:dyDescent="0.2"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</row>
    <row r="250" spans="2:24" ht="13.5" thickBot="1" x14ac:dyDescent="0.25">
      <c r="B250" s="48" t="s">
        <v>53</v>
      </c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spans="2:24" x14ac:dyDescent="0.2">
      <c r="B251" t="s">
        <v>91</v>
      </c>
      <c r="C251" s="41">
        <f>+C109</f>
        <v>5514.7058823529442</v>
      </c>
      <c r="D251" s="41">
        <f t="shared" ref="D251:X251" si="421">+D109</f>
        <v>26124.791001671983</v>
      </c>
      <c r="E251" s="41">
        <f t="shared" si="421"/>
        <v>13062.395500835992</v>
      </c>
      <c r="F251" s="41">
        <f t="shared" si="421"/>
        <v>8708.2636672239969</v>
      </c>
      <c r="G251" s="41">
        <f t="shared" si="421"/>
        <v>6531.1977504179958</v>
      </c>
      <c r="H251" s="41">
        <f t="shared" si="421"/>
        <v>5514.7058823529442</v>
      </c>
      <c r="I251" s="41">
        <f t="shared" si="421"/>
        <v>5514.7058823529442</v>
      </c>
      <c r="J251" s="41">
        <f t="shared" si="421"/>
        <v>5514.7058823529442</v>
      </c>
      <c r="K251" s="41">
        <f t="shared" si="421"/>
        <v>5514.7058823529442</v>
      </c>
      <c r="L251" s="41">
        <f t="shared" si="421"/>
        <v>5514.7058823529442</v>
      </c>
      <c r="M251" s="41">
        <f t="shared" si="421"/>
        <v>5514.7058823529442</v>
      </c>
      <c r="N251" s="41">
        <f t="shared" si="421"/>
        <v>5514.7058823529442</v>
      </c>
      <c r="O251" s="41">
        <f t="shared" si="421"/>
        <v>5514.7058823529442</v>
      </c>
      <c r="P251" s="41">
        <f t="shared" si="421"/>
        <v>5514.7058823529442</v>
      </c>
      <c r="Q251" s="41">
        <f t="shared" si="421"/>
        <v>5514.7058823529442</v>
      </c>
      <c r="R251" s="41">
        <f t="shared" si="421"/>
        <v>5514.7058823529442</v>
      </c>
      <c r="S251" s="41">
        <f t="shared" si="421"/>
        <v>5514.7058823529442</v>
      </c>
      <c r="T251" s="41">
        <f t="shared" si="421"/>
        <v>5514.7058823529442</v>
      </c>
      <c r="U251" s="41">
        <f t="shared" si="421"/>
        <v>5514.7058823529442</v>
      </c>
      <c r="V251" s="41">
        <f t="shared" si="421"/>
        <v>5514.7058823529442</v>
      </c>
      <c r="W251" s="41">
        <f t="shared" si="421"/>
        <v>5514.7058823529442</v>
      </c>
      <c r="X251" s="41">
        <f t="shared" si="421"/>
        <v>5514.7058823529442</v>
      </c>
    </row>
    <row r="252" spans="2:24" x14ac:dyDescent="0.2">
      <c r="B252" t="s">
        <v>51</v>
      </c>
      <c r="C252" s="41">
        <f>+C118</f>
        <v>0</v>
      </c>
      <c r="D252" s="41">
        <f t="shared" ref="D252:X252" si="422">+D118</f>
        <v>191.38909090909092</v>
      </c>
      <c r="E252" s="41">
        <f t="shared" si="422"/>
        <v>382.77818181818185</v>
      </c>
      <c r="F252" s="41">
        <f t="shared" si="422"/>
        <v>574.16727272727269</v>
      </c>
      <c r="G252" s="41">
        <f t="shared" si="422"/>
        <v>765.5563636363637</v>
      </c>
      <c r="H252" s="41">
        <f t="shared" si="422"/>
        <v>906.66666666666617</v>
      </c>
      <c r="I252" s="41">
        <f t="shared" si="422"/>
        <v>906.66666666666617</v>
      </c>
      <c r="J252" s="41">
        <f t="shared" si="422"/>
        <v>906.66666666666617</v>
      </c>
      <c r="K252" s="41">
        <f t="shared" si="422"/>
        <v>906.66666666666617</v>
      </c>
      <c r="L252" s="41">
        <f t="shared" si="422"/>
        <v>906.66666666666617</v>
      </c>
      <c r="M252" s="41">
        <f t="shared" si="422"/>
        <v>906.66666666666617</v>
      </c>
      <c r="N252" s="41">
        <f t="shared" si="422"/>
        <v>906.66666666666617</v>
      </c>
      <c r="O252" s="41">
        <f t="shared" si="422"/>
        <v>906.66666666666617</v>
      </c>
      <c r="P252" s="41">
        <f t="shared" si="422"/>
        <v>906.66666666666617</v>
      </c>
      <c r="Q252" s="41">
        <f t="shared" si="422"/>
        <v>906.66666666666617</v>
      </c>
      <c r="R252" s="41">
        <f t="shared" si="422"/>
        <v>906.66666666666617</v>
      </c>
      <c r="S252" s="41">
        <f t="shared" si="422"/>
        <v>906.66666666666617</v>
      </c>
      <c r="T252" s="41">
        <f t="shared" si="422"/>
        <v>906.66666666666617</v>
      </c>
      <c r="U252" s="41">
        <f t="shared" si="422"/>
        <v>906.66666666666617</v>
      </c>
      <c r="V252" s="41">
        <f t="shared" si="422"/>
        <v>906.66666666666617</v>
      </c>
      <c r="W252" s="41">
        <f t="shared" si="422"/>
        <v>906.66666666666617</v>
      </c>
      <c r="X252" s="41">
        <f t="shared" si="422"/>
        <v>906.66666666666617</v>
      </c>
    </row>
    <row r="253" spans="2:24" x14ac:dyDescent="0.2">
      <c r="B253" t="s">
        <v>49</v>
      </c>
      <c r="C253" s="50">
        <f>+'Dashboard &amp; Assump.'!$P$47</f>
        <v>2.5</v>
      </c>
      <c r="D253" s="50">
        <f>+'Dashboard &amp; Assump.'!$P$47</f>
        <v>2.5</v>
      </c>
      <c r="E253" s="50">
        <f>+'Dashboard &amp; Assump.'!$P$47</f>
        <v>2.5</v>
      </c>
      <c r="F253" s="50">
        <f>+'Dashboard &amp; Assump.'!$P$47</f>
        <v>2.5</v>
      </c>
      <c r="G253" s="50">
        <f>+'Dashboard &amp; Assump.'!$P$47</f>
        <v>2.5</v>
      </c>
      <c r="H253" s="50">
        <f>+'Dashboard &amp; Assump.'!$P$47</f>
        <v>2.5</v>
      </c>
      <c r="I253" s="50">
        <f>+'Dashboard &amp; Assump.'!$P$47</f>
        <v>2.5</v>
      </c>
      <c r="J253" s="50">
        <f>+'Dashboard &amp; Assump.'!$P$47</f>
        <v>2.5</v>
      </c>
      <c r="K253" s="50">
        <f>+'Dashboard &amp; Assump.'!$P$47</f>
        <v>2.5</v>
      </c>
      <c r="L253" s="50">
        <f>+'Dashboard &amp; Assump.'!$P$47</f>
        <v>2.5</v>
      </c>
      <c r="M253" s="50">
        <f>+'Dashboard &amp; Assump.'!$P$47</f>
        <v>2.5</v>
      </c>
      <c r="N253" s="50">
        <f>+'Dashboard &amp; Assump.'!$P$47</f>
        <v>2.5</v>
      </c>
      <c r="O253" s="50">
        <f>+'Dashboard &amp; Assump.'!$P$47</f>
        <v>2.5</v>
      </c>
      <c r="P253" s="50">
        <f>+'Dashboard &amp; Assump.'!$P$47</f>
        <v>2.5</v>
      </c>
      <c r="Q253" s="50">
        <f>+'Dashboard &amp; Assump.'!$P$47</f>
        <v>2.5</v>
      </c>
      <c r="R253" s="50">
        <f>+'Dashboard &amp; Assump.'!$P$47</f>
        <v>2.5</v>
      </c>
      <c r="S253" s="50">
        <f>+'Dashboard &amp; Assump.'!$P$47</f>
        <v>2.5</v>
      </c>
      <c r="T253" s="50">
        <f>+'Dashboard &amp; Assump.'!$P$47</f>
        <v>2.5</v>
      </c>
      <c r="U253" s="50">
        <f>+'Dashboard &amp; Assump.'!$P$47</f>
        <v>2.5</v>
      </c>
      <c r="V253" s="50">
        <f>+'Dashboard &amp; Assump.'!$P$47</f>
        <v>2.5</v>
      </c>
      <c r="W253" s="50">
        <f>+'Dashboard &amp; Assump.'!$P$47</f>
        <v>2.5</v>
      </c>
      <c r="X253" s="50">
        <f>+'Dashboard &amp; Assump.'!$P$47</f>
        <v>2.5</v>
      </c>
    </row>
    <row r="254" spans="2:24" x14ac:dyDescent="0.2">
      <c r="B254" t="s">
        <v>52</v>
      </c>
      <c r="C254" s="1">
        <f>C253*C252*C251/1000000</f>
        <v>0</v>
      </c>
      <c r="D254" s="1">
        <f t="shared" ref="D254" si="423">D253*D252*D251/1000000</f>
        <v>12.5</v>
      </c>
      <c r="E254" s="1">
        <f t="shared" ref="E254" si="424">E253*E252*E251/1000000</f>
        <v>12.5</v>
      </c>
      <c r="F254" s="1">
        <f t="shared" ref="F254" si="425">F253*F252*F251/1000000</f>
        <v>12.5</v>
      </c>
      <c r="G254" s="1">
        <f t="shared" ref="G254" si="426">G253*G252*G251/1000000</f>
        <v>12.5</v>
      </c>
      <c r="H254" s="1">
        <f t="shared" ref="H254" si="427">H253*H252*H251/1000000</f>
        <v>12.500000000000002</v>
      </c>
      <c r="I254" s="1">
        <f t="shared" ref="I254" si="428">I253*I252*I251/1000000</f>
        <v>12.500000000000002</v>
      </c>
      <c r="J254" s="1">
        <f t="shared" ref="J254" si="429">J253*J252*J251/1000000</f>
        <v>12.500000000000002</v>
      </c>
      <c r="K254" s="1">
        <f t="shared" ref="K254" si="430">K253*K252*K251/1000000</f>
        <v>12.500000000000002</v>
      </c>
      <c r="L254" s="1">
        <f t="shared" ref="L254" si="431">L253*L252*L251/1000000</f>
        <v>12.500000000000002</v>
      </c>
      <c r="M254" s="1">
        <f t="shared" ref="M254" si="432">M253*M252*M251/1000000</f>
        <v>12.500000000000002</v>
      </c>
      <c r="N254" s="1">
        <f t="shared" ref="N254" si="433">N253*N252*N251/1000000</f>
        <v>12.500000000000002</v>
      </c>
      <c r="O254" s="1">
        <f t="shared" ref="O254" si="434">O253*O252*O251/1000000</f>
        <v>12.500000000000002</v>
      </c>
      <c r="P254" s="1">
        <f t="shared" ref="P254" si="435">P253*P252*P251/1000000</f>
        <v>12.500000000000002</v>
      </c>
      <c r="Q254" s="1">
        <f t="shared" ref="Q254" si="436">Q253*Q252*Q251/1000000</f>
        <v>12.500000000000002</v>
      </c>
      <c r="R254" s="1">
        <f t="shared" ref="R254" si="437">R253*R252*R251/1000000</f>
        <v>12.500000000000002</v>
      </c>
      <c r="S254" s="1">
        <f t="shared" ref="S254" si="438">S253*S252*S251/1000000</f>
        <v>12.500000000000002</v>
      </c>
      <c r="T254" s="1">
        <f t="shared" ref="T254" si="439">T253*T252*T251/1000000</f>
        <v>12.500000000000002</v>
      </c>
      <c r="U254" s="1">
        <f t="shared" ref="U254" si="440">U253*U252*U251/1000000</f>
        <v>12.500000000000002</v>
      </c>
      <c r="V254" s="1">
        <f t="shared" ref="V254" si="441">V253*V252*V251/1000000</f>
        <v>12.500000000000002</v>
      </c>
      <c r="W254" s="1">
        <f t="shared" ref="W254" si="442">W253*W252*W251/1000000</f>
        <v>12.500000000000002</v>
      </c>
      <c r="X254" s="1">
        <f t="shared" ref="X254" si="443">X253*X252*X251/1000000</f>
        <v>12.500000000000002</v>
      </c>
    </row>
    <row r="255" spans="2:24" ht="13.5" thickBot="1" x14ac:dyDescent="0.25">
      <c r="B255" s="47" t="s">
        <v>54</v>
      </c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</row>
    <row r="256" spans="2:24" x14ac:dyDescent="0.2">
      <c r="B256" t="s">
        <v>91</v>
      </c>
      <c r="C256" s="40">
        <f>+C251</f>
        <v>5514.7058823529442</v>
      </c>
      <c r="D256" s="40">
        <f t="shared" ref="D256:X256" si="444">+D251</f>
        <v>26124.791001671983</v>
      </c>
      <c r="E256" s="40">
        <f t="shared" si="444"/>
        <v>13062.395500835992</v>
      </c>
      <c r="F256" s="40">
        <f t="shared" si="444"/>
        <v>8708.2636672239969</v>
      </c>
      <c r="G256" s="40">
        <f t="shared" si="444"/>
        <v>6531.1977504179958</v>
      </c>
      <c r="H256" s="40">
        <f t="shared" si="444"/>
        <v>5514.7058823529442</v>
      </c>
      <c r="I256" s="40">
        <f t="shared" si="444"/>
        <v>5514.7058823529442</v>
      </c>
      <c r="J256" s="40">
        <f t="shared" si="444"/>
        <v>5514.7058823529442</v>
      </c>
      <c r="K256" s="40">
        <f t="shared" si="444"/>
        <v>5514.7058823529442</v>
      </c>
      <c r="L256" s="40">
        <f t="shared" si="444"/>
        <v>5514.7058823529442</v>
      </c>
      <c r="M256" s="40">
        <f t="shared" si="444"/>
        <v>5514.7058823529442</v>
      </c>
      <c r="N256" s="40">
        <f t="shared" si="444"/>
        <v>5514.7058823529442</v>
      </c>
      <c r="O256" s="40">
        <f t="shared" si="444"/>
        <v>5514.7058823529442</v>
      </c>
      <c r="P256" s="40">
        <f t="shared" si="444"/>
        <v>5514.7058823529442</v>
      </c>
      <c r="Q256" s="40">
        <f t="shared" si="444"/>
        <v>5514.7058823529442</v>
      </c>
      <c r="R256" s="40">
        <f t="shared" si="444"/>
        <v>5514.7058823529442</v>
      </c>
      <c r="S256" s="40">
        <f t="shared" si="444"/>
        <v>5514.7058823529442</v>
      </c>
      <c r="T256" s="40">
        <f t="shared" si="444"/>
        <v>5514.7058823529442</v>
      </c>
      <c r="U256" s="40">
        <f t="shared" si="444"/>
        <v>5514.7058823529442</v>
      </c>
      <c r="V256" s="40">
        <f t="shared" si="444"/>
        <v>5514.7058823529442</v>
      </c>
      <c r="W256" s="40">
        <f t="shared" si="444"/>
        <v>5514.7058823529442</v>
      </c>
      <c r="X256" s="40">
        <f t="shared" si="444"/>
        <v>5514.7058823529442</v>
      </c>
    </row>
    <row r="257" spans="2:24" x14ac:dyDescent="0.2">
      <c r="B257" t="s">
        <v>48</v>
      </c>
      <c r="C257" s="40">
        <f>+C179</f>
        <v>0</v>
      </c>
      <c r="D257" s="40">
        <f>+D179</f>
        <v>191.38909090909092</v>
      </c>
      <c r="E257" s="40">
        <f>+E179</f>
        <v>382.77818181818185</v>
      </c>
      <c r="F257" s="40">
        <f>+F179</f>
        <v>574.16727272727269</v>
      </c>
      <c r="G257" s="40">
        <f>+G179</f>
        <v>765.5563636363637</v>
      </c>
      <c r="H257" s="40">
        <f>+H179</f>
        <v>956.94545454545448</v>
      </c>
      <c r="I257" s="40">
        <f>+I179</f>
        <v>1148.3345454545454</v>
      </c>
      <c r="J257" s="40">
        <f>+J179</f>
        <v>1339.7236363636364</v>
      </c>
      <c r="K257" s="40">
        <f>+K179</f>
        <v>1531.1127272727274</v>
      </c>
      <c r="L257" s="40">
        <f>+L179</f>
        <v>1722.501818181818</v>
      </c>
      <c r="M257" s="40">
        <f>+M179</f>
        <v>1913.890909090909</v>
      </c>
      <c r="N257" s="40">
        <f>+N179</f>
        <v>2105.2800000000002</v>
      </c>
      <c r="O257" s="40">
        <f>+O179</f>
        <v>2296.6690909090908</v>
      </c>
      <c r="P257" s="40">
        <f>+P179</f>
        <v>2488.0581818181818</v>
      </c>
      <c r="Q257" s="40">
        <f>+Q179</f>
        <v>2679.4472727272728</v>
      </c>
      <c r="R257" s="40">
        <f>+R179</f>
        <v>2870.8363636363633</v>
      </c>
      <c r="S257" s="40">
        <f>+S179</f>
        <v>3062.2254545454548</v>
      </c>
      <c r="T257" s="40">
        <f>+T179</f>
        <v>3253.6145454545454</v>
      </c>
      <c r="U257" s="40">
        <f>+U179</f>
        <v>3445.0036363636359</v>
      </c>
      <c r="V257" s="40">
        <f>+V179</f>
        <v>3636.3927272727274</v>
      </c>
      <c r="W257" s="40">
        <f>+W179</f>
        <v>3827.7818181818179</v>
      </c>
      <c r="X257" s="40">
        <f>+X179</f>
        <v>4019.1709090909094</v>
      </c>
    </row>
    <row r="258" spans="2:24" x14ac:dyDescent="0.2">
      <c r="B258" t="s">
        <v>55</v>
      </c>
      <c r="C258" s="1">
        <f>C257*C256/1000000</f>
        <v>0</v>
      </c>
      <c r="D258" s="1">
        <f t="shared" ref="D258" si="445">D257*D256/1000000</f>
        <v>5</v>
      </c>
      <c r="E258" s="1">
        <f t="shared" ref="E258" si="446">E257*E256/1000000</f>
        <v>5</v>
      </c>
      <c r="F258" s="1">
        <f t="shared" ref="F258" si="447">F257*F256/1000000</f>
        <v>5</v>
      </c>
      <c r="G258" s="1">
        <f t="shared" ref="G258" si="448">G257*G256/1000000</f>
        <v>5</v>
      </c>
      <c r="H258" s="1">
        <f t="shared" ref="H258" si="449">H257*H256/1000000</f>
        <v>5.2772727272727291</v>
      </c>
      <c r="I258" s="1">
        <f t="shared" ref="I258" si="450">I257*I256/1000000</f>
        <v>6.3327272727272765</v>
      </c>
      <c r="J258" s="1">
        <f t="shared" ref="J258" si="451">J257*J256/1000000</f>
        <v>7.3881818181818222</v>
      </c>
      <c r="K258" s="1">
        <f t="shared" ref="K258" si="452">K257*K256/1000000</f>
        <v>8.4436363636363687</v>
      </c>
      <c r="L258" s="1">
        <f t="shared" ref="L258" si="453">L257*L256/1000000</f>
        <v>9.4990909090909135</v>
      </c>
      <c r="M258" s="1">
        <f t="shared" ref="M258" si="454">M257*M256/1000000</f>
        <v>10.554545454545458</v>
      </c>
      <c r="N258" s="1">
        <f t="shared" ref="N258" si="455">N257*N256/1000000</f>
        <v>11.610000000000008</v>
      </c>
      <c r="O258" s="1">
        <f t="shared" ref="O258" si="456">O257*O256/1000000</f>
        <v>12.665454545454553</v>
      </c>
      <c r="P258" s="1">
        <f t="shared" ref="P258" si="457">P257*P256/1000000</f>
        <v>13.720909090909098</v>
      </c>
      <c r="Q258" s="1">
        <f t="shared" ref="Q258" si="458">Q257*Q256/1000000</f>
        <v>14.776363636363644</v>
      </c>
      <c r="R258" s="1">
        <f t="shared" ref="R258" si="459">R257*R256/1000000</f>
        <v>15.831818181818189</v>
      </c>
      <c r="S258" s="1">
        <f t="shared" ref="S258" si="460">S257*S256/1000000</f>
        <v>16.887272727272737</v>
      </c>
      <c r="T258" s="1">
        <f t="shared" ref="T258" si="461">T257*T256/1000000</f>
        <v>17.942727272727282</v>
      </c>
      <c r="U258" s="1">
        <f t="shared" ref="U258" si="462">U257*U256/1000000</f>
        <v>18.998181818181827</v>
      </c>
      <c r="V258" s="1">
        <f t="shared" ref="V258" si="463">V257*V256/1000000</f>
        <v>20.053636363636375</v>
      </c>
      <c r="W258" s="1">
        <f t="shared" ref="W258" si="464">W257*W256/1000000</f>
        <v>21.109090909090916</v>
      </c>
      <c r="X258" s="1">
        <f t="shared" ref="X258" si="465">X257*X256/1000000</f>
        <v>22.164545454545468</v>
      </c>
    </row>
    <row r="260" spans="2:24" x14ac:dyDescent="0.2">
      <c r="B260" t="s">
        <v>172</v>
      </c>
      <c r="C260" s="41">
        <f>IF(C262,C254,IF(C254&gt;C258,C254,0))</f>
        <v>0</v>
      </c>
      <c r="D260" s="41">
        <f t="shared" ref="D260:X260" si="466">IF(D262,D254,IF(D254&gt;D258,D254,0))</f>
        <v>12.5</v>
      </c>
      <c r="E260" s="41">
        <f t="shared" si="466"/>
        <v>12.5</v>
      </c>
      <c r="F260" s="41">
        <f t="shared" si="466"/>
        <v>12.5</v>
      </c>
      <c r="G260" s="41">
        <f t="shared" si="466"/>
        <v>12.5</v>
      </c>
      <c r="H260" s="41">
        <f t="shared" si="466"/>
        <v>12.500000000000002</v>
      </c>
      <c r="I260" s="41">
        <f t="shared" si="466"/>
        <v>12.500000000000002</v>
      </c>
      <c r="J260" s="41">
        <f t="shared" si="466"/>
        <v>12.500000000000002</v>
      </c>
      <c r="K260" s="41">
        <f t="shared" si="466"/>
        <v>12.500000000000002</v>
      </c>
      <c r="L260" s="41">
        <f t="shared" si="466"/>
        <v>12.500000000000002</v>
      </c>
      <c r="M260" s="41">
        <f t="shared" si="466"/>
        <v>12.500000000000002</v>
      </c>
      <c r="N260" s="41">
        <f t="shared" si="466"/>
        <v>12.500000000000002</v>
      </c>
      <c r="O260" s="41">
        <f t="shared" si="466"/>
        <v>12.500000000000002</v>
      </c>
      <c r="P260" s="41">
        <f t="shared" si="466"/>
        <v>12.500000000000002</v>
      </c>
      <c r="Q260" s="41">
        <f t="shared" si="466"/>
        <v>12.500000000000002</v>
      </c>
      <c r="R260" s="41">
        <f t="shared" si="466"/>
        <v>12.500000000000002</v>
      </c>
      <c r="S260" s="41">
        <f t="shared" si="466"/>
        <v>12.500000000000002</v>
      </c>
      <c r="T260" s="41">
        <f t="shared" si="466"/>
        <v>12.500000000000002</v>
      </c>
      <c r="U260" s="41">
        <f t="shared" si="466"/>
        <v>12.500000000000002</v>
      </c>
      <c r="V260" s="41">
        <f t="shared" si="466"/>
        <v>12.500000000000002</v>
      </c>
      <c r="W260" s="41">
        <f t="shared" si="466"/>
        <v>12.500000000000002</v>
      </c>
      <c r="X260" s="41">
        <f t="shared" si="466"/>
        <v>12.500000000000002</v>
      </c>
    </row>
    <row r="261" spans="2:24" x14ac:dyDescent="0.2">
      <c r="B261" t="s">
        <v>173</v>
      </c>
      <c r="C261" s="66" t="b">
        <f>IF(C262,TRUE,IF(C260&lt;&gt;0,TRUE,FALSE))</f>
        <v>1</v>
      </c>
      <c r="D261" s="66" t="b">
        <f t="shared" ref="D261" si="467">IF(D262,TRUE,IF(D260&lt;&gt;0,TRUE,FALSE))</f>
        <v>1</v>
      </c>
      <c r="E261" s="66" t="b">
        <f t="shared" ref="E261" si="468">IF(E262,TRUE,IF(E260&lt;&gt;0,TRUE,FALSE))</f>
        <v>1</v>
      </c>
      <c r="F261" s="66" t="b">
        <f t="shared" ref="F261" si="469">IF(F262,TRUE,IF(F260&lt;&gt;0,TRUE,FALSE))</f>
        <v>1</v>
      </c>
      <c r="G261" s="66" t="b">
        <f t="shared" ref="G261" si="470">IF(G262,TRUE,IF(G260&lt;&gt;0,TRUE,FALSE))</f>
        <v>1</v>
      </c>
      <c r="H261" s="66" t="b">
        <f t="shared" ref="H261" si="471">IF(H262,TRUE,IF(H260&lt;&gt;0,TRUE,FALSE))</f>
        <v>1</v>
      </c>
      <c r="I261" s="66" t="b">
        <f t="shared" ref="I261" si="472">IF(I262,TRUE,IF(I260&lt;&gt;0,TRUE,FALSE))</f>
        <v>1</v>
      </c>
      <c r="J261" s="66" t="b">
        <f t="shared" ref="J261" si="473">IF(J262,TRUE,IF(J260&lt;&gt;0,TRUE,FALSE))</f>
        <v>1</v>
      </c>
      <c r="K261" s="66" t="b">
        <f t="shared" ref="K261" si="474">IF(K262,TRUE,IF(K260&lt;&gt;0,TRUE,FALSE))</f>
        <v>1</v>
      </c>
      <c r="L261" s="66" t="b">
        <f t="shared" ref="L261" si="475">IF(L262,TRUE,IF(L260&lt;&gt;0,TRUE,FALSE))</f>
        <v>1</v>
      </c>
      <c r="M261" s="66" t="b">
        <f t="shared" ref="M261" si="476">IF(M262,TRUE,IF(M260&lt;&gt;0,TRUE,FALSE))</f>
        <v>1</v>
      </c>
      <c r="N261" s="66" t="b">
        <f t="shared" ref="N261" si="477">IF(N262,TRUE,IF(N260&lt;&gt;0,TRUE,FALSE))</f>
        <v>1</v>
      </c>
      <c r="O261" s="66" t="b">
        <f t="shared" ref="O261" si="478">IF(O262,TRUE,IF(O260&lt;&gt;0,TRUE,FALSE))</f>
        <v>1</v>
      </c>
      <c r="P261" s="66" t="b">
        <f t="shared" ref="P261" si="479">IF(P262,TRUE,IF(P260&lt;&gt;0,TRUE,FALSE))</f>
        <v>1</v>
      </c>
      <c r="Q261" s="66" t="b">
        <f t="shared" ref="Q261" si="480">IF(Q262,TRUE,IF(Q260&lt;&gt;0,TRUE,FALSE))</f>
        <v>1</v>
      </c>
      <c r="R261" s="66" t="b">
        <f t="shared" ref="R261" si="481">IF(R262,TRUE,IF(R260&lt;&gt;0,TRUE,FALSE))</f>
        <v>1</v>
      </c>
      <c r="S261" s="66" t="b">
        <f t="shared" ref="S261" si="482">IF(S262,TRUE,IF(S260&lt;&gt;0,TRUE,FALSE))</f>
        <v>1</v>
      </c>
      <c r="T261" s="66" t="b">
        <f t="shared" ref="T261" si="483">IF(T262,TRUE,IF(T260&lt;&gt;0,TRUE,FALSE))</f>
        <v>1</v>
      </c>
      <c r="U261" s="66" t="b">
        <f t="shared" ref="U261" si="484">IF(U262,TRUE,IF(U260&lt;&gt;0,TRUE,FALSE))</f>
        <v>1</v>
      </c>
      <c r="V261" s="66" t="b">
        <f t="shared" ref="V261" si="485">IF(V262,TRUE,IF(V260&lt;&gt;0,TRUE,FALSE))</f>
        <v>1</v>
      </c>
      <c r="W261" s="66" t="b">
        <f t="shared" ref="W261" si="486">IF(W262,TRUE,IF(W260&lt;&gt;0,TRUE,FALSE))</f>
        <v>1</v>
      </c>
      <c r="X261" s="66" t="b">
        <f t="shared" ref="X261" si="487">IF(X262,TRUE,IF(X260&lt;&gt;0,TRUE,FALSE))</f>
        <v>1</v>
      </c>
    </row>
    <row r="262" spans="2:24" x14ac:dyDescent="0.2">
      <c r="B262" t="s">
        <v>171</v>
      </c>
      <c r="C262" s="66" t="b">
        <f>+C300</f>
        <v>1</v>
      </c>
      <c r="D262" s="66" t="b">
        <f t="shared" ref="D262:X262" si="488">+D300</f>
        <v>1</v>
      </c>
      <c r="E262" s="66" t="b">
        <f t="shared" si="488"/>
        <v>1</v>
      </c>
      <c r="F262" s="66" t="b">
        <f t="shared" si="488"/>
        <v>1</v>
      </c>
      <c r="G262" s="66" t="b">
        <f t="shared" si="488"/>
        <v>1</v>
      </c>
      <c r="H262" s="66" t="b">
        <f t="shared" si="488"/>
        <v>1</v>
      </c>
      <c r="I262" s="66" t="b">
        <f t="shared" si="488"/>
        <v>1</v>
      </c>
      <c r="J262" s="66" t="b">
        <f t="shared" si="488"/>
        <v>1</v>
      </c>
      <c r="K262" s="66" t="b">
        <f t="shared" si="488"/>
        <v>1</v>
      </c>
      <c r="L262" s="66" t="b">
        <f t="shared" si="488"/>
        <v>1</v>
      </c>
      <c r="M262" s="66" t="b">
        <f t="shared" si="488"/>
        <v>1</v>
      </c>
      <c r="N262" s="66" t="b">
        <f t="shared" si="488"/>
        <v>1</v>
      </c>
      <c r="O262" s="66" t="b">
        <f t="shared" si="488"/>
        <v>1</v>
      </c>
      <c r="P262" s="66" t="b">
        <f t="shared" si="488"/>
        <v>1</v>
      </c>
      <c r="Q262" s="66" t="b">
        <f t="shared" si="488"/>
        <v>1</v>
      </c>
      <c r="R262" s="66" t="b">
        <f t="shared" si="488"/>
        <v>1</v>
      </c>
      <c r="S262" s="66" t="b">
        <f t="shared" si="488"/>
        <v>1</v>
      </c>
      <c r="T262" s="66" t="b">
        <f t="shared" si="488"/>
        <v>1</v>
      </c>
      <c r="U262" s="66" t="b">
        <f t="shared" si="488"/>
        <v>1</v>
      </c>
      <c r="V262" s="66" t="b">
        <f t="shared" si="488"/>
        <v>1</v>
      </c>
      <c r="W262" s="66" t="b">
        <f t="shared" si="488"/>
        <v>1</v>
      </c>
      <c r="X262" s="66" t="b">
        <f t="shared" si="488"/>
        <v>1</v>
      </c>
    </row>
    <row r="264" spans="2:24" x14ac:dyDescent="0.2">
      <c r="B264" s="43" t="s">
        <v>5</v>
      </c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</row>
    <row r="266" spans="2:24" x14ac:dyDescent="0.2">
      <c r="B266" t="s">
        <v>50</v>
      </c>
      <c r="C266" s="41">
        <f>+C248</f>
        <v>0</v>
      </c>
      <c r="D266" s="41">
        <f t="shared" ref="D266:X266" si="489">+D248</f>
        <v>0</v>
      </c>
      <c r="E266" s="41">
        <f t="shared" si="489"/>
        <v>0</v>
      </c>
      <c r="F266" s="41">
        <f t="shared" si="489"/>
        <v>0</v>
      </c>
      <c r="G266" s="41">
        <f t="shared" si="489"/>
        <v>0</v>
      </c>
      <c r="H266" s="41">
        <f t="shared" si="489"/>
        <v>0</v>
      </c>
      <c r="I266" s="41">
        <f t="shared" si="489"/>
        <v>0</v>
      </c>
      <c r="J266" s="41">
        <f t="shared" si="489"/>
        <v>0</v>
      </c>
      <c r="K266" s="41">
        <f t="shared" si="489"/>
        <v>0</v>
      </c>
      <c r="L266" s="41">
        <f t="shared" si="489"/>
        <v>8.4999999999999982</v>
      </c>
      <c r="M266" s="41">
        <f t="shared" si="489"/>
        <v>18.5</v>
      </c>
      <c r="N266" s="41">
        <f t="shared" si="489"/>
        <v>28.5</v>
      </c>
      <c r="O266" s="41">
        <f t="shared" si="489"/>
        <v>38.5</v>
      </c>
      <c r="P266" s="41">
        <f t="shared" si="489"/>
        <v>48.5</v>
      </c>
      <c r="Q266" s="41">
        <f t="shared" si="489"/>
        <v>58.5</v>
      </c>
      <c r="R266" s="41">
        <f t="shared" si="489"/>
        <v>68.5</v>
      </c>
      <c r="S266" s="41">
        <f t="shared" si="489"/>
        <v>78.5</v>
      </c>
      <c r="T266" s="41">
        <f t="shared" si="489"/>
        <v>88.5</v>
      </c>
      <c r="U266" s="41">
        <f t="shared" si="489"/>
        <v>98.5</v>
      </c>
      <c r="V266" s="41">
        <f t="shared" si="489"/>
        <v>108.5</v>
      </c>
      <c r="W266" s="41">
        <f t="shared" si="489"/>
        <v>118.5</v>
      </c>
      <c r="X266" s="41">
        <f t="shared" si="489"/>
        <v>128.5</v>
      </c>
    </row>
    <row r="267" spans="2:24" x14ac:dyDescent="0.2">
      <c r="B267" t="s">
        <v>56</v>
      </c>
      <c r="C267" s="41">
        <f>MIN(C266,C280)</f>
        <v>0</v>
      </c>
      <c r="D267" s="41">
        <f t="shared" ref="D267" si="490">MIN(D266,D280)</f>
        <v>0</v>
      </c>
      <c r="E267" s="41">
        <f t="shared" ref="E267" si="491">MIN(E266,E280)</f>
        <v>0</v>
      </c>
      <c r="F267" s="41">
        <f t="shared" ref="F267" si="492">MIN(F266,F280)</f>
        <v>0</v>
      </c>
      <c r="G267" s="41">
        <f t="shared" ref="G267" si="493">MIN(G266,G280)</f>
        <v>0</v>
      </c>
      <c r="H267" s="41">
        <f t="shared" ref="H267" si="494">MIN(H266,H280)</f>
        <v>0</v>
      </c>
      <c r="I267" s="41">
        <f t="shared" ref="I267" si="495">MIN(I266,I280)</f>
        <v>0</v>
      </c>
      <c r="J267" s="41">
        <f t="shared" ref="J267" si="496">MIN(J266,J280)</f>
        <v>0</v>
      </c>
      <c r="K267" s="41">
        <f t="shared" ref="K267" si="497">MIN(K266,K280)</f>
        <v>0</v>
      </c>
      <c r="L267" s="41">
        <f t="shared" ref="L267" si="498">MIN(L266,L280)</f>
        <v>4.5</v>
      </c>
      <c r="M267" s="41">
        <f t="shared" ref="M267" si="499">MIN(M266,M280)</f>
        <v>4.5</v>
      </c>
      <c r="N267" s="41">
        <f t="shared" ref="N267" si="500">MIN(N266,N280)</f>
        <v>4.5</v>
      </c>
      <c r="O267" s="41">
        <f t="shared" ref="O267" si="501">MIN(O266,O280)</f>
        <v>4.5</v>
      </c>
      <c r="P267" s="41">
        <f t="shared" ref="P267" si="502">MIN(P266,P280)</f>
        <v>4.5</v>
      </c>
      <c r="Q267" s="41">
        <f t="shared" ref="Q267" si="503">MIN(Q266,Q280)</f>
        <v>4.5</v>
      </c>
      <c r="R267" s="41">
        <f t="shared" ref="R267" si="504">MIN(R266,R280)</f>
        <v>4.5</v>
      </c>
      <c r="S267" s="41">
        <f t="shared" ref="S267" si="505">MIN(S266,S280)</f>
        <v>4.5</v>
      </c>
      <c r="T267" s="41">
        <f t="shared" ref="T267" si="506">MIN(T266,T280)</f>
        <v>4.5</v>
      </c>
      <c r="U267" s="41">
        <f t="shared" ref="U267" si="507">MIN(U266,U280)</f>
        <v>4.5</v>
      </c>
      <c r="V267" s="41">
        <f t="shared" ref="V267" si="508">MIN(V266,V280)</f>
        <v>4.5</v>
      </c>
      <c r="W267" s="41">
        <f t="shared" ref="W267" si="509">MIN(W266,W280)</f>
        <v>4.5</v>
      </c>
      <c r="X267" s="41">
        <f t="shared" ref="X267" si="510">MIN(X266,X280)</f>
        <v>4.5</v>
      </c>
    </row>
    <row r="268" spans="2:24" ht="13.5" thickBot="1" x14ac:dyDescent="0.25">
      <c r="B268" s="42" t="s">
        <v>57</v>
      </c>
      <c r="C268" s="45">
        <f>C266-C267</f>
        <v>0</v>
      </c>
      <c r="D268" s="45">
        <f t="shared" ref="D268" si="511">D266-D267</f>
        <v>0</v>
      </c>
      <c r="E268" s="45">
        <f t="shared" ref="E268" si="512">E266-E267</f>
        <v>0</v>
      </c>
      <c r="F268" s="45">
        <f t="shared" ref="F268" si="513">F266-F267</f>
        <v>0</v>
      </c>
      <c r="G268" s="45">
        <f t="shared" ref="G268" si="514">G266-G267</f>
        <v>0</v>
      </c>
      <c r="H268" s="45">
        <f t="shared" ref="H268" si="515">H266-H267</f>
        <v>0</v>
      </c>
      <c r="I268" s="45">
        <f t="shared" ref="I268" si="516">I266-I267</f>
        <v>0</v>
      </c>
      <c r="J268" s="45">
        <f t="shared" ref="J268" si="517">J266-J267</f>
        <v>0</v>
      </c>
      <c r="K268" s="45">
        <f t="shared" ref="K268" si="518">K266-K267</f>
        <v>0</v>
      </c>
      <c r="L268" s="45">
        <f t="shared" ref="L268" si="519">L266-L267</f>
        <v>3.9999999999999982</v>
      </c>
      <c r="M268" s="45">
        <f t="shared" ref="M268" si="520">M266-M267</f>
        <v>14</v>
      </c>
      <c r="N268" s="45">
        <f t="shared" ref="N268" si="521">N266-N267</f>
        <v>24</v>
      </c>
      <c r="O268" s="45">
        <f t="shared" ref="O268" si="522">O266-O267</f>
        <v>34</v>
      </c>
      <c r="P268" s="45">
        <f t="shared" ref="P268" si="523">P266-P267</f>
        <v>44</v>
      </c>
      <c r="Q268" s="45">
        <f t="shared" ref="Q268" si="524">Q266-Q267</f>
        <v>54</v>
      </c>
      <c r="R268" s="45">
        <f t="shared" ref="R268" si="525">R266-R267</f>
        <v>64</v>
      </c>
      <c r="S268" s="45">
        <f t="shared" ref="S268" si="526">S266-S267</f>
        <v>74</v>
      </c>
      <c r="T268" s="45">
        <f t="shared" ref="T268" si="527">T266-T267</f>
        <v>84</v>
      </c>
      <c r="U268" s="45">
        <f t="shared" ref="U268" si="528">U266-U267</f>
        <v>94</v>
      </c>
      <c r="V268" s="45">
        <f t="shared" ref="V268" si="529">V266-V267</f>
        <v>104</v>
      </c>
      <c r="W268" s="45">
        <f t="shared" ref="W268" si="530">W266-W267</f>
        <v>114</v>
      </c>
      <c r="X268" s="45">
        <f t="shared" ref="X268" si="531">X266-X267</f>
        <v>124</v>
      </c>
    </row>
    <row r="269" spans="2:24" ht="13.5" thickTop="1" x14ac:dyDescent="0.2"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</row>
    <row r="270" spans="2:24" ht="13.5" thickBot="1" x14ac:dyDescent="0.25">
      <c r="B270" s="48" t="s">
        <v>53</v>
      </c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</row>
    <row r="271" spans="2:24" x14ac:dyDescent="0.2">
      <c r="B271" t="s">
        <v>91</v>
      </c>
      <c r="C271" s="41">
        <f>+C108</f>
        <v>6250</v>
      </c>
      <c r="D271" s="41">
        <f t="shared" ref="D271:X271" si="532">+D108</f>
        <v>7837.437300501595</v>
      </c>
      <c r="E271" s="41">
        <f t="shared" si="532"/>
        <v>6250</v>
      </c>
      <c r="F271" s="41">
        <f t="shared" si="532"/>
        <v>6250</v>
      </c>
      <c r="G271" s="41">
        <f t="shared" si="532"/>
        <v>6250</v>
      </c>
      <c r="H271" s="41">
        <f t="shared" si="532"/>
        <v>6250</v>
      </c>
      <c r="I271" s="41">
        <f t="shared" si="532"/>
        <v>6250</v>
      </c>
      <c r="J271" s="41">
        <f t="shared" si="532"/>
        <v>6250</v>
      </c>
      <c r="K271" s="41">
        <f t="shared" si="532"/>
        <v>6250</v>
      </c>
      <c r="L271" s="41">
        <f t="shared" si="532"/>
        <v>6250</v>
      </c>
      <c r="M271" s="41">
        <f t="shared" si="532"/>
        <v>6250</v>
      </c>
      <c r="N271" s="41">
        <f t="shared" si="532"/>
        <v>6250</v>
      </c>
      <c r="O271" s="41">
        <f t="shared" si="532"/>
        <v>6250</v>
      </c>
      <c r="P271" s="41">
        <f t="shared" si="532"/>
        <v>6250</v>
      </c>
      <c r="Q271" s="41">
        <f t="shared" si="532"/>
        <v>6250</v>
      </c>
      <c r="R271" s="41">
        <f t="shared" si="532"/>
        <v>6250</v>
      </c>
      <c r="S271" s="41">
        <f t="shared" si="532"/>
        <v>6250</v>
      </c>
      <c r="T271" s="41">
        <f t="shared" si="532"/>
        <v>6250</v>
      </c>
      <c r="U271" s="41">
        <f t="shared" si="532"/>
        <v>6250</v>
      </c>
      <c r="V271" s="41">
        <f t="shared" si="532"/>
        <v>6250</v>
      </c>
      <c r="W271" s="41">
        <f t="shared" si="532"/>
        <v>6250</v>
      </c>
      <c r="X271" s="41">
        <f t="shared" si="532"/>
        <v>6250</v>
      </c>
    </row>
    <row r="272" spans="2:24" x14ac:dyDescent="0.2">
      <c r="B272" t="s">
        <v>51</v>
      </c>
      <c r="C272" s="41">
        <f>+C117</f>
        <v>0</v>
      </c>
      <c r="D272" s="41">
        <f t="shared" ref="D272:X272" si="533">+D117</f>
        <v>191.38909090909092</v>
      </c>
      <c r="E272" s="41">
        <f t="shared" si="533"/>
        <v>240</v>
      </c>
      <c r="F272" s="41">
        <f t="shared" si="533"/>
        <v>240</v>
      </c>
      <c r="G272" s="41">
        <f t="shared" si="533"/>
        <v>240</v>
      </c>
      <c r="H272" s="41">
        <f t="shared" si="533"/>
        <v>240</v>
      </c>
      <c r="I272" s="41">
        <f t="shared" si="533"/>
        <v>240</v>
      </c>
      <c r="J272" s="41">
        <f t="shared" si="533"/>
        <v>240</v>
      </c>
      <c r="K272" s="41">
        <f t="shared" si="533"/>
        <v>240</v>
      </c>
      <c r="L272" s="41">
        <f t="shared" si="533"/>
        <v>240</v>
      </c>
      <c r="M272" s="41">
        <f t="shared" si="533"/>
        <v>240</v>
      </c>
      <c r="N272" s="41">
        <f t="shared" si="533"/>
        <v>240</v>
      </c>
      <c r="O272" s="41">
        <f t="shared" si="533"/>
        <v>240</v>
      </c>
      <c r="P272" s="41">
        <f t="shared" si="533"/>
        <v>240</v>
      </c>
      <c r="Q272" s="41">
        <f t="shared" si="533"/>
        <v>240</v>
      </c>
      <c r="R272" s="41">
        <f t="shared" si="533"/>
        <v>240</v>
      </c>
      <c r="S272" s="41">
        <f t="shared" si="533"/>
        <v>240</v>
      </c>
      <c r="T272" s="41">
        <f t="shared" si="533"/>
        <v>240</v>
      </c>
      <c r="U272" s="41">
        <f t="shared" si="533"/>
        <v>240</v>
      </c>
      <c r="V272" s="41">
        <f t="shared" si="533"/>
        <v>240</v>
      </c>
      <c r="W272" s="41">
        <f t="shared" si="533"/>
        <v>240</v>
      </c>
      <c r="X272" s="41">
        <f t="shared" si="533"/>
        <v>240</v>
      </c>
    </row>
    <row r="273" spans="2:24" x14ac:dyDescent="0.2">
      <c r="B273" t="s">
        <v>49</v>
      </c>
      <c r="C273" s="50">
        <f>+'Dashboard &amp; Assump.'!$P$46</f>
        <v>3</v>
      </c>
      <c r="D273" s="50">
        <f>+'Dashboard &amp; Assump.'!$P$46</f>
        <v>3</v>
      </c>
      <c r="E273" s="50">
        <f>+'Dashboard &amp; Assump.'!$P$46</f>
        <v>3</v>
      </c>
      <c r="F273" s="50">
        <f>+'Dashboard &amp; Assump.'!$P$46</f>
        <v>3</v>
      </c>
      <c r="G273" s="50">
        <f>+'Dashboard &amp; Assump.'!$P$46</f>
        <v>3</v>
      </c>
      <c r="H273" s="50">
        <f>+'Dashboard &amp; Assump.'!$P$46</f>
        <v>3</v>
      </c>
      <c r="I273" s="50">
        <f>+'Dashboard &amp; Assump.'!$P$46</f>
        <v>3</v>
      </c>
      <c r="J273" s="50">
        <f>+'Dashboard &amp; Assump.'!$P$46</f>
        <v>3</v>
      </c>
      <c r="K273" s="50">
        <f>+'Dashboard &amp; Assump.'!$P$46</f>
        <v>3</v>
      </c>
      <c r="L273" s="50">
        <f>+'Dashboard &amp; Assump.'!$P$46</f>
        <v>3</v>
      </c>
      <c r="M273" s="50">
        <f>+'Dashboard &amp; Assump.'!$P$46</f>
        <v>3</v>
      </c>
      <c r="N273" s="50">
        <f>+'Dashboard &amp; Assump.'!$P$46</f>
        <v>3</v>
      </c>
      <c r="O273" s="50">
        <f>+'Dashboard &amp; Assump.'!$P$46</f>
        <v>3</v>
      </c>
      <c r="P273" s="50">
        <f>+'Dashboard &amp; Assump.'!$P$46</f>
        <v>3</v>
      </c>
      <c r="Q273" s="50">
        <f>+'Dashboard &amp; Assump.'!$P$46</f>
        <v>3</v>
      </c>
      <c r="R273" s="50">
        <f>+'Dashboard &amp; Assump.'!$P$46</f>
        <v>3</v>
      </c>
      <c r="S273" s="50">
        <f>+'Dashboard &amp; Assump.'!$P$46</f>
        <v>3</v>
      </c>
      <c r="T273" s="50">
        <f>+'Dashboard &amp; Assump.'!$P$46</f>
        <v>3</v>
      </c>
      <c r="U273" s="50">
        <f>+'Dashboard &amp; Assump.'!$P$46</f>
        <v>3</v>
      </c>
      <c r="V273" s="50">
        <f>+'Dashboard &amp; Assump.'!$P$46</f>
        <v>3</v>
      </c>
      <c r="W273" s="50">
        <f>+'Dashboard &amp; Assump.'!$P$46</f>
        <v>3</v>
      </c>
      <c r="X273" s="50">
        <f>+'Dashboard &amp; Assump.'!$P$46</f>
        <v>3</v>
      </c>
    </row>
    <row r="274" spans="2:24" x14ac:dyDescent="0.2">
      <c r="B274" t="s">
        <v>52</v>
      </c>
      <c r="C274" s="1">
        <f>C273*C272*C271/1000000</f>
        <v>0</v>
      </c>
      <c r="D274" s="1">
        <f t="shared" ref="D274" si="534">D273*D272*D271/1000000</f>
        <v>4.5</v>
      </c>
      <c r="E274" s="1">
        <f t="shared" ref="E274" si="535">E273*E272*E271/1000000</f>
        <v>4.5</v>
      </c>
      <c r="F274" s="1">
        <f t="shared" ref="F274" si="536">F273*F272*F271/1000000</f>
        <v>4.5</v>
      </c>
      <c r="G274" s="1">
        <f t="shared" ref="G274" si="537">G273*G272*G271/1000000</f>
        <v>4.5</v>
      </c>
      <c r="H274" s="1">
        <f t="shared" ref="H274" si="538">H273*H272*H271/1000000</f>
        <v>4.5</v>
      </c>
      <c r="I274" s="1">
        <f t="shared" ref="I274" si="539">I273*I272*I271/1000000</f>
        <v>4.5</v>
      </c>
      <c r="J274" s="1">
        <f t="shared" ref="J274" si="540">J273*J272*J271/1000000</f>
        <v>4.5</v>
      </c>
      <c r="K274" s="1">
        <f t="shared" ref="K274" si="541">K273*K272*K271/1000000</f>
        <v>4.5</v>
      </c>
      <c r="L274" s="1">
        <f t="shared" ref="L274" si="542">L273*L272*L271/1000000</f>
        <v>4.5</v>
      </c>
      <c r="M274" s="1">
        <f t="shared" ref="M274" si="543">M273*M272*M271/1000000</f>
        <v>4.5</v>
      </c>
      <c r="N274" s="1">
        <f t="shared" ref="N274" si="544">N273*N272*N271/1000000</f>
        <v>4.5</v>
      </c>
      <c r="O274" s="1">
        <f t="shared" ref="O274" si="545">O273*O272*O271/1000000</f>
        <v>4.5</v>
      </c>
      <c r="P274" s="1">
        <f t="shared" ref="P274" si="546">P273*P272*P271/1000000</f>
        <v>4.5</v>
      </c>
      <c r="Q274" s="1">
        <f t="shared" ref="Q274" si="547">Q273*Q272*Q271/1000000</f>
        <v>4.5</v>
      </c>
      <c r="R274" s="1">
        <f t="shared" ref="R274" si="548">R273*R272*R271/1000000</f>
        <v>4.5</v>
      </c>
      <c r="S274" s="1">
        <f t="shared" ref="S274" si="549">S273*S272*S271/1000000</f>
        <v>4.5</v>
      </c>
      <c r="T274" s="1">
        <f t="shared" ref="T274" si="550">T273*T272*T271/1000000</f>
        <v>4.5</v>
      </c>
      <c r="U274" s="1">
        <f t="shared" ref="U274" si="551">U273*U272*U271/1000000</f>
        <v>4.5</v>
      </c>
      <c r="V274" s="1">
        <f t="shared" ref="V274" si="552">V273*V272*V271/1000000</f>
        <v>4.5</v>
      </c>
      <c r="W274" s="1">
        <f t="shared" ref="W274" si="553">W273*W272*W271/1000000</f>
        <v>4.5</v>
      </c>
      <c r="X274" s="1">
        <f t="shared" ref="X274" si="554">X273*X272*X271/1000000</f>
        <v>4.5</v>
      </c>
    </row>
    <row r="275" spans="2:24" ht="13.5" thickBot="1" x14ac:dyDescent="0.25">
      <c r="B275" s="47" t="s">
        <v>54</v>
      </c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</row>
    <row r="276" spans="2:24" x14ac:dyDescent="0.2">
      <c r="B276" t="s">
        <v>91</v>
      </c>
      <c r="C276" s="40">
        <f>+C271</f>
        <v>6250</v>
      </c>
      <c r="D276" s="40">
        <f t="shared" ref="D276:X276" si="555">+D271</f>
        <v>7837.437300501595</v>
      </c>
      <c r="E276" s="40">
        <f t="shared" si="555"/>
        <v>6250</v>
      </c>
      <c r="F276" s="40">
        <f t="shared" si="555"/>
        <v>6250</v>
      </c>
      <c r="G276" s="40">
        <f t="shared" si="555"/>
        <v>6250</v>
      </c>
      <c r="H276" s="40">
        <f t="shared" si="555"/>
        <v>6250</v>
      </c>
      <c r="I276" s="40">
        <f t="shared" si="555"/>
        <v>6250</v>
      </c>
      <c r="J276" s="40">
        <f t="shared" si="555"/>
        <v>6250</v>
      </c>
      <c r="K276" s="40">
        <f t="shared" si="555"/>
        <v>6250</v>
      </c>
      <c r="L276" s="40">
        <f t="shared" si="555"/>
        <v>6250</v>
      </c>
      <c r="M276" s="40">
        <f t="shared" si="555"/>
        <v>6250</v>
      </c>
      <c r="N276" s="40">
        <f t="shared" si="555"/>
        <v>6250</v>
      </c>
      <c r="O276" s="40">
        <f t="shared" si="555"/>
        <v>6250</v>
      </c>
      <c r="P276" s="40">
        <f t="shared" si="555"/>
        <v>6250</v>
      </c>
      <c r="Q276" s="40">
        <f t="shared" si="555"/>
        <v>6250</v>
      </c>
      <c r="R276" s="40">
        <f t="shared" si="555"/>
        <v>6250</v>
      </c>
      <c r="S276" s="40">
        <f t="shared" si="555"/>
        <v>6250</v>
      </c>
      <c r="T276" s="40">
        <f t="shared" si="555"/>
        <v>6250</v>
      </c>
      <c r="U276" s="40">
        <f t="shared" si="555"/>
        <v>6250</v>
      </c>
      <c r="V276" s="40">
        <f t="shared" si="555"/>
        <v>6250</v>
      </c>
      <c r="W276" s="40">
        <f t="shared" si="555"/>
        <v>6250</v>
      </c>
      <c r="X276" s="40">
        <f t="shared" si="555"/>
        <v>6250</v>
      </c>
    </row>
    <row r="277" spans="2:24" x14ac:dyDescent="0.2">
      <c r="B277" t="s">
        <v>48</v>
      </c>
      <c r="C277" s="40">
        <f>+C179</f>
        <v>0</v>
      </c>
      <c r="D277" s="40">
        <f>+D179</f>
        <v>191.38909090909092</v>
      </c>
      <c r="E277" s="40">
        <f>+E179</f>
        <v>382.77818181818185</v>
      </c>
      <c r="F277" s="40">
        <f>+F179</f>
        <v>574.16727272727269</v>
      </c>
      <c r="G277" s="40">
        <f>+G179</f>
        <v>765.5563636363637</v>
      </c>
      <c r="H277" s="40">
        <f>+H179</f>
        <v>956.94545454545448</v>
      </c>
      <c r="I277" s="40">
        <f>+I179</f>
        <v>1148.3345454545454</v>
      </c>
      <c r="J277" s="40">
        <f>+J179</f>
        <v>1339.7236363636364</v>
      </c>
      <c r="K277" s="40">
        <f>+K179</f>
        <v>1531.1127272727274</v>
      </c>
      <c r="L277" s="40">
        <f>+L179</f>
        <v>1722.501818181818</v>
      </c>
      <c r="M277" s="40">
        <f>+M179</f>
        <v>1913.890909090909</v>
      </c>
      <c r="N277" s="40">
        <f>+N179</f>
        <v>2105.2800000000002</v>
      </c>
      <c r="O277" s="40">
        <f>+O179</f>
        <v>2296.6690909090908</v>
      </c>
      <c r="P277" s="40">
        <f>+P179</f>
        <v>2488.0581818181818</v>
      </c>
      <c r="Q277" s="40">
        <f>+Q179</f>
        <v>2679.4472727272728</v>
      </c>
      <c r="R277" s="40">
        <f>+R179</f>
        <v>2870.8363636363633</v>
      </c>
      <c r="S277" s="40">
        <f>+S179</f>
        <v>3062.2254545454548</v>
      </c>
      <c r="T277" s="40">
        <f>+T179</f>
        <v>3253.6145454545454</v>
      </c>
      <c r="U277" s="40">
        <f>+U179</f>
        <v>3445.0036363636359</v>
      </c>
      <c r="V277" s="40">
        <f>+V179</f>
        <v>3636.3927272727274</v>
      </c>
      <c r="W277" s="40">
        <f>+W179</f>
        <v>3827.7818181818179</v>
      </c>
      <c r="X277" s="40">
        <f>+X179</f>
        <v>4019.1709090909094</v>
      </c>
    </row>
    <row r="278" spans="2:24" x14ac:dyDescent="0.2">
      <c r="B278" t="s">
        <v>55</v>
      </c>
      <c r="C278" s="1">
        <f>C277*C276/1000000</f>
        <v>0</v>
      </c>
      <c r="D278" s="1">
        <f t="shared" ref="D278" si="556">D277*D276/1000000</f>
        <v>1.5</v>
      </c>
      <c r="E278" s="1">
        <f t="shared" ref="E278" si="557">E277*E276/1000000</f>
        <v>2.3923636363636369</v>
      </c>
      <c r="F278" s="1">
        <f t="shared" ref="F278" si="558">F277*F276/1000000</f>
        <v>3.588545454545454</v>
      </c>
      <c r="G278" s="1">
        <f t="shared" ref="G278" si="559">G277*G276/1000000</f>
        <v>4.7847272727272738</v>
      </c>
      <c r="H278" s="1">
        <f t="shared" ref="H278" si="560">H277*H276/1000000</f>
        <v>5.9809090909090905</v>
      </c>
      <c r="I278" s="1">
        <f t="shared" ref="I278" si="561">I277*I276/1000000</f>
        <v>7.1770909090909081</v>
      </c>
      <c r="J278" s="1">
        <f t="shared" ref="J278" si="562">J277*J276/1000000</f>
        <v>8.3732727272727274</v>
      </c>
      <c r="K278" s="1">
        <f t="shared" ref="K278" si="563">K277*K276/1000000</f>
        <v>9.5694545454545477</v>
      </c>
      <c r="L278" s="1">
        <f t="shared" ref="L278" si="564">L277*L276/1000000</f>
        <v>10.765636363636361</v>
      </c>
      <c r="M278" s="1">
        <f t="shared" ref="M278" si="565">M277*M276/1000000</f>
        <v>11.961818181818181</v>
      </c>
      <c r="N278" s="1">
        <f t="shared" ref="N278" si="566">N277*N276/1000000</f>
        <v>13.158000000000001</v>
      </c>
      <c r="O278" s="1">
        <f t="shared" ref="O278" si="567">O277*O276/1000000</f>
        <v>14.354181818181816</v>
      </c>
      <c r="P278" s="1">
        <f t="shared" ref="P278" si="568">P277*P276/1000000</f>
        <v>15.550363636363636</v>
      </c>
      <c r="Q278" s="1">
        <f t="shared" ref="Q278" si="569">Q277*Q276/1000000</f>
        <v>16.746545454545455</v>
      </c>
      <c r="R278" s="1">
        <f t="shared" ref="R278" si="570">R277*R276/1000000</f>
        <v>17.942727272727268</v>
      </c>
      <c r="S278" s="1">
        <f t="shared" ref="S278" si="571">S277*S276/1000000</f>
        <v>19.138909090909095</v>
      </c>
      <c r="T278" s="1">
        <f t="shared" ref="T278" si="572">T277*T276/1000000</f>
        <v>20.335090909090908</v>
      </c>
      <c r="U278" s="1">
        <f t="shared" ref="U278" si="573">U277*U276/1000000</f>
        <v>21.531272727272722</v>
      </c>
      <c r="V278" s="1">
        <f t="shared" ref="V278" si="574">V277*V276/1000000</f>
        <v>22.727454545454545</v>
      </c>
      <c r="W278" s="1">
        <f t="shared" ref="W278" si="575">W277*W276/1000000</f>
        <v>23.923636363636362</v>
      </c>
      <c r="X278" s="1">
        <f t="shared" ref="X278" si="576">X277*X276/1000000</f>
        <v>25.119818181818182</v>
      </c>
    </row>
    <row r="280" spans="2:24" x14ac:dyDescent="0.2">
      <c r="B280" t="s">
        <v>172</v>
      </c>
      <c r="C280" s="41">
        <f>IF(C282,C274,IF(C274&gt;C278,C274,0))</f>
        <v>0</v>
      </c>
      <c r="D280" s="41">
        <f t="shared" ref="D280:X280" si="577">IF(D282,D274,IF(D274&gt;D278,D274,0))</f>
        <v>4.5</v>
      </c>
      <c r="E280" s="41">
        <f t="shared" si="577"/>
        <v>4.5</v>
      </c>
      <c r="F280" s="41">
        <f t="shared" si="577"/>
        <v>4.5</v>
      </c>
      <c r="G280" s="41">
        <f t="shared" si="577"/>
        <v>4.5</v>
      </c>
      <c r="H280" s="41">
        <f t="shared" si="577"/>
        <v>4.5</v>
      </c>
      <c r="I280" s="41">
        <f t="shared" si="577"/>
        <v>4.5</v>
      </c>
      <c r="J280" s="41">
        <f t="shared" si="577"/>
        <v>4.5</v>
      </c>
      <c r="K280" s="41">
        <f t="shared" si="577"/>
        <v>4.5</v>
      </c>
      <c r="L280" s="41">
        <f t="shared" si="577"/>
        <v>4.5</v>
      </c>
      <c r="M280" s="41">
        <f t="shared" si="577"/>
        <v>4.5</v>
      </c>
      <c r="N280" s="41">
        <f t="shared" si="577"/>
        <v>4.5</v>
      </c>
      <c r="O280" s="41">
        <f t="shared" si="577"/>
        <v>4.5</v>
      </c>
      <c r="P280" s="41">
        <f t="shared" si="577"/>
        <v>4.5</v>
      </c>
      <c r="Q280" s="41">
        <f t="shared" si="577"/>
        <v>4.5</v>
      </c>
      <c r="R280" s="41">
        <f t="shared" si="577"/>
        <v>4.5</v>
      </c>
      <c r="S280" s="41">
        <f t="shared" si="577"/>
        <v>4.5</v>
      </c>
      <c r="T280" s="41">
        <f t="shared" si="577"/>
        <v>4.5</v>
      </c>
      <c r="U280" s="41">
        <f t="shared" si="577"/>
        <v>4.5</v>
      </c>
      <c r="V280" s="41">
        <f t="shared" si="577"/>
        <v>4.5</v>
      </c>
      <c r="W280" s="41">
        <f t="shared" si="577"/>
        <v>4.5</v>
      </c>
      <c r="X280" s="41">
        <f t="shared" si="577"/>
        <v>4.5</v>
      </c>
    </row>
    <row r="281" spans="2:24" x14ac:dyDescent="0.2">
      <c r="B281" t="s">
        <v>173</v>
      </c>
      <c r="C281" s="66" t="b">
        <f>IF(C282,TRUE,IF(C280&lt;&gt;0,TRUE,FALSE))</f>
        <v>1</v>
      </c>
      <c r="D281" s="66" t="b">
        <f t="shared" ref="D281:X281" si="578">IF(D282,TRUE,IF(D280&lt;&gt;0,TRUE,FALSE))</f>
        <v>1</v>
      </c>
      <c r="E281" s="66" t="b">
        <f t="shared" si="578"/>
        <v>1</v>
      </c>
      <c r="F281" s="66" t="b">
        <f t="shared" si="578"/>
        <v>1</v>
      </c>
      <c r="G281" s="66" t="b">
        <f t="shared" si="578"/>
        <v>1</v>
      </c>
      <c r="H281" s="66" t="b">
        <f t="shared" si="578"/>
        <v>1</v>
      </c>
      <c r="I281" s="66" t="b">
        <f t="shared" si="578"/>
        <v>1</v>
      </c>
      <c r="J281" s="66" t="b">
        <f t="shared" si="578"/>
        <v>1</v>
      </c>
      <c r="K281" s="66" t="b">
        <f t="shared" si="578"/>
        <v>1</v>
      </c>
      <c r="L281" s="66" t="b">
        <f t="shared" si="578"/>
        <v>1</v>
      </c>
      <c r="M281" s="66" t="b">
        <f t="shared" si="578"/>
        <v>1</v>
      </c>
      <c r="N281" s="66" t="b">
        <f t="shared" si="578"/>
        <v>1</v>
      </c>
      <c r="O281" s="66" t="b">
        <f t="shared" si="578"/>
        <v>1</v>
      </c>
      <c r="P281" s="66" t="b">
        <f t="shared" si="578"/>
        <v>1</v>
      </c>
      <c r="Q281" s="66" t="b">
        <f t="shared" si="578"/>
        <v>1</v>
      </c>
      <c r="R281" s="66" t="b">
        <f t="shared" si="578"/>
        <v>1</v>
      </c>
      <c r="S281" s="66" t="b">
        <f t="shared" si="578"/>
        <v>1</v>
      </c>
      <c r="T281" s="66" t="b">
        <f t="shared" si="578"/>
        <v>1</v>
      </c>
      <c r="U281" s="66" t="b">
        <f t="shared" si="578"/>
        <v>1</v>
      </c>
      <c r="V281" s="66" t="b">
        <f t="shared" si="578"/>
        <v>1</v>
      </c>
      <c r="W281" s="66" t="b">
        <f t="shared" si="578"/>
        <v>1</v>
      </c>
      <c r="X281" s="66" t="b">
        <f t="shared" si="578"/>
        <v>1</v>
      </c>
    </row>
    <row r="282" spans="2:24" x14ac:dyDescent="0.2">
      <c r="B282" t="s">
        <v>171</v>
      </c>
      <c r="C282" s="66" t="b">
        <f>C301</f>
        <v>1</v>
      </c>
      <c r="D282" s="66" t="b">
        <f t="shared" ref="D282:X282" si="579">D301</f>
        <v>1</v>
      </c>
      <c r="E282" s="66" t="b">
        <f t="shared" si="579"/>
        <v>1</v>
      </c>
      <c r="F282" s="66" t="b">
        <f t="shared" si="579"/>
        <v>1</v>
      </c>
      <c r="G282" s="66" t="b">
        <f t="shared" si="579"/>
        <v>1</v>
      </c>
      <c r="H282" s="66" t="b">
        <f t="shared" si="579"/>
        <v>1</v>
      </c>
      <c r="I282" s="66" t="b">
        <f t="shared" si="579"/>
        <v>1</v>
      </c>
      <c r="J282" s="66" t="b">
        <f t="shared" si="579"/>
        <v>1</v>
      </c>
      <c r="K282" s="66" t="b">
        <f t="shared" si="579"/>
        <v>1</v>
      </c>
      <c r="L282" s="66" t="b">
        <f t="shared" si="579"/>
        <v>1</v>
      </c>
      <c r="M282" s="66" t="b">
        <f t="shared" si="579"/>
        <v>1</v>
      </c>
      <c r="N282" s="66" t="b">
        <f t="shared" si="579"/>
        <v>1</v>
      </c>
      <c r="O282" s="66" t="b">
        <f t="shared" si="579"/>
        <v>1</v>
      </c>
      <c r="P282" s="66" t="b">
        <f t="shared" si="579"/>
        <v>1</v>
      </c>
      <c r="Q282" s="66" t="b">
        <f t="shared" si="579"/>
        <v>1</v>
      </c>
      <c r="R282" s="66" t="b">
        <f t="shared" si="579"/>
        <v>1</v>
      </c>
      <c r="S282" s="66" t="b">
        <f t="shared" si="579"/>
        <v>1</v>
      </c>
      <c r="T282" s="66" t="b">
        <f t="shared" si="579"/>
        <v>1</v>
      </c>
      <c r="U282" s="66" t="b">
        <f t="shared" si="579"/>
        <v>1</v>
      </c>
      <c r="V282" s="66" t="b">
        <f t="shared" si="579"/>
        <v>1</v>
      </c>
      <c r="W282" s="66" t="b">
        <f t="shared" si="579"/>
        <v>1</v>
      </c>
      <c r="X282" s="66" t="b">
        <f t="shared" si="579"/>
        <v>1</v>
      </c>
    </row>
    <row r="284" spans="2:24" x14ac:dyDescent="0.2">
      <c r="B284" s="38" t="s">
        <v>71</v>
      </c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</row>
    <row r="286" spans="2:24" x14ac:dyDescent="0.2">
      <c r="B286" s="119" t="s">
        <v>131</v>
      </c>
    </row>
    <row r="287" spans="2:24" x14ac:dyDescent="0.2">
      <c r="B287" s="119" t="s">
        <v>132</v>
      </c>
    </row>
    <row r="289" spans="2:24" x14ac:dyDescent="0.2">
      <c r="B289" s="43" t="s">
        <v>67</v>
      </c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</row>
    <row r="290" spans="2:24" x14ac:dyDescent="0.2">
      <c r="B290" t="s">
        <v>9</v>
      </c>
      <c r="C290" s="66" t="b">
        <f>+C201</f>
        <v>1</v>
      </c>
      <c r="D290" s="66" t="b">
        <f t="shared" ref="D290:X290" si="580">+D201</f>
        <v>1</v>
      </c>
      <c r="E290" s="66" t="b">
        <f t="shared" si="580"/>
        <v>1</v>
      </c>
      <c r="F290" s="66" t="b">
        <f t="shared" si="580"/>
        <v>1</v>
      </c>
      <c r="G290" s="66" t="b">
        <f t="shared" si="580"/>
        <v>1</v>
      </c>
      <c r="H290" s="66" t="b">
        <f t="shared" si="580"/>
        <v>1</v>
      </c>
      <c r="I290" s="66" t="b">
        <f t="shared" si="580"/>
        <v>1</v>
      </c>
      <c r="J290" s="66" t="b">
        <f t="shared" si="580"/>
        <v>1</v>
      </c>
      <c r="K290" s="66" t="b">
        <f t="shared" si="580"/>
        <v>1</v>
      </c>
      <c r="L290" s="66" t="b">
        <f t="shared" si="580"/>
        <v>1</v>
      </c>
      <c r="M290" s="66" t="b">
        <f t="shared" si="580"/>
        <v>1</v>
      </c>
      <c r="N290" s="66" t="b">
        <f t="shared" si="580"/>
        <v>1</v>
      </c>
      <c r="O290" s="66" t="b">
        <f t="shared" si="580"/>
        <v>1</v>
      </c>
      <c r="P290" s="66" t="b">
        <f t="shared" si="580"/>
        <v>1</v>
      </c>
      <c r="Q290" s="66" t="b">
        <f t="shared" si="580"/>
        <v>1</v>
      </c>
      <c r="R290" s="66" t="b">
        <f t="shared" si="580"/>
        <v>1</v>
      </c>
      <c r="S290" s="66" t="b">
        <f t="shared" si="580"/>
        <v>1</v>
      </c>
      <c r="T290" s="66" t="b">
        <f t="shared" si="580"/>
        <v>1</v>
      </c>
      <c r="U290" s="66" t="b">
        <f t="shared" si="580"/>
        <v>1</v>
      </c>
      <c r="V290" s="66" t="b">
        <f t="shared" si="580"/>
        <v>1</v>
      </c>
      <c r="W290" s="66" t="b">
        <f t="shared" si="580"/>
        <v>1</v>
      </c>
      <c r="X290" s="66" t="b">
        <f t="shared" si="580"/>
        <v>1</v>
      </c>
    </row>
    <row r="291" spans="2:24" x14ac:dyDescent="0.2">
      <c r="B291" t="s">
        <v>8</v>
      </c>
      <c r="C291" s="66" t="b">
        <f>+C221</f>
        <v>1</v>
      </c>
      <c r="D291" s="66" t="b">
        <f t="shared" ref="D291:X291" si="581">+D221</f>
        <v>1</v>
      </c>
      <c r="E291" s="66" t="b">
        <f t="shared" si="581"/>
        <v>1</v>
      </c>
      <c r="F291" s="66" t="b">
        <f t="shared" si="581"/>
        <v>1</v>
      </c>
      <c r="G291" s="66" t="b">
        <f t="shared" si="581"/>
        <v>1</v>
      </c>
      <c r="H291" s="66" t="b">
        <f t="shared" si="581"/>
        <v>1</v>
      </c>
      <c r="I291" s="66" t="b">
        <f t="shared" si="581"/>
        <v>1</v>
      </c>
      <c r="J291" s="66" t="b">
        <f t="shared" si="581"/>
        <v>1</v>
      </c>
      <c r="K291" s="66" t="b">
        <f t="shared" si="581"/>
        <v>1</v>
      </c>
      <c r="L291" s="66" t="b">
        <f t="shared" si="581"/>
        <v>1</v>
      </c>
      <c r="M291" s="66" t="b">
        <f t="shared" si="581"/>
        <v>1</v>
      </c>
      <c r="N291" s="66" t="b">
        <f t="shared" si="581"/>
        <v>1</v>
      </c>
      <c r="O291" s="66" t="b">
        <f t="shared" si="581"/>
        <v>1</v>
      </c>
      <c r="P291" s="66" t="b">
        <f t="shared" si="581"/>
        <v>1</v>
      </c>
      <c r="Q291" s="66" t="b">
        <f t="shared" si="581"/>
        <v>1</v>
      </c>
      <c r="R291" s="66" t="b">
        <f t="shared" si="581"/>
        <v>1</v>
      </c>
      <c r="S291" s="66" t="b">
        <f t="shared" si="581"/>
        <v>1</v>
      </c>
      <c r="T291" s="66" t="b">
        <f t="shared" si="581"/>
        <v>1</v>
      </c>
      <c r="U291" s="66" t="b">
        <f t="shared" si="581"/>
        <v>1</v>
      </c>
      <c r="V291" s="66" t="b">
        <f t="shared" si="581"/>
        <v>1</v>
      </c>
      <c r="W291" s="66" t="b">
        <f t="shared" si="581"/>
        <v>1</v>
      </c>
      <c r="X291" s="66" t="b">
        <f t="shared" si="581"/>
        <v>1</v>
      </c>
    </row>
    <row r="292" spans="2:24" x14ac:dyDescent="0.2">
      <c r="B292" t="s">
        <v>7</v>
      </c>
      <c r="C292" s="66" t="b">
        <f>+C241</f>
        <v>1</v>
      </c>
      <c r="D292" s="66" t="b">
        <f t="shared" ref="D292:X292" si="582">+D241</f>
        <v>1</v>
      </c>
      <c r="E292" s="66" t="b">
        <f t="shared" si="582"/>
        <v>1</v>
      </c>
      <c r="F292" s="66" t="b">
        <f t="shared" si="582"/>
        <v>1</v>
      </c>
      <c r="G292" s="66" t="b">
        <f t="shared" si="582"/>
        <v>1</v>
      </c>
      <c r="H292" s="66" t="b">
        <f t="shared" si="582"/>
        <v>1</v>
      </c>
      <c r="I292" s="66" t="b">
        <f t="shared" si="582"/>
        <v>1</v>
      </c>
      <c r="J292" s="66" t="b">
        <f t="shared" si="582"/>
        <v>1</v>
      </c>
      <c r="K292" s="66" t="b">
        <f t="shared" si="582"/>
        <v>1</v>
      </c>
      <c r="L292" s="66" t="b">
        <f t="shared" si="582"/>
        <v>1</v>
      </c>
      <c r="M292" s="66" t="b">
        <f t="shared" si="582"/>
        <v>1</v>
      </c>
      <c r="N292" s="66" t="b">
        <f t="shared" si="582"/>
        <v>1</v>
      </c>
      <c r="O292" s="66" t="b">
        <f t="shared" si="582"/>
        <v>1</v>
      </c>
      <c r="P292" s="66" t="b">
        <f t="shared" si="582"/>
        <v>1</v>
      </c>
      <c r="Q292" s="66" t="b">
        <f t="shared" si="582"/>
        <v>1</v>
      </c>
      <c r="R292" s="66" t="b">
        <f t="shared" si="582"/>
        <v>1</v>
      </c>
      <c r="S292" s="66" t="b">
        <f t="shared" si="582"/>
        <v>1</v>
      </c>
      <c r="T292" s="66" t="b">
        <f t="shared" si="582"/>
        <v>1</v>
      </c>
      <c r="U292" s="66" t="b">
        <f t="shared" si="582"/>
        <v>1</v>
      </c>
      <c r="V292" s="66" t="b">
        <f t="shared" si="582"/>
        <v>1</v>
      </c>
      <c r="W292" s="66" t="b">
        <f t="shared" si="582"/>
        <v>1</v>
      </c>
      <c r="X292" s="66" t="b">
        <f t="shared" si="582"/>
        <v>1</v>
      </c>
    </row>
    <row r="293" spans="2:24" x14ac:dyDescent="0.2">
      <c r="B293" t="s">
        <v>6</v>
      </c>
      <c r="C293" s="66" t="b">
        <f>+C261</f>
        <v>1</v>
      </c>
      <c r="D293" s="66" t="b">
        <f t="shared" ref="D293:X293" si="583">+D261</f>
        <v>1</v>
      </c>
      <c r="E293" s="66" t="b">
        <f t="shared" si="583"/>
        <v>1</v>
      </c>
      <c r="F293" s="66" t="b">
        <f t="shared" si="583"/>
        <v>1</v>
      </c>
      <c r="G293" s="66" t="b">
        <f t="shared" si="583"/>
        <v>1</v>
      </c>
      <c r="H293" s="66" t="b">
        <f t="shared" si="583"/>
        <v>1</v>
      </c>
      <c r="I293" s="66" t="b">
        <f t="shared" si="583"/>
        <v>1</v>
      </c>
      <c r="J293" s="66" t="b">
        <f t="shared" si="583"/>
        <v>1</v>
      </c>
      <c r="K293" s="66" t="b">
        <f t="shared" si="583"/>
        <v>1</v>
      </c>
      <c r="L293" s="66" t="b">
        <f t="shared" si="583"/>
        <v>1</v>
      </c>
      <c r="M293" s="66" t="b">
        <f t="shared" si="583"/>
        <v>1</v>
      </c>
      <c r="N293" s="66" t="b">
        <f t="shared" si="583"/>
        <v>1</v>
      </c>
      <c r="O293" s="66" t="b">
        <f t="shared" si="583"/>
        <v>1</v>
      </c>
      <c r="P293" s="66" t="b">
        <f t="shared" si="583"/>
        <v>1</v>
      </c>
      <c r="Q293" s="66" t="b">
        <f t="shared" si="583"/>
        <v>1</v>
      </c>
      <c r="R293" s="66" t="b">
        <f t="shared" si="583"/>
        <v>1</v>
      </c>
      <c r="S293" s="66" t="b">
        <f t="shared" si="583"/>
        <v>1</v>
      </c>
      <c r="T293" s="66" t="b">
        <f t="shared" si="583"/>
        <v>1</v>
      </c>
      <c r="U293" s="66" t="b">
        <f t="shared" si="583"/>
        <v>1</v>
      </c>
      <c r="V293" s="66" t="b">
        <f t="shared" si="583"/>
        <v>1</v>
      </c>
      <c r="W293" s="66" t="b">
        <f t="shared" si="583"/>
        <v>1</v>
      </c>
      <c r="X293" s="66" t="b">
        <f t="shared" si="583"/>
        <v>1</v>
      </c>
    </row>
    <row r="294" spans="2:24" x14ac:dyDescent="0.2">
      <c r="B294" t="s">
        <v>5</v>
      </c>
      <c r="C294" s="66" t="b">
        <f>+C281</f>
        <v>1</v>
      </c>
      <c r="D294" s="66" t="b">
        <f t="shared" ref="D294:X294" si="584">+D281</f>
        <v>1</v>
      </c>
      <c r="E294" s="66" t="b">
        <f t="shared" si="584"/>
        <v>1</v>
      </c>
      <c r="F294" s="66" t="b">
        <f t="shared" si="584"/>
        <v>1</v>
      </c>
      <c r="G294" s="66" t="b">
        <f t="shared" si="584"/>
        <v>1</v>
      </c>
      <c r="H294" s="66" t="b">
        <f t="shared" si="584"/>
        <v>1</v>
      </c>
      <c r="I294" s="66" t="b">
        <f t="shared" si="584"/>
        <v>1</v>
      </c>
      <c r="J294" s="66" t="b">
        <f t="shared" si="584"/>
        <v>1</v>
      </c>
      <c r="K294" s="66" t="b">
        <f t="shared" si="584"/>
        <v>1</v>
      </c>
      <c r="L294" s="66" t="b">
        <f t="shared" si="584"/>
        <v>1</v>
      </c>
      <c r="M294" s="66" t="b">
        <f t="shared" si="584"/>
        <v>1</v>
      </c>
      <c r="N294" s="66" t="b">
        <f t="shared" si="584"/>
        <v>1</v>
      </c>
      <c r="O294" s="66" t="b">
        <f t="shared" si="584"/>
        <v>1</v>
      </c>
      <c r="P294" s="66" t="b">
        <f t="shared" si="584"/>
        <v>1</v>
      </c>
      <c r="Q294" s="66" t="b">
        <f t="shared" si="584"/>
        <v>1</v>
      </c>
      <c r="R294" s="66" t="b">
        <f t="shared" si="584"/>
        <v>1</v>
      </c>
      <c r="S294" s="66" t="b">
        <f t="shared" si="584"/>
        <v>1</v>
      </c>
      <c r="T294" s="66" t="b">
        <f t="shared" si="584"/>
        <v>1</v>
      </c>
      <c r="U294" s="66" t="b">
        <f t="shared" si="584"/>
        <v>1</v>
      </c>
      <c r="V294" s="66" t="b">
        <f t="shared" si="584"/>
        <v>1</v>
      </c>
      <c r="W294" s="66" t="b">
        <f t="shared" si="584"/>
        <v>1</v>
      </c>
      <c r="X294" s="66" t="b">
        <f t="shared" si="584"/>
        <v>1</v>
      </c>
    </row>
    <row r="296" spans="2:24" x14ac:dyDescent="0.2">
      <c r="B296" s="43" t="s">
        <v>68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</row>
    <row r="297" spans="2:24" x14ac:dyDescent="0.2">
      <c r="B297" t="s">
        <v>9</v>
      </c>
      <c r="C297" s="66" t="b">
        <f>+'Dashboard &amp; Assump.'!Q50</f>
        <v>1</v>
      </c>
      <c r="D297" s="66" t="b">
        <f>+C297</f>
        <v>1</v>
      </c>
      <c r="E297" s="66" t="b">
        <f t="shared" ref="E297:X297" si="585">+D297</f>
        <v>1</v>
      </c>
      <c r="F297" s="66" t="b">
        <f t="shared" si="585"/>
        <v>1</v>
      </c>
      <c r="G297" s="66" t="b">
        <f t="shared" si="585"/>
        <v>1</v>
      </c>
      <c r="H297" s="66" t="b">
        <f t="shared" si="585"/>
        <v>1</v>
      </c>
      <c r="I297" s="66" t="b">
        <f t="shared" si="585"/>
        <v>1</v>
      </c>
      <c r="J297" s="66" t="b">
        <f t="shared" si="585"/>
        <v>1</v>
      </c>
      <c r="K297" s="66" t="b">
        <f t="shared" si="585"/>
        <v>1</v>
      </c>
      <c r="L297" s="66" t="b">
        <f t="shared" si="585"/>
        <v>1</v>
      </c>
      <c r="M297" s="66" t="b">
        <f t="shared" si="585"/>
        <v>1</v>
      </c>
      <c r="N297" s="66" t="b">
        <f t="shared" si="585"/>
        <v>1</v>
      </c>
      <c r="O297" s="66" t="b">
        <f t="shared" si="585"/>
        <v>1</v>
      </c>
      <c r="P297" s="66" t="b">
        <f t="shared" si="585"/>
        <v>1</v>
      </c>
      <c r="Q297" s="66" t="b">
        <f t="shared" si="585"/>
        <v>1</v>
      </c>
      <c r="R297" s="66" t="b">
        <f t="shared" si="585"/>
        <v>1</v>
      </c>
      <c r="S297" s="66" t="b">
        <f t="shared" si="585"/>
        <v>1</v>
      </c>
      <c r="T297" s="66" t="b">
        <f t="shared" si="585"/>
        <v>1</v>
      </c>
      <c r="U297" s="66" t="b">
        <f t="shared" si="585"/>
        <v>1</v>
      </c>
      <c r="V297" s="66" t="b">
        <f t="shared" si="585"/>
        <v>1</v>
      </c>
      <c r="W297" s="66" t="b">
        <f t="shared" si="585"/>
        <v>1</v>
      </c>
      <c r="X297" s="66" t="b">
        <f t="shared" si="585"/>
        <v>1</v>
      </c>
    </row>
    <row r="298" spans="2:24" x14ac:dyDescent="0.2">
      <c r="B298" t="s">
        <v>8</v>
      </c>
      <c r="C298" s="66" t="b">
        <f>+'Dashboard &amp; Assump.'!Q49</f>
        <v>1</v>
      </c>
      <c r="D298" s="66" t="b">
        <f t="shared" ref="D298:X298" si="586">+C298</f>
        <v>1</v>
      </c>
      <c r="E298" s="66" t="b">
        <f t="shared" si="586"/>
        <v>1</v>
      </c>
      <c r="F298" s="66" t="b">
        <f t="shared" si="586"/>
        <v>1</v>
      </c>
      <c r="G298" s="66" t="b">
        <f t="shared" si="586"/>
        <v>1</v>
      </c>
      <c r="H298" s="66" t="b">
        <f t="shared" si="586"/>
        <v>1</v>
      </c>
      <c r="I298" s="66" t="b">
        <f t="shared" si="586"/>
        <v>1</v>
      </c>
      <c r="J298" s="66" t="b">
        <f t="shared" si="586"/>
        <v>1</v>
      </c>
      <c r="K298" s="66" t="b">
        <f t="shared" si="586"/>
        <v>1</v>
      </c>
      <c r="L298" s="66" t="b">
        <f t="shared" si="586"/>
        <v>1</v>
      </c>
      <c r="M298" s="66" t="b">
        <f t="shared" si="586"/>
        <v>1</v>
      </c>
      <c r="N298" s="66" t="b">
        <f t="shared" si="586"/>
        <v>1</v>
      </c>
      <c r="O298" s="66" t="b">
        <f t="shared" si="586"/>
        <v>1</v>
      </c>
      <c r="P298" s="66" t="b">
        <f t="shared" si="586"/>
        <v>1</v>
      </c>
      <c r="Q298" s="66" t="b">
        <f t="shared" si="586"/>
        <v>1</v>
      </c>
      <c r="R298" s="66" t="b">
        <f t="shared" si="586"/>
        <v>1</v>
      </c>
      <c r="S298" s="66" t="b">
        <f t="shared" si="586"/>
        <v>1</v>
      </c>
      <c r="T298" s="66" t="b">
        <f t="shared" si="586"/>
        <v>1</v>
      </c>
      <c r="U298" s="66" t="b">
        <f t="shared" si="586"/>
        <v>1</v>
      </c>
      <c r="V298" s="66" t="b">
        <f t="shared" si="586"/>
        <v>1</v>
      </c>
      <c r="W298" s="66" t="b">
        <f t="shared" si="586"/>
        <v>1</v>
      </c>
      <c r="X298" s="66" t="b">
        <f t="shared" si="586"/>
        <v>1</v>
      </c>
    </row>
    <row r="299" spans="2:24" x14ac:dyDescent="0.2">
      <c r="B299" t="s">
        <v>7</v>
      </c>
      <c r="C299" s="66" t="b">
        <f>+'Dashboard &amp; Assump.'!Q48</f>
        <v>1</v>
      </c>
      <c r="D299" s="66" t="b">
        <f t="shared" ref="D299:X299" si="587">+C299</f>
        <v>1</v>
      </c>
      <c r="E299" s="66" t="b">
        <f t="shared" si="587"/>
        <v>1</v>
      </c>
      <c r="F299" s="66" t="b">
        <f t="shared" si="587"/>
        <v>1</v>
      </c>
      <c r="G299" s="66" t="b">
        <f t="shared" si="587"/>
        <v>1</v>
      </c>
      <c r="H299" s="66" t="b">
        <f t="shared" si="587"/>
        <v>1</v>
      </c>
      <c r="I299" s="66" t="b">
        <f t="shared" si="587"/>
        <v>1</v>
      </c>
      <c r="J299" s="66" t="b">
        <f t="shared" si="587"/>
        <v>1</v>
      </c>
      <c r="K299" s="66" t="b">
        <f t="shared" si="587"/>
        <v>1</v>
      </c>
      <c r="L299" s="66" t="b">
        <f t="shared" si="587"/>
        <v>1</v>
      </c>
      <c r="M299" s="66" t="b">
        <f t="shared" si="587"/>
        <v>1</v>
      </c>
      <c r="N299" s="66" t="b">
        <f t="shared" si="587"/>
        <v>1</v>
      </c>
      <c r="O299" s="66" t="b">
        <f t="shared" si="587"/>
        <v>1</v>
      </c>
      <c r="P299" s="66" t="b">
        <f t="shared" si="587"/>
        <v>1</v>
      </c>
      <c r="Q299" s="66" t="b">
        <f t="shared" si="587"/>
        <v>1</v>
      </c>
      <c r="R299" s="66" t="b">
        <f t="shared" si="587"/>
        <v>1</v>
      </c>
      <c r="S299" s="66" t="b">
        <f t="shared" si="587"/>
        <v>1</v>
      </c>
      <c r="T299" s="66" t="b">
        <f t="shared" si="587"/>
        <v>1</v>
      </c>
      <c r="U299" s="66" t="b">
        <f t="shared" si="587"/>
        <v>1</v>
      </c>
      <c r="V299" s="66" t="b">
        <f t="shared" si="587"/>
        <v>1</v>
      </c>
      <c r="W299" s="66" t="b">
        <f t="shared" si="587"/>
        <v>1</v>
      </c>
      <c r="X299" s="66" t="b">
        <f t="shared" si="587"/>
        <v>1</v>
      </c>
    </row>
    <row r="300" spans="2:24" x14ac:dyDescent="0.2">
      <c r="B300" t="s">
        <v>6</v>
      </c>
      <c r="C300" s="66" t="b">
        <f>+'Dashboard &amp; Assump.'!Q47</f>
        <v>1</v>
      </c>
      <c r="D300" s="66" t="b">
        <f t="shared" ref="D300:X300" si="588">+C300</f>
        <v>1</v>
      </c>
      <c r="E300" s="66" t="b">
        <f t="shared" si="588"/>
        <v>1</v>
      </c>
      <c r="F300" s="66" t="b">
        <f t="shared" si="588"/>
        <v>1</v>
      </c>
      <c r="G300" s="66" t="b">
        <f t="shared" si="588"/>
        <v>1</v>
      </c>
      <c r="H300" s="66" t="b">
        <f t="shared" si="588"/>
        <v>1</v>
      </c>
      <c r="I300" s="66" t="b">
        <f t="shared" si="588"/>
        <v>1</v>
      </c>
      <c r="J300" s="66" t="b">
        <f t="shared" si="588"/>
        <v>1</v>
      </c>
      <c r="K300" s="66" t="b">
        <f t="shared" si="588"/>
        <v>1</v>
      </c>
      <c r="L300" s="66" t="b">
        <f t="shared" si="588"/>
        <v>1</v>
      </c>
      <c r="M300" s="66" t="b">
        <f t="shared" si="588"/>
        <v>1</v>
      </c>
      <c r="N300" s="66" t="b">
        <f t="shared" si="588"/>
        <v>1</v>
      </c>
      <c r="O300" s="66" t="b">
        <f t="shared" si="588"/>
        <v>1</v>
      </c>
      <c r="P300" s="66" t="b">
        <f t="shared" si="588"/>
        <v>1</v>
      </c>
      <c r="Q300" s="66" t="b">
        <f t="shared" si="588"/>
        <v>1</v>
      </c>
      <c r="R300" s="66" t="b">
        <f t="shared" si="588"/>
        <v>1</v>
      </c>
      <c r="S300" s="66" t="b">
        <f t="shared" si="588"/>
        <v>1</v>
      </c>
      <c r="T300" s="66" t="b">
        <f t="shared" si="588"/>
        <v>1</v>
      </c>
      <c r="U300" s="66" t="b">
        <f t="shared" si="588"/>
        <v>1</v>
      </c>
      <c r="V300" s="66" t="b">
        <f t="shared" si="588"/>
        <v>1</v>
      </c>
      <c r="W300" s="66" t="b">
        <f t="shared" si="588"/>
        <v>1</v>
      </c>
      <c r="X300" s="66" t="b">
        <f t="shared" si="588"/>
        <v>1</v>
      </c>
    </row>
    <row r="301" spans="2:24" x14ac:dyDescent="0.2">
      <c r="B301" t="s">
        <v>5</v>
      </c>
      <c r="C301" s="66" t="b">
        <f>+'Dashboard &amp; Assump.'!Q46</f>
        <v>1</v>
      </c>
      <c r="D301" s="66" t="b">
        <f t="shared" ref="D301:X301" si="589">+C301</f>
        <v>1</v>
      </c>
      <c r="E301" s="66" t="b">
        <f t="shared" si="589"/>
        <v>1</v>
      </c>
      <c r="F301" s="66" t="b">
        <f t="shared" si="589"/>
        <v>1</v>
      </c>
      <c r="G301" s="66" t="b">
        <f t="shared" si="589"/>
        <v>1</v>
      </c>
      <c r="H301" s="66" t="b">
        <f t="shared" si="589"/>
        <v>1</v>
      </c>
      <c r="I301" s="66" t="b">
        <f t="shared" si="589"/>
        <v>1</v>
      </c>
      <c r="J301" s="66" t="b">
        <f t="shared" si="589"/>
        <v>1</v>
      </c>
      <c r="K301" s="66" t="b">
        <f t="shared" si="589"/>
        <v>1</v>
      </c>
      <c r="L301" s="66" t="b">
        <f t="shared" si="589"/>
        <v>1</v>
      </c>
      <c r="M301" s="66" t="b">
        <f t="shared" si="589"/>
        <v>1</v>
      </c>
      <c r="N301" s="66" t="b">
        <f t="shared" si="589"/>
        <v>1</v>
      </c>
      <c r="O301" s="66" t="b">
        <f t="shared" si="589"/>
        <v>1</v>
      </c>
      <c r="P301" s="66" t="b">
        <f t="shared" si="589"/>
        <v>1</v>
      </c>
      <c r="Q301" s="66" t="b">
        <f t="shared" si="589"/>
        <v>1</v>
      </c>
      <c r="R301" s="66" t="b">
        <f t="shared" si="589"/>
        <v>1</v>
      </c>
      <c r="S301" s="66" t="b">
        <f t="shared" si="589"/>
        <v>1</v>
      </c>
      <c r="T301" s="66" t="b">
        <f t="shared" si="589"/>
        <v>1</v>
      </c>
      <c r="U301" s="66" t="b">
        <f t="shared" si="589"/>
        <v>1</v>
      </c>
      <c r="V301" s="66" t="b">
        <f t="shared" si="589"/>
        <v>1</v>
      </c>
      <c r="W301" s="66" t="b">
        <f t="shared" si="589"/>
        <v>1</v>
      </c>
      <c r="X301" s="66" t="b">
        <f t="shared" si="589"/>
        <v>1</v>
      </c>
    </row>
    <row r="303" spans="2:24" x14ac:dyDescent="0.2">
      <c r="B303" s="43" t="s">
        <v>69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</row>
    <row r="304" spans="2:24" x14ac:dyDescent="0.2">
      <c r="B304" t="s">
        <v>9</v>
      </c>
      <c r="C304">
        <f>IF(AND(C290=TRUE,C297=FALSE),0,1)</f>
        <v>1</v>
      </c>
      <c r="D304">
        <f t="shared" ref="D304:X304" si="590">IF(AND(D290=TRUE,D297=FALSE),0,1)</f>
        <v>1</v>
      </c>
      <c r="E304">
        <f t="shared" si="590"/>
        <v>1</v>
      </c>
      <c r="F304">
        <f t="shared" si="590"/>
        <v>1</v>
      </c>
      <c r="G304">
        <f t="shared" si="590"/>
        <v>1</v>
      </c>
      <c r="H304">
        <f t="shared" si="590"/>
        <v>1</v>
      </c>
      <c r="I304">
        <f t="shared" si="590"/>
        <v>1</v>
      </c>
      <c r="J304">
        <f t="shared" si="590"/>
        <v>1</v>
      </c>
      <c r="K304">
        <f t="shared" si="590"/>
        <v>1</v>
      </c>
      <c r="L304">
        <f t="shared" si="590"/>
        <v>1</v>
      </c>
      <c r="M304">
        <f t="shared" si="590"/>
        <v>1</v>
      </c>
      <c r="N304">
        <f t="shared" si="590"/>
        <v>1</v>
      </c>
      <c r="O304">
        <f t="shared" si="590"/>
        <v>1</v>
      </c>
      <c r="P304">
        <f t="shared" si="590"/>
        <v>1</v>
      </c>
      <c r="Q304">
        <f t="shared" si="590"/>
        <v>1</v>
      </c>
      <c r="R304">
        <f t="shared" si="590"/>
        <v>1</v>
      </c>
      <c r="S304">
        <f t="shared" si="590"/>
        <v>1</v>
      </c>
      <c r="T304">
        <f t="shared" si="590"/>
        <v>1</v>
      </c>
      <c r="U304">
        <f t="shared" si="590"/>
        <v>1</v>
      </c>
      <c r="V304">
        <f t="shared" si="590"/>
        <v>1</v>
      </c>
      <c r="W304">
        <f t="shared" si="590"/>
        <v>1</v>
      </c>
      <c r="X304">
        <f t="shared" si="590"/>
        <v>1</v>
      </c>
    </row>
    <row r="305" spans="2:24" x14ac:dyDescent="0.2">
      <c r="B305" t="s">
        <v>8</v>
      </c>
      <c r="C305">
        <f t="shared" ref="C305:X305" si="591">IF(AND(C291=TRUE,C298=FALSE),0,1)</f>
        <v>1</v>
      </c>
      <c r="D305">
        <f t="shared" si="591"/>
        <v>1</v>
      </c>
      <c r="E305">
        <f t="shared" si="591"/>
        <v>1</v>
      </c>
      <c r="F305">
        <f t="shared" si="591"/>
        <v>1</v>
      </c>
      <c r="G305">
        <f t="shared" si="591"/>
        <v>1</v>
      </c>
      <c r="H305">
        <f t="shared" si="591"/>
        <v>1</v>
      </c>
      <c r="I305">
        <f t="shared" si="591"/>
        <v>1</v>
      </c>
      <c r="J305">
        <f t="shared" si="591"/>
        <v>1</v>
      </c>
      <c r="K305">
        <f t="shared" si="591"/>
        <v>1</v>
      </c>
      <c r="L305">
        <f t="shared" si="591"/>
        <v>1</v>
      </c>
      <c r="M305">
        <f t="shared" si="591"/>
        <v>1</v>
      </c>
      <c r="N305">
        <f t="shared" si="591"/>
        <v>1</v>
      </c>
      <c r="O305">
        <f t="shared" si="591"/>
        <v>1</v>
      </c>
      <c r="P305">
        <f t="shared" si="591"/>
        <v>1</v>
      </c>
      <c r="Q305">
        <f t="shared" si="591"/>
        <v>1</v>
      </c>
      <c r="R305">
        <f t="shared" si="591"/>
        <v>1</v>
      </c>
      <c r="S305">
        <f t="shared" si="591"/>
        <v>1</v>
      </c>
      <c r="T305">
        <f t="shared" si="591"/>
        <v>1</v>
      </c>
      <c r="U305">
        <f t="shared" si="591"/>
        <v>1</v>
      </c>
      <c r="V305">
        <f t="shared" si="591"/>
        <v>1</v>
      </c>
      <c r="W305">
        <f t="shared" si="591"/>
        <v>1</v>
      </c>
      <c r="X305">
        <f t="shared" si="591"/>
        <v>1</v>
      </c>
    </row>
    <row r="306" spans="2:24" x14ac:dyDescent="0.2">
      <c r="B306" t="s">
        <v>7</v>
      </c>
      <c r="C306">
        <f t="shared" ref="C306:X306" si="592">IF(AND(C292=TRUE,C299=FALSE),0,1)</f>
        <v>1</v>
      </c>
      <c r="D306">
        <f t="shared" si="592"/>
        <v>1</v>
      </c>
      <c r="E306">
        <f t="shared" si="592"/>
        <v>1</v>
      </c>
      <c r="F306">
        <f t="shared" si="592"/>
        <v>1</v>
      </c>
      <c r="G306">
        <f t="shared" si="592"/>
        <v>1</v>
      </c>
      <c r="H306">
        <f t="shared" si="592"/>
        <v>1</v>
      </c>
      <c r="I306">
        <f t="shared" si="592"/>
        <v>1</v>
      </c>
      <c r="J306">
        <f t="shared" si="592"/>
        <v>1</v>
      </c>
      <c r="K306">
        <f t="shared" si="592"/>
        <v>1</v>
      </c>
      <c r="L306">
        <f t="shared" si="592"/>
        <v>1</v>
      </c>
      <c r="M306">
        <f t="shared" si="592"/>
        <v>1</v>
      </c>
      <c r="N306">
        <f t="shared" si="592"/>
        <v>1</v>
      </c>
      <c r="O306">
        <f t="shared" si="592"/>
        <v>1</v>
      </c>
      <c r="P306">
        <f t="shared" si="592"/>
        <v>1</v>
      </c>
      <c r="Q306">
        <f t="shared" si="592"/>
        <v>1</v>
      </c>
      <c r="R306">
        <f t="shared" si="592"/>
        <v>1</v>
      </c>
      <c r="S306">
        <f t="shared" si="592"/>
        <v>1</v>
      </c>
      <c r="T306">
        <f t="shared" si="592"/>
        <v>1</v>
      </c>
      <c r="U306">
        <f t="shared" si="592"/>
        <v>1</v>
      </c>
      <c r="V306">
        <f t="shared" si="592"/>
        <v>1</v>
      </c>
      <c r="W306">
        <f t="shared" si="592"/>
        <v>1</v>
      </c>
      <c r="X306">
        <f t="shared" si="592"/>
        <v>1</v>
      </c>
    </row>
    <row r="307" spans="2:24" x14ac:dyDescent="0.2">
      <c r="B307" t="s">
        <v>6</v>
      </c>
      <c r="C307">
        <f t="shared" ref="C307:X307" si="593">IF(AND(C293=TRUE,C300=FALSE),0,1)</f>
        <v>1</v>
      </c>
      <c r="D307">
        <f t="shared" si="593"/>
        <v>1</v>
      </c>
      <c r="E307">
        <f t="shared" si="593"/>
        <v>1</v>
      </c>
      <c r="F307">
        <f t="shared" si="593"/>
        <v>1</v>
      </c>
      <c r="G307">
        <f t="shared" si="593"/>
        <v>1</v>
      </c>
      <c r="H307">
        <f t="shared" si="593"/>
        <v>1</v>
      </c>
      <c r="I307">
        <f t="shared" si="593"/>
        <v>1</v>
      </c>
      <c r="J307">
        <f t="shared" si="593"/>
        <v>1</v>
      </c>
      <c r="K307">
        <f t="shared" si="593"/>
        <v>1</v>
      </c>
      <c r="L307">
        <f t="shared" si="593"/>
        <v>1</v>
      </c>
      <c r="M307">
        <f t="shared" si="593"/>
        <v>1</v>
      </c>
      <c r="N307">
        <f t="shared" si="593"/>
        <v>1</v>
      </c>
      <c r="O307">
        <f t="shared" si="593"/>
        <v>1</v>
      </c>
      <c r="P307">
        <f t="shared" si="593"/>
        <v>1</v>
      </c>
      <c r="Q307">
        <f t="shared" si="593"/>
        <v>1</v>
      </c>
      <c r="R307">
        <f t="shared" si="593"/>
        <v>1</v>
      </c>
      <c r="S307">
        <f t="shared" si="593"/>
        <v>1</v>
      </c>
      <c r="T307">
        <f t="shared" si="593"/>
        <v>1</v>
      </c>
      <c r="U307">
        <f t="shared" si="593"/>
        <v>1</v>
      </c>
      <c r="V307">
        <f t="shared" si="593"/>
        <v>1</v>
      </c>
      <c r="W307">
        <f t="shared" si="593"/>
        <v>1</v>
      </c>
      <c r="X307">
        <f t="shared" si="593"/>
        <v>1</v>
      </c>
    </row>
    <row r="308" spans="2:24" x14ac:dyDescent="0.2">
      <c r="B308" t="s">
        <v>5</v>
      </c>
      <c r="C308">
        <f t="shared" ref="C308:X308" si="594">IF(AND(C294=TRUE,C301=FALSE),0,1)</f>
        <v>1</v>
      </c>
      <c r="D308">
        <f t="shared" si="594"/>
        <v>1</v>
      </c>
      <c r="E308">
        <f t="shared" si="594"/>
        <v>1</v>
      </c>
      <c r="F308">
        <f t="shared" si="594"/>
        <v>1</v>
      </c>
      <c r="G308">
        <f t="shared" si="594"/>
        <v>1</v>
      </c>
      <c r="H308">
        <f t="shared" si="594"/>
        <v>1</v>
      </c>
      <c r="I308">
        <f t="shared" si="594"/>
        <v>1</v>
      </c>
      <c r="J308">
        <f t="shared" si="594"/>
        <v>1</v>
      </c>
      <c r="K308">
        <f t="shared" si="594"/>
        <v>1</v>
      </c>
      <c r="L308">
        <f t="shared" si="594"/>
        <v>1</v>
      </c>
      <c r="M308">
        <f t="shared" si="594"/>
        <v>1</v>
      </c>
      <c r="N308">
        <f t="shared" si="594"/>
        <v>1</v>
      </c>
      <c r="O308">
        <f t="shared" si="594"/>
        <v>1</v>
      </c>
      <c r="P308">
        <f t="shared" si="594"/>
        <v>1</v>
      </c>
      <c r="Q308">
        <f t="shared" si="594"/>
        <v>1</v>
      </c>
      <c r="R308">
        <f t="shared" si="594"/>
        <v>1</v>
      </c>
      <c r="S308">
        <f t="shared" si="594"/>
        <v>1</v>
      </c>
      <c r="T308">
        <f t="shared" si="594"/>
        <v>1</v>
      </c>
      <c r="U308">
        <f t="shared" si="594"/>
        <v>1</v>
      </c>
      <c r="V308">
        <f t="shared" si="594"/>
        <v>1</v>
      </c>
      <c r="W308">
        <f t="shared" si="594"/>
        <v>1</v>
      </c>
      <c r="X308">
        <f t="shared" si="594"/>
        <v>1</v>
      </c>
    </row>
    <row r="310" spans="2:24" x14ac:dyDescent="0.2">
      <c r="B310" s="43" t="s">
        <v>85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</row>
    <row r="311" spans="2:24" ht="16.5" x14ac:dyDescent="0.3">
      <c r="B311" s="12" t="s">
        <v>32</v>
      </c>
      <c r="C311" s="54">
        <f>+C107</f>
        <v>25000</v>
      </c>
      <c r="D311" s="54">
        <f t="shared" ref="D311:X311" si="595">+D107</f>
        <v>25000</v>
      </c>
      <c r="E311" s="54">
        <f t="shared" si="595"/>
        <v>25000</v>
      </c>
      <c r="F311" s="54">
        <f t="shared" si="595"/>
        <v>25000</v>
      </c>
      <c r="G311" s="54">
        <f t="shared" si="595"/>
        <v>25000</v>
      </c>
      <c r="H311" s="54">
        <f t="shared" si="595"/>
        <v>25000</v>
      </c>
      <c r="I311" s="54">
        <f t="shared" si="595"/>
        <v>25000</v>
      </c>
      <c r="J311" s="54">
        <f t="shared" si="595"/>
        <v>25000</v>
      </c>
      <c r="K311" s="54">
        <f t="shared" si="595"/>
        <v>25000</v>
      </c>
      <c r="L311" s="54">
        <f t="shared" si="595"/>
        <v>25000</v>
      </c>
      <c r="M311" s="54">
        <f t="shared" si="595"/>
        <v>25000</v>
      </c>
      <c r="N311" s="54">
        <f t="shared" si="595"/>
        <v>25000</v>
      </c>
      <c r="O311" s="54">
        <f t="shared" si="595"/>
        <v>25000</v>
      </c>
      <c r="P311" s="54">
        <f t="shared" si="595"/>
        <v>25000</v>
      </c>
      <c r="Q311" s="54">
        <f t="shared" si="595"/>
        <v>25000</v>
      </c>
      <c r="R311" s="54">
        <f t="shared" si="595"/>
        <v>25000</v>
      </c>
      <c r="S311" s="54">
        <f t="shared" si="595"/>
        <v>25000</v>
      </c>
      <c r="T311" s="54">
        <f t="shared" si="595"/>
        <v>25000</v>
      </c>
      <c r="U311" s="54">
        <f t="shared" si="595"/>
        <v>25000</v>
      </c>
      <c r="V311" s="54">
        <f t="shared" si="595"/>
        <v>25000</v>
      </c>
      <c r="W311" s="54">
        <f t="shared" si="595"/>
        <v>25000</v>
      </c>
      <c r="X311" s="54">
        <f t="shared" si="595"/>
        <v>25000</v>
      </c>
    </row>
    <row r="312" spans="2:24" ht="16.5" x14ac:dyDescent="0.3">
      <c r="B312" s="12" t="s">
        <v>5</v>
      </c>
      <c r="C312" s="54">
        <f>+C108*C308</f>
        <v>6250</v>
      </c>
      <c r="D312" s="54">
        <f t="shared" ref="D312:X312" si="596">+D108*D308</f>
        <v>7837.437300501595</v>
      </c>
      <c r="E312" s="54">
        <f t="shared" si="596"/>
        <v>6250</v>
      </c>
      <c r="F312" s="54">
        <f t="shared" si="596"/>
        <v>6250</v>
      </c>
      <c r="G312" s="54">
        <f t="shared" si="596"/>
        <v>6250</v>
      </c>
      <c r="H312" s="54">
        <f t="shared" si="596"/>
        <v>6250</v>
      </c>
      <c r="I312" s="54">
        <f t="shared" si="596"/>
        <v>6250</v>
      </c>
      <c r="J312" s="54">
        <f t="shared" si="596"/>
        <v>6250</v>
      </c>
      <c r="K312" s="54">
        <f t="shared" si="596"/>
        <v>6250</v>
      </c>
      <c r="L312" s="54">
        <f t="shared" si="596"/>
        <v>6250</v>
      </c>
      <c r="M312" s="54">
        <f t="shared" si="596"/>
        <v>6250</v>
      </c>
      <c r="N312" s="54">
        <f t="shared" si="596"/>
        <v>6250</v>
      </c>
      <c r="O312" s="54">
        <f t="shared" si="596"/>
        <v>6250</v>
      </c>
      <c r="P312" s="54">
        <f t="shared" si="596"/>
        <v>6250</v>
      </c>
      <c r="Q312" s="54">
        <f t="shared" si="596"/>
        <v>6250</v>
      </c>
      <c r="R312" s="54">
        <f t="shared" si="596"/>
        <v>6250</v>
      </c>
      <c r="S312" s="54">
        <f t="shared" si="596"/>
        <v>6250</v>
      </c>
      <c r="T312" s="54">
        <f t="shared" si="596"/>
        <v>6250</v>
      </c>
      <c r="U312" s="54">
        <f t="shared" si="596"/>
        <v>6250</v>
      </c>
      <c r="V312" s="54">
        <f t="shared" si="596"/>
        <v>6250</v>
      </c>
      <c r="W312" s="54">
        <f t="shared" si="596"/>
        <v>6250</v>
      </c>
      <c r="X312" s="54">
        <f t="shared" si="596"/>
        <v>6250</v>
      </c>
    </row>
    <row r="313" spans="2:24" ht="16.5" x14ac:dyDescent="0.3">
      <c r="B313" s="12" t="s">
        <v>6</v>
      </c>
      <c r="C313" s="54">
        <f>+C109*C307</f>
        <v>5514.7058823529442</v>
      </c>
      <c r="D313" s="54">
        <f t="shared" ref="D313:X313" si="597">+D109*D307</f>
        <v>26124.791001671983</v>
      </c>
      <c r="E313" s="54">
        <f t="shared" si="597"/>
        <v>13062.395500835992</v>
      </c>
      <c r="F313" s="54">
        <f t="shared" si="597"/>
        <v>8708.2636672239969</v>
      </c>
      <c r="G313" s="54">
        <f t="shared" si="597"/>
        <v>6531.1977504179958</v>
      </c>
      <c r="H313" s="54">
        <f t="shared" si="597"/>
        <v>5514.7058823529442</v>
      </c>
      <c r="I313" s="54">
        <f t="shared" si="597"/>
        <v>5514.7058823529442</v>
      </c>
      <c r="J313" s="54">
        <f t="shared" si="597"/>
        <v>5514.7058823529442</v>
      </c>
      <c r="K313" s="54">
        <f t="shared" si="597"/>
        <v>5514.7058823529442</v>
      </c>
      <c r="L313" s="54">
        <f t="shared" si="597"/>
        <v>5514.7058823529442</v>
      </c>
      <c r="M313" s="54">
        <f t="shared" si="597"/>
        <v>5514.7058823529442</v>
      </c>
      <c r="N313" s="54">
        <f t="shared" si="597"/>
        <v>5514.7058823529442</v>
      </c>
      <c r="O313" s="54">
        <f t="shared" si="597"/>
        <v>5514.7058823529442</v>
      </c>
      <c r="P313" s="54">
        <f t="shared" si="597"/>
        <v>5514.7058823529442</v>
      </c>
      <c r="Q313" s="54">
        <f t="shared" si="597"/>
        <v>5514.7058823529442</v>
      </c>
      <c r="R313" s="54">
        <f t="shared" si="597"/>
        <v>5514.7058823529442</v>
      </c>
      <c r="S313" s="54">
        <f t="shared" si="597"/>
        <v>5514.7058823529442</v>
      </c>
      <c r="T313" s="54">
        <f t="shared" si="597"/>
        <v>5514.7058823529442</v>
      </c>
      <c r="U313" s="54">
        <f t="shared" si="597"/>
        <v>5514.7058823529442</v>
      </c>
      <c r="V313" s="54">
        <f t="shared" si="597"/>
        <v>5514.7058823529442</v>
      </c>
      <c r="W313" s="54">
        <f t="shared" si="597"/>
        <v>5514.7058823529442</v>
      </c>
      <c r="X313" s="54">
        <f t="shared" si="597"/>
        <v>5514.7058823529442</v>
      </c>
    </row>
    <row r="314" spans="2:24" ht="16.5" x14ac:dyDescent="0.3">
      <c r="B314" s="12" t="s">
        <v>7</v>
      </c>
      <c r="C314" s="54">
        <f>+C110*C306</f>
        <v>5984.9521203830373</v>
      </c>
      <c r="D314" s="54">
        <f t="shared" ref="D314:X314" si="598">+D110*D306</f>
        <v>52249.582003343967</v>
      </c>
      <c r="E314" s="54">
        <f t="shared" si="598"/>
        <v>26124.791001671983</v>
      </c>
      <c r="F314" s="54">
        <f t="shared" si="598"/>
        <v>17416.527334447994</v>
      </c>
      <c r="G314" s="54">
        <f t="shared" si="598"/>
        <v>13062.395500835992</v>
      </c>
      <c r="H314" s="54">
        <f t="shared" si="598"/>
        <v>10449.916400668795</v>
      </c>
      <c r="I314" s="54">
        <f t="shared" si="598"/>
        <v>8708.2636672239969</v>
      </c>
      <c r="J314" s="54">
        <f t="shared" si="598"/>
        <v>7464.2260004777099</v>
      </c>
      <c r="K314" s="54">
        <f t="shared" si="598"/>
        <v>6531.1977504179958</v>
      </c>
      <c r="L314" s="54">
        <f t="shared" si="598"/>
        <v>5984.9521203830373</v>
      </c>
      <c r="M314" s="54">
        <f t="shared" si="598"/>
        <v>5984.9521203830373</v>
      </c>
      <c r="N314" s="54">
        <f t="shared" si="598"/>
        <v>5984.9521203830373</v>
      </c>
      <c r="O314" s="54">
        <f t="shared" si="598"/>
        <v>5984.9521203830373</v>
      </c>
      <c r="P314" s="54">
        <f t="shared" si="598"/>
        <v>5984.9521203830373</v>
      </c>
      <c r="Q314" s="54">
        <f t="shared" si="598"/>
        <v>5984.9521203830373</v>
      </c>
      <c r="R314" s="54">
        <f t="shared" si="598"/>
        <v>5984.9521203830373</v>
      </c>
      <c r="S314" s="54">
        <f t="shared" si="598"/>
        <v>5984.9521203830373</v>
      </c>
      <c r="T314" s="54">
        <f t="shared" si="598"/>
        <v>5984.9521203830373</v>
      </c>
      <c r="U314" s="54">
        <f t="shared" si="598"/>
        <v>5984.9521203830373</v>
      </c>
      <c r="V314" s="54">
        <f t="shared" si="598"/>
        <v>5984.9521203830373</v>
      </c>
      <c r="W314" s="54">
        <f t="shared" si="598"/>
        <v>5984.9521203830373</v>
      </c>
      <c r="X314" s="54">
        <f t="shared" si="598"/>
        <v>5984.9521203830373</v>
      </c>
    </row>
    <row r="315" spans="2:24" ht="16.5" x14ac:dyDescent="0.3">
      <c r="B315" s="12" t="s">
        <v>8</v>
      </c>
      <c r="C315" s="54">
        <f>+C111*C305</f>
        <v>4749.9620003039963</v>
      </c>
      <c r="D315" s="54">
        <f t="shared" ref="D315:X315" si="599">+D111*D305</f>
        <v>83599.331205350347</v>
      </c>
      <c r="E315" s="54">
        <f t="shared" si="599"/>
        <v>41799.665602675173</v>
      </c>
      <c r="F315" s="54">
        <f t="shared" si="599"/>
        <v>27866.443735116787</v>
      </c>
      <c r="G315" s="54">
        <f t="shared" si="599"/>
        <v>20899.832801337587</v>
      </c>
      <c r="H315" s="54">
        <f t="shared" si="599"/>
        <v>16719.866241070071</v>
      </c>
      <c r="I315" s="54">
        <f t="shared" si="599"/>
        <v>13933.221867558394</v>
      </c>
      <c r="J315" s="54">
        <f t="shared" si="599"/>
        <v>11942.761600764337</v>
      </c>
      <c r="K315" s="54">
        <f t="shared" si="599"/>
        <v>10449.916400668793</v>
      </c>
      <c r="L315" s="54">
        <f t="shared" si="599"/>
        <v>9288.814578372263</v>
      </c>
      <c r="M315" s="54">
        <f t="shared" si="599"/>
        <v>8359.9331205350354</v>
      </c>
      <c r="N315" s="54">
        <f t="shared" si="599"/>
        <v>7599.9392004863957</v>
      </c>
      <c r="O315" s="54">
        <f t="shared" si="599"/>
        <v>6966.6109337791968</v>
      </c>
      <c r="P315" s="54">
        <f t="shared" si="599"/>
        <v>6430.7177850269509</v>
      </c>
      <c r="Q315" s="54">
        <f t="shared" si="599"/>
        <v>5971.3808003821687</v>
      </c>
      <c r="R315" s="54">
        <f t="shared" si="599"/>
        <v>5573.2887470233582</v>
      </c>
      <c r="S315" s="54">
        <f t="shared" si="599"/>
        <v>5224.9582003343967</v>
      </c>
      <c r="T315" s="54">
        <f t="shared" si="599"/>
        <v>4917.607717961786</v>
      </c>
      <c r="U315" s="54">
        <f t="shared" si="599"/>
        <v>4749.9620003039963</v>
      </c>
      <c r="V315" s="54">
        <f t="shared" si="599"/>
        <v>4749.9620003039963</v>
      </c>
      <c r="W315" s="54">
        <f t="shared" si="599"/>
        <v>4749.9620003039963</v>
      </c>
      <c r="X315" s="54">
        <f t="shared" si="599"/>
        <v>4749.9620003039963</v>
      </c>
    </row>
    <row r="316" spans="2:24" ht="16.5" x14ac:dyDescent="0.3">
      <c r="B316" s="33" t="s">
        <v>9</v>
      </c>
      <c r="C316" s="55">
        <f>+C112*C304</f>
        <v>4749.9620003039981</v>
      </c>
      <c r="D316" s="55">
        <f t="shared" ref="D316:X316" si="600">+D112*D304</f>
        <v>130623.95500835992</v>
      </c>
      <c r="E316" s="55">
        <f t="shared" si="600"/>
        <v>65311.977504179958</v>
      </c>
      <c r="F316" s="55">
        <f t="shared" si="600"/>
        <v>43541.318336119977</v>
      </c>
      <c r="G316" s="55">
        <f t="shared" si="600"/>
        <v>32655.988752089979</v>
      </c>
      <c r="H316" s="55">
        <f t="shared" si="600"/>
        <v>26124.791001671987</v>
      </c>
      <c r="I316" s="55">
        <f t="shared" si="600"/>
        <v>21770.659168059989</v>
      </c>
      <c r="J316" s="55">
        <f t="shared" si="600"/>
        <v>18660.565001194274</v>
      </c>
      <c r="K316" s="55">
        <f t="shared" si="600"/>
        <v>16327.99437604499</v>
      </c>
      <c r="L316" s="55">
        <f t="shared" si="600"/>
        <v>14513.772778706661</v>
      </c>
      <c r="M316" s="55">
        <f t="shared" si="600"/>
        <v>13062.395500835994</v>
      </c>
      <c r="N316" s="55">
        <f t="shared" si="600"/>
        <v>11874.905000759993</v>
      </c>
      <c r="O316" s="55">
        <f t="shared" si="600"/>
        <v>10885.329584029994</v>
      </c>
      <c r="P316" s="55">
        <f t="shared" si="600"/>
        <v>10047.99653910461</v>
      </c>
      <c r="Q316" s="55">
        <f t="shared" si="600"/>
        <v>9330.2825005971372</v>
      </c>
      <c r="R316" s="55">
        <f t="shared" si="600"/>
        <v>8708.2636672239969</v>
      </c>
      <c r="S316" s="55">
        <f t="shared" si="600"/>
        <v>8163.9971880224948</v>
      </c>
      <c r="T316" s="55">
        <f t="shared" si="600"/>
        <v>7683.7620593152906</v>
      </c>
      <c r="U316" s="55">
        <f t="shared" si="600"/>
        <v>7256.8863893533307</v>
      </c>
      <c r="V316" s="55">
        <f t="shared" si="600"/>
        <v>6874.945000439996</v>
      </c>
      <c r="W316" s="55">
        <f t="shared" si="600"/>
        <v>6531.1977504179968</v>
      </c>
      <c r="X316" s="55">
        <f t="shared" si="600"/>
        <v>6220.1883337314248</v>
      </c>
    </row>
    <row r="317" spans="2:24" x14ac:dyDescent="0.2">
      <c r="C317" s="40">
        <f>SUM(C311:C316)</f>
        <v>52249.582003343974</v>
      </c>
      <c r="D317" s="40">
        <f t="shared" ref="D317:X317" si="601">SUM(D311:D316)</f>
        <v>325435.09651922784</v>
      </c>
      <c r="E317" s="40">
        <f t="shared" si="601"/>
        <v>177548.82960936311</v>
      </c>
      <c r="F317" s="40">
        <f t="shared" si="601"/>
        <v>128782.55307290876</v>
      </c>
      <c r="G317" s="40">
        <f t="shared" si="601"/>
        <v>104399.41480468155</v>
      </c>
      <c r="H317" s="40">
        <f t="shared" si="601"/>
        <v>90059.279525763792</v>
      </c>
      <c r="I317" s="40">
        <f t="shared" si="601"/>
        <v>81176.850585195323</v>
      </c>
      <c r="J317" s="40">
        <f t="shared" si="601"/>
        <v>74832.258484789272</v>
      </c>
      <c r="K317" s="40">
        <f t="shared" si="601"/>
        <v>70073.814409484723</v>
      </c>
      <c r="L317" s="40">
        <f t="shared" si="601"/>
        <v>66552.2453598149</v>
      </c>
      <c r="M317" s="40">
        <f t="shared" si="601"/>
        <v>64171.986624107012</v>
      </c>
      <c r="N317" s="40">
        <f t="shared" si="601"/>
        <v>62224.502203982374</v>
      </c>
      <c r="O317" s="40">
        <f t="shared" si="601"/>
        <v>60601.598520545173</v>
      </c>
      <c r="P317" s="40">
        <f t="shared" si="601"/>
        <v>59228.372326867539</v>
      </c>
      <c r="Q317" s="40">
        <f t="shared" si="601"/>
        <v>58051.321303715289</v>
      </c>
      <c r="R317" s="40">
        <f t="shared" si="601"/>
        <v>57031.21041698334</v>
      </c>
      <c r="S317" s="40">
        <f t="shared" si="601"/>
        <v>56138.613391092877</v>
      </c>
      <c r="T317" s="40">
        <f t="shared" si="601"/>
        <v>55351.027780013057</v>
      </c>
      <c r="U317" s="40">
        <f t="shared" si="601"/>
        <v>54756.506392393305</v>
      </c>
      <c r="V317" s="40">
        <f t="shared" si="601"/>
        <v>54374.565003479976</v>
      </c>
      <c r="W317" s="40">
        <f t="shared" si="601"/>
        <v>54030.817753457974</v>
      </c>
      <c r="X317" s="40">
        <f t="shared" si="601"/>
        <v>53719.808336771399</v>
      </c>
    </row>
    <row r="319" spans="2:24" x14ac:dyDescent="0.2">
      <c r="B319" s="43" t="s">
        <v>70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</row>
    <row r="321" spans="2:24" ht="13.5" thickBot="1" x14ac:dyDescent="0.25">
      <c r="B321" s="42" t="s">
        <v>63</v>
      </c>
      <c r="C321" s="44">
        <f>C61</f>
        <v>0</v>
      </c>
      <c r="D321" s="44">
        <f>D61</f>
        <v>0</v>
      </c>
      <c r="E321" s="44">
        <f>E61</f>
        <v>0</v>
      </c>
      <c r="F321" s="44">
        <f>F61</f>
        <v>0</v>
      </c>
      <c r="G321" s="44">
        <f>G61</f>
        <v>0</v>
      </c>
      <c r="H321" s="44">
        <f>H61</f>
        <v>0</v>
      </c>
      <c r="I321" s="44">
        <f>I61</f>
        <v>0</v>
      </c>
      <c r="J321" s="44">
        <f>J61</f>
        <v>0</v>
      </c>
      <c r="K321" s="44">
        <f>K61</f>
        <v>0</v>
      </c>
      <c r="L321" s="44">
        <f>L61</f>
        <v>4</v>
      </c>
      <c r="M321" s="44">
        <f>M61</f>
        <v>14</v>
      </c>
      <c r="N321" s="44">
        <f>N61</f>
        <v>24</v>
      </c>
      <c r="O321" s="44">
        <f>O61</f>
        <v>34</v>
      </c>
      <c r="P321" s="44">
        <f>P61</f>
        <v>44</v>
      </c>
      <c r="Q321" s="44">
        <f>Q61</f>
        <v>54</v>
      </c>
      <c r="R321" s="44">
        <f>R61</f>
        <v>64</v>
      </c>
      <c r="S321" s="44">
        <f>S61</f>
        <v>74</v>
      </c>
      <c r="T321" s="44">
        <f>T61</f>
        <v>84</v>
      </c>
      <c r="U321" s="44">
        <f>U61</f>
        <v>94</v>
      </c>
      <c r="V321" s="44">
        <f>V61</f>
        <v>104</v>
      </c>
      <c r="W321" s="44">
        <f>W61</f>
        <v>114</v>
      </c>
      <c r="X321" s="44">
        <f>X61</f>
        <v>124</v>
      </c>
    </row>
    <row r="322" spans="2:24" ht="17.25" thickTop="1" x14ac:dyDescent="0.3">
      <c r="B322" s="12" t="s">
        <v>32</v>
      </c>
      <c r="C322" s="52">
        <f>C311/C$317*C$321</f>
        <v>0</v>
      </c>
      <c r="D322" s="2">
        <f t="shared" ref="D322:X327" si="602">D311/D$317*D$321</f>
        <v>0</v>
      </c>
      <c r="E322" s="2">
        <f t="shared" si="602"/>
        <v>0</v>
      </c>
      <c r="F322" s="2">
        <f t="shared" si="602"/>
        <v>0</v>
      </c>
      <c r="G322" s="2">
        <f t="shared" si="602"/>
        <v>0</v>
      </c>
      <c r="H322" s="2">
        <f t="shared" si="602"/>
        <v>0</v>
      </c>
      <c r="I322" s="2">
        <f t="shared" si="602"/>
        <v>0</v>
      </c>
      <c r="J322" s="2">
        <f t="shared" si="602"/>
        <v>0</v>
      </c>
      <c r="K322" s="2">
        <f t="shared" si="602"/>
        <v>0</v>
      </c>
      <c r="L322" s="2">
        <f t="shared" si="602"/>
        <v>1.5025789056304519</v>
      </c>
      <c r="M322" s="2">
        <f t="shared" si="602"/>
        <v>5.454093264248705</v>
      </c>
      <c r="N322" s="2">
        <f t="shared" si="602"/>
        <v>9.6425038167938926</v>
      </c>
      <c r="O322" s="2">
        <f t="shared" si="602"/>
        <v>14.026032658393206</v>
      </c>
      <c r="P322" s="2">
        <f t="shared" si="602"/>
        <v>18.572180135718693</v>
      </c>
      <c r="Q322" s="2">
        <f t="shared" si="602"/>
        <v>23.255284628872001</v>
      </c>
      <c r="R322" s="2">
        <f t="shared" si="602"/>
        <v>28.054813992226535</v>
      </c>
      <c r="S322" s="2">
        <f t="shared" si="602"/>
        <v>32.954144896879953</v>
      </c>
      <c r="T322" s="2">
        <f t="shared" si="602"/>
        <v>37.939674911660774</v>
      </c>
      <c r="U322" s="2">
        <f t="shared" si="602"/>
        <v>42.917274216867469</v>
      </c>
      <c r="V322" s="2">
        <f t="shared" si="602"/>
        <v>47.816474482758615</v>
      </c>
      <c r="W322" s="2">
        <f t="shared" si="602"/>
        <v>52.747674725274727</v>
      </c>
      <c r="X322" s="2">
        <f t="shared" si="602"/>
        <v>57.706832842105264</v>
      </c>
    </row>
    <row r="323" spans="2:24" ht="16.5" x14ac:dyDescent="0.3">
      <c r="B323" s="12" t="s">
        <v>5</v>
      </c>
      <c r="C323" s="53">
        <f t="shared" ref="C323:R327" si="603">C312/C$317*C$321</f>
        <v>0</v>
      </c>
      <c r="D323" s="2">
        <f t="shared" si="603"/>
        <v>0</v>
      </c>
      <c r="E323" s="2">
        <f t="shared" si="603"/>
        <v>0</v>
      </c>
      <c r="F323" s="2">
        <f t="shared" si="603"/>
        <v>0</v>
      </c>
      <c r="G323" s="2">
        <f t="shared" si="603"/>
        <v>0</v>
      </c>
      <c r="H323" s="2">
        <f t="shared" si="603"/>
        <v>0</v>
      </c>
      <c r="I323" s="2">
        <f t="shared" si="603"/>
        <v>0</v>
      </c>
      <c r="J323" s="2">
        <f t="shared" si="603"/>
        <v>0</v>
      </c>
      <c r="K323" s="2">
        <f t="shared" si="603"/>
        <v>0</v>
      </c>
      <c r="L323" s="2">
        <f t="shared" si="603"/>
        <v>0.37564472640761298</v>
      </c>
      <c r="M323" s="2">
        <f t="shared" si="603"/>
        <v>1.3635233160621762</v>
      </c>
      <c r="N323" s="2">
        <f t="shared" si="603"/>
        <v>2.4106259541984731</v>
      </c>
      <c r="O323" s="2">
        <f t="shared" si="603"/>
        <v>3.5065081645983014</v>
      </c>
      <c r="P323" s="2">
        <f t="shared" si="603"/>
        <v>4.6430450339296732</v>
      </c>
      <c r="Q323" s="2">
        <f t="shared" si="603"/>
        <v>5.8138211572180003</v>
      </c>
      <c r="R323" s="2">
        <f t="shared" si="603"/>
        <v>7.0137034980566337</v>
      </c>
      <c r="S323" s="2">
        <f t="shared" si="602"/>
        <v>8.2385362242199882</v>
      </c>
      <c r="T323" s="2">
        <f t="shared" si="602"/>
        <v>9.4849187279151934</v>
      </c>
      <c r="U323" s="2">
        <f t="shared" si="602"/>
        <v>10.729318554216867</v>
      </c>
      <c r="V323" s="2">
        <f t="shared" si="602"/>
        <v>11.954118620689654</v>
      </c>
      <c r="W323" s="2">
        <f t="shared" si="602"/>
        <v>13.186918681318682</v>
      </c>
      <c r="X323" s="2">
        <f t="shared" si="602"/>
        <v>14.426708210526316</v>
      </c>
    </row>
    <row r="324" spans="2:24" ht="16.5" x14ac:dyDescent="0.3">
      <c r="B324" s="12" t="s">
        <v>6</v>
      </c>
      <c r="C324" s="53">
        <f t="shared" si="603"/>
        <v>0</v>
      </c>
      <c r="D324" s="2">
        <f t="shared" si="602"/>
        <v>0</v>
      </c>
      <c r="E324" s="2">
        <f t="shared" si="602"/>
        <v>0</v>
      </c>
      <c r="F324" s="2">
        <f t="shared" si="602"/>
        <v>0</v>
      </c>
      <c r="G324" s="2">
        <f t="shared" si="602"/>
        <v>0</v>
      </c>
      <c r="H324" s="2">
        <f t="shared" si="602"/>
        <v>0</v>
      </c>
      <c r="I324" s="2">
        <f t="shared" si="602"/>
        <v>0</v>
      </c>
      <c r="J324" s="2">
        <f t="shared" si="602"/>
        <v>0</v>
      </c>
      <c r="K324" s="2">
        <f t="shared" si="602"/>
        <v>0</v>
      </c>
      <c r="L324" s="2">
        <f t="shared" si="602"/>
        <v>0.33145122918318815</v>
      </c>
      <c r="M324" s="2">
        <f t="shared" si="602"/>
        <v>1.203108808290156</v>
      </c>
      <c r="N324" s="2">
        <f t="shared" si="602"/>
        <v>2.1270229007633601</v>
      </c>
      <c r="O324" s="2">
        <f t="shared" si="602"/>
        <v>3.0939777922926206</v>
      </c>
      <c r="P324" s="2">
        <f t="shared" si="602"/>
        <v>4.0968044417026546</v>
      </c>
      <c r="Q324" s="2">
        <f t="shared" si="602"/>
        <v>5.1298421975452975</v>
      </c>
      <c r="R324" s="2">
        <f t="shared" si="602"/>
        <v>6.1885619100499749</v>
      </c>
      <c r="S324" s="2">
        <f t="shared" si="602"/>
        <v>7.2692966684294049</v>
      </c>
      <c r="T324" s="2">
        <f t="shared" si="602"/>
        <v>8.3690459363957643</v>
      </c>
      <c r="U324" s="2">
        <f t="shared" si="602"/>
        <v>9.4670457831325354</v>
      </c>
      <c r="V324" s="2">
        <f t="shared" si="602"/>
        <v>10.547751724137937</v>
      </c>
      <c r="W324" s="2">
        <f t="shared" si="602"/>
        <v>11.63551648351649</v>
      </c>
      <c r="X324" s="2">
        <f t="shared" si="602"/>
        <v>12.729448421052638</v>
      </c>
    </row>
    <row r="325" spans="2:24" ht="16.5" x14ac:dyDescent="0.3">
      <c r="B325" s="12" t="s">
        <v>7</v>
      </c>
      <c r="C325" s="53">
        <f t="shared" si="603"/>
        <v>0</v>
      </c>
      <c r="D325" s="2">
        <f t="shared" si="602"/>
        <v>0</v>
      </c>
      <c r="E325" s="2">
        <f t="shared" si="602"/>
        <v>0</v>
      </c>
      <c r="F325" s="2">
        <f t="shared" si="602"/>
        <v>0</v>
      </c>
      <c r="G325" s="2">
        <f t="shared" si="602"/>
        <v>0</v>
      </c>
      <c r="H325" s="2">
        <f t="shared" si="602"/>
        <v>0</v>
      </c>
      <c r="I325" s="2">
        <f t="shared" si="602"/>
        <v>0</v>
      </c>
      <c r="J325" s="2">
        <f t="shared" si="602"/>
        <v>0</v>
      </c>
      <c r="K325" s="2">
        <f t="shared" si="602"/>
        <v>0</v>
      </c>
      <c r="L325" s="2">
        <f t="shared" si="602"/>
        <v>0.35971451229183188</v>
      </c>
      <c r="M325" s="2">
        <f t="shared" si="602"/>
        <v>1.3056994818652849</v>
      </c>
      <c r="N325" s="2">
        <f t="shared" si="602"/>
        <v>2.3083969465648853</v>
      </c>
      <c r="O325" s="2">
        <f t="shared" si="602"/>
        <v>3.357805355976486</v>
      </c>
      <c r="P325" s="2">
        <f t="shared" si="602"/>
        <v>4.4461443553362123</v>
      </c>
      <c r="Q325" s="2">
        <f t="shared" si="602"/>
        <v>5.5672706019871416</v>
      </c>
      <c r="R325" s="2">
        <f t="shared" si="602"/>
        <v>6.7162687395891165</v>
      </c>
      <c r="S325" s="2">
        <f t="shared" si="602"/>
        <v>7.8891591750396612</v>
      </c>
      <c r="T325" s="2">
        <f t="shared" si="602"/>
        <v>9.0826855123674903</v>
      </c>
      <c r="U325" s="2">
        <f t="shared" si="602"/>
        <v>10.27431325301205</v>
      </c>
      <c r="V325" s="2">
        <f t="shared" si="602"/>
        <v>11.447172413793103</v>
      </c>
      <c r="W325" s="2">
        <f t="shared" si="602"/>
        <v>12.627692307692309</v>
      </c>
      <c r="X325" s="2">
        <f t="shared" si="602"/>
        <v>13.814905263157897</v>
      </c>
    </row>
    <row r="326" spans="2:24" ht="16.5" x14ac:dyDescent="0.3">
      <c r="B326" s="12" t="s">
        <v>8</v>
      </c>
      <c r="C326" s="53">
        <f t="shared" si="603"/>
        <v>0</v>
      </c>
      <c r="D326" s="2">
        <f t="shared" si="602"/>
        <v>0</v>
      </c>
      <c r="E326" s="2">
        <f t="shared" si="602"/>
        <v>0</v>
      </c>
      <c r="F326" s="2">
        <f t="shared" si="602"/>
        <v>0</v>
      </c>
      <c r="G326" s="2">
        <f t="shared" si="602"/>
        <v>0</v>
      </c>
      <c r="H326" s="2">
        <f t="shared" si="602"/>
        <v>0</v>
      </c>
      <c r="I326" s="2">
        <f t="shared" si="602"/>
        <v>0</v>
      </c>
      <c r="J326" s="2">
        <f t="shared" si="602"/>
        <v>0</v>
      </c>
      <c r="K326" s="2">
        <f t="shared" si="602"/>
        <v>0</v>
      </c>
      <c r="L326" s="2">
        <f t="shared" si="602"/>
        <v>0.55828707375099129</v>
      </c>
      <c r="M326" s="2">
        <f t="shared" si="602"/>
        <v>1.8238341968911915</v>
      </c>
      <c r="N326" s="2">
        <f t="shared" si="602"/>
        <v>2.9312977099236637</v>
      </c>
      <c r="O326" s="2">
        <f t="shared" si="602"/>
        <v>3.9085564990202482</v>
      </c>
      <c r="P326" s="2">
        <f t="shared" si="602"/>
        <v>4.7772979642196178</v>
      </c>
      <c r="Q326" s="2">
        <f t="shared" si="602"/>
        <v>5.5546464056107538</v>
      </c>
      <c r="R326" s="2">
        <f t="shared" si="602"/>
        <v>6.254303164908384</v>
      </c>
      <c r="S326" s="2">
        <f t="shared" si="602"/>
        <v>6.8873611845584337</v>
      </c>
      <c r="T326" s="2">
        <f t="shared" si="602"/>
        <v>7.4628975265017665</v>
      </c>
      <c r="U326" s="2">
        <f t="shared" si="602"/>
        <v>8.1542168674698772</v>
      </c>
      <c r="V326" s="2">
        <f t="shared" si="602"/>
        <v>9.0850574712643652</v>
      </c>
      <c r="W326" s="2">
        <f t="shared" si="602"/>
        <v>10.02197802197802</v>
      </c>
      <c r="X326" s="2">
        <f t="shared" si="602"/>
        <v>10.964210526315787</v>
      </c>
    </row>
    <row r="327" spans="2:24" ht="16.5" x14ac:dyDescent="0.3">
      <c r="B327" s="12" t="s">
        <v>9</v>
      </c>
      <c r="C327" s="53">
        <f t="shared" si="603"/>
        <v>0</v>
      </c>
      <c r="D327" s="2">
        <f t="shared" si="602"/>
        <v>0</v>
      </c>
      <c r="E327" s="2">
        <f t="shared" si="602"/>
        <v>0</v>
      </c>
      <c r="F327" s="2">
        <f t="shared" si="602"/>
        <v>0</v>
      </c>
      <c r="G327" s="2">
        <f t="shared" si="602"/>
        <v>0</v>
      </c>
      <c r="H327" s="2">
        <f t="shared" si="602"/>
        <v>0</v>
      </c>
      <c r="I327" s="2">
        <f t="shared" si="602"/>
        <v>0</v>
      </c>
      <c r="J327" s="2">
        <f t="shared" si="602"/>
        <v>0</v>
      </c>
      <c r="K327" s="2">
        <f t="shared" si="602"/>
        <v>0</v>
      </c>
      <c r="L327" s="2">
        <f t="shared" si="602"/>
        <v>0.87232355273592399</v>
      </c>
      <c r="M327" s="2">
        <f t="shared" si="602"/>
        <v>2.849740932642487</v>
      </c>
      <c r="N327" s="2">
        <f t="shared" si="602"/>
        <v>4.5801526717557239</v>
      </c>
      <c r="O327" s="2">
        <f t="shared" si="602"/>
        <v>6.107119529719137</v>
      </c>
      <c r="P327" s="2">
        <f t="shared" si="602"/>
        <v>7.4645280690931521</v>
      </c>
      <c r="Q327" s="2">
        <f t="shared" si="602"/>
        <v>8.6791350087668011</v>
      </c>
      <c r="R327" s="2">
        <f t="shared" si="602"/>
        <v>9.7723486951693506</v>
      </c>
      <c r="S327" s="2">
        <f t="shared" si="602"/>
        <v>10.761501850872552</v>
      </c>
      <c r="T327" s="2">
        <f t="shared" si="602"/>
        <v>11.66077738515901</v>
      </c>
      <c r="U327" s="2">
        <f t="shared" si="602"/>
        <v>12.457831325301205</v>
      </c>
      <c r="V327" s="2">
        <f t="shared" si="602"/>
        <v>13.149425287356321</v>
      </c>
      <c r="W327" s="2">
        <f t="shared" si="602"/>
        <v>13.780219780219781</v>
      </c>
      <c r="X327" s="2">
        <f t="shared" si="602"/>
        <v>14.357894736842105</v>
      </c>
    </row>
  </sheetData>
  <mergeCells count="4">
    <mergeCell ref="B13:C14"/>
    <mergeCell ref="B170:C171"/>
    <mergeCell ref="B70:C71"/>
    <mergeCell ref="B88:E89"/>
  </mergeCells>
  <dataValidations count="1">
    <dataValidation type="list" allowBlank="1" showInputMessage="1" showErrorMessage="1" sqref="C4" xr:uid="{9BC5D4DD-4A8D-450C-8390-282A7C9D20C1}">
      <formula1>"Base Case, Bull Case, Bear Case"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&amp; Output</vt:lpstr>
      <vt:lpstr>Dashboard &amp; Assump.</vt:lpstr>
      <vt:lpstr>Cases</vt:lpstr>
      <vt:lpstr>Models</vt:lpstr>
      <vt:lpstr>Distribution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Scherer</dc:creator>
  <cp:lastModifiedBy>Ben Scherer</cp:lastModifiedBy>
  <dcterms:created xsi:type="dcterms:W3CDTF">2020-09-26T12:34:27Z</dcterms:created>
  <dcterms:modified xsi:type="dcterms:W3CDTF">2020-09-27T16:25:12Z</dcterms:modified>
</cp:coreProperties>
</file>