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gitstore\startup-valuation\Pre Revenue Models\"/>
    </mc:Choice>
  </mc:AlternateContent>
  <xr:revisionPtr revIDLastSave="0" documentId="8_{CBB231FF-5844-426F-AD62-6EDD9D705F6D}" xr6:coauthVersionLast="45" xr6:coauthVersionMax="45" xr10:uidLastSave="{00000000-0000-0000-0000-000000000000}"/>
  <bookViews>
    <workbookView xWindow="-120" yWindow="480" windowWidth="29040" windowHeight="15840" xr2:uid="{750440F6-AF90-4DF3-893F-473CD7102B57}"/>
  </bookViews>
  <sheets>
    <sheet name="Berkus Scoreboard" sheetId="1" r:id="rId1"/>
    <sheet name="Explana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38" i="3" l="1"/>
  <c r="N138" i="3" s="1"/>
  <c r="E104" i="3"/>
  <c r="J138" i="3" s="1"/>
  <c r="R35" i="3"/>
  <c r="Q35" i="3"/>
  <c r="P35" i="3"/>
  <c r="O35" i="3"/>
  <c r="N35" i="3"/>
  <c r="M35" i="3"/>
  <c r="I34" i="3"/>
  <c r="L34" i="3" s="1"/>
  <c r="H34" i="3"/>
  <c r="K34" i="3" s="1"/>
  <c r="G34" i="3"/>
  <c r="J34" i="3" s="1"/>
  <c r="K33" i="3"/>
  <c r="I33" i="3"/>
  <c r="L33" i="3" s="1"/>
  <c r="H33" i="3"/>
  <c r="G33" i="3"/>
  <c r="J33" i="3" s="1"/>
  <c r="I32" i="3"/>
  <c r="L32" i="3" s="1"/>
  <c r="H32" i="3"/>
  <c r="K32" i="3" s="1"/>
  <c r="G32" i="3"/>
  <c r="J32" i="3" s="1"/>
  <c r="K31" i="3"/>
  <c r="I31" i="3"/>
  <c r="L31" i="3" s="1"/>
  <c r="H31" i="3"/>
  <c r="G31" i="3"/>
  <c r="J31" i="3" s="1"/>
  <c r="I30" i="3"/>
  <c r="L30" i="3" s="1"/>
  <c r="H30" i="3"/>
  <c r="K30" i="3" s="1"/>
  <c r="K35" i="3" s="1"/>
  <c r="G30" i="3"/>
  <c r="J30" i="3" s="1"/>
  <c r="R25" i="3"/>
  <c r="Q25" i="3"/>
  <c r="P25" i="3"/>
  <c r="O25" i="3"/>
  <c r="N25" i="3"/>
  <c r="M25" i="3"/>
  <c r="D25" i="3"/>
  <c r="C25" i="3"/>
  <c r="H24" i="3"/>
  <c r="K24" i="3" s="1"/>
  <c r="G24" i="3"/>
  <c r="J24" i="3" s="1"/>
  <c r="H23" i="3"/>
  <c r="K23" i="3" s="1"/>
  <c r="G23" i="3"/>
  <c r="J23" i="3" s="1"/>
  <c r="H22" i="3"/>
  <c r="K22" i="3" s="1"/>
  <c r="G22" i="3"/>
  <c r="J22" i="3" s="1"/>
  <c r="H21" i="3"/>
  <c r="K21" i="3" s="1"/>
  <c r="G21" i="3"/>
  <c r="E21" i="3" s="1"/>
  <c r="I21" i="3" s="1"/>
  <c r="L21" i="3" s="1"/>
  <c r="H20" i="3"/>
  <c r="K20" i="3" s="1"/>
  <c r="G20" i="3"/>
  <c r="E13" i="3"/>
  <c r="E26" i="3" s="1"/>
  <c r="D13" i="3"/>
  <c r="D26" i="3" s="1"/>
  <c r="C13" i="3"/>
  <c r="C26" i="3" s="1"/>
  <c r="J86" i="1"/>
  <c r="L85" i="1"/>
  <c r="N85" i="1" s="1"/>
  <c r="E78" i="1"/>
  <c r="J85" i="1" s="1"/>
  <c r="R35" i="1"/>
  <c r="Q35" i="1"/>
  <c r="P35" i="1"/>
  <c r="O35" i="1"/>
  <c r="N35" i="1"/>
  <c r="M35" i="1"/>
  <c r="I34" i="1"/>
  <c r="L34" i="1" s="1"/>
  <c r="H34" i="1"/>
  <c r="K34" i="1" s="1"/>
  <c r="G34" i="1"/>
  <c r="J34" i="1" s="1"/>
  <c r="K33" i="1"/>
  <c r="I33" i="1"/>
  <c r="L33" i="1" s="1"/>
  <c r="H33" i="1"/>
  <c r="G33" i="1"/>
  <c r="J33" i="1" s="1"/>
  <c r="K32" i="1"/>
  <c r="I32" i="1"/>
  <c r="L32" i="1" s="1"/>
  <c r="H32" i="1"/>
  <c r="G32" i="1"/>
  <c r="J32" i="1" s="1"/>
  <c r="K31" i="1"/>
  <c r="I31" i="1"/>
  <c r="L31" i="1" s="1"/>
  <c r="H31" i="1"/>
  <c r="G31" i="1"/>
  <c r="J31" i="1" s="1"/>
  <c r="K30" i="1"/>
  <c r="I30" i="1"/>
  <c r="L30" i="1" s="1"/>
  <c r="L35" i="1" s="1"/>
  <c r="H30" i="1"/>
  <c r="H35" i="1" s="1"/>
  <c r="G30" i="1"/>
  <c r="J30" i="1" s="1"/>
  <c r="J35" i="1" s="1"/>
  <c r="D26" i="1"/>
  <c r="R25" i="1"/>
  <c r="Q25" i="1"/>
  <c r="P25" i="1"/>
  <c r="O25" i="1"/>
  <c r="N25" i="1"/>
  <c r="M25" i="1"/>
  <c r="D25" i="1"/>
  <c r="C25" i="1"/>
  <c r="K24" i="1"/>
  <c r="H24" i="1"/>
  <c r="G24" i="1"/>
  <c r="J24" i="1" s="1"/>
  <c r="J23" i="1"/>
  <c r="H23" i="1"/>
  <c r="K23" i="1" s="1"/>
  <c r="G23" i="1"/>
  <c r="E23" i="1"/>
  <c r="I23" i="1" s="1"/>
  <c r="L23" i="1" s="1"/>
  <c r="K22" i="1"/>
  <c r="H22" i="1"/>
  <c r="G22" i="1"/>
  <c r="J22" i="1" s="1"/>
  <c r="J21" i="1"/>
  <c r="H21" i="1"/>
  <c r="K21" i="1" s="1"/>
  <c r="G21" i="1"/>
  <c r="E21" i="1"/>
  <c r="I21" i="1" s="1"/>
  <c r="L21" i="1" s="1"/>
  <c r="K20" i="1"/>
  <c r="H20" i="1"/>
  <c r="G20" i="1"/>
  <c r="G25" i="1" s="1"/>
  <c r="E13" i="1"/>
  <c r="E26" i="1" s="1"/>
  <c r="D13" i="1"/>
  <c r="C13" i="1"/>
  <c r="C26" i="1" s="1"/>
  <c r="G25" i="3" l="1"/>
  <c r="J21" i="3"/>
  <c r="K25" i="3"/>
  <c r="L35" i="3"/>
  <c r="J35" i="3"/>
  <c r="G35" i="3"/>
  <c r="E20" i="3"/>
  <c r="J20" i="3"/>
  <c r="J25" i="3" s="1"/>
  <c r="E24" i="3"/>
  <c r="I24" i="3" s="1"/>
  <c r="L24" i="3" s="1"/>
  <c r="H35" i="3"/>
  <c r="H25" i="3"/>
  <c r="E23" i="3"/>
  <c r="I23" i="3" s="1"/>
  <c r="L23" i="3" s="1"/>
  <c r="I35" i="3"/>
  <c r="E22" i="3"/>
  <c r="I22" i="3" s="1"/>
  <c r="L22" i="3" s="1"/>
  <c r="K35" i="1"/>
  <c r="K25" i="1"/>
  <c r="E20" i="1"/>
  <c r="J20" i="1"/>
  <c r="J25" i="1" s="1"/>
  <c r="E24" i="1"/>
  <c r="I24" i="1" s="1"/>
  <c r="L24" i="1" s="1"/>
  <c r="H25" i="1"/>
  <c r="G35" i="1"/>
  <c r="I35" i="1"/>
  <c r="E22" i="1"/>
  <c r="I22" i="1" s="1"/>
  <c r="L22" i="1" s="1"/>
  <c r="E25" i="3" l="1"/>
  <c r="I20" i="3"/>
  <c r="E25" i="1"/>
  <c r="I20" i="1"/>
  <c r="L20" i="3" l="1"/>
  <c r="L25" i="3" s="1"/>
  <c r="I25" i="3"/>
  <c r="E49" i="3"/>
  <c r="E51" i="3" s="1"/>
  <c r="E103" i="3"/>
  <c r="L20" i="1"/>
  <c r="L25" i="1" s="1"/>
  <c r="I25" i="1"/>
  <c r="E77" i="1"/>
  <c r="E49" i="1"/>
  <c r="E51" i="1" s="1"/>
  <c r="E56" i="3" l="1"/>
  <c r="E62" i="3" s="1"/>
  <c r="E63" i="3" s="1"/>
  <c r="E67" i="3" s="1"/>
  <c r="E105" i="3"/>
  <c r="E56" i="1"/>
  <c r="E62" i="1" s="1"/>
  <c r="E63" i="1" s="1"/>
  <c r="E67" i="1" s="1"/>
  <c r="E79" i="1"/>
  <c r="J139" i="3" l="1"/>
  <c r="E106" i="3"/>
  <c r="E80" i="1"/>
  <c r="E110" i="3" l="1"/>
  <c r="J133" i="3"/>
  <c r="J134" i="3" s="1"/>
  <c r="E107" i="3"/>
  <c r="J143" i="3"/>
  <c r="E84" i="1"/>
  <c r="J80" i="1"/>
  <c r="J81" i="1" s="1"/>
  <c r="E81" i="1"/>
  <c r="J90" i="1"/>
  <c r="E112" i="3" l="1"/>
  <c r="E113" i="3" s="1"/>
  <c r="E86" i="1"/>
  <c r="E87" i="1" s="1"/>
  <c r="L133" i="3" l="1"/>
  <c r="L134" i="3" s="1"/>
  <c r="E114" i="3"/>
  <c r="E118" i="3"/>
  <c r="E120" i="3" s="1"/>
  <c r="E121" i="3" s="1"/>
  <c r="E115" i="3"/>
  <c r="E92" i="1"/>
  <c r="E94" i="1" s="1"/>
  <c r="E95" i="1" s="1"/>
  <c r="L80" i="1"/>
  <c r="L81" i="1" s="1"/>
  <c r="E89" i="1"/>
  <c r="E88" i="1"/>
  <c r="E124" i="3" l="1"/>
  <c r="E123" i="3"/>
  <c r="E122" i="3"/>
  <c r="N133" i="3"/>
  <c r="E98" i="1"/>
  <c r="E97" i="1"/>
  <c r="E96" i="1"/>
  <c r="N80" i="1"/>
  <c r="N134" i="3" l="1"/>
  <c r="N139" i="3"/>
  <c r="N81" i="1"/>
  <c r="N86" i="1"/>
  <c r="Q140" i="3" l="1"/>
  <c r="Q139" i="3"/>
  <c r="N143" i="3"/>
  <c r="J135" i="3"/>
  <c r="Q87" i="1"/>
  <c r="Q86" i="1"/>
  <c r="N90" i="1"/>
  <c r="J82" i="1"/>
  <c r="Q141" i="3" l="1"/>
  <c r="Q143" i="3"/>
  <c r="Q88" i="1"/>
  <c r="Q90" i="1"/>
</calcChain>
</file>

<file path=xl/sharedStrings.xml><?xml version="1.0" encoding="utf-8"?>
<sst xmlns="http://schemas.openxmlformats.org/spreadsheetml/2006/main" count="326" uniqueCount="119">
  <si>
    <t>Dave Berkus Method</t>
  </si>
  <si>
    <t>Author: Ben Scherer, Sugarfree Ventures</t>
  </si>
  <si>
    <t>Step 1: Gut Assessment</t>
  </si>
  <si>
    <t>Min</t>
  </si>
  <si>
    <t>Max</t>
  </si>
  <si>
    <t>Target</t>
  </si>
  <si>
    <t>Quality Management Team</t>
  </si>
  <si>
    <t>Initial step is of Investor reasoning about the overall proposal and assigning valued based on good judgement.</t>
  </si>
  <si>
    <t>Sound Idea</t>
  </si>
  <si>
    <t>Judgements on several investment proposals over time will help the investor become more efficient and capable</t>
  </si>
  <si>
    <t>Working Prototype</t>
  </si>
  <si>
    <t>in making very quick assumptions.</t>
  </si>
  <si>
    <t>Quality Board of Directors</t>
  </si>
  <si>
    <t>Product Rollout / Sales</t>
  </si>
  <si>
    <t>A first gut-feel assessment also sometimes can later help re-think the deal even if it looks attractive based on other</t>
  </si>
  <si>
    <t>methods.</t>
  </si>
  <si>
    <t>Step 2: Benchmark</t>
  </si>
  <si>
    <t>Output</t>
  </si>
  <si>
    <t>Comparable Companies</t>
  </si>
  <si>
    <t>Value</t>
  </si>
  <si>
    <t>Scorecard (1 - 5)</t>
  </si>
  <si>
    <t>Comp 1</t>
  </si>
  <si>
    <t>Comp 2</t>
  </si>
  <si>
    <t>Comp 3</t>
  </si>
  <si>
    <t>Comp 4</t>
  </si>
  <si>
    <t>Comp 5</t>
  </si>
  <si>
    <t>Compare Judgement</t>
  </si>
  <si>
    <t>Recent Transactions</t>
  </si>
  <si>
    <t>The next step is to become more disciplined in assessing the drivers of</t>
  </si>
  <si>
    <t>the evaluation. By comparing the investment pitch to other pitches and</t>
  </si>
  <si>
    <t>looking at other companies for benchmark data, the judgement can become</t>
  </si>
  <si>
    <t>more grounded and verifiable.</t>
  </si>
  <si>
    <t>In the ideal case, the investor has a populated CRM system with judgements</t>
  </si>
  <si>
    <t>and comparable data to really look at the merit of the investment proposal.</t>
  </si>
  <si>
    <t>Notes:</t>
  </si>
  <si>
    <t>(1) Step 1: Investor makes judgement on quality of other companies that seek investment and decides for the best fit</t>
  </si>
  <si>
    <t>(2) Step 2: Investor collects comparables for the winning investments and compares quality against comparables making a judgement from 1 to 5</t>
  </si>
  <si>
    <t>(3) Step 3: Investor looks at even larger set of potential companies and calculated quartiles (top to bottom) and company falls into quartiles</t>
  </si>
  <si>
    <t>Step 3: Merit of Valuation</t>
  </si>
  <si>
    <t>Even the best judgement still requires that the investment overall makes sense. How much funding does the company really need to get to the milestones for future funding? And how strong is the company based</t>
  </si>
  <si>
    <t>on actual milestones achieved and gaps identified. This initial analysis later feeds into the more disciplind scorecard and risk factor summation model.</t>
  </si>
  <si>
    <t>Basic Entry Calculation</t>
  </si>
  <si>
    <t>Milestones</t>
  </si>
  <si>
    <t>What is target pre-money valuation?</t>
  </si>
  <si>
    <t>Gap</t>
  </si>
  <si>
    <t>In Plan</t>
  </si>
  <si>
    <t>What is desired share in company?</t>
  </si>
  <si>
    <t>Implied Investment</t>
  </si>
  <si>
    <t>Team</t>
  </si>
  <si>
    <t>CEO</t>
  </si>
  <si>
    <t>Product Need</t>
  </si>
  <si>
    <t>Basic Sanity Checks</t>
  </si>
  <si>
    <t>Sales</t>
  </si>
  <si>
    <t>Business Model</t>
  </si>
  <si>
    <t>Technology</t>
  </si>
  <si>
    <t>Go-to-market</t>
  </si>
  <si>
    <t>Check 1: Need vs Implied Invest</t>
  </si>
  <si>
    <t>Operations</t>
  </si>
  <si>
    <t>Capital Intensity</t>
  </si>
  <si>
    <t>Finance</t>
  </si>
  <si>
    <t>Position</t>
  </si>
  <si>
    <t>Investment sought by company</t>
  </si>
  <si>
    <t>Check 2: Invest vs Benchmark Need</t>
  </si>
  <si>
    <t>Ready to Demo</t>
  </si>
  <si>
    <t>Customer Discovery Calls</t>
  </si>
  <si>
    <t>Benchmark Cash to get to next funding stage</t>
  </si>
  <si>
    <t>Ready to Use</t>
  </si>
  <si>
    <t>Sales Pipeline</t>
  </si>
  <si>
    <t>Cash aleady invested in company (e.g. founders)</t>
  </si>
  <si>
    <t>Ready to Sell</t>
  </si>
  <si>
    <t>Marketing Traction</t>
  </si>
  <si>
    <t>Cash raised now</t>
  </si>
  <si>
    <t>Architecture / Code</t>
  </si>
  <si>
    <t>Signed LOIs / Sign-Ups</t>
  </si>
  <si>
    <t>Funding Gap</t>
  </si>
  <si>
    <t>Roadmap Execution</t>
  </si>
  <si>
    <t>Paying customers</t>
  </si>
  <si>
    <t>Follow-On Cover</t>
  </si>
  <si>
    <t>New Angel Cover</t>
  </si>
  <si>
    <t>Quality BoD</t>
  </si>
  <si>
    <t>Pre-Seed Fund Cover</t>
  </si>
  <si>
    <t>Top Angel / VC</t>
  </si>
  <si>
    <t>Expected Final Gap</t>
  </si>
  <si>
    <t>Industry Leader</t>
  </si>
  <si>
    <t>% Probability reaching gap</t>
  </si>
  <si>
    <t>Value-Add</t>
  </si>
  <si>
    <t>Is the financing and overall strength sufficient to believe in the investment case?</t>
  </si>
  <si>
    <t>Step 4: Structuring the investment</t>
  </si>
  <si>
    <t>Basic Return Calculations</t>
  </si>
  <si>
    <t>Discount Factor</t>
  </si>
  <si>
    <t>Year 1</t>
  </si>
  <si>
    <t>Year 2</t>
  </si>
  <si>
    <t>Year 3</t>
  </si>
  <si>
    <t>Year 4</t>
  </si>
  <si>
    <t>Year 5</t>
  </si>
  <si>
    <t>Year 6</t>
  </si>
  <si>
    <t>Post-Money Valuation (Angel)</t>
  </si>
  <si>
    <t>Valuation</t>
  </si>
  <si>
    <t>Unrealized MOIC for Angel</t>
  </si>
  <si>
    <t>NPV</t>
  </si>
  <si>
    <t>Discount to NPV</t>
  </si>
  <si>
    <t>Multiple at Seed</t>
  </si>
  <si>
    <t>Implied Seed Pre-Money</t>
  </si>
  <si>
    <t>Diluted Return</t>
  </si>
  <si>
    <t>Assumed % stake of Seed</t>
  </si>
  <si>
    <t>Ownership</t>
  </si>
  <si>
    <t>Implied new money at Seed</t>
  </si>
  <si>
    <t>Cash Flow</t>
  </si>
  <si>
    <t>Post-Money Valuation (Seedl)</t>
  </si>
  <si>
    <t>MOIC</t>
  </si>
  <si>
    <t>NPV MOIC</t>
  </si>
  <si>
    <t>Unrealized MOIC for Seed</t>
  </si>
  <si>
    <t>Multiple at Series A</t>
  </si>
  <si>
    <t>Implied Series A Pre-Money</t>
  </si>
  <si>
    <t>NPV Cash Flow</t>
  </si>
  <si>
    <t>Assumed % Stake of Series A</t>
  </si>
  <si>
    <t>Implied new money at Series A</t>
  </si>
  <si>
    <t>Post-Money Valuation (Series A)</t>
  </si>
  <si>
    <t>Unrealized MOIC for Series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</si>
</sst>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quot;m&quot;"/>
    <numFmt numFmtId="165" formatCode="0.00&quot;m&quot;"/>
    <numFmt numFmtId="166" formatCode="&quot;   - &quot;@"/>
    <numFmt numFmtId="167" formatCode="0.0&quot;x &quot;"/>
  </numFmts>
  <fonts count="7" x14ac:knownFonts="1">
    <font>
      <sz val="10"/>
      <color theme="1"/>
      <name val="Arial"/>
      <family val="2"/>
    </font>
    <font>
      <sz val="10"/>
      <color theme="1"/>
      <name val="Arial"/>
      <family val="2"/>
    </font>
    <font>
      <b/>
      <sz val="10"/>
      <color theme="1"/>
      <name val="Arial"/>
      <family val="2"/>
    </font>
    <font>
      <b/>
      <sz val="14"/>
      <color theme="8" tint="-0.499984740745262"/>
      <name val="Arial"/>
      <family val="2"/>
    </font>
    <font>
      <i/>
      <sz val="10"/>
      <color theme="1"/>
      <name val="Arial"/>
      <family val="2"/>
    </font>
    <font>
      <sz val="10"/>
      <color theme="0" tint="-4.9989318521683403E-2"/>
      <name val="Arial"/>
      <family val="2"/>
    </font>
    <font>
      <b/>
      <sz val="10"/>
      <color rgb="FF0070C0"/>
      <name val="Arial"/>
      <family val="2"/>
    </font>
  </fonts>
  <fills count="6">
    <fill>
      <patternFill patternType="none"/>
    </fill>
    <fill>
      <patternFill patternType="gray125"/>
    </fill>
    <fill>
      <patternFill patternType="solid">
        <fgColor theme="8" tint="-0.49998474074526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auto="1"/>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3" fillId="0" borderId="0" xfId="0" applyFont="1"/>
    <xf numFmtId="0" fontId="4" fillId="0" borderId="0" xfId="0" applyFont="1"/>
    <xf numFmtId="0" fontId="5" fillId="2" borderId="0" xfId="0" applyFont="1" applyFill="1"/>
    <xf numFmtId="164" fontId="5" fillId="2" borderId="0" xfId="0" applyNumberFormat="1" applyFont="1" applyFill="1"/>
    <xf numFmtId="164" fontId="0" fillId="0" borderId="0" xfId="0" applyNumberFormat="1"/>
    <xf numFmtId="164" fontId="0" fillId="3" borderId="1" xfId="0" applyNumberFormat="1" applyFill="1" applyBorder="1"/>
    <xf numFmtId="164" fontId="4" fillId="0" borderId="0" xfId="0" applyNumberFormat="1" applyFont="1"/>
    <xf numFmtId="0" fontId="5" fillId="0" borderId="0" xfId="0" applyFont="1"/>
    <xf numFmtId="164" fontId="5" fillId="0" borderId="0" xfId="0" applyNumberFormat="1" applyFont="1"/>
    <xf numFmtId="0" fontId="0" fillId="4" borderId="0" xfId="0" applyFill="1"/>
    <xf numFmtId="0" fontId="0" fillId="3" borderId="0" xfId="0" applyFill="1"/>
    <xf numFmtId="164" fontId="0" fillId="0" borderId="2" xfId="0" applyNumberFormat="1" applyBorder="1"/>
    <xf numFmtId="1" fontId="0" fillId="3" borderId="2" xfId="0" applyNumberFormat="1" applyFill="1" applyBorder="1"/>
    <xf numFmtId="0" fontId="4" fillId="0" borderId="3" xfId="0" applyFont="1" applyBorder="1"/>
    <xf numFmtId="164" fontId="4" fillId="0" borderId="4" xfId="0" applyNumberFormat="1" applyFont="1" applyBorder="1"/>
    <xf numFmtId="164" fontId="4" fillId="0" borderId="5" xfId="0" applyNumberFormat="1" applyFont="1" applyBorder="1"/>
    <xf numFmtId="0" fontId="2" fillId="0" borderId="6" xfId="0" applyFont="1" applyBorder="1"/>
    <xf numFmtId="0" fontId="0" fillId="0" borderId="6" xfId="0" applyBorder="1"/>
    <xf numFmtId="0" fontId="0" fillId="0" borderId="6" xfId="0" applyBorder="1" applyAlignment="1">
      <alignment horizontal="center"/>
    </xf>
    <xf numFmtId="9" fontId="0" fillId="5" borderId="1" xfId="0" applyNumberFormat="1" applyFill="1" applyBorder="1"/>
    <xf numFmtId="165" fontId="0" fillId="0" borderId="0" xfId="0" applyNumberFormat="1"/>
    <xf numFmtId="0" fontId="2" fillId="0" borderId="0" xfId="0" applyFont="1"/>
    <xf numFmtId="165" fontId="0" fillId="5" borderId="1" xfId="0" applyNumberFormat="1" applyFill="1" applyBorder="1"/>
    <xf numFmtId="166" fontId="0" fillId="0" borderId="0" xfId="0" applyNumberFormat="1"/>
    <xf numFmtId="0" fontId="0" fillId="5" borderId="1" xfId="0" applyFill="1" applyBorder="1"/>
    <xf numFmtId="0" fontId="0" fillId="5" borderId="3" xfId="0" applyFill="1" applyBorder="1"/>
    <xf numFmtId="0" fontId="0" fillId="5" borderId="4" xfId="0" applyFill="1" applyBorder="1"/>
    <xf numFmtId="0" fontId="0" fillId="5" borderId="5" xfId="0" applyFill="1" applyBorder="1"/>
    <xf numFmtId="9" fontId="0" fillId="0" borderId="0" xfId="0" applyNumberFormat="1"/>
    <xf numFmtId="164" fontId="0" fillId="0" borderId="6" xfId="0" applyNumberFormat="1" applyBorder="1"/>
    <xf numFmtId="167" fontId="6" fillId="0" borderId="0" xfId="0" applyNumberFormat="1" applyFont="1"/>
    <xf numFmtId="9" fontId="0" fillId="0" borderId="0" xfId="1" applyFont="1"/>
    <xf numFmtId="167" fontId="0" fillId="5" borderId="1" xfId="0" applyNumberFormat="1" applyFill="1" applyBorder="1"/>
    <xf numFmtId="167"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18</xdr:col>
      <xdr:colOff>152400</xdr:colOff>
      <xdr:row>15</xdr:row>
      <xdr:rowOff>104775</xdr:rowOff>
    </xdr:from>
    <xdr:to>
      <xdr:col>18</xdr:col>
      <xdr:colOff>485775</xdr:colOff>
      <xdr:row>39</xdr:row>
      <xdr:rowOff>104775</xdr:rowOff>
    </xdr:to>
    <xdr:sp macro="" textlink="">
      <xdr:nvSpPr>
        <xdr:cNvPr id="2" name="Right Brace 1">
          <a:extLst>
            <a:ext uri="{FF2B5EF4-FFF2-40B4-BE49-F238E27FC236}">
              <a16:creationId xmlns:a16="http://schemas.microsoft.com/office/drawing/2014/main" id="{D07D6C51-212F-4FD4-916A-72AA7BB98478}"/>
            </a:ext>
          </a:extLst>
        </xdr:cNvPr>
        <xdr:cNvSpPr/>
      </xdr:nvSpPr>
      <xdr:spPr>
        <a:xfrm>
          <a:off x="12687300" y="2600325"/>
          <a:ext cx="333375" cy="388620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DE" sz="1100"/>
        </a:p>
      </xdr:txBody>
    </xdr:sp>
    <xdr:clientData/>
  </xdr:twoCellAnchor>
  <xdr:twoCellAnchor>
    <xdr:from>
      <xdr:col>19</xdr:col>
      <xdr:colOff>104775</xdr:colOff>
      <xdr:row>17</xdr:row>
      <xdr:rowOff>104776</xdr:rowOff>
    </xdr:from>
    <xdr:to>
      <xdr:col>25</xdr:col>
      <xdr:colOff>190500</xdr:colOff>
      <xdr:row>37</xdr:row>
      <xdr:rowOff>85726</xdr:rowOff>
    </xdr:to>
    <xdr:sp macro="" textlink="">
      <xdr:nvSpPr>
        <xdr:cNvPr id="4" name="Rectangle 3">
          <a:extLst>
            <a:ext uri="{FF2B5EF4-FFF2-40B4-BE49-F238E27FC236}">
              <a16:creationId xmlns:a16="http://schemas.microsoft.com/office/drawing/2014/main" id="{5CA33136-6868-4030-9CB9-F066CE8825FC}"/>
            </a:ext>
          </a:extLst>
        </xdr:cNvPr>
        <xdr:cNvSpPr/>
      </xdr:nvSpPr>
      <xdr:spPr>
        <a:xfrm>
          <a:off x="13249275" y="2924176"/>
          <a:ext cx="3743325" cy="3219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Angel keeps</a:t>
          </a:r>
          <a:r>
            <a:rPr lang="en-US" sz="1100" baseline="0"/>
            <a:t> a CRM System for all his potential investments.</a:t>
          </a:r>
        </a:p>
        <a:p>
          <a:pPr algn="l"/>
          <a:endParaRPr lang="en-US" sz="1100" baseline="0"/>
        </a:p>
        <a:p>
          <a:pPr algn="l"/>
          <a:r>
            <a:rPr lang="en-US" sz="1100" baseline="0"/>
            <a:t>1. He tracks his research, assessments of the company and business case, CVs of executives  and judgement on teams, etc.</a:t>
          </a:r>
        </a:p>
        <a:p>
          <a:pPr algn="l"/>
          <a:endParaRPr lang="en-US" sz="1100" baseline="0"/>
        </a:p>
        <a:p>
          <a:pPr algn="l"/>
          <a:r>
            <a:rPr lang="en-US" sz="1100" baseline="0"/>
            <a:t>2. He might also start to cover entire segments and slowly benchmark companies in a certain domain he wants to invest in to understand how the sector develops.</a:t>
          </a:r>
        </a:p>
        <a:p>
          <a:pPr algn="l"/>
          <a:endParaRPr lang="en-US" sz="1100" baseline="0"/>
        </a:p>
        <a:p>
          <a:pPr algn="l"/>
          <a:r>
            <a:rPr lang="en-US" sz="1100" baseline="0"/>
            <a:t>3. For some companies, he might score them more deeply and track which companies performed badly on which milestone and why.</a:t>
          </a:r>
        </a:p>
        <a:p>
          <a:pPr algn="l"/>
          <a:endParaRPr lang="en-US" sz="1100" baseline="0"/>
        </a:p>
        <a:p>
          <a:pPr algn="l"/>
          <a:r>
            <a:rPr lang="en-US" sz="1100" baseline="0"/>
            <a:t>All this insight and knowledge is used to assess the strenghth of the company.</a:t>
          </a:r>
          <a:endParaRPr lang="en-DE" sz="1100"/>
        </a:p>
      </xdr:txBody>
    </xdr:sp>
    <xdr:clientData/>
  </xdr:twoCellAnchor>
  <xdr:twoCellAnchor>
    <xdr:from>
      <xdr:col>6</xdr:col>
      <xdr:colOff>228600</xdr:colOff>
      <xdr:row>48</xdr:row>
      <xdr:rowOff>38101</xdr:rowOff>
    </xdr:from>
    <xdr:to>
      <xdr:col>14</xdr:col>
      <xdr:colOff>428625</xdr:colOff>
      <xdr:row>68</xdr:row>
      <xdr:rowOff>19051</xdr:rowOff>
    </xdr:to>
    <xdr:sp macro="" textlink="">
      <xdr:nvSpPr>
        <xdr:cNvPr id="5" name="Rectangle 4">
          <a:extLst>
            <a:ext uri="{FF2B5EF4-FFF2-40B4-BE49-F238E27FC236}">
              <a16:creationId xmlns:a16="http://schemas.microsoft.com/office/drawing/2014/main" id="{D359C468-9D47-4B10-B5F9-4448632B7FE6}"/>
            </a:ext>
          </a:extLst>
        </xdr:cNvPr>
        <xdr:cNvSpPr/>
      </xdr:nvSpPr>
      <xdr:spPr>
        <a:xfrm>
          <a:off x="5419725" y="7877176"/>
          <a:ext cx="5105400" cy="3219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investor needs to first and</a:t>
          </a:r>
          <a:r>
            <a:rPr lang="en-US" sz="1100" baseline="0"/>
            <a:t> foremost understand if the business plan seems realistic. </a:t>
          </a:r>
        </a:p>
        <a:p>
          <a:pPr algn="l"/>
          <a:endParaRPr lang="en-US" sz="1100" baseline="0"/>
        </a:p>
        <a:p>
          <a:pPr algn="l"/>
          <a:r>
            <a:rPr lang="en-US" sz="1100" baseline="0"/>
            <a:t>1. Are all activities and actions that are needed to actually get to the traction needed in the business plan, properly disclosed or discussed during the due diligence? Or: does the company know what it has to do ?</a:t>
          </a:r>
        </a:p>
        <a:p>
          <a:pPr algn="l"/>
          <a:endParaRPr lang="en-US" sz="1100" baseline="0"/>
        </a:p>
        <a:p>
          <a:pPr algn="l"/>
          <a:r>
            <a:rPr lang="en-US" sz="1100" baseline="0"/>
            <a:t>2. What are the core risk components? Usually hiring and user acquisition. R&amp;D is today more of a commodity, same goes for certifications, permits, consulting, etc. That is basic material.</a:t>
          </a:r>
        </a:p>
        <a:p>
          <a:pPr algn="l"/>
          <a:endParaRPr lang="en-US" sz="1100" baseline="0"/>
        </a:p>
        <a:p>
          <a:pPr algn="l"/>
          <a:r>
            <a:rPr lang="en-US" sz="1100" baseline="0"/>
            <a:t>3. Are the core risk components adequately addressed? Is there a strategy and more importantly : Is the right amount of capital allocated to these risk positions?</a:t>
          </a:r>
        </a:p>
        <a:p>
          <a:pPr algn="l"/>
          <a:endParaRPr lang="en-US" sz="1100" baseline="0"/>
        </a:p>
        <a:p>
          <a:pPr algn="l"/>
          <a:r>
            <a:rPr lang="en-US" sz="1100" baseline="0"/>
            <a:t>4. Finally, the Angel needs to benchmark against what is normally required to get from stage NOW to stage NEXT FUNDING. If the company takes up too much cash for a standard model, there might be an issue. There is almost always an issue if the company takes up too little cash and has too many milestones ahead of it.</a:t>
          </a:r>
          <a:endParaRPr lang="en-DE" sz="1100"/>
        </a:p>
      </xdr:txBody>
    </xdr:sp>
    <xdr:clientData/>
  </xdr:twoCellAnchor>
  <xdr:twoCellAnchor>
    <xdr:from>
      <xdr:col>5</xdr:col>
      <xdr:colOff>285750</xdr:colOff>
      <xdr:row>45</xdr:row>
      <xdr:rowOff>142875</xdr:rowOff>
    </xdr:from>
    <xdr:to>
      <xdr:col>6</xdr:col>
      <xdr:colOff>9525</xdr:colOff>
      <xdr:row>69</xdr:row>
      <xdr:rowOff>142875</xdr:rowOff>
    </xdr:to>
    <xdr:sp macro="" textlink="">
      <xdr:nvSpPr>
        <xdr:cNvPr id="6" name="Right Brace 5">
          <a:extLst>
            <a:ext uri="{FF2B5EF4-FFF2-40B4-BE49-F238E27FC236}">
              <a16:creationId xmlns:a16="http://schemas.microsoft.com/office/drawing/2014/main" id="{65EF5581-D632-4A5B-8305-4D6DFE98F717}"/>
            </a:ext>
          </a:extLst>
        </xdr:cNvPr>
        <xdr:cNvSpPr/>
      </xdr:nvSpPr>
      <xdr:spPr>
        <a:xfrm>
          <a:off x="4867275" y="7496175"/>
          <a:ext cx="333375" cy="3886200"/>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DE" sz="1100"/>
        </a:p>
      </xdr:txBody>
    </xdr:sp>
    <xdr:clientData/>
  </xdr:twoCellAnchor>
  <xdr:twoCellAnchor>
    <xdr:from>
      <xdr:col>18</xdr:col>
      <xdr:colOff>95250</xdr:colOff>
      <xdr:row>72</xdr:row>
      <xdr:rowOff>85725</xdr:rowOff>
    </xdr:from>
    <xdr:to>
      <xdr:col>18</xdr:col>
      <xdr:colOff>428625</xdr:colOff>
      <xdr:row>95</xdr:row>
      <xdr:rowOff>47625</xdr:rowOff>
    </xdr:to>
    <xdr:sp macro="" textlink="">
      <xdr:nvSpPr>
        <xdr:cNvPr id="7" name="Right Brace 6">
          <a:extLst>
            <a:ext uri="{FF2B5EF4-FFF2-40B4-BE49-F238E27FC236}">
              <a16:creationId xmlns:a16="http://schemas.microsoft.com/office/drawing/2014/main" id="{0BE998EC-4507-445C-AC60-68EE5B1E668A}"/>
            </a:ext>
          </a:extLst>
        </xdr:cNvPr>
        <xdr:cNvSpPr/>
      </xdr:nvSpPr>
      <xdr:spPr>
        <a:xfrm>
          <a:off x="12630150" y="11811000"/>
          <a:ext cx="333375" cy="3686175"/>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DE" sz="1100"/>
        </a:p>
      </xdr:txBody>
    </xdr:sp>
    <xdr:clientData/>
  </xdr:twoCellAnchor>
  <xdr:twoCellAnchor>
    <xdr:from>
      <xdr:col>18</xdr:col>
      <xdr:colOff>495300</xdr:colOff>
      <xdr:row>77</xdr:row>
      <xdr:rowOff>76201</xdr:rowOff>
    </xdr:from>
    <xdr:to>
      <xdr:col>27</xdr:col>
      <xdr:colOff>114300</xdr:colOff>
      <xdr:row>90</xdr:row>
      <xdr:rowOff>47625</xdr:rowOff>
    </xdr:to>
    <xdr:sp macro="" textlink="">
      <xdr:nvSpPr>
        <xdr:cNvPr id="8" name="Rectangle 7">
          <a:extLst>
            <a:ext uri="{FF2B5EF4-FFF2-40B4-BE49-F238E27FC236}">
              <a16:creationId xmlns:a16="http://schemas.microsoft.com/office/drawing/2014/main" id="{54A1860F-CDD5-495B-8CF7-CEB8BDD515FB}"/>
            </a:ext>
          </a:extLst>
        </xdr:cNvPr>
        <xdr:cNvSpPr/>
      </xdr:nvSpPr>
      <xdr:spPr>
        <a:xfrm>
          <a:off x="13030200" y="12611101"/>
          <a:ext cx="5105400" cy="20764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Finally, in the due diligence the investor needs to perform a thorough</a:t>
          </a:r>
          <a:r>
            <a:rPr lang="en-US" sz="1100" baseline="0"/>
            <a:t> riskiest</a:t>
          </a:r>
          <a:br>
            <a:rPr lang="en-US" sz="1100" baseline="0"/>
          </a:br>
          <a:r>
            <a:rPr lang="en-US" sz="1100" baseline="0"/>
            <a:t>assumptions test.</a:t>
          </a:r>
          <a:br>
            <a:rPr lang="en-US" sz="1100" baseline="0"/>
          </a:br>
          <a:br>
            <a:rPr lang="en-US" sz="1100" baseline="0"/>
          </a:br>
          <a:r>
            <a:rPr lang="en-US" sz="1100" baseline="0"/>
            <a:t>1. Where are the clear gaps? </a:t>
          </a:r>
          <a:br>
            <a:rPr lang="en-US" sz="1100" baseline="0"/>
          </a:br>
          <a:r>
            <a:rPr lang="en-US" sz="1100" baseline="0"/>
            <a:t>2. Which gaps are addressed?</a:t>
          </a:r>
          <a:br>
            <a:rPr lang="en-US" sz="1100" baseline="0"/>
          </a:br>
          <a:r>
            <a:rPr lang="en-US" sz="1100" baseline="0"/>
            <a:t>3. Which addressed gaps can be solved usually or where do the founders</a:t>
          </a:r>
          <a:br>
            <a:rPr lang="en-US" sz="1100" baseline="0"/>
          </a:br>
          <a:r>
            <a:rPr lang="en-US" sz="1100" baseline="0"/>
            <a:t>     typically not fill the gap? What is the impact if this happens?</a:t>
          </a:r>
          <a:br>
            <a:rPr lang="en-US" sz="1100" baseline="0"/>
          </a:br>
          <a:r>
            <a:rPr lang="en-US" sz="1100" baseline="0"/>
            <a:t>4. Where can the angel tangibly assess this risk? And where can he even help</a:t>
          </a:r>
          <a:br>
            <a:rPr lang="en-US" sz="1100" baseline="0"/>
          </a:br>
          <a:r>
            <a:rPr lang="en-US" sz="1100" baseline="0"/>
            <a:t>     solve the most risky gaps?</a:t>
          </a:r>
          <a:br>
            <a:rPr lang="en-US" sz="1100" baseline="0"/>
          </a:br>
          <a:br>
            <a:rPr lang="en-US" sz="1100" baseline="0"/>
          </a:br>
          <a:r>
            <a:rPr lang="en-US" sz="1100" baseline="0"/>
            <a:t>This all needs to pan out for a sound investment. </a:t>
          </a:r>
          <a:endParaRPr lang="en-DE" sz="1100"/>
        </a:p>
      </xdr:txBody>
    </xdr:sp>
    <xdr:clientData/>
  </xdr:twoCellAnchor>
  <xdr:twoCellAnchor>
    <xdr:from>
      <xdr:col>5</xdr:col>
      <xdr:colOff>457200</xdr:colOff>
      <xdr:row>101</xdr:row>
      <xdr:rowOff>38100</xdr:rowOff>
    </xdr:from>
    <xdr:to>
      <xdr:col>6</xdr:col>
      <xdr:colOff>180975</xdr:colOff>
      <xdr:row>124</xdr:row>
      <xdr:rowOff>0</xdr:rowOff>
    </xdr:to>
    <xdr:sp macro="" textlink="">
      <xdr:nvSpPr>
        <xdr:cNvPr id="9" name="Right Brace 8">
          <a:extLst>
            <a:ext uri="{FF2B5EF4-FFF2-40B4-BE49-F238E27FC236}">
              <a16:creationId xmlns:a16="http://schemas.microsoft.com/office/drawing/2014/main" id="{4384CF70-583E-402E-B049-2E52FCC19A03}"/>
            </a:ext>
          </a:extLst>
        </xdr:cNvPr>
        <xdr:cNvSpPr/>
      </xdr:nvSpPr>
      <xdr:spPr>
        <a:xfrm>
          <a:off x="5038725" y="16459200"/>
          <a:ext cx="333375" cy="3686175"/>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DE" sz="1100"/>
        </a:p>
      </xdr:txBody>
    </xdr:sp>
    <xdr:clientData/>
  </xdr:twoCellAnchor>
  <xdr:twoCellAnchor>
    <xdr:from>
      <xdr:col>6</xdr:col>
      <xdr:colOff>409575</xdr:colOff>
      <xdr:row>102</xdr:row>
      <xdr:rowOff>28576</xdr:rowOff>
    </xdr:from>
    <xdr:to>
      <xdr:col>15</xdr:col>
      <xdr:colOff>0</xdr:colOff>
      <xdr:row>122</xdr:row>
      <xdr:rowOff>152400</xdr:rowOff>
    </xdr:to>
    <xdr:sp macro="" textlink="">
      <xdr:nvSpPr>
        <xdr:cNvPr id="10" name="Rectangle 9">
          <a:extLst>
            <a:ext uri="{FF2B5EF4-FFF2-40B4-BE49-F238E27FC236}">
              <a16:creationId xmlns:a16="http://schemas.microsoft.com/office/drawing/2014/main" id="{142E320D-D08D-42B0-87B7-5B319AADC06C}"/>
            </a:ext>
          </a:extLst>
        </xdr:cNvPr>
        <xdr:cNvSpPr/>
      </xdr:nvSpPr>
      <xdr:spPr>
        <a:xfrm>
          <a:off x="5600700" y="16611601"/>
          <a:ext cx="5105400" cy="3362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attractiveness and riskiness of the</a:t>
          </a:r>
          <a:r>
            <a:rPr lang="en-US" sz="1100" baseline="0"/>
            <a:t> company are parts of the "do I or do I not" </a:t>
          </a:r>
          <a:br>
            <a:rPr lang="en-US" sz="1100" baseline="0"/>
          </a:br>
          <a:r>
            <a:rPr lang="en-US" sz="1100" baseline="0"/>
            <a:t>investment decision for the angel. </a:t>
          </a:r>
          <a:br>
            <a:rPr lang="en-US" sz="1100" baseline="0"/>
          </a:br>
          <a:br>
            <a:rPr lang="en-US" sz="1100" baseline="0"/>
          </a:br>
          <a:r>
            <a:rPr lang="en-US" sz="1100" baseline="0"/>
            <a:t>Once this question has been answered, the next question is about how much capital </a:t>
          </a:r>
          <a:br>
            <a:rPr lang="en-US" sz="1100" baseline="0"/>
          </a:br>
          <a:r>
            <a:rPr lang="en-US" sz="1100" baseline="0"/>
            <a:t>to allocate to the company.</a:t>
          </a:r>
          <a:br>
            <a:rPr lang="en-US" sz="1100" baseline="0"/>
          </a:br>
          <a:br>
            <a:rPr lang="en-US" sz="1100" baseline="0"/>
          </a:br>
          <a:r>
            <a:rPr lang="en-US" sz="1100" baseline="0"/>
            <a:t>1. How much to have a desired stake that maximizes return?</a:t>
          </a:r>
          <a:br>
            <a:rPr lang="en-US" sz="1100" baseline="0"/>
          </a:br>
          <a:r>
            <a:rPr lang="en-US" sz="1100" baseline="0"/>
            <a:t>2. How much will I reasonably be diluted?</a:t>
          </a:r>
          <a:br>
            <a:rPr lang="en-US" sz="1100" baseline="0"/>
          </a:br>
          <a:r>
            <a:rPr lang="en-US" sz="1100" baseline="0"/>
            <a:t>3. What is the portfolio concentration risk if I do too much and what do I miss out on?</a:t>
          </a:r>
          <a:br>
            <a:rPr lang="en-US" sz="1100" baseline="0"/>
          </a:br>
          <a:br>
            <a:rPr lang="en-US" sz="1100" baseline="0"/>
          </a:br>
          <a:r>
            <a:rPr lang="en-US" sz="1100" baseline="0"/>
            <a:t>For this, the investor must sense what the market is looking for. The competition in future rounds raises valuations and hence lowers the dilution per dollar committed.</a:t>
          </a:r>
          <a:br>
            <a:rPr lang="en-US" sz="1100" baseline="0"/>
          </a:br>
          <a:r>
            <a:rPr lang="en-US" sz="1100" baseline="0"/>
            <a:t>Using the complexity of the business and the gaps, the funding need also should be somewhat understood. Ideally, the company will have realistic chances to get very sizable future valuations but will only require little new cash for its expansion. </a:t>
          </a:r>
          <a:br>
            <a:rPr lang="en-US" sz="1100" baseline="0"/>
          </a:br>
          <a:br>
            <a:rPr lang="en-US" sz="1100" baseline="0"/>
          </a:br>
          <a:r>
            <a:rPr lang="en-US" sz="1100" baseline="0"/>
            <a:t>In order to get a feeling for the financial attractiveness post-dilution, the angel has to come up with some assumptions on valuations, cash need and future financings.</a:t>
          </a:r>
          <a:endParaRPr lang="en-DE" sz="1100"/>
        </a:p>
      </xdr:txBody>
    </xdr:sp>
    <xdr:clientData/>
  </xdr:twoCellAnchor>
  <xdr:twoCellAnchor>
    <xdr:from>
      <xdr:col>18</xdr:col>
      <xdr:colOff>238125</xdr:colOff>
      <xdr:row>129</xdr:row>
      <xdr:rowOff>42022</xdr:rowOff>
    </xdr:from>
    <xdr:to>
      <xdr:col>18</xdr:col>
      <xdr:colOff>571500</xdr:colOff>
      <xdr:row>144</xdr:row>
      <xdr:rowOff>78441</xdr:rowOff>
    </xdr:to>
    <xdr:sp macro="" textlink="">
      <xdr:nvSpPr>
        <xdr:cNvPr id="11" name="Right Brace 10">
          <a:extLst>
            <a:ext uri="{FF2B5EF4-FFF2-40B4-BE49-F238E27FC236}">
              <a16:creationId xmlns:a16="http://schemas.microsoft.com/office/drawing/2014/main" id="{8D4FD793-F69F-4CCF-A59B-6CFAA708214B}"/>
            </a:ext>
          </a:extLst>
        </xdr:cNvPr>
        <xdr:cNvSpPr/>
      </xdr:nvSpPr>
      <xdr:spPr>
        <a:xfrm>
          <a:off x="12710272" y="20347081"/>
          <a:ext cx="333375" cy="2389654"/>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DE" sz="1100"/>
        </a:p>
      </xdr:txBody>
    </xdr:sp>
    <xdr:clientData/>
  </xdr:twoCellAnchor>
  <xdr:twoCellAnchor>
    <xdr:from>
      <xdr:col>19</xdr:col>
      <xdr:colOff>221876</xdr:colOff>
      <xdr:row>122</xdr:row>
      <xdr:rowOff>112059</xdr:rowOff>
    </xdr:from>
    <xdr:to>
      <xdr:col>27</xdr:col>
      <xdr:colOff>451036</xdr:colOff>
      <xdr:row>146</xdr:row>
      <xdr:rowOff>67237</xdr:rowOff>
    </xdr:to>
    <xdr:sp macro="" textlink="">
      <xdr:nvSpPr>
        <xdr:cNvPr id="12" name="Rectangle 11">
          <a:extLst>
            <a:ext uri="{FF2B5EF4-FFF2-40B4-BE49-F238E27FC236}">
              <a16:creationId xmlns:a16="http://schemas.microsoft.com/office/drawing/2014/main" id="{477C9A1D-6BB3-4E51-A38D-EB6D20C09992}"/>
            </a:ext>
          </a:extLst>
        </xdr:cNvPr>
        <xdr:cNvSpPr/>
      </xdr:nvSpPr>
      <xdr:spPr>
        <a:xfrm>
          <a:off x="13299141" y="19318941"/>
          <a:ext cx="5070101" cy="37203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Finally, the timing</a:t>
          </a:r>
          <a:r>
            <a:rPr lang="en-US" sz="1100" baseline="0"/>
            <a:t> of cash flow and the potential returns over time and the IRR of the investment need to pan out. The Angel needs to know when he can expect to exit the company, at an M&amp;A or a trade sale in a future financing round? When will tht happen and what is the realistic return?</a:t>
          </a:r>
          <a:br>
            <a:rPr lang="en-US" sz="1100" baseline="0"/>
          </a:br>
          <a:br>
            <a:rPr lang="en-US" sz="1100" baseline="0"/>
          </a:br>
          <a:r>
            <a:rPr lang="en-US" sz="1100" baseline="0"/>
            <a:t>For this, the investor also needs to calculate a discount factor based on the risk in the business and come up a way to calculate the net present value of teh cash flow. </a:t>
          </a:r>
          <a:br>
            <a:rPr lang="en-US" sz="1100" baseline="0"/>
          </a:br>
          <a:br>
            <a:rPr lang="en-US" sz="1100" baseline="0"/>
          </a:br>
          <a:r>
            <a:rPr lang="en-US" sz="1100" baseline="0"/>
            <a:t>While this is of course highly unpredictable, the chances of the company to move through the venture capital funnel is giving the overall framework on timing.</a:t>
          </a:r>
        </a:p>
        <a:p>
          <a:pPr algn="l"/>
          <a:r>
            <a:rPr lang="en-US" sz="1100" baseline="0"/>
            <a:t>16 months between round, standard valuation growth assumptions, and a typical life cycle till some form of Exit between 3 - 10 years. </a:t>
          </a:r>
        </a:p>
        <a:p>
          <a:pPr algn="l"/>
          <a:br>
            <a:rPr lang="en-US" sz="1100" baseline="0"/>
          </a:br>
          <a:r>
            <a:rPr lang="en-US" sz="1100" baseline="0"/>
            <a:t>Only if the investment still makes sense on a net present value of cash flow basis versus other investments, the investment is a sound financial investment. </a:t>
          </a:r>
        </a:p>
        <a:p>
          <a:pPr algn="l"/>
          <a:endParaRPr lang="en-US" sz="1100" baseline="0"/>
        </a:p>
        <a:p>
          <a:pPr algn="l"/>
          <a:r>
            <a:rPr lang="en-US" sz="1100" baseline="0"/>
            <a:t>In one example, the investor can estimate the discount factor by looking at the risk of the revenue growth. If the risk is very high, the post-traction growth potential must be very large in order to justiify the investment from an NPV perspective where a lot of dilution and failed milestones can deteriorate the return.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E9FD6-5528-4567-9F7B-6A92DE3F73E4}">
  <dimension ref="B2:R98"/>
  <sheetViews>
    <sheetView showGridLines="0" tabSelected="1" topLeftCell="A34" workbookViewId="0">
      <selection activeCell="B36" sqref="B36"/>
    </sheetView>
  </sheetViews>
  <sheetFormatPr defaultRowHeight="12.75" x14ac:dyDescent="0.2"/>
  <cols>
    <col min="2" max="2" width="31.7109375" customWidth="1"/>
    <col min="5" max="5" width="9.5703125" bestFit="1" customWidth="1"/>
    <col min="12" max="12" width="9.5703125" customWidth="1"/>
  </cols>
  <sheetData>
    <row r="2" spans="2:18" ht="18" x14ac:dyDescent="0.25">
      <c r="B2" s="1" t="s">
        <v>0</v>
      </c>
    </row>
    <row r="3" spans="2:18" x14ac:dyDescent="0.2">
      <c r="B3" s="2" t="s">
        <v>1</v>
      </c>
    </row>
    <row r="4" spans="2:18" x14ac:dyDescent="0.2">
      <c r="B4" s="2"/>
    </row>
    <row r="5" spans="2:18" x14ac:dyDescent="0.2">
      <c r="B5" s="3" t="s">
        <v>2</v>
      </c>
      <c r="C5" s="4"/>
      <c r="D5" s="4"/>
      <c r="E5" s="4"/>
      <c r="F5" s="3"/>
      <c r="G5" s="3"/>
      <c r="H5" s="3"/>
      <c r="I5" s="3"/>
      <c r="J5" s="3"/>
      <c r="K5" s="3"/>
      <c r="L5" s="3"/>
      <c r="M5" s="3"/>
      <c r="N5" s="3"/>
      <c r="O5" s="3"/>
      <c r="P5" s="3"/>
      <c r="Q5" s="3"/>
      <c r="R5" s="3"/>
    </row>
    <row r="7" spans="2:18" x14ac:dyDescent="0.2">
      <c r="C7" t="s">
        <v>3</v>
      </c>
      <c r="D7" t="s">
        <v>4</v>
      </c>
      <c r="E7" t="s">
        <v>5</v>
      </c>
    </row>
    <row r="8" spans="2:18" x14ac:dyDescent="0.2">
      <c r="B8" t="s">
        <v>6</v>
      </c>
      <c r="C8" s="5">
        <v>0</v>
      </c>
      <c r="D8" s="5">
        <v>0.4</v>
      </c>
      <c r="E8" s="6">
        <v>0.4</v>
      </c>
      <c r="G8" s="2" t="s">
        <v>7</v>
      </c>
      <c r="H8" s="5"/>
    </row>
    <row r="9" spans="2:18" x14ac:dyDescent="0.2">
      <c r="B9" t="s">
        <v>8</v>
      </c>
      <c r="C9" s="5">
        <v>0</v>
      </c>
      <c r="D9" s="5">
        <v>0.4</v>
      </c>
      <c r="E9" s="6">
        <v>0.4</v>
      </c>
      <c r="G9" s="7" t="s">
        <v>9</v>
      </c>
      <c r="H9" s="5"/>
    </row>
    <row r="10" spans="2:18" x14ac:dyDescent="0.2">
      <c r="B10" t="s">
        <v>10</v>
      </c>
      <c r="C10" s="5">
        <v>0</v>
      </c>
      <c r="D10" s="5">
        <v>0.4</v>
      </c>
      <c r="E10" s="6">
        <v>0.4</v>
      </c>
      <c r="G10" s="7" t="s">
        <v>11</v>
      </c>
      <c r="H10" s="5"/>
    </row>
    <row r="11" spans="2:18" x14ac:dyDescent="0.2">
      <c r="B11" t="s">
        <v>12</v>
      </c>
      <c r="C11" s="5">
        <v>0</v>
      </c>
      <c r="D11" s="5">
        <v>0.4</v>
      </c>
      <c r="E11" s="6">
        <v>0.4</v>
      </c>
      <c r="G11" s="7"/>
    </row>
    <row r="12" spans="2:18" x14ac:dyDescent="0.2">
      <c r="B12" t="s">
        <v>13</v>
      </c>
      <c r="C12" s="5">
        <v>0</v>
      </c>
      <c r="D12" s="5">
        <v>0.4</v>
      </c>
      <c r="E12" s="6">
        <v>0.4</v>
      </c>
      <c r="G12" s="7" t="s">
        <v>14</v>
      </c>
    </row>
    <row r="13" spans="2:18" x14ac:dyDescent="0.2">
      <c r="C13" s="5">
        <f>SUM(C8:C12)</f>
        <v>0</v>
      </c>
      <c r="D13" s="5">
        <f>SUM(D8:D12)</f>
        <v>2</v>
      </c>
      <c r="E13" s="5">
        <f>SUM(E8:E12)</f>
        <v>2</v>
      </c>
      <c r="G13" s="7" t="s">
        <v>15</v>
      </c>
    </row>
    <row r="14" spans="2:18" x14ac:dyDescent="0.2">
      <c r="C14" s="5"/>
      <c r="D14" s="5"/>
      <c r="E14" s="5"/>
    </row>
    <row r="15" spans="2:18" x14ac:dyDescent="0.2">
      <c r="B15" s="3" t="s">
        <v>16</v>
      </c>
      <c r="C15" s="4"/>
      <c r="D15" s="4"/>
      <c r="E15" s="4"/>
      <c r="F15" s="3"/>
      <c r="G15" s="3"/>
      <c r="H15" s="3"/>
      <c r="I15" s="3"/>
      <c r="J15" s="3"/>
      <c r="K15" s="3"/>
      <c r="L15" s="3"/>
      <c r="M15" s="3"/>
      <c r="N15" s="3"/>
      <c r="O15" s="3"/>
      <c r="P15" s="3"/>
      <c r="Q15" s="3"/>
      <c r="R15" s="3"/>
    </row>
    <row r="16" spans="2:18" x14ac:dyDescent="0.2">
      <c r="B16" s="8"/>
      <c r="C16" s="9"/>
      <c r="D16" s="9"/>
      <c r="E16" s="9"/>
      <c r="F16" s="8"/>
      <c r="G16" s="8"/>
      <c r="H16" s="8"/>
      <c r="I16" s="8"/>
      <c r="J16" s="8"/>
      <c r="K16" s="8"/>
      <c r="L16" s="8"/>
      <c r="M16" s="8"/>
      <c r="N16" s="8"/>
      <c r="O16" s="8"/>
      <c r="P16" s="8"/>
      <c r="Q16" s="8"/>
      <c r="R16" s="8"/>
    </row>
    <row r="17" spans="2:18" x14ac:dyDescent="0.2">
      <c r="B17" s="10" t="s">
        <v>17</v>
      </c>
      <c r="C17" s="10"/>
      <c r="D17" s="10"/>
      <c r="E17" s="10"/>
      <c r="G17" s="10" t="s">
        <v>18</v>
      </c>
      <c r="H17" s="10"/>
      <c r="I17" s="10"/>
      <c r="J17" s="10"/>
      <c r="K17" s="10"/>
      <c r="L17" s="10"/>
      <c r="M17" s="10"/>
      <c r="N17" s="10"/>
      <c r="O17" s="10"/>
      <c r="P17" s="10"/>
      <c r="Q17" s="10"/>
      <c r="R17" s="10"/>
    </row>
    <row r="18" spans="2:18" x14ac:dyDescent="0.2">
      <c r="G18" t="s">
        <v>19</v>
      </c>
      <c r="M18" t="s">
        <v>20</v>
      </c>
    </row>
    <row r="19" spans="2:18" x14ac:dyDescent="0.2">
      <c r="C19" t="s">
        <v>3</v>
      </c>
      <c r="D19" t="s">
        <v>4</v>
      </c>
      <c r="E19" t="s">
        <v>5</v>
      </c>
      <c r="G19" t="s">
        <v>5</v>
      </c>
      <c r="H19" t="s">
        <v>21</v>
      </c>
      <c r="I19" t="s">
        <v>22</v>
      </c>
      <c r="J19" t="s">
        <v>23</v>
      </c>
      <c r="K19" t="s">
        <v>24</v>
      </c>
      <c r="L19" t="s">
        <v>25</v>
      </c>
      <c r="M19" t="s">
        <v>5</v>
      </c>
      <c r="N19" t="s">
        <v>21</v>
      </c>
      <c r="O19" t="s">
        <v>22</v>
      </c>
      <c r="P19" t="s">
        <v>23</v>
      </c>
      <c r="Q19" t="s">
        <v>24</v>
      </c>
      <c r="R19" t="s">
        <v>25</v>
      </c>
    </row>
    <row r="20" spans="2:18" x14ac:dyDescent="0.2">
      <c r="B20" t="s">
        <v>6</v>
      </c>
      <c r="C20" s="5">
        <v>0</v>
      </c>
      <c r="D20" s="5">
        <v>0.4</v>
      </c>
      <c r="E20" s="5">
        <f>G20</f>
        <v>0.30000000000000004</v>
      </c>
      <c r="G20" s="5">
        <f>D20/4*(M20-1)</f>
        <v>0.30000000000000004</v>
      </c>
      <c r="H20" s="5">
        <f>F20/5*N20</f>
        <v>0</v>
      </c>
      <c r="I20" s="5">
        <f>E20/5*O20</f>
        <v>6.0000000000000012E-2</v>
      </c>
      <c r="J20" s="5">
        <f t="shared" ref="J20:L24" si="0">G20/5*P20</f>
        <v>6.0000000000000012E-2</v>
      </c>
      <c r="K20" s="5">
        <f t="shared" si="0"/>
        <v>0</v>
      </c>
      <c r="L20" s="5">
        <f t="shared" si="0"/>
        <v>1.2000000000000002E-2</v>
      </c>
      <c r="M20" s="11">
        <v>4</v>
      </c>
      <c r="N20" s="11">
        <v>1</v>
      </c>
      <c r="O20" s="11">
        <v>1</v>
      </c>
      <c r="P20" s="11">
        <v>1</v>
      </c>
      <c r="Q20" s="11">
        <v>1</v>
      </c>
      <c r="R20" s="11">
        <v>1</v>
      </c>
    </row>
    <row r="21" spans="2:18" x14ac:dyDescent="0.2">
      <c r="B21" t="s">
        <v>8</v>
      </c>
      <c r="C21" s="5">
        <v>0</v>
      </c>
      <c r="D21" s="5">
        <v>0.4</v>
      </c>
      <c r="E21" s="5">
        <f>G21</f>
        <v>0.24</v>
      </c>
      <c r="G21" s="5">
        <f>D21/5*M21</f>
        <v>0.24</v>
      </c>
      <c r="H21" s="5">
        <f>F21/5*N21</f>
        <v>0</v>
      </c>
      <c r="I21" s="5">
        <f>E21/5*O21</f>
        <v>4.8000000000000001E-2</v>
      </c>
      <c r="J21" s="5">
        <f t="shared" si="0"/>
        <v>4.8000000000000001E-2</v>
      </c>
      <c r="K21" s="5">
        <f t="shared" si="0"/>
        <v>0</v>
      </c>
      <c r="L21" s="5">
        <f t="shared" si="0"/>
        <v>9.6000000000000009E-3</v>
      </c>
      <c r="M21" s="11">
        <v>3</v>
      </c>
      <c r="N21" s="11">
        <v>1</v>
      </c>
      <c r="O21" s="11">
        <v>1</v>
      </c>
      <c r="P21" s="11">
        <v>1</v>
      </c>
      <c r="Q21" s="11">
        <v>1</v>
      </c>
      <c r="R21" s="11">
        <v>1</v>
      </c>
    </row>
    <row r="22" spans="2:18" x14ac:dyDescent="0.2">
      <c r="B22" t="s">
        <v>10</v>
      </c>
      <c r="C22" s="5">
        <v>0</v>
      </c>
      <c r="D22" s="5">
        <v>0.4</v>
      </c>
      <c r="E22" s="5">
        <f>G22</f>
        <v>0.16</v>
      </c>
      <c r="G22" s="5">
        <f>D22/5*M22</f>
        <v>0.16</v>
      </c>
      <c r="H22" s="5">
        <f>F22/5*N22</f>
        <v>0</v>
      </c>
      <c r="I22" s="5">
        <f>E22/5*O22</f>
        <v>3.2000000000000001E-2</v>
      </c>
      <c r="J22" s="5">
        <f t="shared" si="0"/>
        <v>3.2000000000000001E-2</v>
      </c>
      <c r="K22" s="5">
        <f t="shared" si="0"/>
        <v>0</v>
      </c>
      <c r="L22" s="5">
        <f t="shared" si="0"/>
        <v>6.4000000000000003E-3</v>
      </c>
      <c r="M22" s="11">
        <v>2</v>
      </c>
      <c r="N22" s="11">
        <v>1</v>
      </c>
      <c r="O22" s="11">
        <v>1</v>
      </c>
      <c r="P22" s="11">
        <v>1</v>
      </c>
      <c r="Q22" s="11">
        <v>1</v>
      </c>
      <c r="R22" s="11">
        <v>1</v>
      </c>
    </row>
    <row r="23" spans="2:18" x14ac:dyDescent="0.2">
      <c r="B23" t="s">
        <v>12</v>
      </c>
      <c r="C23" s="5">
        <v>0</v>
      </c>
      <c r="D23" s="5">
        <v>0.4</v>
      </c>
      <c r="E23" s="5">
        <f>G23</f>
        <v>0.08</v>
      </c>
      <c r="G23" s="5">
        <f>D23/5*M23</f>
        <v>0.08</v>
      </c>
      <c r="H23" s="5">
        <f>F23/5*N23</f>
        <v>0</v>
      </c>
      <c r="I23" s="5">
        <f>E23/5*O23</f>
        <v>1.6E-2</v>
      </c>
      <c r="J23" s="5">
        <f t="shared" si="0"/>
        <v>1.6E-2</v>
      </c>
      <c r="K23" s="5">
        <f t="shared" si="0"/>
        <v>0</v>
      </c>
      <c r="L23" s="5">
        <f t="shared" si="0"/>
        <v>3.2000000000000002E-3</v>
      </c>
      <c r="M23" s="11">
        <v>1</v>
      </c>
      <c r="N23" s="11">
        <v>1</v>
      </c>
      <c r="O23" s="11">
        <v>1</v>
      </c>
      <c r="P23" s="11">
        <v>1</v>
      </c>
      <c r="Q23" s="11">
        <v>1</v>
      </c>
      <c r="R23" s="11">
        <v>1</v>
      </c>
    </row>
    <row r="24" spans="2:18" x14ac:dyDescent="0.2">
      <c r="B24" t="s">
        <v>13</v>
      </c>
      <c r="C24" s="5">
        <v>0</v>
      </c>
      <c r="D24" s="5">
        <v>0.4</v>
      </c>
      <c r="E24" s="5">
        <f>G24</f>
        <v>0.4</v>
      </c>
      <c r="G24" s="5">
        <f>D24/5*M24</f>
        <v>0.4</v>
      </c>
      <c r="H24" s="5">
        <f>F24/5*N24</f>
        <v>0</v>
      </c>
      <c r="I24" s="5">
        <f>E24/5*O24</f>
        <v>0.08</v>
      </c>
      <c r="J24" s="5">
        <f t="shared" si="0"/>
        <v>0.08</v>
      </c>
      <c r="K24" s="5">
        <f t="shared" si="0"/>
        <v>0</v>
      </c>
      <c r="L24" s="5">
        <f t="shared" si="0"/>
        <v>1.6E-2</v>
      </c>
      <c r="M24" s="11">
        <v>5</v>
      </c>
      <c r="N24" s="11">
        <v>1</v>
      </c>
      <c r="O24" s="11">
        <v>1</v>
      </c>
      <c r="P24" s="11">
        <v>1</v>
      </c>
      <c r="Q24" s="11">
        <v>1</v>
      </c>
      <c r="R24" s="11">
        <v>1</v>
      </c>
    </row>
    <row r="25" spans="2:18" x14ac:dyDescent="0.2">
      <c r="C25" s="12">
        <f>SUM(C20:C24)</f>
        <v>0</v>
      </c>
      <c r="D25" s="12">
        <f>SUM(D20:D24)</f>
        <v>2</v>
      </c>
      <c r="E25" s="12">
        <f>SUM(E20:E24)</f>
        <v>1.1800000000000002</v>
      </c>
      <c r="G25" s="12">
        <f>SUM(G20:G24)</f>
        <v>1.1800000000000002</v>
      </c>
      <c r="H25" s="12">
        <f t="shared" ref="H25:L25" si="1">SUM(H20:H24)</f>
        <v>0</v>
      </c>
      <c r="I25" s="12">
        <f t="shared" si="1"/>
        <v>0.23600000000000004</v>
      </c>
      <c r="J25" s="12">
        <f t="shared" si="1"/>
        <v>0.23600000000000004</v>
      </c>
      <c r="K25" s="12">
        <f t="shared" si="1"/>
        <v>0</v>
      </c>
      <c r="L25" s="12">
        <f t="shared" si="1"/>
        <v>4.7200000000000006E-2</v>
      </c>
      <c r="M25" s="13">
        <f>AVERAGE(M20:M24)</f>
        <v>3</v>
      </c>
      <c r="N25" s="13">
        <f t="shared" ref="N25:R25" si="2">AVERAGE(N20:N24)</f>
        <v>1</v>
      </c>
      <c r="O25" s="13">
        <f t="shared" si="2"/>
        <v>1</v>
      </c>
      <c r="P25" s="13">
        <f t="shared" si="2"/>
        <v>1</v>
      </c>
      <c r="Q25" s="13">
        <f t="shared" si="2"/>
        <v>1</v>
      </c>
      <c r="R25" s="13">
        <f t="shared" si="2"/>
        <v>1</v>
      </c>
    </row>
    <row r="26" spans="2:18" x14ac:dyDescent="0.2">
      <c r="B26" s="14" t="s">
        <v>26</v>
      </c>
      <c r="C26" s="15">
        <f>C13</f>
        <v>0</v>
      </c>
      <c r="D26" s="15">
        <f>D13</f>
        <v>2</v>
      </c>
      <c r="E26" s="16">
        <f>E13</f>
        <v>2</v>
      </c>
    </row>
    <row r="27" spans="2:18" x14ac:dyDescent="0.2">
      <c r="G27" s="10" t="s">
        <v>27</v>
      </c>
      <c r="H27" s="10"/>
      <c r="I27" s="10"/>
      <c r="J27" s="10"/>
      <c r="K27" s="10"/>
      <c r="L27" s="10"/>
      <c r="M27" s="10"/>
      <c r="N27" s="10"/>
      <c r="O27" s="10"/>
      <c r="P27" s="10"/>
      <c r="Q27" s="10"/>
      <c r="R27" s="10"/>
    </row>
    <row r="28" spans="2:18" x14ac:dyDescent="0.2">
      <c r="B28" s="2" t="s">
        <v>28</v>
      </c>
      <c r="G28" t="s">
        <v>19</v>
      </c>
      <c r="M28" t="s">
        <v>20</v>
      </c>
    </row>
    <row r="29" spans="2:18" x14ac:dyDescent="0.2">
      <c r="B29" s="2" t="s">
        <v>29</v>
      </c>
      <c r="G29" t="s">
        <v>5</v>
      </c>
      <c r="H29" t="s">
        <v>21</v>
      </c>
      <c r="I29" t="s">
        <v>22</v>
      </c>
      <c r="J29" t="s">
        <v>23</v>
      </c>
      <c r="K29" t="s">
        <v>24</v>
      </c>
      <c r="L29" t="s">
        <v>25</v>
      </c>
      <c r="M29" t="s">
        <v>5</v>
      </c>
      <c r="N29" t="s">
        <v>21</v>
      </c>
      <c r="O29" t="s">
        <v>22</v>
      </c>
      <c r="P29" t="s">
        <v>23</v>
      </c>
      <c r="Q29" t="s">
        <v>24</v>
      </c>
      <c r="R29" t="s">
        <v>25</v>
      </c>
    </row>
    <row r="30" spans="2:18" x14ac:dyDescent="0.2">
      <c r="B30" s="2" t="s">
        <v>30</v>
      </c>
      <c r="G30" s="5">
        <f>P20/4*(M30-1)</f>
        <v>0</v>
      </c>
      <c r="H30" s="5">
        <f>R20/5*N30</f>
        <v>0.2</v>
      </c>
      <c r="I30" s="5">
        <f>Q20/5*O30</f>
        <v>0.2</v>
      </c>
      <c r="J30" s="5">
        <f t="shared" ref="J30:L34" si="3">G30/5*P30</f>
        <v>0</v>
      </c>
      <c r="K30" s="5">
        <f t="shared" si="3"/>
        <v>0.04</v>
      </c>
      <c r="L30" s="5">
        <f t="shared" si="3"/>
        <v>0.04</v>
      </c>
      <c r="M30" s="11">
        <v>1</v>
      </c>
      <c r="N30" s="11">
        <v>1</v>
      </c>
      <c r="O30" s="11">
        <v>1</v>
      </c>
      <c r="P30" s="11">
        <v>1</v>
      </c>
      <c r="Q30" s="11">
        <v>1</v>
      </c>
      <c r="R30" s="11">
        <v>1</v>
      </c>
    </row>
    <row r="31" spans="2:18" x14ac:dyDescent="0.2">
      <c r="B31" s="2" t="s">
        <v>31</v>
      </c>
      <c r="G31" s="5">
        <f>P21/5*M31</f>
        <v>1</v>
      </c>
      <c r="H31" s="5">
        <f>R21/5*N31</f>
        <v>0.2</v>
      </c>
      <c r="I31" s="5">
        <f>Q21/5*O31</f>
        <v>0.2</v>
      </c>
      <c r="J31" s="5">
        <f t="shared" si="3"/>
        <v>0.2</v>
      </c>
      <c r="K31" s="5">
        <f t="shared" si="3"/>
        <v>0.04</v>
      </c>
      <c r="L31" s="5">
        <f t="shared" si="3"/>
        <v>0.04</v>
      </c>
      <c r="M31" s="11">
        <v>5</v>
      </c>
      <c r="N31" s="11">
        <v>1</v>
      </c>
      <c r="O31" s="11">
        <v>1</v>
      </c>
      <c r="P31" s="11">
        <v>1</v>
      </c>
      <c r="Q31" s="11">
        <v>1</v>
      </c>
      <c r="R31" s="11">
        <v>1</v>
      </c>
    </row>
    <row r="32" spans="2:18" x14ac:dyDescent="0.2">
      <c r="B32" s="2"/>
      <c r="G32" s="5">
        <f>P22/5*M32</f>
        <v>1</v>
      </c>
      <c r="H32" s="5">
        <f>R22/5*N32</f>
        <v>0.2</v>
      </c>
      <c r="I32" s="5">
        <f>Q22/5*O32</f>
        <v>0.2</v>
      </c>
      <c r="J32" s="5">
        <f t="shared" si="3"/>
        <v>0.2</v>
      </c>
      <c r="K32" s="5">
        <f t="shared" si="3"/>
        <v>0.04</v>
      </c>
      <c r="L32" s="5">
        <f t="shared" si="3"/>
        <v>0.04</v>
      </c>
      <c r="M32" s="11">
        <v>5</v>
      </c>
      <c r="N32" s="11">
        <v>1</v>
      </c>
      <c r="O32" s="11">
        <v>1</v>
      </c>
      <c r="P32" s="11">
        <v>1</v>
      </c>
      <c r="Q32" s="11">
        <v>1</v>
      </c>
      <c r="R32" s="11">
        <v>1</v>
      </c>
    </row>
    <row r="33" spans="2:18" x14ac:dyDescent="0.2">
      <c r="B33" s="2" t="s">
        <v>32</v>
      </c>
      <c r="G33" s="5">
        <f>P23/5*M33</f>
        <v>1</v>
      </c>
      <c r="H33" s="5">
        <f>R23/5*N33</f>
        <v>0.2</v>
      </c>
      <c r="I33" s="5">
        <f>Q23/5*O33</f>
        <v>0.2</v>
      </c>
      <c r="J33" s="5">
        <f t="shared" si="3"/>
        <v>0.2</v>
      </c>
      <c r="K33" s="5">
        <f t="shared" si="3"/>
        <v>0.04</v>
      </c>
      <c r="L33" s="5">
        <f t="shared" si="3"/>
        <v>0.04</v>
      </c>
      <c r="M33" s="11">
        <v>5</v>
      </c>
      <c r="N33" s="11">
        <v>1</v>
      </c>
      <c r="O33" s="11">
        <v>1</v>
      </c>
      <c r="P33" s="11">
        <v>1</v>
      </c>
      <c r="Q33" s="11">
        <v>1</v>
      </c>
      <c r="R33" s="11">
        <v>1</v>
      </c>
    </row>
    <row r="34" spans="2:18" x14ac:dyDescent="0.2">
      <c r="B34" s="2" t="s">
        <v>33</v>
      </c>
      <c r="G34" s="5">
        <f>P24/5*M34</f>
        <v>1</v>
      </c>
      <c r="H34" s="5">
        <f>R24/5*N34</f>
        <v>0.2</v>
      </c>
      <c r="I34" s="5">
        <f>Q24/5*O34</f>
        <v>0.2</v>
      </c>
      <c r="J34" s="5">
        <f t="shared" si="3"/>
        <v>0.2</v>
      </c>
      <c r="K34" s="5">
        <f t="shared" si="3"/>
        <v>0.04</v>
      </c>
      <c r="L34" s="5">
        <f t="shared" si="3"/>
        <v>0.04</v>
      </c>
      <c r="M34" s="11">
        <v>5</v>
      </c>
      <c r="N34" s="11">
        <v>1</v>
      </c>
      <c r="O34" s="11">
        <v>1</v>
      </c>
      <c r="P34" s="11">
        <v>1</v>
      </c>
      <c r="Q34" s="11">
        <v>1</v>
      </c>
      <c r="R34" s="11">
        <v>1</v>
      </c>
    </row>
    <row r="35" spans="2:18" x14ac:dyDescent="0.2">
      <c r="G35" s="12">
        <f>SUM(G30:G34)</f>
        <v>4</v>
      </c>
      <c r="H35" s="12">
        <f t="shared" ref="H35:L35" si="4">SUM(H30:H34)</f>
        <v>1</v>
      </c>
      <c r="I35" s="12">
        <f t="shared" si="4"/>
        <v>1</v>
      </c>
      <c r="J35" s="12">
        <f t="shared" si="4"/>
        <v>0.8</v>
      </c>
      <c r="K35" s="12">
        <f t="shared" si="4"/>
        <v>0.2</v>
      </c>
      <c r="L35" s="12">
        <f t="shared" si="4"/>
        <v>0.2</v>
      </c>
      <c r="M35" s="13">
        <f>AVERAGE(M30:M34)</f>
        <v>4.2</v>
      </c>
      <c r="N35" s="13">
        <f t="shared" ref="N35:R35" si="5">AVERAGE(N30:N34)</f>
        <v>1</v>
      </c>
      <c r="O35" s="13">
        <f t="shared" si="5"/>
        <v>1</v>
      </c>
      <c r="P35" s="13">
        <f t="shared" si="5"/>
        <v>1</v>
      </c>
      <c r="Q35" s="13">
        <f t="shared" si="5"/>
        <v>1</v>
      </c>
      <c r="R35" s="13">
        <f t="shared" si="5"/>
        <v>1</v>
      </c>
    </row>
    <row r="37" spans="2:18" x14ac:dyDescent="0.2">
      <c r="B37" t="s">
        <v>34</v>
      </c>
    </row>
    <row r="38" spans="2:18" x14ac:dyDescent="0.2">
      <c r="B38" t="s">
        <v>35</v>
      </c>
    </row>
    <row r="39" spans="2:18" x14ac:dyDescent="0.2">
      <c r="B39" t="s">
        <v>36</v>
      </c>
    </row>
    <row r="40" spans="2:18" x14ac:dyDescent="0.2">
      <c r="B40" t="s">
        <v>37</v>
      </c>
    </row>
    <row r="42" spans="2:18" x14ac:dyDescent="0.2">
      <c r="B42" s="3" t="s">
        <v>38</v>
      </c>
      <c r="C42" s="4"/>
      <c r="D42" s="4"/>
      <c r="E42" s="4"/>
      <c r="F42" s="3"/>
      <c r="G42" s="3"/>
      <c r="H42" s="3"/>
      <c r="I42" s="3"/>
      <c r="J42" s="3"/>
      <c r="K42" s="3"/>
      <c r="L42" s="3"/>
      <c r="M42" s="3"/>
      <c r="N42" s="3"/>
      <c r="O42" s="3"/>
      <c r="P42" s="3"/>
      <c r="Q42" s="3"/>
      <c r="R42" s="3"/>
    </row>
    <row r="44" spans="2:18" x14ac:dyDescent="0.2">
      <c r="B44" t="s">
        <v>39</v>
      </c>
    </row>
    <row r="45" spans="2:18" x14ac:dyDescent="0.2">
      <c r="B45" t="s">
        <v>40</v>
      </c>
    </row>
    <row r="47" spans="2:18" x14ac:dyDescent="0.2">
      <c r="B47" s="10" t="s">
        <v>41</v>
      </c>
      <c r="C47" s="10"/>
      <c r="D47" s="10"/>
      <c r="E47" s="10"/>
      <c r="G47" s="10" t="s">
        <v>42</v>
      </c>
      <c r="H47" s="10"/>
      <c r="I47" s="10"/>
      <c r="J47" s="10"/>
      <c r="K47" s="10"/>
      <c r="L47" s="10"/>
      <c r="M47" s="10"/>
      <c r="N47" s="10"/>
      <c r="O47" s="10"/>
      <c r="P47" s="10"/>
      <c r="Q47" s="10"/>
    </row>
    <row r="49" spans="2:17" x14ac:dyDescent="0.2">
      <c r="B49" t="s">
        <v>43</v>
      </c>
      <c r="E49" s="5">
        <f>+E25</f>
        <v>1.1800000000000002</v>
      </c>
      <c r="G49" s="17" t="s">
        <v>44</v>
      </c>
      <c r="H49" s="18"/>
      <c r="I49" s="18"/>
      <c r="J49" s="19" t="s">
        <v>44</v>
      </c>
      <c r="K49" s="19" t="s">
        <v>45</v>
      </c>
      <c r="L49" s="18"/>
      <c r="M49" s="17" t="s">
        <v>44</v>
      </c>
      <c r="N49" s="18"/>
      <c r="O49" s="18"/>
      <c r="P49" s="19" t="s">
        <v>44</v>
      </c>
      <c r="Q49" s="19" t="s">
        <v>45</v>
      </c>
    </row>
    <row r="50" spans="2:17" x14ac:dyDescent="0.2">
      <c r="B50" t="s">
        <v>46</v>
      </c>
      <c r="E50" s="20">
        <v>0.15</v>
      </c>
    </row>
    <row r="51" spans="2:17" x14ac:dyDescent="0.2">
      <c r="B51" t="s">
        <v>47</v>
      </c>
      <c r="E51" s="21">
        <f>E50*E49</f>
        <v>0.17700000000000002</v>
      </c>
      <c r="G51" s="22" t="s">
        <v>48</v>
      </c>
      <c r="M51" s="22" t="s">
        <v>8</v>
      </c>
    </row>
    <row r="52" spans="2:17" x14ac:dyDescent="0.2">
      <c r="G52" t="s">
        <v>49</v>
      </c>
      <c r="J52" s="23"/>
      <c r="K52" s="23"/>
      <c r="M52" t="s">
        <v>50</v>
      </c>
      <c r="P52" s="23"/>
      <c r="Q52" s="23"/>
    </row>
    <row r="53" spans="2:17" x14ac:dyDescent="0.2">
      <c r="B53" s="10" t="s">
        <v>51</v>
      </c>
      <c r="C53" s="10"/>
      <c r="D53" s="10"/>
      <c r="E53" s="10"/>
      <c r="G53" t="s">
        <v>52</v>
      </c>
      <c r="J53" s="23"/>
      <c r="K53" s="23"/>
      <c r="M53" t="s">
        <v>53</v>
      </c>
      <c r="P53" s="23"/>
      <c r="Q53" s="23"/>
    </row>
    <row r="54" spans="2:17" x14ac:dyDescent="0.2">
      <c r="G54" t="s">
        <v>54</v>
      </c>
      <c r="J54" s="23"/>
      <c r="K54" s="23"/>
      <c r="M54" t="s">
        <v>55</v>
      </c>
      <c r="P54" s="23"/>
      <c r="Q54" s="23"/>
    </row>
    <row r="55" spans="2:17" x14ac:dyDescent="0.2">
      <c r="B55" s="22" t="s">
        <v>56</v>
      </c>
      <c r="G55" t="s">
        <v>57</v>
      </c>
      <c r="J55" s="23"/>
      <c r="K55" s="23"/>
      <c r="M55" t="s">
        <v>58</v>
      </c>
      <c r="P55" s="23"/>
      <c r="Q55" s="23"/>
    </row>
    <row r="56" spans="2:17" x14ac:dyDescent="0.2">
      <c r="B56" t="s">
        <v>47</v>
      </c>
      <c r="E56" s="21">
        <f>+E51</f>
        <v>0.17700000000000002</v>
      </c>
      <c r="G56" t="s">
        <v>59</v>
      </c>
      <c r="J56" s="23"/>
      <c r="K56" s="23"/>
      <c r="M56" t="s">
        <v>60</v>
      </c>
      <c r="P56" s="23"/>
      <c r="Q56" s="23"/>
    </row>
    <row r="57" spans="2:17" x14ac:dyDescent="0.2">
      <c r="B57" t="s">
        <v>61</v>
      </c>
      <c r="E57" s="23">
        <v>0.25</v>
      </c>
      <c r="J57" s="21"/>
    </row>
    <row r="58" spans="2:17" x14ac:dyDescent="0.2">
      <c r="G58" s="22" t="s">
        <v>10</v>
      </c>
      <c r="J58" s="21"/>
      <c r="M58" s="22" t="s">
        <v>10</v>
      </c>
    </row>
    <row r="59" spans="2:17" x14ac:dyDescent="0.2">
      <c r="B59" s="22" t="s">
        <v>62</v>
      </c>
      <c r="G59" t="s">
        <v>63</v>
      </c>
      <c r="J59" s="23"/>
      <c r="K59" s="23"/>
      <c r="M59" t="s">
        <v>64</v>
      </c>
      <c r="P59" s="23"/>
      <c r="Q59" s="23"/>
    </row>
    <row r="60" spans="2:17" x14ac:dyDescent="0.2">
      <c r="B60" t="s">
        <v>65</v>
      </c>
      <c r="E60" s="23">
        <v>1.2</v>
      </c>
      <c r="G60" t="s">
        <v>66</v>
      </c>
      <c r="J60" s="23"/>
      <c r="K60" s="23"/>
      <c r="M60" t="s">
        <v>67</v>
      </c>
      <c r="P60" s="23"/>
      <c r="Q60" s="23"/>
    </row>
    <row r="61" spans="2:17" x14ac:dyDescent="0.2">
      <c r="B61" t="s">
        <v>68</v>
      </c>
      <c r="E61" s="23">
        <v>0.15</v>
      </c>
      <c r="G61" t="s">
        <v>69</v>
      </c>
      <c r="J61" s="23"/>
      <c r="K61" s="23"/>
      <c r="M61" t="s">
        <v>70</v>
      </c>
      <c r="P61" s="23"/>
      <c r="Q61" s="23"/>
    </row>
    <row r="62" spans="2:17" x14ac:dyDescent="0.2">
      <c r="B62" t="s">
        <v>71</v>
      </c>
      <c r="E62" s="21">
        <f>+E56</f>
        <v>0.17700000000000002</v>
      </c>
      <c r="G62" t="s">
        <v>72</v>
      </c>
      <c r="J62" s="23"/>
      <c r="K62" s="23"/>
      <c r="M62" t="s">
        <v>73</v>
      </c>
      <c r="P62" s="23"/>
      <c r="Q62" s="23"/>
    </row>
    <row r="63" spans="2:17" x14ac:dyDescent="0.2">
      <c r="B63" t="s">
        <v>74</v>
      </c>
      <c r="E63" s="21">
        <f>E60-E61-E62</f>
        <v>0.873</v>
      </c>
      <c r="G63" t="s">
        <v>75</v>
      </c>
      <c r="J63" s="23"/>
      <c r="K63" s="23"/>
      <c r="M63" t="s">
        <v>76</v>
      </c>
      <c r="P63" s="23"/>
      <c r="Q63" s="23"/>
    </row>
    <row r="64" spans="2:17" x14ac:dyDescent="0.2">
      <c r="B64" s="24" t="s">
        <v>77</v>
      </c>
      <c r="E64" s="23">
        <v>0.15</v>
      </c>
    </row>
    <row r="65" spans="2:18" x14ac:dyDescent="0.2">
      <c r="B65" s="24" t="s">
        <v>78</v>
      </c>
      <c r="E65" s="23">
        <v>0.25</v>
      </c>
      <c r="G65" s="22" t="s">
        <v>79</v>
      </c>
    </row>
    <row r="66" spans="2:18" x14ac:dyDescent="0.2">
      <c r="B66" s="24" t="s">
        <v>80</v>
      </c>
      <c r="E66" s="23">
        <v>0.45</v>
      </c>
      <c r="G66" t="s">
        <v>81</v>
      </c>
      <c r="J66" s="23"/>
      <c r="K66" s="23"/>
    </row>
    <row r="67" spans="2:18" x14ac:dyDescent="0.2">
      <c r="B67" t="s">
        <v>82</v>
      </c>
      <c r="E67" s="21">
        <f>E63-E64-E65-E66</f>
        <v>2.2999999999999965E-2</v>
      </c>
      <c r="G67" t="s">
        <v>83</v>
      </c>
      <c r="J67" s="23"/>
      <c r="K67" s="23"/>
    </row>
    <row r="68" spans="2:18" x14ac:dyDescent="0.2">
      <c r="B68" s="24" t="s">
        <v>84</v>
      </c>
      <c r="E68" s="25"/>
      <c r="G68" t="s">
        <v>85</v>
      </c>
      <c r="J68" s="23"/>
      <c r="K68" s="23"/>
    </row>
    <row r="71" spans="2:18" x14ac:dyDescent="0.2">
      <c r="B71" s="26" t="s">
        <v>86</v>
      </c>
      <c r="C71" s="27"/>
      <c r="D71" s="27"/>
      <c r="E71" s="27"/>
      <c r="F71" s="27"/>
      <c r="G71" s="27"/>
      <c r="H71" s="27"/>
      <c r="I71" s="27"/>
      <c r="J71" s="27"/>
      <c r="K71" s="27"/>
      <c r="L71" s="27"/>
      <c r="M71" s="27"/>
      <c r="N71" s="27"/>
      <c r="O71" s="27"/>
      <c r="P71" s="27"/>
      <c r="Q71" s="27"/>
      <c r="R71" s="28"/>
    </row>
    <row r="73" spans="2:18" x14ac:dyDescent="0.2">
      <c r="B73" s="3" t="s">
        <v>87</v>
      </c>
      <c r="C73" s="4"/>
      <c r="D73" s="4"/>
      <c r="E73" s="4"/>
      <c r="F73" s="3"/>
      <c r="G73" s="3"/>
      <c r="H73" s="3"/>
      <c r="I73" s="3"/>
      <c r="J73" s="3"/>
      <c r="K73" s="3"/>
      <c r="L73" s="3"/>
      <c r="M73" s="3"/>
      <c r="N73" s="3"/>
      <c r="O73" s="3"/>
      <c r="P73" s="3"/>
      <c r="Q73" s="3"/>
      <c r="R73" s="3"/>
    </row>
    <row r="75" spans="2:18" x14ac:dyDescent="0.2">
      <c r="B75" s="10" t="s">
        <v>88</v>
      </c>
      <c r="C75" s="10"/>
      <c r="D75" s="10"/>
      <c r="E75" s="10"/>
      <c r="G75" s="10" t="s">
        <v>88</v>
      </c>
      <c r="H75" s="10"/>
      <c r="I75" s="10"/>
      <c r="J75" s="10"/>
      <c r="K75" s="10"/>
      <c r="L75" s="10"/>
      <c r="M75" s="10"/>
      <c r="N75" s="10"/>
      <c r="O75" s="10"/>
      <c r="P75" s="10"/>
      <c r="Q75" s="10"/>
      <c r="R75" s="10"/>
    </row>
    <row r="77" spans="2:18" x14ac:dyDescent="0.2">
      <c r="B77" t="s">
        <v>43</v>
      </c>
      <c r="E77" s="5">
        <f>+E25</f>
        <v>1.1800000000000002</v>
      </c>
      <c r="G77" t="s">
        <v>89</v>
      </c>
      <c r="I77" s="29">
        <v>0.4</v>
      </c>
    </row>
    <row r="78" spans="2:18" x14ac:dyDescent="0.2">
      <c r="B78" t="s">
        <v>46</v>
      </c>
      <c r="E78" s="20">
        <f>+E50</f>
        <v>0.15</v>
      </c>
    </row>
    <row r="79" spans="2:18" x14ac:dyDescent="0.2">
      <c r="B79" t="s">
        <v>47</v>
      </c>
      <c r="E79" s="5">
        <f>+E51</f>
        <v>0.17700000000000002</v>
      </c>
      <c r="J79" t="s">
        <v>90</v>
      </c>
      <c r="K79" t="s">
        <v>91</v>
      </c>
      <c r="L79" t="s">
        <v>92</v>
      </c>
      <c r="M79" t="s">
        <v>93</v>
      </c>
      <c r="N79" t="s">
        <v>94</v>
      </c>
      <c r="O79" t="s">
        <v>95</v>
      </c>
    </row>
    <row r="80" spans="2:18" x14ac:dyDescent="0.2">
      <c r="B80" s="18" t="s">
        <v>96</v>
      </c>
      <c r="C80" s="18"/>
      <c r="D80" s="18"/>
      <c r="E80" s="30">
        <f>+E79+E77</f>
        <v>1.3570000000000002</v>
      </c>
      <c r="G80" t="s">
        <v>97</v>
      </c>
      <c r="J80" s="5">
        <f>+E80</f>
        <v>1.3570000000000002</v>
      </c>
      <c r="L80" s="5">
        <f>+E87</f>
        <v>7.4906400000000009</v>
      </c>
      <c r="N80" s="5">
        <f>+E95</f>
        <v>23.258437200000003</v>
      </c>
      <c r="Q80" s="29"/>
    </row>
    <row r="81" spans="2:17" x14ac:dyDescent="0.2">
      <c r="B81" t="s">
        <v>98</v>
      </c>
      <c r="E81" s="31">
        <f>E80/E77</f>
        <v>1.1499999999999999</v>
      </c>
      <c r="G81" t="s">
        <v>99</v>
      </c>
      <c r="J81" s="5">
        <f>J80</f>
        <v>1.3570000000000002</v>
      </c>
      <c r="L81" s="5">
        <f>L80/(1+I77)^2</f>
        <v>3.8217551020408171</v>
      </c>
      <c r="N81" s="5">
        <f>N80/(1+I77)^4</f>
        <v>6.0543620366513977</v>
      </c>
    </row>
    <row r="82" spans="2:17" x14ac:dyDescent="0.2">
      <c r="G82" t="s">
        <v>100</v>
      </c>
      <c r="J82" s="32">
        <f>1-J81/N81</f>
        <v>0.77586408084202674</v>
      </c>
    </row>
    <row r="83" spans="2:17" x14ac:dyDescent="0.2">
      <c r="B83" s="22" t="s">
        <v>101</v>
      </c>
      <c r="E83" s="33">
        <v>4.8</v>
      </c>
    </row>
    <row r="84" spans="2:17" x14ac:dyDescent="0.2">
      <c r="B84" t="s">
        <v>102</v>
      </c>
      <c r="E84" s="5">
        <f>E83*E80</f>
        <v>6.5136000000000012</v>
      </c>
      <c r="G84" s="18" t="s">
        <v>103</v>
      </c>
      <c r="H84" s="18"/>
      <c r="I84" s="18"/>
      <c r="J84" s="18"/>
      <c r="K84" s="18"/>
      <c r="L84" s="18"/>
      <c r="M84" s="18"/>
      <c r="N84" s="18"/>
      <c r="O84" s="18"/>
      <c r="P84" s="18"/>
      <c r="Q84" s="18"/>
    </row>
    <row r="85" spans="2:17" x14ac:dyDescent="0.2">
      <c r="B85" t="s">
        <v>104</v>
      </c>
      <c r="E85" s="20">
        <v>0.15</v>
      </c>
      <c r="G85" t="s">
        <v>105</v>
      </c>
      <c r="J85" s="29">
        <f>+E78</f>
        <v>0.15</v>
      </c>
      <c r="L85" s="29">
        <f>15%/(1+E85)</f>
        <v>0.13043478260869565</v>
      </c>
      <c r="N85" s="29">
        <f>L85/(1+E93)</f>
        <v>0.11342155009451796</v>
      </c>
    </row>
    <row r="86" spans="2:17" x14ac:dyDescent="0.2">
      <c r="B86" t="s">
        <v>106</v>
      </c>
      <c r="E86">
        <f>E85*E84</f>
        <v>0.97704000000000013</v>
      </c>
      <c r="G86" t="s">
        <v>107</v>
      </c>
      <c r="J86" s="5">
        <f>-E79</f>
        <v>-0.17700000000000002</v>
      </c>
      <c r="N86" s="5">
        <f>+N85*N80</f>
        <v>2.6380080000000006</v>
      </c>
      <c r="Q86" s="5">
        <f>SUM(J86:N86)</f>
        <v>2.4610080000000005</v>
      </c>
    </row>
    <row r="87" spans="2:17" x14ac:dyDescent="0.2">
      <c r="B87" s="18" t="s">
        <v>108</v>
      </c>
      <c r="C87" s="18"/>
      <c r="D87" s="18"/>
      <c r="E87" s="30">
        <f>E84+E86</f>
        <v>7.4906400000000009</v>
      </c>
      <c r="G87" t="s">
        <v>109</v>
      </c>
      <c r="Q87" s="34">
        <f>N86/J86*-1</f>
        <v>14.904000000000002</v>
      </c>
    </row>
    <row r="88" spans="2:17" x14ac:dyDescent="0.2">
      <c r="B88" t="s">
        <v>98</v>
      </c>
      <c r="E88" s="31">
        <f>E87/E77</f>
        <v>6.3479999999999999</v>
      </c>
      <c r="G88" t="s">
        <v>110</v>
      </c>
      <c r="Q88" s="34">
        <f>N90/J90*-1</f>
        <v>3.879633486047481</v>
      </c>
    </row>
    <row r="89" spans="2:17" x14ac:dyDescent="0.2">
      <c r="B89" t="s">
        <v>111</v>
      </c>
      <c r="E89" s="31">
        <f>E87/E84</f>
        <v>1.1499999999999999</v>
      </c>
    </row>
    <row r="90" spans="2:17" x14ac:dyDescent="0.2">
      <c r="E90" s="5"/>
      <c r="G90" t="s">
        <v>114</v>
      </c>
      <c r="J90" s="5">
        <f>J86</f>
        <v>-0.17700000000000002</v>
      </c>
      <c r="N90" s="5">
        <f>N81*N85</f>
        <v>0.68669512703040425</v>
      </c>
      <c r="Q90" s="5">
        <f>SUM(J90:N90)</f>
        <v>0.5096951270304042</v>
      </c>
    </row>
    <row r="91" spans="2:17" x14ac:dyDescent="0.2">
      <c r="B91" s="22" t="s">
        <v>112</v>
      </c>
      <c r="E91" s="33">
        <v>2.7</v>
      </c>
    </row>
    <row r="92" spans="2:17" x14ac:dyDescent="0.2">
      <c r="B92" t="s">
        <v>113</v>
      </c>
      <c r="E92" s="5">
        <f>E87*E91</f>
        <v>20.224728000000002</v>
      </c>
    </row>
    <row r="93" spans="2:17" x14ac:dyDescent="0.2">
      <c r="B93" t="s">
        <v>115</v>
      </c>
      <c r="E93" s="20">
        <v>0.15</v>
      </c>
    </row>
    <row r="94" spans="2:17" x14ac:dyDescent="0.2">
      <c r="B94" t="s">
        <v>116</v>
      </c>
      <c r="E94" s="5">
        <f>E92*E93</f>
        <v>3.0337092000000001</v>
      </c>
    </row>
    <row r="95" spans="2:17" x14ac:dyDescent="0.2">
      <c r="B95" s="18" t="s">
        <v>117</v>
      </c>
      <c r="C95" s="18"/>
      <c r="D95" s="18"/>
      <c r="E95" s="30">
        <f>E94+E92</f>
        <v>23.258437200000003</v>
      </c>
    </row>
    <row r="96" spans="2:17" x14ac:dyDescent="0.2">
      <c r="B96" t="s">
        <v>98</v>
      </c>
      <c r="E96" s="31">
        <f>E95/E80</f>
        <v>17.139599999999998</v>
      </c>
    </row>
    <row r="97" spans="2:5" x14ac:dyDescent="0.2">
      <c r="B97" t="s">
        <v>111</v>
      </c>
      <c r="E97" s="31">
        <f>E95/E84</f>
        <v>3.5707499999999999</v>
      </c>
    </row>
    <row r="98" spans="2:5" x14ac:dyDescent="0.2">
      <c r="B98" t="s">
        <v>118</v>
      </c>
      <c r="E98" s="31">
        <f>E95/E92</f>
        <v>1.1499999999999999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4FA57-8BC5-4D02-B856-5151FAB4E82E}">
  <dimension ref="B2:R143"/>
  <sheetViews>
    <sheetView showGridLines="0" zoomScale="85" zoomScaleNormal="85" workbookViewId="0">
      <selection activeCell="F137" sqref="F137"/>
    </sheetView>
  </sheetViews>
  <sheetFormatPr defaultRowHeight="12.75" x14ac:dyDescent="0.2"/>
  <cols>
    <col min="2" max="2" width="31.7109375" customWidth="1"/>
    <col min="5" max="5" width="9.5703125" bestFit="1" customWidth="1"/>
    <col min="12" max="12" width="9.5703125" customWidth="1"/>
  </cols>
  <sheetData>
    <row r="2" spans="2:18" ht="18" x14ac:dyDescent="0.25">
      <c r="B2" s="1" t="s">
        <v>0</v>
      </c>
    </row>
    <row r="3" spans="2:18" x14ac:dyDescent="0.2">
      <c r="B3" s="2" t="s">
        <v>1</v>
      </c>
    </row>
    <row r="4" spans="2:18" x14ac:dyDescent="0.2">
      <c r="B4" s="2"/>
    </row>
    <row r="5" spans="2:18" x14ac:dyDescent="0.2">
      <c r="B5" s="3" t="s">
        <v>2</v>
      </c>
      <c r="C5" s="4"/>
      <c r="D5" s="4"/>
      <c r="E5" s="4"/>
      <c r="F5" s="3"/>
      <c r="G5" s="3"/>
      <c r="H5" s="3"/>
      <c r="I5" s="3"/>
      <c r="J5" s="3"/>
      <c r="K5" s="3"/>
      <c r="L5" s="3"/>
      <c r="M5" s="3"/>
      <c r="N5" s="3"/>
      <c r="O5" s="3"/>
      <c r="P5" s="3"/>
      <c r="Q5" s="3"/>
      <c r="R5" s="3"/>
    </row>
    <row r="7" spans="2:18" x14ac:dyDescent="0.2">
      <c r="C7" t="s">
        <v>3</v>
      </c>
      <c r="D7" t="s">
        <v>4</v>
      </c>
      <c r="E7" t="s">
        <v>5</v>
      </c>
    </row>
    <row r="8" spans="2:18" x14ac:dyDescent="0.2">
      <c r="B8" t="s">
        <v>6</v>
      </c>
      <c r="C8" s="5">
        <v>0</v>
      </c>
      <c r="D8" s="5">
        <v>0.4</v>
      </c>
      <c r="E8" s="6">
        <v>0.4</v>
      </c>
      <c r="G8" s="2" t="s">
        <v>7</v>
      </c>
      <c r="H8" s="5"/>
    </row>
    <row r="9" spans="2:18" x14ac:dyDescent="0.2">
      <c r="B9" t="s">
        <v>8</v>
      </c>
      <c r="C9" s="5">
        <v>0</v>
      </c>
      <c r="D9" s="5">
        <v>0.4</v>
      </c>
      <c r="E9" s="6">
        <v>0.4</v>
      </c>
      <c r="G9" s="7" t="s">
        <v>9</v>
      </c>
      <c r="H9" s="5"/>
    </row>
    <row r="10" spans="2:18" x14ac:dyDescent="0.2">
      <c r="B10" t="s">
        <v>10</v>
      </c>
      <c r="C10" s="5">
        <v>0</v>
      </c>
      <c r="D10" s="5">
        <v>0.4</v>
      </c>
      <c r="E10" s="6">
        <v>0.4</v>
      </c>
      <c r="G10" s="7" t="s">
        <v>11</v>
      </c>
      <c r="H10" s="5"/>
    </row>
    <row r="11" spans="2:18" x14ac:dyDescent="0.2">
      <c r="B11" t="s">
        <v>12</v>
      </c>
      <c r="C11" s="5">
        <v>0</v>
      </c>
      <c r="D11" s="5">
        <v>0.4</v>
      </c>
      <c r="E11" s="6">
        <v>0.4</v>
      </c>
      <c r="G11" s="7"/>
    </row>
    <row r="12" spans="2:18" x14ac:dyDescent="0.2">
      <c r="B12" t="s">
        <v>13</v>
      </c>
      <c r="C12" s="5">
        <v>0</v>
      </c>
      <c r="D12" s="5">
        <v>0.4</v>
      </c>
      <c r="E12" s="6">
        <v>0.4</v>
      </c>
      <c r="G12" s="7" t="s">
        <v>14</v>
      </c>
    </row>
    <row r="13" spans="2:18" x14ac:dyDescent="0.2">
      <c r="C13" s="5">
        <f>SUM(C8:C12)</f>
        <v>0</v>
      </c>
      <c r="D13" s="5">
        <f>SUM(D8:D12)</f>
        <v>2</v>
      </c>
      <c r="E13" s="5">
        <f>SUM(E8:E12)</f>
        <v>2</v>
      </c>
      <c r="G13" s="7" t="s">
        <v>15</v>
      </c>
    </row>
    <row r="14" spans="2:18" x14ac:dyDescent="0.2">
      <c r="C14" s="5"/>
      <c r="D14" s="5"/>
      <c r="E14" s="5"/>
    </row>
    <row r="15" spans="2:18" x14ac:dyDescent="0.2">
      <c r="B15" s="3" t="s">
        <v>16</v>
      </c>
      <c r="C15" s="4"/>
      <c r="D15" s="4"/>
      <c r="E15" s="4"/>
      <c r="F15" s="3"/>
      <c r="G15" s="3"/>
      <c r="H15" s="3"/>
      <c r="I15" s="3"/>
      <c r="J15" s="3"/>
      <c r="K15" s="3"/>
      <c r="L15" s="3"/>
      <c r="M15" s="3"/>
      <c r="N15" s="3"/>
      <c r="O15" s="3"/>
      <c r="P15" s="3"/>
      <c r="Q15" s="3"/>
      <c r="R15" s="3"/>
    </row>
    <row r="16" spans="2:18" x14ac:dyDescent="0.2">
      <c r="B16" s="8"/>
      <c r="C16" s="9"/>
      <c r="D16" s="9"/>
      <c r="E16" s="9"/>
      <c r="F16" s="8"/>
      <c r="G16" s="8"/>
      <c r="H16" s="8"/>
      <c r="I16" s="8"/>
      <c r="J16" s="8"/>
      <c r="K16" s="8"/>
      <c r="L16" s="8"/>
      <c r="M16" s="8"/>
      <c r="N16" s="8"/>
      <c r="O16" s="8"/>
      <c r="P16" s="8"/>
      <c r="Q16" s="8"/>
      <c r="R16" s="8"/>
    </row>
    <row r="17" spans="2:18" x14ac:dyDescent="0.2">
      <c r="B17" s="10" t="s">
        <v>17</v>
      </c>
      <c r="C17" s="10"/>
      <c r="D17" s="10"/>
      <c r="E17" s="10"/>
      <c r="G17" s="10" t="s">
        <v>18</v>
      </c>
      <c r="H17" s="10"/>
      <c r="I17" s="10"/>
      <c r="J17" s="10"/>
      <c r="K17" s="10"/>
      <c r="L17" s="10"/>
      <c r="M17" s="10"/>
      <c r="N17" s="10"/>
      <c r="O17" s="10"/>
      <c r="P17" s="10"/>
      <c r="Q17" s="10"/>
      <c r="R17" s="10"/>
    </row>
    <row r="18" spans="2:18" x14ac:dyDescent="0.2">
      <c r="G18" t="s">
        <v>19</v>
      </c>
      <c r="M18" t="s">
        <v>20</v>
      </c>
    </row>
    <row r="19" spans="2:18" x14ac:dyDescent="0.2">
      <c r="C19" t="s">
        <v>3</v>
      </c>
      <c r="D19" t="s">
        <v>4</v>
      </c>
      <c r="E19" t="s">
        <v>5</v>
      </c>
      <c r="G19" t="s">
        <v>5</v>
      </c>
      <c r="H19" t="s">
        <v>21</v>
      </c>
      <c r="I19" t="s">
        <v>22</v>
      </c>
      <c r="J19" t="s">
        <v>23</v>
      </c>
      <c r="K19" t="s">
        <v>24</v>
      </c>
      <c r="L19" t="s">
        <v>25</v>
      </c>
      <c r="M19" t="s">
        <v>5</v>
      </c>
      <c r="N19" t="s">
        <v>21</v>
      </c>
      <c r="O19" t="s">
        <v>22</v>
      </c>
      <c r="P19" t="s">
        <v>23</v>
      </c>
      <c r="Q19" t="s">
        <v>24</v>
      </c>
      <c r="R19" t="s">
        <v>25</v>
      </c>
    </row>
    <row r="20" spans="2:18" x14ac:dyDescent="0.2">
      <c r="B20" t="s">
        <v>6</v>
      </c>
      <c r="C20" s="5">
        <v>0</v>
      </c>
      <c r="D20" s="5">
        <v>0.4</v>
      </c>
      <c r="E20" s="5">
        <f>G20</f>
        <v>0.30000000000000004</v>
      </c>
      <c r="G20" s="5">
        <f>D20/4*(M20-1)</f>
        <v>0.30000000000000004</v>
      </c>
      <c r="H20" s="5">
        <f>F20/5*N20</f>
        <v>0</v>
      </c>
      <c r="I20" s="5">
        <f>E20/5*O20</f>
        <v>6.0000000000000012E-2</v>
      </c>
      <c r="J20" s="5">
        <f t="shared" ref="J20:L24" si="0">G20/5*P20</f>
        <v>6.0000000000000012E-2</v>
      </c>
      <c r="K20" s="5">
        <f t="shared" si="0"/>
        <v>0</v>
      </c>
      <c r="L20" s="5">
        <f t="shared" si="0"/>
        <v>1.2000000000000002E-2</v>
      </c>
      <c r="M20" s="11">
        <v>4</v>
      </c>
      <c r="N20" s="11">
        <v>1</v>
      </c>
      <c r="O20" s="11">
        <v>1</v>
      </c>
      <c r="P20" s="11">
        <v>1</v>
      </c>
      <c r="Q20" s="11">
        <v>1</v>
      </c>
      <c r="R20" s="11">
        <v>1</v>
      </c>
    </row>
    <row r="21" spans="2:18" x14ac:dyDescent="0.2">
      <c r="B21" t="s">
        <v>8</v>
      </c>
      <c r="C21" s="5">
        <v>0</v>
      </c>
      <c r="D21" s="5">
        <v>0.4</v>
      </c>
      <c r="E21" s="5">
        <f>G21</f>
        <v>0.24</v>
      </c>
      <c r="G21" s="5">
        <f>D21/5*M21</f>
        <v>0.24</v>
      </c>
      <c r="H21" s="5">
        <f>F21/5*N21</f>
        <v>0</v>
      </c>
      <c r="I21" s="5">
        <f>E21/5*O21</f>
        <v>4.8000000000000001E-2</v>
      </c>
      <c r="J21" s="5">
        <f t="shared" si="0"/>
        <v>4.8000000000000001E-2</v>
      </c>
      <c r="K21" s="5">
        <f t="shared" si="0"/>
        <v>0</v>
      </c>
      <c r="L21" s="5">
        <f t="shared" si="0"/>
        <v>9.6000000000000009E-3</v>
      </c>
      <c r="M21" s="11">
        <v>3</v>
      </c>
      <c r="N21" s="11">
        <v>1</v>
      </c>
      <c r="O21" s="11">
        <v>1</v>
      </c>
      <c r="P21" s="11">
        <v>1</v>
      </c>
      <c r="Q21" s="11">
        <v>1</v>
      </c>
      <c r="R21" s="11">
        <v>1</v>
      </c>
    </row>
    <row r="22" spans="2:18" x14ac:dyDescent="0.2">
      <c r="B22" t="s">
        <v>10</v>
      </c>
      <c r="C22" s="5">
        <v>0</v>
      </c>
      <c r="D22" s="5">
        <v>0.4</v>
      </c>
      <c r="E22" s="5">
        <f>G22</f>
        <v>0.16</v>
      </c>
      <c r="G22" s="5">
        <f>D22/5*M22</f>
        <v>0.16</v>
      </c>
      <c r="H22" s="5">
        <f>F22/5*N22</f>
        <v>0</v>
      </c>
      <c r="I22" s="5">
        <f>E22/5*O22</f>
        <v>3.2000000000000001E-2</v>
      </c>
      <c r="J22" s="5">
        <f t="shared" si="0"/>
        <v>3.2000000000000001E-2</v>
      </c>
      <c r="K22" s="5">
        <f t="shared" si="0"/>
        <v>0</v>
      </c>
      <c r="L22" s="5">
        <f t="shared" si="0"/>
        <v>6.4000000000000003E-3</v>
      </c>
      <c r="M22" s="11">
        <v>2</v>
      </c>
      <c r="N22" s="11">
        <v>1</v>
      </c>
      <c r="O22" s="11">
        <v>1</v>
      </c>
      <c r="P22" s="11">
        <v>1</v>
      </c>
      <c r="Q22" s="11">
        <v>1</v>
      </c>
      <c r="R22" s="11">
        <v>1</v>
      </c>
    </row>
    <row r="23" spans="2:18" x14ac:dyDescent="0.2">
      <c r="B23" t="s">
        <v>12</v>
      </c>
      <c r="C23" s="5">
        <v>0</v>
      </c>
      <c r="D23" s="5">
        <v>0.4</v>
      </c>
      <c r="E23" s="5">
        <f>G23</f>
        <v>0.08</v>
      </c>
      <c r="G23" s="5">
        <f>D23/5*M23</f>
        <v>0.08</v>
      </c>
      <c r="H23" s="5">
        <f>F23/5*N23</f>
        <v>0</v>
      </c>
      <c r="I23" s="5">
        <f>E23/5*O23</f>
        <v>1.6E-2</v>
      </c>
      <c r="J23" s="5">
        <f t="shared" si="0"/>
        <v>1.6E-2</v>
      </c>
      <c r="K23" s="5">
        <f t="shared" si="0"/>
        <v>0</v>
      </c>
      <c r="L23" s="5">
        <f t="shared" si="0"/>
        <v>3.2000000000000002E-3</v>
      </c>
      <c r="M23" s="11">
        <v>1</v>
      </c>
      <c r="N23" s="11">
        <v>1</v>
      </c>
      <c r="O23" s="11">
        <v>1</v>
      </c>
      <c r="P23" s="11">
        <v>1</v>
      </c>
      <c r="Q23" s="11">
        <v>1</v>
      </c>
      <c r="R23" s="11">
        <v>1</v>
      </c>
    </row>
    <row r="24" spans="2:18" x14ac:dyDescent="0.2">
      <c r="B24" t="s">
        <v>13</v>
      </c>
      <c r="C24" s="5">
        <v>0</v>
      </c>
      <c r="D24" s="5">
        <v>0.4</v>
      </c>
      <c r="E24" s="5">
        <f>G24</f>
        <v>0.4</v>
      </c>
      <c r="G24" s="5">
        <f>D24/5*M24</f>
        <v>0.4</v>
      </c>
      <c r="H24" s="5">
        <f>F24/5*N24</f>
        <v>0</v>
      </c>
      <c r="I24" s="5">
        <f>E24/5*O24</f>
        <v>0.08</v>
      </c>
      <c r="J24" s="5">
        <f t="shared" si="0"/>
        <v>0.08</v>
      </c>
      <c r="K24" s="5">
        <f t="shared" si="0"/>
        <v>0</v>
      </c>
      <c r="L24" s="5">
        <f t="shared" si="0"/>
        <v>1.6E-2</v>
      </c>
      <c r="M24" s="11">
        <v>5</v>
      </c>
      <c r="N24" s="11">
        <v>1</v>
      </c>
      <c r="O24" s="11">
        <v>1</v>
      </c>
      <c r="P24" s="11">
        <v>1</v>
      </c>
      <c r="Q24" s="11">
        <v>1</v>
      </c>
      <c r="R24" s="11">
        <v>1</v>
      </c>
    </row>
    <row r="25" spans="2:18" x14ac:dyDescent="0.2">
      <c r="C25" s="12">
        <f>SUM(C20:C24)</f>
        <v>0</v>
      </c>
      <c r="D25" s="12">
        <f>SUM(D20:D24)</f>
        <v>2</v>
      </c>
      <c r="E25" s="12">
        <f>SUM(E20:E24)</f>
        <v>1.1800000000000002</v>
      </c>
      <c r="G25" s="12">
        <f>SUM(G20:G24)</f>
        <v>1.1800000000000002</v>
      </c>
      <c r="H25" s="12">
        <f t="shared" ref="H25:L25" si="1">SUM(H20:H24)</f>
        <v>0</v>
      </c>
      <c r="I25" s="12">
        <f t="shared" si="1"/>
        <v>0.23600000000000004</v>
      </c>
      <c r="J25" s="12">
        <f t="shared" si="1"/>
        <v>0.23600000000000004</v>
      </c>
      <c r="K25" s="12">
        <f t="shared" si="1"/>
        <v>0</v>
      </c>
      <c r="L25" s="12">
        <f t="shared" si="1"/>
        <v>4.7200000000000006E-2</v>
      </c>
      <c r="M25" s="13">
        <f>AVERAGE(M20:M24)</f>
        <v>3</v>
      </c>
      <c r="N25" s="13">
        <f t="shared" ref="N25:R25" si="2">AVERAGE(N20:N24)</f>
        <v>1</v>
      </c>
      <c r="O25" s="13">
        <f t="shared" si="2"/>
        <v>1</v>
      </c>
      <c r="P25" s="13">
        <f t="shared" si="2"/>
        <v>1</v>
      </c>
      <c r="Q25" s="13">
        <f t="shared" si="2"/>
        <v>1</v>
      </c>
      <c r="R25" s="13">
        <f t="shared" si="2"/>
        <v>1</v>
      </c>
    </row>
    <row r="26" spans="2:18" x14ac:dyDescent="0.2">
      <c r="B26" s="14" t="s">
        <v>26</v>
      </c>
      <c r="C26" s="15">
        <f>C13</f>
        <v>0</v>
      </c>
      <c r="D26" s="15">
        <f>D13</f>
        <v>2</v>
      </c>
      <c r="E26" s="16">
        <f>E13</f>
        <v>2</v>
      </c>
    </row>
    <row r="27" spans="2:18" x14ac:dyDescent="0.2">
      <c r="G27" s="10" t="s">
        <v>27</v>
      </c>
      <c r="H27" s="10"/>
      <c r="I27" s="10"/>
      <c r="J27" s="10"/>
      <c r="K27" s="10"/>
      <c r="L27" s="10"/>
      <c r="M27" s="10"/>
      <c r="N27" s="10"/>
      <c r="O27" s="10"/>
      <c r="P27" s="10"/>
      <c r="Q27" s="10"/>
      <c r="R27" s="10"/>
    </row>
    <row r="28" spans="2:18" x14ac:dyDescent="0.2">
      <c r="B28" s="2" t="s">
        <v>28</v>
      </c>
      <c r="G28" t="s">
        <v>19</v>
      </c>
      <c r="M28" t="s">
        <v>20</v>
      </c>
    </row>
    <row r="29" spans="2:18" x14ac:dyDescent="0.2">
      <c r="B29" s="2" t="s">
        <v>29</v>
      </c>
      <c r="G29" t="s">
        <v>5</v>
      </c>
      <c r="H29" t="s">
        <v>21</v>
      </c>
      <c r="I29" t="s">
        <v>22</v>
      </c>
      <c r="J29" t="s">
        <v>23</v>
      </c>
      <c r="K29" t="s">
        <v>24</v>
      </c>
      <c r="L29" t="s">
        <v>25</v>
      </c>
      <c r="M29" t="s">
        <v>5</v>
      </c>
      <c r="N29" t="s">
        <v>21</v>
      </c>
      <c r="O29" t="s">
        <v>22</v>
      </c>
      <c r="P29" t="s">
        <v>23</v>
      </c>
      <c r="Q29" t="s">
        <v>24</v>
      </c>
      <c r="R29" t="s">
        <v>25</v>
      </c>
    </row>
    <row r="30" spans="2:18" x14ac:dyDescent="0.2">
      <c r="B30" s="2" t="s">
        <v>30</v>
      </c>
      <c r="G30" s="5">
        <f>P20/4*(M30-1)</f>
        <v>0</v>
      </c>
      <c r="H30" s="5">
        <f>R20/5*N30</f>
        <v>0.2</v>
      </c>
      <c r="I30" s="5">
        <f>Q20/5*O30</f>
        <v>0.2</v>
      </c>
      <c r="J30" s="5">
        <f t="shared" ref="J30:L34" si="3">G30/5*P30</f>
        <v>0</v>
      </c>
      <c r="K30" s="5">
        <f t="shared" si="3"/>
        <v>0.04</v>
      </c>
      <c r="L30" s="5">
        <f t="shared" si="3"/>
        <v>0.04</v>
      </c>
      <c r="M30" s="11">
        <v>1</v>
      </c>
      <c r="N30" s="11">
        <v>1</v>
      </c>
      <c r="O30" s="11">
        <v>1</v>
      </c>
      <c r="P30" s="11">
        <v>1</v>
      </c>
      <c r="Q30" s="11">
        <v>1</v>
      </c>
      <c r="R30" s="11">
        <v>1</v>
      </c>
    </row>
    <row r="31" spans="2:18" x14ac:dyDescent="0.2">
      <c r="B31" s="2" t="s">
        <v>31</v>
      </c>
      <c r="G31" s="5">
        <f>P21/5*M31</f>
        <v>1</v>
      </c>
      <c r="H31" s="5">
        <f>R21/5*N31</f>
        <v>0.2</v>
      </c>
      <c r="I31" s="5">
        <f>Q21/5*O31</f>
        <v>0.2</v>
      </c>
      <c r="J31" s="5">
        <f t="shared" si="3"/>
        <v>0.2</v>
      </c>
      <c r="K31" s="5">
        <f t="shared" si="3"/>
        <v>0.04</v>
      </c>
      <c r="L31" s="5">
        <f t="shared" si="3"/>
        <v>0.04</v>
      </c>
      <c r="M31" s="11">
        <v>5</v>
      </c>
      <c r="N31" s="11">
        <v>1</v>
      </c>
      <c r="O31" s="11">
        <v>1</v>
      </c>
      <c r="P31" s="11">
        <v>1</v>
      </c>
      <c r="Q31" s="11">
        <v>1</v>
      </c>
      <c r="R31" s="11">
        <v>1</v>
      </c>
    </row>
    <row r="32" spans="2:18" x14ac:dyDescent="0.2">
      <c r="B32" s="2"/>
      <c r="G32" s="5">
        <f>P22/5*M32</f>
        <v>1</v>
      </c>
      <c r="H32" s="5">
        <f>R22/5*N32</f>
        <v>0.2</v>
      </c>
      <c r="I32" s="5">
        <f>Q22/5*O32</f>
        <v>0.2</v>
      </c>
      <c r="J32" s="5">
        <f t="shared" si="3"/>
        <v>0.2</v>
      </c>
      <c r="K32" s="5">
        <f t="shared" si="3"/>
        <v>0.04</v>
      </c>
      <c r="L32" s="5">
        <f t="shared" si="3"/>
        <v>0.04</v>
      </c>
      <c r="M32" s="11">
        <v>5</v>
      </c>
      <c r="N32" s="11">
        <v>1</v>
      </c>
      <c r="O32" s="11">
        <v>1</v>
      </c>
      <c r="P32" s="11">
        <v>1</v>
      </c>
      <c r="Q32" s="11">
        <v>1</v>
      </c>
      <c r="R32" s="11">
        <v>1</v>
      </c>
    </row>
    <row r="33" spans="2:18" x14ac:dyDescent="0.2">
      <c r="B33" s="2" t="s">
        <v>32</v>
      </c>
      <c r="G33" s="5">
        <f>P23/5*M33</f>
        <v>1</v>
      </c>
      <c r="H33" s="5">
        <f>R23/5*N33</f>
        <v>0.2</v>
      </c>
      <c r="I33" s="5">
        <f>Q23/5*O33</f>
        <v>0.2</v>
      </c>
      <c r="J33" s="5">
        <f t="shared" si="3"/>
        <v>0.2</v>
      </c>
      <c r="K33" s="5">
        <f t="shared" si="3"/>
        <v>0.04</v>
      </c>
      <c r="L33" s="5">
        <f t="shared" si="3"/>
        <v>0.04</v>
      </c>
      <c r="M33" s="11">
        <v>5</v>
      </c>
      <c r="N33" s="11">
        <v>1</v>
      </c>
      <c r="O33" s="11">
        <v>1</v>
      </c>
      <c r="P33" s="11">
        <v>1</v>
      </c>
      <c r="Q33" s="11">
        <v>1</v>
      </c>
      <c r="R33" s="11">
        <v>1</v>
      </c>
    </row>
    <row r="34" spans="2:18" x14ac:dyDescent="0.2">
      <c r="B34" s="2" t="s">
        <v>33</v>
      </c>
      <c r="G34" s="5">
        <f>P24/5*M34</f>
        <v>1</v>
      </c>
      <c r="H34" s="5">
        <f>R24/5*N34</f>
        <v>0.2</v>
      </c>
      <c r="I34" s="5">
        <f>Q24/5*O34</f>
        <v>0.2</v>
      </c>
      <c r="J34" s="5">
        <f t="shared" si="3"/>
        <v>0.2</v>
      </c>
      <c r="K34" s="5">
        <f t="shared" si="3"/>
        <v>0.04</v>
      </c>
      <c r="L34" s="5">
        <f t="shared" si="3"/>
        <v>0.04</v>
      </c>
      <c r="M34" s="11">
        <v>5</v>
      </c>
      <c r="N34" s="11">
        <v>1</v>
      </c>
      <c r="O34" s="11">
        <v>1</v>
      </c>
      <c r="P34" s="11">
        <v>1</v>
      </c>
      <c r="Q34" s="11">
        <v>1</v>
      </c>
      <c r="R34" s="11">
        <v>1</v>
      </c>
    </row>
    <row r="35" spans="2:18" x14ac:dyDescent="0.2">
      <c r="G35" s="12">
        <f>SUM(G30:G34)</f>
        <v>4</v>
      </c>
      <c r="H35" s="12">
        <f t="shared" ref="H35:L35" si="4">SUM(H30:H34)</f>
        <v>1</v>
      </c>
      <c r="I35" s="12">
        <f t="shared" si="4"/>
        <v>1</v>
      </c>
      <c r="J35" s="12">
        <f t="shared" si="4"/>
        <v>0.8</v>
      </c>
      <c r="K35" s="12">
        <f t="shared" si="4"/>
        <v>0.2</v>
      </c>
      <c r="L35" s="12">
        <f t="shared" si="4"/>
        <v>0.2</v>
      </c>
      <c r="M35" s="13">
        <f>AVERAGE(M30:M34)</f>
        <v>4.2</v>
      </c>
      <c r="N35" s="13">
        <f t="shared" ref="N35:R35" si="5">AVERAGE(N30:N34)</f>
        <v>1</v>
      </c>
      <c r="O35" s="13">
        <f t="shared" si="5"/>
        <v>1</v>
      </c>
      <c r="P35" s="13">
        <f t="shared" si="5"/>
        <v>1</v>
      </c>
      <c r="Q35" s="13">
        <f t="shared" si="5"/>
        <v>1</v>
      </c>
      <c r="R35" s="13">
        <f t="shared" si="5"/>
        <v>1</v>
      </c>
    </row>
    <row r="37" spans="2:18" x14ac:dyDescent="0.2">
      <c r="B37" t="s">
        <v>34</v>
      </c>
    </row>
    <row r="38" spans="2:18" x14ac:dyDescent="0.2">
      <c r="B38" t="s">
        <v>35</v>
      </c>
    </row>
    <row r="39" spans="2:18" x14ac:dyDescent="0.2">
      <c r="B39" t="s">
        <v>36</v>
      </c>
    </row>
    <row r="40" spans="2:18" x14ac:dyDescent="0.2">
      <c r="B40" t="s">
        <v>37</v>
      </c>
    </row>
    <row r="42" spans="2:18" x14ac:dyDescent="0.2">
      <c r="B42" s="3" t="s">
        <v>38</v>
      </c>
      <c r="C42" s="4"/>
      <c r="D42" s="4"/>
      <c r="E42" s="4"/>
      <c r="F42" s="3"/>
      <c r="G42" s="3"/>
      <c r="H42" s="3"/>
      <c r="I42" s="3"/>
      <c r="J42" s="3"/>
      <c r="K42" s="3"/>
      <c r="L42" s="3"/>
      <c r="M42" s="3"/>
      <c r="N42" s="3"/>
      <c r="O42" s="3"/>
      <c r="P42" s="3"/>
      <c r="Q42" s="3"/>
      <c r="R42" s="3"/>
    </row>
    <row r="44" spans="2:18" x14ac:dyDescent="0.2">
      <c r="B44" t="s">
        <v>39</v>
      </c>
    </row>
    <row r="45" spans="2:18" x14ac:dyDescent="0.2">
      <c r="B45" t="s">
        <v>40</v>
      </c>
    </row>
    <row r="47" spans="2:18" x14ac:dyDescent="0.2">
      <c r="B47" s="10" t="s">
        <v>41</v>
      </c>
      <c r="C47" s="10"/>
      <c r="D47" s="10"/>
      <c r="E47" s="10"/>
    </row>
    <row r="49" spans="2:5" x14ac:dyDescent="0.2">
      <c r="B49" t="s">
        <v>43</v>
      </c>
      <c r="E49" s="5">
        <f>+E25</f>
        <v>1.1800000000000002</v>
      </c>
    </row>
    <row r="50" spans="2:5" x14ac:dyDescent="0.2">
      <c r="B50" t="s">
        <v>46</v>
      </c>
      <c r="E50" s="20">
        <v>0.15</v>
      </c>
    </row>
    <row r="51" spans="2:5" x14ac:dyDescent="0.2">
      <c r="B51" t="s">
        <v>47</v>
      </c>
      <c r="E51" s="21">
        <f>E50*E49</f>
        <v>0.17700000000000002</v>
      </c>
    </row>
    <row r="53" spans="2:5" x14ac:dyDescent="0.2">
      <c r="B53" s="10" t="s">
        <v>51</v>
      </c>
      <c r="C53" s="10"/>
      <c r="D53" s="10"/>
      <c r="E53" s="10"/>
    </row>
    <row r="55" spans="2:5" x14ac:dyDescent="0.2">
      <c r="B55" s="22" t="s">
        <v>56</v>
      </c>
    </row>
    <row r="56" spans="2:5" x14ac:dyDescent="0.2">
      <c r="B56" t="s">
        <v>47</v>
      </c>
      <c r="E56" s="21">
        <f>+E51</f>
        <v>0.17700000000000002</v>
      </c>
    </row>
    <row r="57" spans="2:5" x14ac:dyDescent="0.2">
      <c r="B57" t="s">
        <v>61</v>
      </c>
      <c r="E57" s="23">
        <v>0.25</v>
      </c>
    </row>
    <row r="59" spans="2:5" x14ac:dyDescent="0.2">
      <c r="B59" s="22" t="s">
        <v>62</v>
      </c>
    </row>
    <row r="60" spans="2:5" x14ac:dyDescent="0.2">
      <c r="B60" t="s">
        <v>65</v>
      </c>
      <c r="E60" s="23">
        <v>1.2</v>
      </c>
    </row>
    <row r="61" spans="2:5" x14ac:dyDescent="0.2">
      <c r="B61" t="s">
        <v>68</v>
      </c>
      <c r="E61" s="23">
        <v>0.15</v>
      </c>
    </row>
    <row r="62" spans="2:5" x14ac:dyDescent="0.2">
      <c r="B62" t="s">
        <v>71</v>
      </c>
      <c r="E62" s="21">
        <f>+E56</f>
        <v>0.17700000000000002</v>
      </c>
    </row>
    <row r="63" spans="2:5" x14ac:dyDescent="0.2">
      <c r="B63" t="s">
        <v>74</v>
      </c>
      <c r="E63" s="21">
        <f>E60-E61-E62</f>
        <v>0.873</v>
      </c>
    </row>
    <row r="64" spans="2:5" x14ac:dyDescent="0.2">
      <c r="B64" s="24" t="s">
        <v>77</v>
      </c>
      <c r="E64" s="23">
        <v>0.15</v>
      </c>
    </row>
    <row r="65" spans="2:17" x14ac:dyDescent="0.2">
      <c r="B65" s="24" t="s">
        <v>78</v>
      </c>
      <c r="E65" s="23">
        <v>0.25</v>
      </c>
    </row>
    <row r="66" spans="2:17" x14ac:dyDescent="0.2">
      <c r="B66" s="24" t="s">
        <v>80</v>
      </c>
      <c r="E66" s="23">
        <v>0.45</v>
      </c>
    </row>
    <row r="67" spans="2:17" x14ac:dyDescent="0.2">
      <c r="B67" t="s">
        <v>82</v>
      </c>
      <c r="E67" s="21">
        <f>E63-E64-E65-E66</f>
        <v>2.2999999999999965E-2</v>
      </c>
    </row>
    <row r="68" spans="2:17" x14ac:dyDescent="0.2">
      <c r="B68" s="24" t="s">
        <v>84</v>
      </c>
      <c r="E68" s="25"/>
    </row>
    <row r="73" spans="2:17" x14ac:dyDescent="0.2">
      <c r="G73" s="10" t="s">
        <v>42</v>
      </c>
      <c r="H73" s="10"/>
      <c r="I73" s="10"/>
      <c r="J73" s="10"/>
      <c r="K73" s="10"/>
      <c r="L73" s="10"/>
      <c r="M73" s="10"/>
      <c r="N73" s="10"/>
      <c r="O73" s="10"/>
      <c r="P73" s="10"/>
      <c r="Q73" s="10"/>
    </row>
    <row r="75" spans="2:17" x14ac:dyDescent="0.2">
      <c r="G75" s="17" t="s">
        <v>44</v>
      </c>
      <c r="H75" s="18"/>
      <c r="I75" s="18"/>
      <c r="J75" s="19" t="s">
        <v>44</v>
      </c>
      <c r="K75" s="19" t="s">
        <v>45</v>
      </c>
      <c r="L75" s="18"/>
      <c r="M75" s="17" t="s">
        <v>44</v>
      </c>
      <c r="N75" s="18"/>
      <c r="O75" s="18"/>
      <c r="P75" s="19" t="s">
        <v>44</v>
      </c>
      <c r="Q75" s="19" t="s">
        <v>45</v>
      </c>
    </row>
    <row r="77" spans="2:17" x14ac:dyDescent="0.2">
      <c r="G77" s="22" t="s">
        <v>48</v>
      </c>
      <c r="M77" s="22" t="s">
        <v>8</v>
      </c>
    </row>
    <row r="78" spans="2:17" x14ac:dyDescent="0.2">
      <c r="G78" t="s">
        <v>49</v>
      </c>
      <c r="J78" s="23"/>
      <c r="K78" s="23"/>
      <c r="M78" t="s">
        <v>50</v>
      </c>
      <c r="P78" s="23"/>
      <c r="Q78" s="23"/>
    </row>
    <row r="79" spans="2:17" x14ac:dyDescent="0.2">
      <c r="G79" t="s">
        <v>52</v>
      </c>
      <c r="J79" s="23"/>
      <c r="K79" s="23"/>
      <c r="M79" t="s">
        <v>53</v>
      </c>
      <c r="P79" s="23"/>
      <c r="Q79" s="23"/>
    </row>
    <row r="80" spans="2:17" x14ac:dyDescent="0.2">
      <c r="G80" t="s">
        <v>54</v>
      </c>
      <c r="J80" s="23"/>
      <c r="K80" s="23"/>
      <c r="M80" t="s">
        <v>55</v>
      </c>
      <c r="P80" s="23"/>
      <c r="Q80" s="23"/>
    </row>
    <row r="81" spans="7:17" x14ac:dyDescent="0.2">
      <c r="G81" t="s">
        <v>57</v>
      </c>
      <c r="J81" s="23"/>
      <c r="K81" s="23"/>
      <c r="M81" t="s">
        <v>58</v>
      </c>
      <c r="P81" s="23"/>
      <c r="Q81" s="23"/>
    </row>
    <row r="82" spans="7:17" x14ac:dyDescent="0.2">
      <c r="G82" t="s">
        <v>59</v>
      </c>
      <c r="J82" s="23"/>
      <c r="K82" s="23"/>
      <c r="M82" t="s">
        <v>60</v>
      </c>
      <c r="P82" s="23"/>
      <c r="Q82" s="23"/>
    </row>
    <row r="83" spans="7:17" x14ac:dyDescent="0.2">
      <c r="J83" s="21"/>
    </row>
    <row r="84" spans="7:17" x14ac:dyDescent="0.2">
      <c r="G84" s="22" t="s">
        <v>10</v>
      </c>
      <c r="J84" s="21"/>
      <c r="M84" s="22" t="s">
        <v>10</v>
      </c>
    </row>
    <row r="85" spans="7:17" x14ac:dyDescent="0.2">
      <c r="G85" t="s">
        <v>63</v>
      </c>
      <c r="J85" s="23"/>
      <c r="K85" s="23"/>
      <c r="M85" t="s">
        <v>64</v>
      </c>
      <c r="P85" s="23"/>
      <c r="Q85" s="23"/>
    </row>
    <row r="86" spans="7:17" x14ac:dyDescent="0.2">
      <c r="G86" t="s">
        <v>66</v>
      </c>
      <c r="J86" s="23"/>
      <c r="K86" s="23"/>
      <c r="M86" t="s">
        <v>67</v>
      </c>
      <c r="P86" s="23"/>
      <c r="Q86" s="23"/>
    </row>
    <row r="87" spans="7:17" x14ac:dyDescent="0.2">
      <c r="G87" t="s">
        <v>69</v>
      </c>
      <c r="J87" s="23"/>
      <c r="K87" s="23"/>
      <c r="M87" t="s">
        <v>70</v>
      </c>
      <c r="P87" s="23"/>
      <c r="Q87" s="23"/>
    </row>
    <row r="88" spans="7:17" x14ac:dyDescent="0.2">
      <c r="G88" t="s">
        <v>72</v>
      </c>
      <c r="J88" s="23"/>
      <c r="K88" s="23"/>
      <c r="M88" t="s">
        <v>73</v>
      </c>
      <c r="P88" s="23"/>
      <c r="Q88" s="23"/>
    </row>
    <row r="89" spans="7:17" x14ac:dyDescent="0.2">
      <c r="G89" t="s">
        <v>75</v>
      </c>
      <c r="J89" s="23"/>
      <c r="K89" s="23"/>
      <c r="M89" t="s">
        <v>76</v>
      </c>
      <c r="P89" s="23"/>
      <c r="Q89" s="23"/>
    </row>
    <row r="91" spans="7:17" x14ac:dyDescent="0.2">
      <c r="G91" s="22" t="s">
        <v>79</v>
      </c>
    </row>
    <row r="92" spans="7:17" x14ac:dyDescent="0.2">
      <c r="G92" t="s">
        <v>81</v>
      </c>
      <c r="J92" s="23"/>
      <c r="K92" s="23"/>
    </row>
    <row r="93" spans="7:17" x14ac:dyDescent="0.2">
      <c r="G93" t="s">
        <v>83</v>
      </c>
      <c r="J93" s="23"/>
      <c r="K93" s="23"/>
    </row>
    <row r="94" spans="7:17" x14ac:dyDescent="0.2">
      <c r="G94" t="s">
        <v>85</v>
      </c>
      <c r="J94" s="23"/>
      <c r="K94" s="23"/>
    </row>
    <row r="97" spans="2:18" x14ac:dyDescent="0.2">
      <c r="B97" s="26" t="s">
        <v>86</v>
      </c>
      <c r="C97" s="27"/>
      <c r="D97" s="27"/>
      <c r="E97" s="27"/>
      <c r="F97" s="27"/>
      <c r="G97" s="27"/>
      <c r="H97" s="27"/>
      <c r="I97" s="27"/>
      <c r="J97" s="27"/>
      <c r="K97" s="27"/>
      <c r="L97" s="27"/>
      <c r="M97" s="27"/>
      <c r="N97" s="27"/>
      <c r="O97" s="27"/>
      <c r="P97" s="27"/>
      <c r="Q97" s="27"/>
      <c r="R97" s="28"/>
    </row>
    <row r="99" spans="2:18" x14ac:dyDescent="0.2">
      <c r="B99" s="3" t="s">
        <v>87</v>
      </c>
      <c r="C99" s="4"/>
      <c r="D99" s="4"/>
      <c r="E99" s="4"/>
      <c r="F99" s="3"/>
      <c r="G99" s="3"/>
      <c r="H99" s="3"/>
      <c r="I99" s="3"/>
      <c r="J99" s="3"/>
      <c r="K99" s="3"/>
      <c r="L99" s="3"/>
      <c r="M99" s="3"/>
      <c r="N99" s="3"/>
      <c r="O99" s="3"/>
      <c r="P99" s="3"/>
      <c r="Q99" s="3"/>
      <c r="R99" s="3"/>
    </row>
    <row r="101" spans="2:18" x14ac:dyDescent="0.2">
      <c r="B101" s="10" t="s">
        <v>88</v>
      </c>
      <c r="C101" s="10"/>
      <c r="D101" s="10"/>
      <c r="E101" s="10"/>
    </row>
    <row r="103" spans="2:18" x14ac:dyDescent="0.2">
      <c r="B103" t="s">
        <v>43</v>
      </c>
      <c r="E103" s="5">
        <f>+E25</f>
        <v>1.1800000000000002</v>
      </c>
    </row>
    <row r="104" spans="2:18" x14ac:dyDescent="0.2">
      <c r="B104" t="s">
        <v>46</v>
      </c>
      <c r="E104" s="20">
        <f>+E50</f>
        <v>0.15</v>
      </c>
    </row>
    <row r="105" spans="2:18" x14ac:dyDescent="0.2">
      <c r="B105" t="s">
        <v>47</v>
      </c>
      <c r="E105" s="5">
        <f>+E51</f>
        <v>0.17700000000000002</v>
      </c>
    </row>
    <row r="106" spans="2:18" x14ac:dyDescent="0.2">
      <c r="B106" s="18" t="s">
        <v>96</v>
      </c>
      <c r="C106" s="18"/>
      <c r="D106" s="18"/>
      <c r="E106" s="30">
        <f>+E105+E103</f>
        <v>1.3570000000000002</v>
      </c>
    </row>
    <row r="107" spans="2:18" x14ac:dyDescent="0.2">
      <c r="B107" t="s">
        <v>98</v>
      </c>
      <c r="E107" s="31">
        <f>E106/E103</f>
        <v>1.1499999999999999</v>
      </c>
    </row>
    <row r="109" spans="2:18" x14ac:dyDescent="0.2">
      <c r="B109" s="22" t="s">
        <v>101</v>
      </c>
      <c r="E109" s="33">
        <v>4.8</v>
      </c>
    </row>
    <row r="110" spans="2:18" x14ac:dyDescent="0.2">
      <c r="B110" t="s">
        <v>102</v>
      </c>
      <c r="E110" s="5">
        <f>E109*E106</f>
        <v>6.5136000000000012</v>
      </c>
    </row>
    <row r="111" spans="2:18" x14ac:dyDescent="0.2">
      <c r="B111" t="s">
        <v>104</v>
      </c>
      <c r="E111" s="20">
        <v>0.15</v>
      </c>
    </row>
    <row r="112" spans="2:18" x14ac:dyDescent="0.2">
      <c r="B112" t="s">
        <v>106</v>
      </c>
      <c r="E112">
        <f>E111*E110</f>
        <v>0.97704000000000013</v>
      </c>
    </row>
    <row r="113" spans="2:18" x14ac:dyDescent="0.2">
      <c r="B113" s="18" t="s">
        <v>108</v>
      </c>
      <c r="C113" s="18"/>
      <c r="D113" s="18"/>
      <c r="E113" s="30">
        <f>E110+E112</f>
        <v>7.4906400000000009</v>
      </c>
    </row>
    <row r="114" spans="2:18" x14ac:dyDescent="0.2">
      <c r="B114" t="s">
        <v>98</v>
      </c>
      <c r="E114" s="31">
        <f>E113/E103</f>
        <v>6.3479999999999999</v>
      </c>
    </row>
    <row r="115" spans="2:18" x14ac:dyDescent="0.2">
      <c r="B115" t="s">
        <v>111</v>
      </c>
      <c r="E115" s="31">
        <f>E113/E110</f>
        <v>1.1499999999999999</v>
      </c>
    </row>
    <row r="116" spans="2:18" x14ac:dyDescent="0.2">
      <c r="E116" s="5"/>
    </row>
    <row r="117" spans="2:18" x14ac:dyDescent="0.2">
      <c r="B117" s="22" t="s">
        <v>112</v>
      </c>
      <c r="E117" s="33">
        <v>2.7</v>
      </c>
    </row>
    <row r="118" spans="2:18" x14ac:dyDescent="0.2">
      <c r="B118" t="s">
        <v>113</v>
      </c>
      <c r="E118" s="5">
        <f>E113*E117</f>
        <v>20.224728000000002</v>
      </c>
    </row>
    <row r="119" spans="2:18" x14ac:dyDescent="0.2">
      <c r="B119" t="s">
        <v>115</v>
      </c>
      <c r="E119" s="20">
        <v>0.15</v>
      </c>
    </row>
    <row r="120" spans="2:18" x14ac:dyDescent="0.2">
      <c r="B120" t="s">
        <v>116</v>
      </c>
      <c r="E120" s="5">
        <f>E118*E119</f>
        <v>3.0337092000000001</v>
      </c>
    </row>
    <row r="121" spans="2:18" x14ac:dyDescent="0.2">
      <c r="B121" s="18" t="s">
        <v>117</v>
      </c>
      <c r="C121" s="18"/>
      <c r="D121" s="18"/>
      <c r="E121" s="30">
        <f>E120+E118</f>
        <v>23.258437200000003</v>
      </c>
    </row>
    <row r="122" spans="2:18" x14ac:dyDescent="0.2">
      <c r="B122" t="s">
        <v>98</v>
      </c>
      <c r="E122" s="31">
        <f>E121/E106</f>
        <v>17.139599999999998</v>
      </c>
    </row>
    <row r="123" spans="2:18" x14ac:dyDescent="0.2">
      <c r="B123" t="s">
        <v>111</v>
      </c>
      <c r="E123" s="31">
        <f>E121/E110</f>
        <v>3.5707499999999999</v>
      </c>
    </row>
    <row r="124" spans="2:18" x14ac:dyDescent="0.2">
      <c r="B124" t="s">
        <v>118</v>
      </c>
      <c r="E124" s="31">
        <f>E121/E118</f>
        <v>1.1499999999999999</v>
      </c>
    </row>
    <row r="128" spans="2:18" x14ac:dyDescent="0.2">
      <c r="G128" s="10" t="s">
        <v>88</v>
      </c>
      <c r="H128" s="10"/>
      <c r="I128" s="10"/>
      <c r="J128" s="10"/>
      <c r="K128" s="10"/>
      <c r="L128" s="10"/>
      <c r="M128" s="10"/>
      <c r="N128" s="10"/>
      <c r="O128" s="10"/>
      <c r="P128" s="10"/>
      <c r="Q128" s="10"/>
      <c r="R128" s="10"/>
    </row>
    <row r="130" spans="7:17" x14ac:dyDescent="0.2">
      <c r="G130" t="s">
        <v>89</v>
      </c>
      <c r="I130" s="29">
        <v>0.4</v>
      </c>
    </row>
    <row r="132" spans="7:17" x14ac:dyDescent="0.2">
      <c r="J132" t="s">
        <v>90</v>
      </c>
      <c r="K132" t="s">
        <v>91</v>
      </c>
      <c r="L132" t="s">
        <v>92</v>
      </c>
      <c r="M132" t="s">
        <v>93</v>
      </c>
      <c r="N132" t="s">
        <v>94</v>
      </c>
      <c r="O132" t="s">
        <v>95</v>
      </c>
    </row>
    <row r="133" spans="7:17" x14ac:dyDescent="0.2">
      <c r="G133" t="s">
        <v>97</v>
      </c>
      <c r="J133" s="5">
        <f>+E106</f>
        <v>1.3570000000000002</v>
      </c>
      <c r="L133" s="5">
        <f>+E113</f>
        <v>7.4906400000000009</v>
      </c>
      <c r="N133" s="5">
        <f>+E121</f>
        <v>23.258437200000003</v>
      </c>
      <c r="Q133" s="29"/>
    </row>
    <row r="134" spans="7:17" x14ac:dyDescent="0.2">
      <c r="G134" t="s">
        <v>99</v>
      </c>
      <c r="J134" s="5">
        <f>J133</f>
        <v>1.3570000000000002</v>
      </c>
      <c r="L134" s="5">
        <f>L133/(1+I130)^2</f>
        <v>3.8217551020408171</v>
      </c>
      <c r="N134" s="5">
        <f>N133/(1+I130)^4</f>
        <v>6.0543620366513977</v>
      </c>
    </row>
    <row r="135" spans="7:17" x14ac:dyDescent="0.2">
      <c r="G135" t="s">
        <v>100</v>
      </c>
      <c r="J135" s="32">
        <f>1-J134/N134</f>
        <v>0.77586408084202674</v>
      </c>
    </row>
    <row r="137" spans="7:17" x14ac:dyDescent="0.2">
      <c r="G137" s="18" t="s">
        <v>103</v>
      </c>
      <c r="H137" s="18"/>
      <c r="I137" s="18"/>
      <c r="J137" s="18"/>
      <c r="K137" s="18"/>
      <c r="L137" s="18"/>
      <c r="M137" s="18"/>
      <c r="N137" s="18"/>
      <c r="O137" s="18"/>
      <c r="P137" s="18"/>
      <c r="Q137" s="18"/>
    </row>
    <row r="138" spans="7:17" x14ac:dyDescent="0.2">
      <c r="G138" t="s">
        <v>105</v>
      </c>
      <c r="J138" s="29">
        <f>+E104</f>
        <v>0.15</v>
      </c>
      <c r="L138" s="29">
        <f>15%/(1+E111)</f>
        <v>0.13043478260869565</v>
      </c>
      <c r="N138" s="29">
        <f>L138/(1+E119)</f>
        <v>0.11342155009451796</v>
      </c>
    </row>
    <row r="139" spans="7:17" x14ac:dyDescent="0.2">
      <c r="G139" t="s">
        <v>107</v>
      </c>
      <c r="J139" s="5">
        <f>-E105</f>
        <v>-0.17700000000000002</v>
      </c>
      <c r="N139" s="5">
        <f>+N138*N133</f>
        <v>2.6380080000000006</v>
      </c>
      <c r="Q139" s="5">
        <f>SUM(J139:N139)</f>
        <v>2.4610080000000005</v>
      </c>
    </row>
    <row r="140" spans="7:17" x14ac:dyDescent="0.2">
      <c r="G140" t="s">
        <v>109</v>
      </c>
      <c r="Q140" s="34">
        <f>N139/J139*-1</f>
        <v>14.904000000000002</v>
      </c>
    </row>
    <row r="141" spans="7:17" x14ac:dyDescent="0.2">
      <c r="G141" t="s">
        <v>110</v>
      </c>
      <c r="Q141" s="34">
        <f>N143/J143*-1</f>
        <v>3.879633486047481</v>
      </c>
    </row>
    <row r="143" spans="7:17" x14ac:dyDescent="0.2">
      <c r="G143" t="s">
        <v>114</v>
      </c>
      <c r="J143" s="5">
        <f>J139</f>
        <v>-0.17700000000000002</v>
      </c>
      <c r="N143" s="5">
        <f>N134*N138</f>
        <v>0.68669512703040425</v>
      </c>
      <c r="Q143" s="5">
        <f>SUM(J143:N143)</f>
        <v>0.5096951270304042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Berkus Scoreboard</vt:lpstr>
      <vt:lpstr>Explanations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Scherer</dc:creator>
  <cp:lastModifiedBy>Ben Scherer</cp:lastModifiedBy>
  <dcterms:created xsi:type="dcterms:W3CDTF">2020-10-09T13:09:33Z</dcterms:created>
  <dcterms:modified xsi:type="dcterms:W3CDTF">2020-10-09T13:29:11Z</dcterms:modified>
</cp:coreProperties>
</file>