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defaultThemeVersion="124226"/>
  <mc:AlternateContent xmlns:mc="http://schemas.openxmlformats.org/markup-compatibility/2006">
    <mc:Choice Requires="x15">
      <x15ac:absPath xmlns:x15ac="http://schemas.microsoft.com/office/spreadsheetml/2010/11/ac" url="\\Mac\Home\Downloads\"/>
    </mc:Choice>
  </mc:AlternateContent>
  <xr:revisionPtr revIDLastSave="0" documentId="8_{5F0B59BB-743E-4BBE-B79F-3765B53EACAC}" xr6:coauthVersionLast="47" xr6:coauthVersionMax="47" xr10:uidLastSave="{00000000-0000-0000-0000-000000000000}"/>
  <bookViews>
    <workbookView xWindow="1823" yWindow="1808" windowWidth="21217" windowHeight="12592"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45769.8009259259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5" i="1" l="1"/>
  <c r="D114" i="1"/>
  <c r="G9" i="7" l="1"/>
  <c r="H99" i="1" s="1"/>
  <c r="H9" i="7"/>
  <c r="I9" i="7"/>
  <c r="J99" i="1" s="1"/>
  <c r="J9" i="7"/>
  <c r="G10" i="7"/>
  <c r="H100" i="1" s="1"/>
  <c r="H10" i="7"/>
  <c r="I100" i="1" s="1"/>
  <c r="I10" i="7"/>
  <c r="J10" i="7"/>
  <c r="G11" i="7"/>
  <c r="H101" i="1" s="1"/>
  <c r="H11" i="7"/>
  <c r="I101" i="1" s="1"/>
  <c r="I11" i="7"/>
  <c r="J101" i="1" s="1"/>
  <c r="J11" i="7"/>
  <c r="K101" i="1" s="1"/>
  <c r="O11" i="7"/>
  <c r="E29" i="1" s="1"/>
  <c r="G12" i="7"/>
  <c r="H102" i="1" s="1"/>
  <c r="H12" i="7"/>
  <c r="I102" i="1" s="1"/>
  <c r="I12" i="7"/>
  <c r="J12" i="7"/>
  <c r="K102" i="1" s="1"/>
  <c r="O12" i="7"/>
  <c r="E30" i="1" s="1"/>
  <c r="G13" i="7"/>
  <c r="H13" i="7"/>
  <c r="I103" i="1" s="1"/>
  <c r="I13" i="7"/>
  <c r="J13" i="7"/>
  <c r="K103" i="1" s="1"/>
  <c r="O13" i="7"/>
  <c r="G14" i="7"/>
  <c r="H14" i="7"/>
  <c r="I104" i="1" s="1"/>
  <c r="I14" i="7"/>
  <c r="J14" i="7"/>
  <c r="O14" i="7"/>
  <c r="G15" i="7"/>
  <c r="H15" i="7"/>
  <c r="I15" i="7"/>
  <c r="J105" i="1" s="1"/>
  <c r="J15" i="7"/>
  <c r="G16" i="7"/>
  <c r="H106" i="1" s="1"/>
  <c r="H16" i="7"/>
  <c r="I106" i="1" s="1"/>
  <c r="I16" i="7"/>
  <c r="J106" i="1" s="1"/>
  <c r="J16" i="7"/>
  <c r="K106" i="1" s="1"/>
  <c r="G17" i="7"/>
  <c r="H107" i="1" s="1"/>
  <c r="H17" i="7"/>
  <c r="I17" i="7"/>
  <c r="J17" i="7"/>
  <c r="K107" i="1" s="1"/>
  <c r="O17" i="7"/>
  <c r="G18" i="7"/>
  <c r="H108" i="1" s="1"/>
  <c r="H18" i="7"/>
  <c r="I18" i="7"/>
  <c r="J18" i="7"/>
  <c r="K108" i="1" s="1"/>
  <c r="G19" i="7"/>
  <c r="H19" i="7"/>
  <c r="I109" i="1" s="1"/>
  <c r="I19" i="7"/>
  <c r="J19" i="7"/>
  <c r="K109" i="1" s="1"/>
  <c r="G20" i="7"/>
  <c r="G25" i="7" s="1"/>
  <c r="H20" i="7"/>
  <c r="I20" i="7"/>
  <c r="J20" i="7"/>
  <c r="J25" i="7" s="1"/>
  <c r="N22" i="7"/>
  <c r="O22" i="7"/>
  <c r="B25" i="7"/>
  <c r="C25" i="7"/>
  <c r="D25" i="7"/>
  <c r="E25" i="7"/>
  <c r="H25" i="7"/>
  <c r="I25" i="7"/>
  <c r="B78" i="7"/>
  <c r="C78" i="7"/>
  <c r="D78" i="7"/>
  <c r="E78" i="7"/>
  <c r="G78" i="7"/>
  <c r="H78" i="7"/>
  <c r="I78" i="7"/>
  <c r="J78" i="7"/>
  <c r="G476" i="7"/>
  <c r="H476" i="7"/>
  <c r="I476" i="7"/>
  <c r="J476" i="7"/>
  <c r="G477" i="7"/>
  <c r="H477" i="7"/>
  <c r="I477" i="7"/>
  <c r="J477" i="7"/>
  <c r="G478" i="7"/>
  <c r="H478" i="7"/>
  <c r="I478" i="7"/>
  <c r="J478" i="7"/>
  <c r="G479" i="7"/>
  <c r="H479" i="7"/>
  <c r="I479" i="7"/>
  <c r="J479" i="7"/>
  <c r="O479" i="7"/>
  <c r="G480" i="7"/>
  <c r="H480" i="7"/>
  <c r="I480" i="7"/>
  <c r="J480" i="7"/>
  <c r="O480" i="7"/>
  <c r="G481" i="7"/>
  <c r="H481" i="7"/>
  <c r="I481" i="7"/>
  <c r="J481" i="7"/>
  <c r="O481" i="7"/>
  <c r="G482" i="7"/>
  <c r="H482" i="7"/>
  <c r="I482" i="7"/>
  <c r="J482" i="7"/>
  <c r="O482" i="7"/>
  <c r="G483" i="7"/>
  <c r="H483" i="7"/>
  <c r="I483" i="7"/>
  <c r="J483" i="7"/>
  <c r="G484" i="7"/>
  <c r="H484" i="7"/>
  <c r="I484" i="7"/>
  <c r="J484" i="7"/>
  <c r="G485" i="7"/>
  <c r="H485" i="7"/>
  <c r="I485" i="7"/>
  <c r="J485" i="7"/>
  <c r="O485" i="7"/>
  <c r="G486" i="7"/>
  <c r="H486" i="7"/>
  <c r="I486" i="7"/>
  <c r="J486" i="7"/>
  <c r="G487" i="7"/>
  <c r="H487" i="7"/>
  <c r="I487" i="7"/>
  <c r="J487" i="7"/>
  <c r="G514" i="7"/>
  <c r="H514" i="7"/>
  <c r="I514" i="7"/>
  <c r="J514" i="7"/>
  <c r="G515" i="7"/>
  <c r="H515" i="7"/>
  <c r="I515" i="7"/>
  <c r="J515" i="7"/>
  <c r="G516" i="7"/>
  <c r="H516" i="7"/>
  <c r="I516" i="7"/>
  <c r="J516" i="7"/>
  <c r="G517" i="7"/>
  <c r="H517" i="7"/>
  <c r="I517" i="7"/>
  <c r="J517" i="7"/>
  <c r="O517" i="7"/>
  <c r="G518" i="7"/>
  <c r="H518" i="7"/>
  <c r="I518" i="7"/>
  <c r="J518" i="7"/>
  <c r="O518" i="7"/>
  <c r="G519" i="7"/>
  <c r="H519" i="7"/>
  <c r="I519" i="7"/>
  <c r="J519" i="7"/>
  <c r="O519" i="7"/>
  <c r="G520" i="7"/>
  <c r="H520" i="7"/>
  <c r="I520" i="7"/>
  <c r="J520" i="7"/>
  <c r="O520" i="7"/>
  <c r="G521" i="7"/>
  <c r="H521" i="7"/>
  <c r="I521" i="7"/>
  <c r="J521" i="7"/>
  <c r="G522" i="7"/>
  <c r="H522" i="7"/>
  <c r="I522" i="7"/>
  <c r="J522" i="7"/>
  <c r="G523" i="7"/>
  <c r="H523" i="7"/>
  <c r="I523" i="7"/>
  <c r="J523" i="7"/>
  <c r="G524" i="7"/>
  <c r="H524" i="7"/>
  <c r="I524" i="7"/>
  <c r="J524" i="7"/>
  <c r="G525" i="7"/>
  <c r="H525" i="7"/>
  <c r="I525" i="7"/>
  <c r="J525" i="7"/>
  <c r="G594" i="7"/>
  <c r="H594" i="7"/>
  <c r="I594" i="7"/>
  <c r="J594" i="7"/>
  <c r="G595" i="7"/>
  <c r="H595" i="7"/>
  <c r="I595" i="7"/>
  <c r="J595" i="7"/>
  <c r="G596" i="7"/>
  <c r="H596" i="7"/>
  <c r="I596" i="7"/>
  <c r="J596" i="7"/>
  <c r="G597" i="7"/>
  <c r="H597" i="7"/>
  <c r="I597" i="7"/>
  <c r="J597" i="7"/>
  <c r="O597" i="7"/>
  <c r="G598" i="7"/>
  <c r="H598" i="7"/>
  <c r="I598" i="7"/>
  <c r="J598" i="7"/>
  <c r="O598" i="7"/>
  <c r="G599" i="7"/>
  <c r="H599" i="7"/>
  <c r="I599" i="7"/>
  <c r="J599" i="7"/>
  <c r="O599" i="7"/>
  <c r="G600" i="7"/>
  <c r="H600" i="7"/>
  <c r="I600" i="7"/>
  <c r="J600" i="7"/>
  <c r="O600" i="7"/>
  <c r="G601" i="7"/>
  <c r="H601" i="7"/>
  <c r="I601" i="7"/>
  <c r="J601" i="7"/>
  <c r="G602" i="7"/>
  <c r="H602" i="7"/>
  <c r="I602" i="7"/>
  <c r="J602" i="7"/>
  <c r="G603" i="7"/>
  <c r="H603" i="7"/>
  <c r="I603" i="7"/>
  <c r="J603" i="7"/>
  <c r="G604" i="7"/>
  <c r="H604" i="7"/>
  <c r="I604" i="7"/>
  <c r="J604" i="7"/>
  <c r="G605" i="7"/>
  <c r="H605" i="7"/>
  <c r="I605" i="7"/>
  <c r="J605" i="7"/>
  <c r="G613" i="7"/>
  <c r="H613" i="7"/>
  <c r="I613" i="7"/>
  <c r="J613" i="7"/>
  <c r="G614" i="7"/>
  <c r="H614" i="7"/>
  <c r="I614" i="7"/>
  <c r="J614" i="7"/>
  <c r="G615" i="7"/>
  <c r="H615" i="7"/>
  <c r="I615" i="7"/>
  <c r="J615" i="7"/>
  <c r="G616" i="7"/>
  <c r="H616" i="7"/>
  <c r="I616" i="7"/>
  <c r="J616" i="7"/>
  <c r="O616" i="7"/>
  <c r="G617" i="7"/>
  <c r="H617" i="7"/>
  <c r="I617" i="7"/>
  <c r="J617" i="7"/>
  <c r="O617" i="7"/>
  <c r="G618" i="7"/>
  <c r="H618" i="7"/>
  <c r="I618" i="7"/>
  <c r="J618" i="7"/>
  <c r="O618" i="7"/>
  <c r="G619" i="7"/>
  <c r="H619" i="7"/>
  <c r="I619" i="7"/>
  <c r="J619" i="7"/>
  <c r="O619" i="7"/>
  <c r="G620" i="7"/>
  <c r="H620" i="7"/>
  <c r="I620" i="7"/>
  <c r="J620" i="7"/>
  <c r="G621" i="7"/>
  <c r="H621" i="7"/>
  <c r="I621" i="7"/>
  <c r="J621" i="7"/>
  <c r="G622" i="7"/>
  <c r="H622" i="7"/>
  <c r="I622" i="7"/>
  <c r="J622" i="7"/>
  <c r="G623" i="7"/>
  <c r="H623" i="7"/>
  <c r="I623" i="7"/>
  <c r="J623" i="7"/>
  <c r="G624" i="7"/>
  <c r="H624" i="7"/>
  <c r="I624" i="7"/>
  <c r="J624" i="7"/>
  <c r="G649" i="7"/>
  <c r="H649" i="7"/>
  <c r="I649" i="7"/>
  <c r="J649" i="7"/>
  <c r="G650" i="7"/>
  <c r="H650" i="7"/>
  <c r="I650" i="7"/>
  <c r="J650" i="7"/>
  <c r="G651" i="7"/>
  <c r="H651" i="7"/>
  <c r="I651" i="7"/>
  <c r="J651" i="7"/>
  <c r="G652" i="7"/>
  <c r="H652" i="7"/>
  <c r="I652" i="7"/>
  <c r="J652" i="7"/>
  <c r="O652" i="7"/>
  <c r="G653" i="7"/>
  <c r="H653" i="7"/>
  <c r="I653" i="7"/>
  <c r="J653" i="7"/>
  <c r="O653" i="7"/>
  <c r="G654" i="7"/>
  <c r="H654" i="7"/>
  <c r="I654" i="7"/>
  <c r="J654" i="7"/>
  <c r="O654" i="7"/>
  <c r="G655" i="7"/>
  <c r="H655" i="7"/>
  <c r="I655" i="7"/>
  <c r="J655" i="7"/>
  <c r="O655" i="7"/>
  <c r="G656" i="7"/>
  <c r="H656" i="7"/>
  <c r="I656" i="7"/>
  <c r="J656" i="7"/>
  <c r="G657" i="7"/>
  <c r="H657" i="7"/>
  <c r="I657" i="7"/>
  <c r="J657" i="7"/>
  <c r="G658" i="7"/>
  <c r="H658" i="7"/>
  <c r="I658" i="7"/>
  <c r="J658" i="7"/>
  <c r="G659" i="7"/>
  <c r="H659" i="7"/>
  <c r="I659" i="7"/>
  <c r="J659" i="7"/>
  <c r="G660" i="7"/>
  <c r="H660" i="7"/>
  <c r="I660" i="7"/>
  <c r="J660" i="7"/>
  <c r="G669" i="7"/>
  <c r="H669" i="7"/>
  <c r="I669" i="7"/>
  <c r="J669" i="7"/>
  <c r="G670" i="7"/>
  <c r="H670" i="7"/>
  <c r="I670" i="7"/>
  <c r="J670" i="7"/>
  <c r="G671" i="7"/>
  <c r="H671" i="7"/>
  <c r="I671" i="7"/>
  <c r="J671" i="7"/>
  <c r="G672" i="7"/>
  <c r="H672" i="7"/>
  <c r="I672" i="7"/>
  <c r="J672" i="7"/>
  <c r="O672" i="7"/>
  <c r="G673" i="7"/>
  <c r="H673" i="7"/>
  <c r="I673" i="7"/>
  <c r="J673" i="7"/>
  <c r="O673" i="7"/>
  <c r="G674" i="7"/>
  <c r="H674" i="7"/>
  <c r="I674" i="7"/>
  <c r="J674" i="7"/>
  <c r="O674" i="7"/>
  <c r="G675" i="7"/>
  <c r="H675" i="7"/>
  <c r="I675" i="7"/>
  <c r="J675" i="7"/>
  <c r="O675" i="7"/>
  <c r="G676" i="7"/>
  <c r="H676" i="7"/>
  <c r="I676" i="7"/>
  <c r="J676" i="7"/>
  <c r="G677" i="7"/>
  <c r="H677" i="7"/>
  <c r="I677" i="7"/>
  <c r="J677" i="7"/>
  <c r="G678" i="7"/>
  <c r="H678" i="7"/>
  <c r="I678" i="7"/>
  <c r="J678" i="7"/>
  <c r="G679" i="7"/>
  <c r="H679" i="7"/>
  <c r="I679" i="7"/>
  <c r="J679" i="7"/>
  <c r="G680" i="7"/>
  <c r="H680" i="7"/>
  <c r="I680" i="7"/>
  <c r="J680" i="7"/>
  <c r="G790" i="7"/>
  <c r="H790" i="7"/>
  <c r="I790" i="7"/>
  <c r="J790" i="7"/>
  <c r="G791" i="7"/>
  <c r="H791" i="7"/>
  <c r="I791" i="7"/>
  <c r="J791" i="7"/>
  <c r="G792" i="7"/>
  <c r="H792" i="7"/>
  <c r="I792" i="7"/>
  <c r="J792" i="7"/>
  <c r="G793" i="7"/>
  <c r="H793" i="7"/>
  <c r="I793" i="7"/>
  <c r="J793" i="7"/>
  <c r="O793" i="7"/>
  <c r="G794" i="7"/>
  <c r="H794" i="7"/>
  <c r="I794" i="7"/>
  <c r="J794" i="7"/>
  <c r="O794" i="7"/>
  <c r="G795" i="7"/>
  <c r="H795" i="7"/>
  <c r="I795" i="7"/>
  <c r="J795" i="7"/>
  <c r="O795" i="7"/>
  <c r="G796" i="7"/>
  <c r="H796" i="7"/>
  <c r="I796" i="7"/>
  <c r="J796" i="7"/>
  <c r="O796" i="7"/>
  <c r="G797" i="7"/>
  <c r="H797" i="7"/>
  <c r="I797" i="7"/>
  <c r="J797" i="7"/>
  <c r="G798" i="7"/>
  <c r="H798" i="7"/>
  <c r="I798" i="7"/>
  <c r="J798" i="7"/>
  <c r="G799" i="7"/>
  <c r="H799" i="7"/>
  <c r="I799" i="7"/>
  <c r="J799" i="7"/>
  <c r="G800" i="7"/>
  <c r="H800" i="7"/>
  <c r="I800" i="7"/>
  <c r="J800" i="7"/>
  <c r="G859" i="7"/>
  <c r="H859" i="7"/>
  <c r="I859" i="7"/>
  <c r="J859" i="7"/>
  <c r="G860" i="7"/>
  <c r="H860" i="7"/>
  <c r="I860" i="7"/>
  <c r="J860" i="7"/>
  <c r="G861" i="7"/>
  <c r="H861" i="7"/>
  <c r="I861" i="7"/>
  <c r="J861" i="7"/>
  <c r="G862" i="7"/>
  <c r="H862" i="7"/>
  <c r="I862" i="7"/>
  <c r="J862" i="7"/>
  <c r="G863" i="7"/>
  <c r="H863" i="7"/>
  <c r="I863" i="7"/>
  <c r="J863" i="7"/>
  <c r="G864" i="7"/>
  <c r="H864" i="7"/>
  <c r="I864" i="7"/>
  <c r="J864" i="7"/>
  <c r="G865" i="7"/>
  <c r="H865" i="7"/>
  <c r="I865" i="7"/>
  <c r="J865" i="7"/>
  <c r="G866" i="7"/>
  <c r="H866" i="7"/>
  <c r="I866" i="7"/>
  <c r="J866" i="7"/>
  <c r="G867" i="7"/>
  <c r="H867" i="7"/>
  <c r="I867" i="7"/>
  <c r="J867" i="7"/>
  <c r="G868" i="7"/>
  <c r="H868" i="7"/>
  <c r="I868" i="7"/>
  <c r="J868" i="7"/>
  <c r="G869" i="7"/>
  <c r="H869" i="7"/>
  <c r="I869" i="7"/>
  <c r="J869" i="7"/>
  <c r="G875" i="7"/>
  <c r="H875" i="7"/>
  <c r="I875" i="7"/>
  <c r="J875" i="7"/>
  <c r="G876" i="7"/>
  <c r="H876" i="7"/>
  <c r="I876" i="7"/>
  <c r="J876" i="7"/>
  <c r="G877" i="7"/>
  <c r="H877" i="7"/>
  <c r="I877" i="7"/>
  <c r="J877" i="7"/>
  <c r="G878" i="7"/>
  <c r="H878" i="7"/>
  <c r="I878" i="7"/>
  <c r="J878" i="7"/>
  <c r="G879" i="7"/>
  <c r="H879" i="7"/>
  <c r="I879" i="7"/>
  <c r="J879" i="7"/>
  <c r="G880" i="7"/>
  <c r="H880" i="7"/>
  <c r="I880" i="7"/>
  <c r="J880" i="7"/>
  <c r="G881" i="7"/>
  <c r="H881" i="7"/>
  <c r="I881" i="7"/>
  <c r="J881" i="7"/>
  <c r="G882" i="7"/>
  <c r="H882" i="7"/>
  <c r="I882" i="7"/>
  <c r="J882" i="7"/>
  <c r="G883" i="7"/>
  <c r="H883" i="7"/>
  <c r="I883" i="7"/>
  <c r="J883" i="7"/>
  <c r="G884" i="7"/>
  <c r="H884" i="7"/>
  <c r="I884" i="7"/>
  <c r="J884" i="7"/>
  <c r="G885" i="7"/>
  <c r="H885" i="7"/>
  <c r="I885" i="7"/>
  <c r="J885" i="7"/>
  <c r="G907" i="7"/>
  <c r="H907" i="7"/>
  <c r="I907" i="7"/>
  <c r="J907" i="7"/>
  <c r="G908" i="7"/>
  <c r="H908" i="7"/>
  <c r="I908" i="7"/>
  <c r="J908" i="7"/>
  <c r="G909" i="7"/>
  <c r="H909" i="7"/>
  <c r="I909" i="7"/>
  <c r="J909" i="7"/>
  <c r="G910" i="7"/>
  <c r="H910" i="7"/>
  <c r="I910" i="7"/>
  <c r="J910" i="7"/>
  <c r="G911" i="7"/>
  <c r="H911" i="7"/>
  <c r="I911" i="7"/>
  <c r="J911" i="7"/>
  <c r="G912" i="7"/>
  <c r="H912" i="7"/>
  <c r="I912" i="7"/>
  <c r="J912" i="7"/>
  <c r="G913" i="7"/>
  <c r="H913" i="7"/>
  <c r="I913" i="7"/>
  <c r="J913" i="7"/>
  <c r="G914" i="7"/>
  <c r="H914" i="7"/>
  <c r="I914" i="7"/>
  <c r="J914" i="7"/>
  <c r="G915" i="7"/>
  <c r="H915" i="7"/>
  <c r="I915" i="7"/>
  <c r="J915" i="7"/>
  <c r="G916" i="7"/>
  <c r="H916" i="7"/>
  <c r="I916" i="7"/>
  <c r="J916" i="7"/>
  <c r="G917" i="7"/>
  <c r="H917" i="7"/>
  <c r="I917" i="7"/>
  <c r="J917" i="7"/>
  <c r="G923" i="7"/>
  <c r="H923" i="7"/>
  <c r="I923" i="7"/>
  <c r="J923" i="7"/>
  <c r="G924" i="7"/>
  <c r="H924" i="7"/>
  <c r="I924" i="7"/>
  <c r="J924" i="7"/>
  <c r="G925" i="7"/>
  <c r="H925" i="7"/>
  <c r="I925" i="7"/>
  <c r="J925" i="7"/>
  <c r="G926" i="7"/>
  <c r="H926" i="7"/>
  <c r="I926" i="7"/>
  <c r="J926" i="7"/>
  <c r="G927" i="7"/>
  <c r="H927" i="7"/>
  <c r="I927" i="7"/>
  <c r="J927" i="7"/>
  <c r="G928" i="7"/>
  <c r="H928" i="7"/>
  <c r="I928" i="7"/>
  <c r="J928" i="7"/>
  <c r="G929" i="7"/>
  <c r="H929" i="7"/>
  <c r="I929" i="7"/>
  <c r="J929" i="7"/>
  <c r="G930" i="7"/>
  <c r="H930" i="7"/>
  <c r="I930" i="7"/>
  <c r="J930" i="7"/>
  <c r="G931" i="7"/>
  <c r="H931" i="7"/>
  <c r="I931" i="7"/>
  <c r="J931" i="7"/>
  <c r="G932" i="7"/>
  <c r="H932" i="7"/>
  <c r="I932" i="7"/>
  <c r="J932" i="7"/>
  <c r="G933" i="7"/>
  <c r="H933" i="7"/>
  <c r="I933" i="7"/>
  <c r="J933" i="7"/>
  <c r="G938" i="7"/>
  <c r="H938" i="7"/>
  <c r="I938" i="7"/>
  <c r="J938" i="7"/>
  <c r="G939" i="7"/>
  <c r="H939" i="7"/>
  <c r="I939" i="7"/>
  <c r="J939" i="7"/>
  <c r="G940" i="7"/>
  <c r="H940" i="7"/>
  <c r="I940" i="7"/>
  <c r="J940" i="7"/>
  <c r="G941" i="7"/>
  <c r="H941" i="7"/>
  <c r="I941" i="7"/>
  <c r="J941" i="7"/>
  <c r="G942" i="7"/>
  <c r="H942" i="7"/>
  <c r="I942" i="7"/>
  <c r="J942" i="7"/>
  <c r="G943" i="7"/>
  <c r="H943" i="7"/>
  <c r="I943" i="7"/>
  <c r="J943" i="7"/>
  <c r="G944" i="7"/>
  <c r="H944" i="7"/>
  <c r="I944" i="7"/>
  <c r="J944" i="7"/>
  <c r="G945" i="7"/>
  <c r="H945" i="7"/>
  <c r="I945" i="7"/>
  <c r="J945" i="7"/>
  <c r="G946" i="7"/>
  <c r="H946" i="7"/>
  <c r="I946" i="7"/>
  <c r="J946" i="7"/>
  <c r="G947" i="7"/>
  <c r="H947" i="7"/>
  <c r="I947" i="7"/>
  <c r="J947" i="7"/>
  <c r="G948" i="7"/>
  <c r="H948" i="7"/>
  <c r="I948" i="7"/>
  <c r="J948" i="7"/>
  <c r="G954" i="7"/>
  <c r="H954" i="7"/>
  <c r="I954" i="7"/>
  <c r="J954" i="7"/>
  <c r="G955" i="7"/>
  <c r="H955" i="7"/>
  <c r="I955" i="7"/>
  <c r="J955" i="7"/>
  <c r="G956" i="7"/>
  <c r="H956" i="7"/>
  <c r="I956" i="7"/>
  <c r="J956" i="7"/>
  <c r="G957" i="7"/>
  <c r="H957" i="7"/>
  <c r="I957" i="7"/>
  <c r="J957" i="7"/>
  <c r="G958" i="7"/>
  <c r="H958" i="7"/>
  <c r="I958" i="7"/>
  <c r="J958" i="7"/>
  <c r="G959" i="7"/>
  <c r="H959" i="7"/>
  <c r="I959" i="7"/>
  <c r="J959" i="7"/>
  <c r="G960" i="7"/>
  <c r="H960" i="7"/>
  <c r="I960" i="7"/>
  <c r="J960" i="7"/>
  <c r="G961" i="7"/>
  <c r="H961" i="7"/>
  <c r="I961" i="7"/>
  <c r="J961" i="7"/>
  <c r="G962" i="7"/>
  <c r="H962" i="7"/>
  <c r="I962" i="7"/>
  <c r="J962" i="7"/>
  <c r="G963" i="7"/>
  <c r="H963" i="7"/>
  <c r="I963" i="7"/>
  <c r="J963" i="7"/>
  <c r="G964" i="7"/>
  <c r="H964" i="7"/>
  <c r="I964" i="7"/>
  <c r="J964" i="7"/>
  <c r="G970" i="7"/>
  <c r="H970" i="7"/>
  <c r="I970" i="7"/>
  <c r="J970" i="7"/>
  <c r="G971" i="7"/>
  <c r="H971" i="7"/>
  <c r="I971" i="7"/>
  <c r="J971" i="7"/>
  <c r="G972" i="7"/>
  <c r="H972" i="7"/>
  <c r="I972" i="7"/>
  <c r="J972" i="7"/>
  <c r="G973" i="7"/>
  <c r="H973" i="7"/>
  <c r="I973" i="7"/>
  <c r="J973" i="7"/>
  <c r="G974" i="7"/>
  <c r="H974" i="7"/>
  <c r="I974" i="7"/>
  <c r="J974" i="7"/>
  <c r="G975" i="7"/>
  <c r="H975" i="7"/>
  <c r="I975" i="7"/>
  <c r="J975" i="7"/>
  <c r="G976" i="7"/>
  <c r="H976" i="7"/>
  <c r="I976" i="7"/>
  <c r="J976" i="7"/>
  <c r="G977" i="7"/>
  <c r="H977" i="7"/>
  <c r="I977" i="7"/>
  <c r="J977" i="7"/>
  <c r="G978" i="7"/>
  <c r="H978" i="7"/>
  <c r="I978" i="7"/>
  <c r="J978" i="7"/>
  <c r="G979" i="7"/>
  <c r="H979" i="7"/>
  <c r="I979" i="7"/>
  <c r="J979" i="7"/>
  <c r="G980" i="7"/>
  <c r="H980" i="7"/>
  <c r="I980" i="7"/>
  <c r="J980" i="7"/>
  <c r="G986" i="7"/>
  <c r="H986" i="7"/>
  <c r="I986" i="7"/>
  <c r="J986" i="7"/>
  <c r="G987" i="7"/>
  <c r="H987" i="7"/>
  <c r="I987" i="7"/>
  <c r="J987" i="7"/>
  <c r="G988" i="7"/>
  <c r="H988" i="7"/>
  <c r="I988" i="7"/>
  <c r="J988" i="7"/>
  <c r="G989" i="7"/>
  <c r="H989" i="7"/>
  <c r="I989" i="7"/>
  <c r="J989" i="7"/>
  <c r="G990" i="7"/>
  <c r="H990" i="7"/>
  <c r="I990" i="7"/>
  <c r="J990" i="7"/>
  <c r="G991" i="7"/>
  <c r="H991" i="7"/>
  <c r="I991" i="7"/>
  <c r="J991" i="7"/>
  <c r="G992" i="7"/>
  <c r="H992" i="7"/>
  <c r="I992" i="7"/>
  <c r="J992" i="7"/>
  <c r="G993" i="7"/>
  <c r="H993" i="7"/>
  <c r="I993" i="7"/>
  <c r="J993" i="7"/>
  <c r="G994" i="7"/>
  <c r="H994" i="7"/>
  <c r="I994" i="7"/>
  <c r="J994" i="7"/>
  <c r="G995" i="7"/>
  <c r="H995" i="7"/>
  <c r="I995" i="7"/>
  <c r="J995" i="7"/>
  <c r="G996" i="7"/>
  <c r="H996" i="7"/>
  <c r="I996" i="7"/>
  <c r="J996" i="7"/>
  <c r="G1002" i="7"/>
  <c r="H1002" i="7"/>
  <c r="I1002" i="7"/>
  <c r="J1002" i="7"/>
  <c r="G1003" i="7"/>
  <c r="H1003" i="7"/>
  <c r="I1003" i="7"/>
  <c r="J1003" i="7"/>
  <c r="G1004" i="7"/>
  <c r="H1004" i="7"/>
  <c r="I1004" i="7"/>
  <c r="J1004" i="7"/>
  <c r="G1005" i="7"/>
  <c r="H1005" i="7"/>
  <c r="I1005" i="7"/>
  <c r="J1005" i="7"/>
  <c r="G1006" i="7"/>
  <c r="H1006" i="7"/>
  <c r="I1006" i="7"/>
  <c r="J1006" i="7"/>
  <c r="G1007" i="7"/>
  <c r="H1007" i="7"/>
  <c r="I1007" i="7"/>
  <c r="J1007" i="7"/>
  <c r="G1008" i="7"/>
  <c r="H1008" i="7"/>
  <c r="I1008" i="7"/>
  <c r="J1008" i="7"/>
  <c r="G1009" i="7"/>
  <c r="H1009" i="7"/>
  <c r="I1009" i="7"/>
  <c r="J1009" i="7"/>
  <c r="G1010" i="7"/>
  <c r="H1010" i="7"/>
  <c r="I1010" i="7"/>
  <c r="J1010" i="7"/>
  <c r="G1011" i="7"/>
  <c r="H1011" i="7"/>
  <c r="I1011" i="7"/>
  <c r="J1011" i="7"/>
  <c r="G1012" i="7"/>
  <c r="H1012" i="7"/>
  <c r="I1012" i="7"/>
  <c r="J1012" i="7"/>
  <c r="G1018" i="7"/>
  <c r="H1018" i="7"/>
  <c r="I1018" i="7"/>
  <c r="J1018" i="7"/>
  <c r="G1019" i="7"/>
  <c r="H1019" i="7"/>
  <c r="I1019" i="7"/>
  <c r="J1019" i="7"/>
  <c r="G1020" i="7"/>
  <c r="H1020" i="7"/>
  <c r="I1020" i="7"/>
  <c r="J1020" i="7"/>
  <c r="G1021" i="7"/>
  <c r="H1021" i="7"/>
  <c r="I1021" i="7"/>
  <c r="J1021" i="7"/>
  <c r="G1022" i="7"/>
  <c r="H1022" i="7"/>
  <c r="I1022" i="7"/>
  <c r="J1022" i="7"/>
  <c r="G1023" i="7"/>
  <c r="H1023" i="7"/>
  <c r="I1023" i="7"/>
  <c r="J1023" i="7"/>
  <c r="G1024" i="7"/>
  <c r="H1024" i="7"/>
  <c r="I1024" i="7"/>
  <c r="J1024" i="7"/>
  <c r="G1025" i="7"/>
  <c r="H1025" i="7"/>
  <c r="I1025" i="7"/>
  <c r="J1025" i="7"/>
  <c r="G1026" i="7"/>
  <c r="H1026" i="7"/>
  <c r="I1026" i="7"/>
  <c r="J1026" i="7"/>
  <c r="G1027" i="7"/>
  <c r="H1027" i="7"/>
  <c r="I1027" i="7"/>
  <c r="J1027" i="7"/>
  <c r="G1028" i="7"/>
  <c r="H1028" i="7"/>
  <c r="I1028" i="7"/>
  <c r="J1028" i="7"/>
  <c r="B6" i="9"/>
  <c r="C6" i="9"/>
  <c r="B7" i="9"/>
  <c r="C7" i="9"/>
  <c r="B8" i="9"/>
  <c r="C8" i="9"/>
  <c r="B9" i="9"/>
  <c r="C9" i="9"/>
  <c r="B10" i="9"/>
  <c r="C10" i="9"/>
  <c r="B11" i="9"/>
  <c r="C11" i="9"/>
  <c r="B12" i="9"/>
  <c r="C12" i="9"/>
  <c r="B13" i="9"/>
  <c r="C13" i="9"/>
  <c r="B14" i="9"/>
  <c r="C14" i="9"/>
  <c r="B15" i="9"/>
  <c r="C15" i="9"/>
  <c r="B16" i="9"/>
  <c r="C16" i="9"/>
  <c r="B17" i="9"/>
  <c r="C17" i="9"/>
  <c r="K20" i="9"/>
  <c r="L20" i="9"/>
  <c r="M20" i="9"/>
  <c r="N20" i="9"/>
  <c r="O20" i="9"/>
  <c r="P20" i="9"/>
  <c r="Q20" i="9"/>
  <c r="R20" i="9"/>
  <c r="U20" i="9"/>
  <c r="V20" i="9"/>
  <c r="W20" i="9"/>
  <c r="X20" i="9"/>
  <c r="Y20" i="9"/>
  <c r="Z20" i="9"/>
  <c r="AA20" i="9"/>
  <c r="AC20" i="9"/>
  <c r="AG20" i="9"/>
  <c r="AH20" i="9"/>
  <c r="AI20" i="9"/>
  <c r="AJ20" i="9"/>
  <c r="AL20" i="9"/>
  <c r="AM20" i="9"/>
  <c r="AN20" i="9"/>
  <c r="AO20" i="9"/>
  <c r="AP20" i="9"/>
  <c r="AQ20" i="9"/>
  <c r="AR20" i="9"/>
  <c r="AS20" i="9"/>
  <c r="AT20" i="9"/>
  <c r="AU20" i="9"/>
  <c r="AV20" i="9"/>
  <c r="AW20" i="9"/>
  <c r="AX20" i="9"/>
  <c r="AY20" i="9"/>
  <c r="AZ20" i="9"/>
  <c r="BA20" i="9"/>
  <c r="BB20" i="9"/>
  <c r="BC20" i="9"/>
  <c r="BD20" i="9"/>
  <c r="BE20" i="9"/>
  <c r="BF20" i="9"/>
  <c r="BG20" i="9"/>
  <c r="B21" i="9"/>
  <c r="C21" i="9"/>
  <c r="B22" i="9"/>
  <c r="C22" i="9"/>
  <c r="B23" i="9"/>
  <c r="C23" i="9"/>
  <c r="B24" i="9"/>
  <c r="C24" i="9"/>
  <c r="B25" i="9"/>
  <c r="C25" i="9"/>
  <c r="B26" i="9"/>
  <c r="C26" i="9"/>
  <c r="B27" i="9"/>
  <c r="C27" i="9"/>
  <c r="B28" i="9"/>
  <c r="C28" i="9"/>
  <c r="B29" i="9"/>
  <c r="C29" i="9"/>
  <c r="B30" i="9"/>
  <c r="C30" i="9"/>
  <c r="B31" i="9"/>
  <c r="C31" i="9"/>
  <c r="B32" i="9"/>
  <c r="C32" i="9"/>
  <c r="A33" i="9"/>
  <c r="K35" i="9"/>
  <c r="L35" i="9"/>
  <c r="M35" i="9"/>
  <c r="N35" i="9"/>
  <c r="O35" i="9"/>
  <c r="P35" i="9"/>
  <c r="Q35" i="9"/>
  <c r="R35" i="9"/>
  <c r="U35" i="9"/>
  <c r="V35" i="9"/>
  <c r="X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36" i="9"/>
  <c r="C36" i="9"/>
  <c r="B37" i="9"/>
  <c r="C37" i="9"/>
  <c r="B38" i="9"/>
  <c r="C38" i="9"/>
  <c r="B39" i="9"/>
  <c r="C39" i="9"/>
  <c r="B40" i="9"/>
  <c r="C40" i="9"/>
  <c r="B41" i="9"/>
  <c r="C41" i="9"/>
  <c r="B42" i="9"/>
  <c r="C42" i="9"/>
  <c r="B43" i="9"/>
  <c r="C43" i="9"/>
  <c r="B44" i="9"/>
  <c r="C44" i="9"/>
  <c r="B45" i="9"/>
  <c r="C45" i="9"/>
  <c r="B46" i="9"/>
  <c r="C46" i="9"/>
  <c r="B47" i="9"/>
  <c r="C47" i="9"/>
  <c r="BD47" i="9"/>
  <c r="A48" i="9"/>
  <c r="CB19" i="6"/>
  <c r="CC19" i="6"/>
  <c r="CD19" i="6"/>
  <c r="CE19" i="6" s="1"/>
  <c r="CF19" i="6"/>
  <c r="CG19" i="6" s="1"/>
  <c r="CH19" i="6"/>
  <c r="CI19" i="6"/>
  <c r="CJ19" i="6"/>
  <c r="CK19" i="6"/>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A2" i="1"/>
  <c r="A25" i="1"/>
  <c r="A26" i="1"/>
  <c r="A27" i="1"/>
  <c r="A28" i="1"/>
  <c r="D28" i="1"/>
  <c r="E28" i="1"/>
  <c r="A29" i="1"/>
  <c r="D29" i="1"/>
  <c r="A30" i="1"/>
  <c r="D30" i="1"/>
  <c r="A31" i="1"/>
  <c r="D31" i="1"/>
  <c r="E31" i="1"/>
  <c r="A32" i="1"/>
  <c r="D32" i="1"/>
  <c r="E32" i="1"/>
  <c r="C57" i="1"/>
  <c r="E57" i="1"/>
  <c r="G57" i="1"/>
  <c r="I57" i="1" s="1"/>
  <c r="K57" i="1"/>
  <c r="M57" i="1"/>
  <c r="C58" i="1"/>
  <c r="E58" i="1" s="1"/>
  <c r="G58" i="1"/>
  <c r="I58" i="1" s="1"/>
  <c r="K58" i="1"/>
  <c r="M58" i="1"/>
  <c r="C59" i="1"/>
  <c r="E59" i="1"/>
  <c r="G59" i="1"/>
  <c r="I59" i="1"/>
  <c r="K59" i="1"/>
  <c r="M59" i="1"/>
  <c r="C60" i="1"/>
  <c r="E60" i="1"/>
  <c r="G60" i="1"/>
  <c r="I60" i="1"/>
  <c r="K60" i="1"/>
  <c r="M60" i="1"/>
  <c r="C61" i="1"/>
  <c r="E61" i="1" s="1"/>
  <c r="G61" i="1"/>
  <c r="I61" i="1"/>
  <c r="K61" i="1"/>
  <c r="M61" i="1" s="1"/>
  <c r="C62" i="1"/>
  <c r="E62" i="1" s="1"/>
  <c r="G62" i="1"/>
  <c r="I62" i="1"/>
  <c r="K62" i="1"/>
  <c r="M62" i="1"/>
  <c r="C63" i="1"/>
  <c r="E63" i="1"/>
  <c r="G63" i="1"/>
  <c r="I63" i="1"/>
  <c r="K63" i="1"/>
  <c r="M63" i="1"/>
  <c r="C64" i="1"/>
  <c r="E64" i="1"/>
  <c r="G64" i="1"/>
  <c r="I64" i="1"/>
  <c r="K64" i="1"/>
  <c r="M64" i="1" s="1"/>
  <c r="C65" i="1"/>
  <c r="E65" i="1"/>
  <c r="G65" i="1"/>
  <c r="I65" i="1" s="1"/>
  <c r="K65" i="1"/>
  <c r="M65" i="1" s="1"/>
  <c r="C66" i="1"/>
  <c r="E66" i="1"/>
  <c r="G66" i="1"/>
  <c r="I66" i="1"/>
  <c r="K66" i="1"/>
  <c r="M66" i="1"/>
  <c r="C67" i="1"/>
  <c r="E67" i="1"/>
  <c r="G67" i="1"/>
  <c r="I67" i="1"/>
  <c r="K67" i="1"/>
  <c r="M67" i="1"/>
  <c r="C68" i="1"/>
  <c r="E68" i="1"/>
  <c r="G68" i="1"/>
  <c r="I68" i="1" s="1"/>
  <c r="K68" i="1"/>
  <c r="M68" i="1"/>
  <c r="B76" i="1"/>
  <c r="J81" i="1"/>
  <c r="H82" i="1"/>
  <c r="J82" i="1"/>
  <c r="J83" i="1"/>
  <c r="J84" i="1"/>
  <c r="J85" i="1"/>
  <c r="I86" i="1"/>
  <c r="J86" i="1"/>
  <c r="I87" i="1"/>
  <c r="J87" i="1"/>
  <c r="B88" i="1"/>
  <c r="B89" i="1" s="1"/>
  <c r="C88" i="1"/>
  <c r="C89" i="1" s="1"/>
  <c r="D88" i="1"/>
  <c r="D89" i="1" s="1"/>
  <c r="E88" i="1"/>
  <c r="E89" i="1" s="1"/>
  <c r="F88" i="1"/>
  <c r="F89" i="1" s="1"/>
  <c r="G88" i="1"/>
  <c r="G89" i="1" s="1"/>
  <c r="J88" i="1"/>
  <c r="J89" i="1"/>
  <c r="A94" i="1"/>
  <c r="A95" i="1"/>
  <c r="A96" i="1"/>
  <c r="C97" i="1"/>
  <c r="H97" i="1"/>
  <c r="A98" i="1"/>
  <c r="C98" i="1"/>
  <c r="D98" i="1"/>
  <c r="E98" i="1"/>
  <c r="F98" i="1"/>
  <c r="H98" i="1"/>
  <c r="I98" i="1"/>
  <c r="J98" i="1"/>
  <c r="K98" i="1"/>
  <c r="A99" i="1"/>
  <c r="C99" i="1"/>
  <c r="D99" i="1"/>
  <c r="E99" i="1"/>
  <c r="F99" i="1"/>
  <c r="I99" i="1"/>
  <c r="K99" i="1"/>
  <c r="A100" i="1"/>
  <c r="C100" i="1"/>
  <c r="D100" i="1"/>
  <c r="E100" i="1"/>
  <c r="F100" i="1"/>
  <c r="J100" i="1"/>
  <c r="K100" i="1"/>
  <c r="A101" i="1"/>
  <c r="C101" i="1"/>
  <c r="D101" i="1"/>
  <c r="E101" i="1"/>
  <c r="F101" i="1"/>
  <c r="A102" i="1"/>
  <c r="C102" i="1"/>
  <c r="D102" i="1"/>
  <c r="E102" i="1"/>
  <c r="F102" i="1"/>
  <c r="J102" i="1"/>
  <c r="A103" i="1"/>
  <c r="C103" i="1"/>
  <c r="D103" i="1"/>
  <c r="E103" i="1"/>
  <c r="F103" i="1"/>
  <c r="H103" i="1"/>
  <c r="J103" i="1"/>
  <c r="A104" i="1"/>
  <c r="C104" i="1"/>
  <c r="D104" i="1"/>
  <c r="E104" i="1"/>
  <c r="F104" i="1"/>
  <c r="H104" i="1"/>
  <c r="J104" i="1"/>
  <c r="K104" i="1"/>
  <c r="A105" i="1"/>
  <c r="C105" i="1"/>
  <c r="D105" i="1"/>
  <c r="E105" i="1"/>
  <c r="F105" i="1"/>
  <c r="H105" i="1"/>
  <c r="I105" i="1"/>
  <c r="K105" i="1"/>
  <c r="A106" i="1"/>
  <c r="C106" i="1"/>
  <c r="D106" i="1"/>
  <c r="E106" i="1"/>
  <c r="F106" i="1"/>
  <c r="A107" i="1"/>
  <c r="C107" i="1"/>
  <c r="D107" i="1"/>
  <c r="E107" i="1"/>
  <c r="F107" i="1"/>
  <c r="I107" i="1"/>
  <c r="J107" i="1"/>
  <c r="A108" i="1"/>
  <c r="C108" i="1"/>
  <c r="D108" i="1"/>
  <c r="E108" i="1"/>
  <c r="F108" i="1"/>
  <c r="I108" i="1"/>
  <c r="J108" i="1"/>
  <c r="A109" i="1"/>
  <c r="C109" i="1"/>
  <c r="D109" i="1"/>
  <c r="E109" i="1"/>
  <c r="F109" i="1"/>
  <c r="H109" i="1"/>
  <c r="J109" i="1"/>
  <c r="A110" i="1"/>
  <c r="C110" i="1"/>
  <c r="D110" i="1"/>
  <c r="E110" i="1"/>
  <c r="F110" i="1"/>
  <c r="I110" i="1"/>
  <c r="J110" i="1"/>
  <c r="K110" i="1"/>
  <c r="C123" i="1"/>
  <c r="I123" i="1" s="1"/>
  <c r="C124" i="1"/>
  <c r="I124" i="1" s="1"/>
  <c r="C125" i="1"/>
  <c r="C126" i="1"/>
  <c r="J123" i="1"/>
  <c r="C127" i="1"/>
  <c r="J124" i="1"/>
  <c r="C128" i="1"/>
  <c r="I128" i="1" s="1"/>
  <c r="I125" i="1"/>
  <c r="F125" i="1"/>
  <c r="J125" i="1"/>
  <c r="G125" i="1"/>
  <c r="C129" i="1"/>
  <c r="I129" i="1" s="1"/>
  <c r="F130" i="1" s="1"/>
  <c r="J126" i="1"/>
  <c r="J127" i="1"/>
  <c r="J128" i="1"/>
  <c r="J129" i="1"/>
  <c r="G130" i="1"/>
  <c r="I132" i="1"/>
  <c r="F132" i="1" s="1"/>
  <c r="J132" i="1"/>
  <c r="G132" i="1" s="1"/>
  <c r="I133" i="1"/>
  <c r="F133" i="1" s="1"/>
  <c r="J133" i="1"/>
  <c r="G133" i="1" s="1"/>
  <c r="I134" i="1"/>
  <c r="F134" i="1" s="1"/>
  <c r="J134" i="1"/>
  <c r="G134" i="1" s="1"/>
  <c r="I135" i="1"/>
  <c r="F135" i="1"/>
  <c r="J135" i="1"/>
  <c r="G135" i="1"/>
  <c r="I136" i="1"/>
  <c r="F136" i="1"/>
  <c r="J136" i="1"/>
  <c r="G136" i="1"/>
  <c r="I137" i="1"/>
  <c r="F137" i="1"/>
  <c r="J137" i="1"/>
  <c r="G137" i="1" s="1"/>
  <c r="I138" i="1"/>
  <c r="F138" i="1" s="1"/>
  <c r="J138" i="1"/>
  <c r="G138" i="1" s="1"/>
  <c r="I139" i="1"/>
  <c r="F139" i="1" s="1"/>
  <c r="J139" i="1"/>
  <c r="G139" i="1" s="1"/>
  <c r="I140" i="1"/>
  <c r="F140" i="1" s="1"/>
  <c r="J140" i="1"/>
  <c r="G140" i="1"/>
  <c r="I141" i="1"/>
  <c r="F141" i="1"/>
  <c r="J141" i="1"/>
  <c r="G141" i="1"/>
  <c r="I142" i="1"/>
  <c r="F142" i="1"/>
  <c r="J142" i="1"/>
  <c r="G142" i="1"/>
  <c r="I143" i="1"/>
  <c r="F143" i="1" s="1"/>
  <c r="J143" i="1"/>
  <c r="G143" i="1" s="1"/>
  <c r="I144" i="1"/>
  <c r="F144" i="1" s="1"/>
  <c r="J144" i="1"/>
  <c r="G144" i="1" s="1"/>
  <c r="I145" i="1"/>
  <c r="F145" i="1" s="1"/>
  <c r="J145" i="1"/>
  <c r="G145" i="1" s="1"/>
  <c r="I146" i="1"/>
  <c r="F146" i="1"/>
  <c r="J146" i="1"/>
  <c r="G146" i="1"/>
  <c r="I147" i="1"/>
  <c r="F147" i="1"/>
  <c r="J147" i="1"/>
  <c r="G147" i="1"/>
  <c r="I148" i="1"/>
  <c r="F148" i="1"/>
  <c r="J148" i="1"/>
  <c r="G148" i="1" s="1"/>
  <c r="I149" i="1"/>
  <c r="F149" i="1" s="1"/>
  <c r="J149" i="1"/>
  <c r="G149" i="1" s="1"/>
  <c r="I150" i="1"/>
  <c r="F150" i="1" s="1"/>
  <c r="J150" i="1"/>
  <c r="G150" i="1" s="1"/>
  <c r="I151" i="1"/>
  <c r="F151" i="1" s="1"/>
  <c r="J151" i="1"/>
  <c r="G151" i="1"/>
  <c r="I152" i="1"/>
  <c r="F152" i="1"/>
  <c r="J152" i="1"/>
  <c r="G152" i="1"/>
  <c r="I153" i="1"/>
  <c r="F153" i="1"/>
  <c r="J153" i="1"/>
  <c r="G153" i="1"/>
  <c r="I154" i="1"/>
  <c r="F154" i="1" s="1"/>
  <c r="J154" i="1"/>
  <c r="G154" i="1" s="1"/>
  <c r="I155" i="1"/>
  <c r="F155" i="1" s="1"/>
  <c r="J155" i="1"/>
  <c r="G155" i="1" s="1"/>
  <c r="I156" i="1"/>
  <c r="F156" i="1" s="1"/>
  <c r="J156" i="1"/>
  <c r="G156" i="1" s="1"/>
  <c r="I157" i="1"/>
  <c r="F157" i="1"/>
  <c r="J157" i="1"/>
  <c r="G157" i="1"/>
  <c r="I158" i="1"/>
  <c r="F158" i="1"/>
  <c r="J158" i="1"/>
  <c r="G158" i="1"/>
  <c r="I159" i="1"/>
  <c r="F159" i="1"/>
  <c r="J159" i="1"/>
  <c r="G159" i="1" s="1"/>
  <c r="I160" i="1"/>
  <c r="F160" i="1" s="1"/>
  <c r="J160" i="1"/>
  <c r="G160" i="1" s="1"/>
  <c r="I161" i="1"/>
  <c r="F161" i="1" s="1"/>
  <c r="J161" i="1"/>
  <c r="G161" i="1" s="1"/>
  <c r="I162" i="1"/>
  <c r="F162" i="1" s="1"/>
  <c r="J162" i="1"/>
  <c r="G162" i="1"/>
  <c r="I163" i="1"/>
  <c r="F163" i="1"/>
  <c r="J163" i="1"/>
  <c r="G163" i="1"/>
  <c r="I164" i="1"/>
  <c r="F164" i="1"/>
  <c r="J164" i="1"/>
  <c r="G164" i="1"/>
  <c r="I165" i="1"/>
  <c r="F165" i="1" s="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I189" i="1"/>
  <c r="F189" i="1"/>
  <c r="J189" i="1"/>
  <c r="G189" i="1" s="1"/>
  <c r="I190" i="1"/>
  <c r="F190" i="1" s="1"/>
  <c r="J190" i="1"/>
  <c r="G190" i="1"/>
  <c r="I191" i="1"/>
  <c r="F191" i="1"/>
  <c r="J191" i="1"/>
  <c r="G191" i="1"/>
  <c r="I192" i="1"/>
  <c r="F192" i="1"/>
  <c r="J192" i="1"/>
  <c r="G192" i="1"/>
  <c r="I193" i="1"/>
  <c r="F193" i="1"/>
  <c r="J193" i="1"/>
  <c r="G193" i="1"/>
  <c r="I194" i="1"/>
  <c r="F194" i="1" s="1"/>
  <c r="J194" i="1"/>
  <c r="G194" i="1"/>
  <c r="I195" i="1"/>
  <c r="F195" i="1" s="1"/>
  <c r="J195" i="1"/>
  <c r="G195" i="1" s="1"/>
  <c r="I196" i="1"/>
  <c r="F196" i="1"/>
  <c r="J196" i="1"/>
  <c r="G196" i="1"/>
  <c r="I197" i="1"/>
  <c r="F197" i="1"/>
  <c r="J197" i="1"/>
  <c r="G197" i="1"/>
  <c r="I198" i="1"/>
  <c r="F198" i="1"/>
  <c r="J198" i="1"/>
  <c r="G198" i="1"/>
  <c r="I199" i="1"/>
  <c r="F199" i="1"/>
  <c r="J199" i="1"/>
  <c r="G199" i="1" s="1"/>
  <c r="I200" i="1"/>
  <c r="F200" i="1"/>
  <c r="J200" i="1"/>
  <c r="G200" i="1" s="1"/>
  <c r="I201" i="1"/>
  <c r="F201" i="1" s="1"/>
  <c r="J201" i="1"/>
  <c r="G201" i="1"/>
  <c r="I202" i="1"/>
  <c r="F202" i="1"/>
  <c r="J202" i="1"/>
  <c r="G202" i="1"/>
  <c r="I203" i="1"/>
  <c r="F203" i="1"/>
  <c r="J203" i="1"/>
  <c r="G203" i="1"/>
  <c r="I204" i="1"/>
  <c r="F204" i="1"/>
  <c r="J204" i="1"/>
  <c r="G204" i="1"/>
  <c r="I205" i="1"/>
  <c r="F205" i="1" s="1"/>
  <c r="J205" i="1"/>
  <c r="G205" i="1"/>
  <c r="I206" i="1"/>
  <c r="F206" i="1" s="1"/>
  <c r="J206" i="1"/>
  <c r="G206" i="1" s="1"/>
  <c r="I207" i="1"/>
  <c r="F207" i="1"/>
  <c r="J207" i="1"/>
  <c r="G207" i="1"/>
  <c r="I208" i="1"/>
  <c r="F208" i="1"/>
  <c r="J208" i="1"/>
  <c r="G208" i="1"/>
  <c r="I209" i="1"/>
  <c r="F209" i="1"/>
  <c r="J209" i="1"/>
  <c r="G209" i="1"/>
  <c r="I210" i="1"/>
  <c r="F210" i="1"/>
  <c r="J210" i="1"/>
  <c r="G210" i="1" s="1"/>
  <c r="I211" i="1"/>
  <c r="F211" i="1"/>
  <c r="J211" i="1"/>
  <c r="G211" i="1" s="1"/>
  <c r="I212" i="1"/>
  <c r="F212" i="1" s="1"/>
  <c r="J212" i="1"/>
  <c r="G212" i="1"/>
  <c r="I213" i="1"/>
  <c r="F213" i="1"/>
  <c r="J213" i="1"/>
  <c r="G213" i="1"/>
  <c r="I214" i="1"/>
  <c r="F214" i="1"/>
  <c r="J214" i="1"/>
  <c r="G214" i="1"/>
  <c r="I215" i="1"/>
  <c r="F215" i="1"/>
  <c r="J215" i="1"/>
  <c r="G215" i="1"/>
  <c r="I216" i="1"/>
  <c r="F216" i="1" s="1"/>
  <c r="J216" i="1"/>
  <c r="G216" i="1"/>
  <c r="I217" i="1"/>
  <c r="F217" i="1" s="1"/>
  <c r="J217" i="1"/>
  <c r="G217" i="1" s="1"/>
  <c r="I218" i="1"/>
  <c r="F218" i="1"/>
  <c r="J218" i="1"/>
  <c r="G218" i="1"/>
  <c r="I219" i="1"/>
  <c r="F219" i="1"/>
  <c r="J219" i="1"/>
  <c r="G219" i="1"/>
  <c r="I220" i="1"/>
  <c r="F220" i="1"/>
  <c r="J220" i="1"/>
  <c r="G220" i="1"/>
  <c r="I221" i="1"/>
  <c r="F221" i="1"/>
  <c r="J221" i="1"/>
  <c r="G221" i="1" s="1"/>
  <c r="I222" i="1"/>
  <c r="F222" i="1"/>
  <c r="J222" i="1"/>
  <c r="G222" i="1" s="1"/>
  <c r="I223" i="1"/>
  <c r="F223" i="1" s="1"/>
  <c r="J223" i="1"/>
  <c r="G223" i="1"/>
  <c r="I224" i="1"/>
  <c r="F224" i="1"/>
  <c r="J224" i="1"/>
  <c r="G224" i="1"/>
  <c r="I225" i="1"/>
  <c r="F225" i="1"/>
  <c r="J225" i="1"/>
  <c r="G225" i="1"/>
  <c r="I226" i="1"/>
  <c r="F226" i="1"/>
  <c r="J226" i="1"/>
  <c r="G226" i="1"/>
  <c r="I227" i="1"/>
  <c r="F227" i="1" s="1"/>
  <c r="J227" i="1"/>
  <c r="G227" i="1"/>
  <c r="I228" i="1"/>
  <c r="F228" i="1" s="1"/>
  <c r="J228" i="1"/>
  <c r="G228" i="1" s="1"/>
  <c r="I229" i="1"/>
  <c r="F229" i="1"/>
  <c r="J229" i="1"/>
  <c r="G229" i="1"/>
  <c r="I230" i="1"/>
  <c r="F230" i="1"/>
  <c r="J230" i="1"/>
  <c r="G230" i="1"/>
  <c r="I231" i="1"/>
  <c r="F231" i="1"/>
  <c r="J231" i="1"/>
  <c r="G231" i="1"/>
  <c r="I232" i="1"/>
  <c r="F232" i="1"/>
  <c r="J232" i="1"/>
  <c r="G232" i="1" s="1"/>
  <c r="I233" i="1"/>
  <c r="F233" i="1"/>
  <c r="J233" i="1"/>
  <c r="G233" i="1" s="1"/>
  <c r="I234" i="1"/>
  <c r="F234" i="1" s="1"/>
  <c r="J234" i="1"/>
  <c r="G234" i="1"/>
  <c r="I235" i="1"/>
  <c r="F235" i="1"/>
  <c r="J235" i="1"/>
  <c r="G235" i="1"/>
  <c r="I236" i="1"/>
  <c r="F236" i="1"/>
  <c r="J236" i="1"/>
  <c r="G236" i="1"/>
  <c r="I237" i="1"/>
  <c r="F237" i="1"/>
  <c r="J237" i="1"/>
  <c r="G237" i="1"/>
  <c r="I238" i="1"/>
  <c r="F238" i="1" s="1"/>
  <c r="J238" i="1"/>
  <c r="G238" i="1"/>
  <c r="I239" i="1"/>
  <c r="F239" i="1" s="1"/>
  <c r="J239" i="1"/>
  <c r="G239" i="1" s="1"/>
  <c r="I240" i="1"/>
  <c r="F240" i="1"/>
  <c r="J240" i="1"/>
  <c r="G240" i="1"/>
  <c r="I241" i="1"/>
  <c r="F241" i="1"/>
  <c r="J241" i="1"/>
  <c r="G241" i="1"/>
  <c r="I242" i="1"/>
  <c r="F242" i="1"/>
  <c r="J242" i="1"/>
  <c r="G242" i="1"/>
  <c r="I243" i="1"/>
  <c r="F243" i="1"/>
  <c r="J243" i="1"/>
  <c r="G243" i="1" s="1"/>
  <c r="I244" i="1"/>
  <c r="F244" i="1"/>
  <c r="J244" i="1"/>
  <c r="G244" i="1" s="1"/>
  <c r="I245" i="1"/>
  <c r="F245" i="1" s="1"/>
  <c r="J245" i="1"/>
  <c r="G245" i="1"/>
  <c r="I246" i="1"/>
  <c r="F246" i="1"/>
  <c r="J246" i="1"/>
  <c r="G246" i="1"/>
  <c r="I247" i="1"/>
  <c r="F247" i="1"/>
  <c r="J247" i="1"/>
  <c r="G247" i="1"/>
  <c r="I248" i="1"/>
  <c r="F248" i="1"/>
  <c r="J248" i="1"/>
  <c r="G248" i="1"/>
  <c r="I249" i="1"/>
  <c r="F249" i="1" s="1"/>
  <c r="J249" i="1"/>
  <c r="G249" i="1"/>
  <c r="I250" i="1"/>
  <c r="F250" i="1" s="1"/>
  <c r="J250" i="1"/>
  <c r="G250" i="1" s="1"/>
  <c r="I251" i="1"/>
  <c r="F251" i="1"/>
  <c r="J251" i="1"/>
  <c r="G251" i="1"/>
  <c r="I252" i="1"/>
  <c r="F252" i="1"/>
  <c r="J252" i="1"/>
  <c r="G252" i="1"/>
  <c r="I253" i="1"/>
  <c r="F253" i="1"/>
  <c r="J253" i="1"/>
  <c r="G253" i="1"/>
  <c r="I254" i="1"/>
  <c r="F254" i="1"/>
  <c r="J254" i="1"/>
  <c r="G254" i="1" s="1"/>
  <c r="I255" i="1"/>
  <c r="F255" i="1"/>
  <c r="J255" i="1"/>
  <c r="G255" i="1" s="1"/>
  <c r="I256" i="1"/>
  <c r="F256" i="1" s="1"/>
  <c r="J256" i="1"/>
  <c r="G256" i="1"/>
  <c r="I257" i="1"/>
  <c r="F257" i="1"/>
  <c r="J257" i="1"/>
  <c r="G257" i="1"/>
  <c r="I258" i="1"/>
  <c r="F258" i="1"/>
  <c r="J258" i="1"/>
  <c r="G258" i="1"/>
  <c r="I259" i="1"/>
  <c r="F259" i="1"/>
  <c r="J259" i="1"/>
  <c r="G259" i="1"/>
  <c r="I260" i="1"/>
  <c r="F260" i="1" s="1"/>
  <c r="J260" i="1"/>
  <c r="G260" i="1"/>
  <c r="I261" i="1"/>
  <c r="F261" i="1" s="1"/>
  <c r="J261" i="1"/>
  <c r="G261" i="1" s="1"/>
  <c r="I262" i="1"/>
  <c r="F262" i="1"/>
  <c r="J262" i="1"/>
  <c r="G262" i="1"/>
  <c r="I263" i="1"/>
  <c r="F263" i="1"/>
  <c r="J263" i="1"/>
  <c r="G263" i="1"/>
  <c r="I264" i="1"/>
  <c r="F264" i="1"/>
  <c r="J264" i="1"/>
  <c r="G264" i="1"/>
  <c r="I265" i="1"/>
  <c r="F265" i="1"/>
  <c r="J265" i="1"/>
  <c r="G265" i="1" s="1"/>
  <c r="I266" i="1"/>
  <c r="F266" i="1"/>
  <c r="J266" i="1"/>
  <c r="G266" i="1" s="1"/>
  <c r="I267" i="1"/>
  <c r="F267" i="1" s="1"/>
  <c r="J267" i="1"/>
  <c r="G267" i="1"/>
  <c r="I268" i="1"/>
  <c r="F268" i="1"/>
  <c r="J268" i="1"/>
  <c r="G268" i="1"/>
  <c r="I269" i="1"/>
  <c r="F269" i="1"/>
  <c r="J269" i="1"/>
  <c r="G269" i="1"/>
  <c r="I270" i="1"/>
  <c r="F270" i="1"/>
  <c r="J270" i="1"/>
  <c r="G270" i="1"/>
  <c r="I271" i="1"/>
  <c r="F271" i="1" s="1"/>
  <c r="J271" i="1"/>
  <c r="G271" i="1"/>
  <c r="I272" i="1"/>
  <c r="F272" i="1" s="1"/>
  <c r="J272" i="1"/>
  <c r="G272" i="1" s="1"/>
  <c r="I273" i="1"/>
  <c r="F273" i="1"/>
  <c r="J273" i="1"/>
  <c r="G273" i="1"/>
  <c r="I274" i="1"/>
  <c r="F274" i="1"/>
  <c r="J274" i="1"/>
  <c r="G274" i="1"/>
  <c r="I275" i="1"/>
  <c r="F275" i="1"/>
  <c r="J275" i="1"/>
  <c r="G275" i="1"/>
  <c r="I276" i="1"/>
  <c r="F276" i="1"/>
  <c r="J276" i="1"/>
  <c r="G276" i="1" s="1"/>
  <c r="I277" i="1"/>
  <c r="F277" i="1"/>
  <c r="J277" i="1"/>
  <c r="G277" i="1" s="1"/>
  <c r="H110" i="1" l="1"/>
  <c r="I127" i="1"/>
  <c r="F127" i="1" s="1"/>
  <c r="G126" i="1"/>
  <c r="G129" i="1"/>
  <c r="I126" i="1"/>
  <c r="F126" i="1" s="1"/>
  <c r="I88" i="1"/>
  <c r="I89" i="1" s="1"/>
  <c r="H88" i="1"/>
  <c r="H89" i="1" s="1"/>
  <c r="G128" i="1"/>
  <c r="G123" i="1"/>
  <c r="F128" i="1"/>
  <c r="F123" i="1"/>
  <c r="G127" i="1"/>
  <c r="F129" i="1"/>
  <c r="G124" i="1"/>
  <c r="F124" i="1"/>
</calcChain>
</file>

<file path=xl/sharedStrings.xml><?xml version="1.0" encoding="utf-8"?>
<sst xmlns="http://schemas.openxmlformats.org/spreadsheetml/2006/main" count="3991" uniqueCount="1405">
  <si>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</si>
  <si>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</si>
  <si>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</si>
  <si>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</si>
  <si>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</si>
  <si>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</si>
  <si>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</si>
  <si>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</si>
  <si>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</si>
  <si>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</si>
  <si>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</si>
  <si>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</si>
  <si>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</si>
  <si>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</si>
  <si>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</si>
  <si>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</si>
  <si>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</si>
  <si>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</si>
  <si>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</si>
  <si>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</si>
  <si>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</si>
  <si>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</si>
  <si>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</si>
  <si>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</si>
  <si>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</si>
  <si>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</si>
  <si>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</si>
  <si>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</si>
  <si>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</si>
  <si>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</si>
  <si>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</si>
  <si>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</si>
  <si>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</si>
  <si>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</si>
  <si>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</si>
  <si>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</si>
  <si>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</si>
  <si>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</si>
  <si>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</si>
  <si>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</si>
  <si>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</si>
  <si>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</si>
  <si>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</si>
  <si>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</si>
  <si>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</si>
  <si>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</si>
  <si>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</si>
  <si>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</si>
  <si>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</si>
  <si>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</si>
  <si>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</si>
  <si>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</si>
  <si>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</si>
  <si>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</si>
  <si>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</si>
  <si>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</si>
  <si>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</si>
  <si>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</si>
  <si>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</si>
  <si>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</si>
  <si>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</si>
  <si>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</si>
  <si>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</si>
  <si>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</si>
  <si>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</si>
  <si>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</si>
  <si>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</si>
  <si>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</si>
  <si>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</si>
  <si>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</si>
  <si>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</si>
  <si>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</si>
  <si>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</si>
  <si>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</si>
  <si>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</si>
  <si>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</si>
  <si>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</si>
  <si>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</si>
  <si>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</si>
  <si>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</si>
  <si>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</si>
  <si>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</si>
  <si>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</si>
  <si>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</si>
  <si>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</si>
  <si>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</si>
  <si>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</si>
  <si>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</si>
  <si>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</si>
  <si>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</si>
  <si>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</si>
  <si>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</si>
  <si>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</si>
  <si>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</si>
  <si>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</si>
  <si>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</si>
  <si>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</si>
  <si>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</si>
  <si>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</si>
  <si>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</si>
  <si>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</si>
  <si>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</si>
  <si>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</si>
  <si>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</si>
  <si>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</si>
  <si>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</si>
  <si>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</si>
  <si>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</si>
  <si>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</si>
  <si>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</si>
  <si>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</si>
  <si>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</si>
  <si>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</si>
  <si>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</si>
  <si>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</si>
  <si>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</si>
  <si>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</si>
  <si>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</si>
  <si>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</si>
  <si>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</si>
  <si>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</si>
  <si>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</si>
  <si>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</si>
  <si>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</si>
  <si>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</si>
  <si>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</si>
  <si>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</si>
  <si>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</si>
  <si>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</si>
  <si>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</si>
  <si>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</si>
  <si>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</si>
  <si>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</si>
  <si>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</si>
  <si>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</si>
  <si>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</si>
  <si>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</si>
  <si>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</si>
  <si>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</si>
  <si>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</si>
  <si>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</si>
  <si>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</si>
  <si>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</si>
  <si>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</si>
  <si>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</si>
  <si>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</si>
  <si>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</si>
  <si>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</si>
  <si>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</si>
  <si>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</si>
  <si>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</si>
  <si>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</si>
  <si>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</si>
  <si>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</si>
  <si>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</si>
  <si>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</si>
  <si>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</si>
  <si>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</si>
  <si>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</si>
  <si>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</si>
  <si>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</si>
  <si>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</si>
  <si>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</si>
  <si>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</si>
  <si>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</si>
  <si>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</si>
  <si>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</si>
  <si>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</si>
  <si>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</si>
  <si>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</si>
  <si>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</si>
  <si>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</si>
  <si>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</si>
  <si>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</si>
  <si>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</si>
  <si>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</si>
  <si>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</si>
  <si>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</si>
  <si>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</si>
  <si>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</si>
  <si>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</si>
  <si>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</si>
  <si>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</si>
  <si>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</si>
  <si>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</si>
  <si>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</si>
  <si>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</si>
  <si>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</si>
  <si>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</si>
  <si>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</si>
  <si>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</si>
  <si>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</si>
  <si>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</si>
  <si>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</si>
  <si>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</si>
  <si>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</si>
  <si>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</si>
  <si>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</si>
  <si>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</si>
  <si>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</si>
  <si>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</si>
  <si>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</si>
  <si>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</si>
  <si>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</si>
  <si>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</si>
  <si>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</si>
  <si>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</si>
  <si>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</si>
  <si>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</si>
  <si>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</si>
  <si>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</si>
  <si>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</si>
  <si>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</si>
  <si>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</si>
  <si>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</si>
  <si>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</si>
  <si>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</si>
  <si>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</si>
  <si>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</si>
  <si>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</si>
  <si>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</si>
  <si>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</si>
  <si>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</si>
  <si>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</si>
  <si>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</si>
  <si>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</si>
  <si>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</si>
  <si>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</si>
  <si>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</si>
  <si>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</si>
  <si>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</si>
  <si>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</si>
  <si>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</si>
  <si>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</si>
  <si>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</si>
  <si>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</si>
  <si>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</si>
  <si>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</si>
  <si>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</si>
  <si>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</si>
  <si>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</si>
  <si>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</si>
  <si>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</si>
  <si>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</si>
  <si>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</si>
  <si>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</si>
  <si>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</si>
  <si>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</si>
  <si>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</si>
  <si>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</si>
  <si>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</si>
  <si>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</si>
  <si>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</si>
  <si>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</si>
  <si>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</si>
  <si>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</si>
  <si>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</si>
  <si>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</si>
  <si>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</si>
  <si>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</si>
  <si>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</si>
  <si>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</si>
  <si>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</si>
  <si>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</si>
  <si>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</si>
  <si>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</si>
  <si>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</si>
  <si>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</si>
  <si>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</si>
  <si>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</si>
  <si>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</si>
  <si>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</si>
  <si>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</si>
  <si>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</si>
  <si>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</si>
  <si>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</si>
  <si>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</si>
  <si>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</si>
  <si>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</si>
  <si>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</si>
  <si>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</si>
  <si>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</si>
  <si>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</si>
  <si>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</si>
  <si>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</si>
  <si>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</si>
  <si>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</si>
  <si>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</si>
  <si>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</si>
  <si>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</si>
  <si>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</si>
  <si>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</si>
  <si>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</si>
  <si>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</si>
  <si>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</si>
  <si>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</si>
  <si>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</si>
  <si>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</si>
  <si>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</si>
  <si>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</si>
  <si>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</si>
  <si>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</si>
  <si>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</si>
  <si>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</si>
  <si>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</si>
  <si>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</si>
  <si>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</si>
  <si>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</si>
  <si>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</si>
  <si>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</si>
  <si>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</si>
  <si>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</si>
  <si>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</si>
  <si>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</si>
  <si>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</si>
  <si>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</si>
  <si>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</si>
  <si>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</si>
  <si>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</si>
  <si>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</si>
  <si>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</si>
  <si>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</si>
  <si>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</si>
  <si>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</si>
  <si>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</si>
  <si>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</si>
  <si>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</si>
  <si>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</si>
  <si>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</si>
  <si>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</si>
  <si>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</si>
  <si>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</si>
  <si>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</si>
  <si>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</si>
  <si>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</si>
  <si>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</si>
  <si>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</si>
  <si>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</si>
  <si>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</si>
  <si>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</si>
  <si>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</si>
  <si>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</si>
  <si>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</si>
  <si>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</si>
  <si>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</si>
  <si>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</si>
  <si>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</si>
  <si>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</si>
  <si>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</si>
  <si>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</si>
  <si>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</si>
  <si>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</si>
  <si>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</si>
  <si>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</si>
  <si>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</si>
  <si>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</si>
  <si>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</si>
  <si>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</si>
  <si>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</si>
  <si>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</si>
  <si>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</si>
  <si>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</si>
  <si>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</si>
  <si>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</si>
  <si>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</si>
  <si>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</si>
  <si>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</si>
  <si>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</si>
  <si>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</si>
  <si>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</si>
  <si>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</si>
  <si>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</si>
  <si>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</si>
  <si>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</si>
  <si>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</si>
  <si>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</si>
  <si>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</si>
  <si>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</si>
  <si>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</si>
  <si>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</si>
  <si>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</si>
  <si>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</si>
  <si>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</si>
  <si>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</si>
  <si>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</si>
  <si>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</si>
  <si>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</si>
  <si>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</si>
  <si>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</si>
  <si>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</si>
  <si>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</si>
  <si>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</si>
  <si>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</si>
  <si>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</si>
  <si>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</si>
  <si>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</si>
  <si>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</si>
  <si>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</si>
  <si>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</si>
  <si>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</si>
  <si>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</si>
  <si>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</si>
  <si>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</si>
  <si>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</si>
  <si>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</si>
  <si>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</si>
  <si>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</si>
  <si>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</si>
  <si>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</si>
  <si>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</si>
  <si>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</si>
  <si>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</si>
  <si>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</si>
  <si>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</si>
  <si>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</si>
  <si>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</si>
  <si>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</si>
  <si>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</si>
  <si>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</si>
  <si>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</si>
  <si>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</si>
  <si>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</si>
  <si>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</si>
  <si>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</si>
  <si>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</si>
  <si>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</si>
  <si>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</si>
  <si>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</si>
  <si>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</si>
  <si>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</si>
  <si>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</si>
  <si>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</si>
  <si>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</si>
  <si>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</si>
  <si>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</si>
  <si>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</si>
  <si>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</si>
  <si>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</si>
  <si>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</si>
  <si>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</si>
  <si>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</si>
  <si>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</si>
  <si>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</si>
  <si>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</si>
  <si>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</si>
  <si>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</si>
  <si>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</si>
  <si>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</si>
  <si>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</si>
  <si>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</si>
  <si>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</si>
  <si>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</si>
  <si>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</si>
  <si>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</si>
  <si>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</si>
  <si>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</si>
  <si>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</si>
  <si>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</si>
  <si>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</si>
  <si>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</si>
  <si>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</si>
  <si>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</si>
  <si>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</si>
  <si>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</si>
  <si>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</si>
  <si>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</si>
  <si>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</si>
  <si>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</si>
  <si>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</si>
  <si>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</si>
  <si>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</si>
  <si>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</si>
  <si>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</si>
  <si>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</si>
  <si>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</si>
  <si>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</si>
  <si>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</si>
  <si>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</si>
  <si>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</si>
  <si>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</si>
  <si>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</si>
  <si>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</si>
  <si>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</si>
  <si>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</si>
  <si>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</si>
  <si>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</si>
  <si>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</si>
  <si>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</si>
  <si>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</si>
  <si>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</si>
  <si>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</si>
  <si>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</si>
  <si>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</si>
  <si>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</si>
  <si>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</si>
  <si>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</si>
  <si>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</si>
  <si>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</si>
  <si>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</si>
  <si>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</si>
  <si>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</si>
  <si>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</si>
  <si>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</si>
  <si>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</si>
  <si>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</si>
  <si>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</si>
  <si>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</si>
  <si>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</si>
  <si>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</si>
  <si>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</si>
  <si>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</si>
  <si>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</si>
  <si>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</si>
  <si>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</si>
  <si>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</si>
  <si>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</si>
  <si>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</si>
  <si>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</si>
  <si>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</si>
  <si>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</si>
  <si>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</si>
  <si>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</si>
  <si>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</si>
  <si>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</si>
  <si>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</si>
  <si>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</si>
  <si>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</si>
  <si>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</si>
  <si>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</si>
  <si>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</si>
  <si>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</si>
  <si>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</si>
  <si>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</si>
  <si>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</si>
  <si>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</si>
  <si>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</si>
  <si>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</si>
  <si>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</si>
  <si>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</si>
  <si>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</si>
  <si>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</si>
  <si>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</si>
  <si>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</si>
  <si>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</si>
  <si>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</si>
  <si>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</si>
  <si>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</si>
  <si>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</si>
  <si>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</si>
  <si>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</si>
  <si>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</si>
  <si>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</si>
  <si>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</si>
  <si>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</si>
  <si>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</si>
  <si>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</si>
  <si>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</si>
  <si>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</si>
  <si>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</si>
  <si>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</si>
  <si>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</si>
  <si>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</si>
  <si>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</si>
  <si>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</si>
  <si>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</si>
  <si>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</si>
  <si>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</si>
  <si>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</si>
  <si>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</si>
  <si>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</si>
  <si>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</si>
  <si>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</si>
  <si>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</si>
  <si>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</si>
  <si>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</si>
  <si>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</si>
  <si>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</si>
  <si>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</si>
  <si>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</si>
  <si>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</si>
  <si>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</si>
  <si>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</si>
  <si>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2022 EPS</t>
  </si>
  <si>
    <t>2022 P/E</t>
  </si>
  <si>
    <t>2023 EPS</t>
  </si>
  <si>
    <t>2023 P/E</t>
  </si>
  <si>
    <t>2024 EPS</t>
  </si>
  <si>
    <t>2024 P/E</t>
  </si>
  <si>
    <t>Q1 2023</t>
  </si>
  <si>
    <t>Q2 2023</t>
  </si>
  <si>
    <t>Q3 2023</t>
  </si>
  <si>
    <t>Q4 2023</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</si>
  <si>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</si>
  <si>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</si>
  <si>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</si>
  <si>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</si>
  <si>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</si>
  <si>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</si>
  <si>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</si>
  <si>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</si>
  <si>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</si>
  <si>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</si>
  <si>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</si>
  <si>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</si>
  <si>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</si>
  <si>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</si>
  <si>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</si>
  <si>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</si>
  <si>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</si>
  <si>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</si>
  <si>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</si>
  <si>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</si>
  <si>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</si>
  <si>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</si>
  <si>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</si>
  <si>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</si>
  <si>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</si>
  <si>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</si>
  <si>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</si>
  <si>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</si>
  <si>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</si>
  <si>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</si>
  <si>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</si>
  <si>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</si>
  <si>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</si>
  <si>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</si>
  <si>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</si>
  <si>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</si>
  <si>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</si>
  <si>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</si>
  <si>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</si>
  <si>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</si>
  <si>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</si>
  <si>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Q2</t>
  </si>
  <si>
    <t>2025E Q3</t>
  </si>
  <si>
    <t>2025E Q4</t>
  </si>
  <si>
    <t>2023 Q4</t>
  </si>
  <si>
    <t>2025EPS</t>
  </si>
  <si>
    <t>2025 P/E</t>
  </si>
  <si>
    <t>12/31/2025</t>
  </si>
  <si>
    <t>9/30/2025</t>
  </si>
  <si>
    <t>2025E P/E</t>
  </si>
  <si>
    <t>2025E</t>
  </si>
  <si>
    <t>S&amp;P CoreLogic Case-Shiller</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</si>
  <si>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</si>
  <si>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</si>
  <si>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</si>
  <si>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</si>
  <si>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</si>
  <si>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</si>
  <si>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</si>
  <si>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</si>
  <si>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</si>
  <si>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</si>
  <si>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</si>
  <si>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</si>
  <si>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</si>
  <si>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</si>
  <si>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</si>
  <si>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</si>
  <si>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</si>
  <si>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</si>
  <si>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</si>
  <si>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</si>
  <si>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</si>
  <si>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</si>
  <si>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</si>
  <si>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</si>
  <si>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</si>
  <si>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</si>
  <si>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</si>
  <si>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</si>
  <si>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</si>
  <si>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</si>
  <si>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</si>
  <si>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</si>
  <si>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</si>
  <si>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</si>
  <si>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</si>
  <si>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</si>
  <si>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</si>
  <si>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</si>
  <si>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</si>
  <si>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</si>
  <si>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</si>
  <si>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</si>
  <si>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</si>
  <si>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</si>
  <si>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</si>
  <si>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</si>
  <si>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TUE</t>
  </si>
  <si>
    <t>PMI Manufacturing Index, 9:45 a.m.</t>
  </si>
  <si>
    <t>Construction Spending, 10 a.m.</t>
  </si>
  <si>
    <t>Motor Vehicle Sales</t>
  </si>
  <si>
    <t>ISM Manufacturing, 10 a.m.</t>
  </si>
  <si>
    <t>PMI Services, 9:45 a.m.</t>
  </si>
  <si>
    <t>International Trade in Goods and Services</t>
  </si>
  <si>
    <t>ISM Services, 10 a.m.</t>
  </si>
  <si>
    <t>Employment Report</t>
  </si>
  <si>
    <t>Consumer Sentiment, 10 a.m.</t>
  </si>
  <si>
    <t>PPI</t>
  </si>
  <si>
    <t>CPI</t>
  </si>
  <si>
    <t>Industrial Production</t>
  </si>
  <si>
    <t>Existing Home Sales, 10 a.m.</t>
  </si>
  <si>
    <t xml:space="preserve">Issues with diluted share counts for Q4 2024 over Q4 2023 EPS </t>
  </si>
  <si>
    <t>Q4,'24 lower shares than Q4,'23</t>
  </si>
  <si>
    <t>Q4,'24 higher sharers than Q4,'23</t>
  </si>
  <si>
    <t>Q1 2025 potential built in:</t>
  </si>
  <si>
    <t>Q4,'24 shares at least 4% lower than Q1,'24</t>
  </si>
  <si>
    <t>Q3</t>
  </si>
  <si>
    <t>S&amp;P 500 close of</t>
  </si>
  <si>
    <t>Q2 2025E</t>
  </si>
  <si>
    <t>Q3 2025E</t>
  </si>
  <si>
    <t>Q4 2025E</t>
  </si>
  <si>
    <t>2024 Q3</t>
  </si>
  <si>
    <t>2024 Q4</t>
  </si>
  <si>
    <t>2025 Q1</t>
  </si>
  <si>
    <t>2025 Q2</t>
  </si>
  <si>
    <t>2025 Q3</t>
  </si>
  <si>
    <t>2025 Q4</t>
  </si>
  <si>
    <t>12/31/204</t>
  </si>
  <si>
    <t>9/30/2024</t>
  </si>
  <si>
    <t>2026E Q1</t>
  </si>
  <si>
    <t>2026E Q2</t>
  </si>
  <si>
    <t>2026E Q3</t>
  </si>
  <si>
    <t>2026E Q4</t>
  </si>
  <si>
    <t>2026EPS</t>
  </si>
  <si>
    <t>2026 P/E</t>
  </si>
  <si>
    <t>12/31/2026</t>
  </si>
  <si>
    <t>9/30/2026</t>
  </si>
  <si>
    <t>6/30/2026</t>
  </si>
  <si>
    <t>3/31/2026</t>
  </si>
  <si>
    <t>PRICE 12/24</t>
  </si>
  <si>
    <t>Retail Sales</t>
  </si>
  <si>
    <t>MON</t>
  </si>
  <si>
    <t>THU-ATC</t>
  </si>
  <si>
    <t>New Home Sales, 10 a.m.</t>
  </si>
  <si>
    <t>GDP</t>
  </si>
  <si>
    <t>373 beat, 99 missed, and 27 met their estimates; 306 of 498 (61.4%) beat on sales</t>
  </si>
  <si>
    <t>Q1 2025</t>
  </si>
  <si>
    <t xml:space="preserve">Issues with diluted share counts for Q1 2025 over Q1 2024 EPS </t>
  </si>
  <si>
    <t>Q1,'25 lower shares than Q1,'24</t>
  </si>
  <si>
    <t>Q1,'25 higher sharers than Q1,'24</t>
  </si>
  <si>
    <t>Q2 2025 potential built in:</t>
  </si>
  <si>
    <t>Q1,'25 shares at least 4% lower than Q2,'24</t>
  </si>
  <si>
    <t xml:space="preserve">12/31/2024 </t>
  </si>
  <si>
    <t>Q4</t>
  </si>
  <si>
    <t>2025</t>
  </si>
  <si>
    <t>2026E</t>
  </si>
  <si>
    <t>2025 EST</t>
  </si>
  <si>
    <t>C, G &amp; K to use 2026 P/E)</t>
  </si>
  <si>
    <t>Business Inventories, 10 a.m.</t>
  </si>
  <si>
    <t>Import and Export Prices</t>
  </si>
  <si>
    <t>PMI Composite Flash Report, 9:45 a.m.</t>
  </si>
  <si>
    <t>Durable Goods Orders</t>
  </si>
  <si>
    <t>FRI</t>
  </si>
  <si>
    <t>WED</t>
  </si>
  <si>
    <t>Trading Companies &amp; Distributors</t>
  </si>
  <si>
    <t>Asset Management &amp; Custody Banks</t>
  </si>
  <si>
    <t>Pharmaceuticals</t>
  </si>
  <si>
    <t>Insurance Brokers</t>
  </si>
  <si>
    <t>Property &amp; Casualty Insurance</t>
  </si>
  <si>
    <t>Movies &amp; Entertainment</t>
  </si>
  <si>
    <t>Housing Starts and Permits</t>
  </si>
  <si>
    <t>Wholesale Inventories</t>
  </si>
  <si>
    <t>Consumer Confidence, 10 a.m.</t>
  </si>
  <si>
    <t>Personal Income and Outlays</t>
  </si>
  <si>
    <t xml:space="preserve">Of the 498 issues (503 in the index) with full operating comparative data </t>
  </si>
  <si>
    <t>384 beat, 88 missed, and 26 met their estimates; 310 of 497 (62.4%) beat on sales</t>
  </si>
  <si>
    <t>Data based on a combination of reported and estimated sales for Q2,'25</t>
  </si>
  <si>
    <t>Q2 2025</t>
  </si>
  <si>
    <t>Q2,'25 lower shares than Q2,'24</t>
  </si>
  <si>
    <t>Q2,'25 higher sharers than Q2,'24</t>
  </si>
  <si>
    <t>Q3 2025 potential built in:</t>
  </si>
  <si>
    <t>Q2,'25 shares at least 4% lower than Q3,'24</t>
  </si>
  <si>
    <t>Estimate</t>
  </si>
  <si>
    <t>3/31/2025</t>
  </si>
  <si>
    <t>(P/E on Jun,'25 price)</t>
  </si>
  <si>
    <t>Q2 (Q2,'25 estimate)</t>
  </si>
  <si>
    <t>Q1</t>
  </si>
  <si>
    <t>The average from Q1 1993 is 8.54% (As Reported 7.43%)</t>
  </si>
  <si>
    <t>% CHG Q2/Q1</t>
  </si>
  <si>
    <t>% CHG Q2/Q2</t>
  </si>
  <si>
    <t>12 MoMar'25</t>
  </si>
  <si>
    <t>12 MoMar,'24</t>
  </si>
  <si>
    <t>Q1 2000</t>
  </si>
  <si>
    <t>Restaurants</t>
  </si>
  <si>
    <t>Application Software</t>
  </si>
  <si>
    <t>MON-ATC</t>
  </si>
  <si>
    <t>Health Care REITs</t>
  </si>
  <si>
    <t>Semiconductors</t>
  </si>
  <si>
    <t>Steel</t>
  </si>
  <si>
    <t>Paper &amp; Plastic Packaging Products &amp; Mat</t>
  </si>
  <si>
    <t>Life Sciences Tools &amp; Services</t>
  </si>
  <si>
    <t>Research &amp; Consulting Services</t>
  </si>
  <si>
    <t>Automobile Manufacturers</t>
  </si>
  <si>
    <t>Advertising</t>
  </si>
  <si>
    <t>Aerospace &amp; Defense</t>
  </si>
  <si>
    <t>Financial Exchanges &amp; Data</t>
  </si>
  <si>
    <t>Construction Machinery &amp; Heavy Transport</t>
  </si>
  <si>
    <t>Industrial Machinery &amp; Supplies &amp; Compon</t>
  </si>
  <si>
    <t>Tobacco</t>
  </si>
  <si>
    <t>Health Care Services</t>
  </si>
  <si>
    <t>Specialty Chemicals</t>
  </si>
  <si>
    <t>TUE-ATC</t>
  </si>
  <si>
    <t>Real Estate Services</t>
  </si>
  <si>
    <t>Semiconductor Materials &amp; Equipment</t>
  </si>
  <si>
    <t>Oil &amp; Gas Exploration &amp; Production</t>
  </si>
  <si>
    <t>Health Care Equipment</t>
  </si>
  <si>
    <t>Electronic Components</t>
  </si>
  <si>
    <t>Hotels Resorts &amp; Cruise Lines</t>
  </si>
  <si>
    <t>Packaged Foods &amp; Meats</t>
  </si>
  <si>
    <t>Building Products</t>
  </si>
  <si>
    <t>Electric Utilities</t>
  </si>
  <si>
    <t>WED-ATC</t>
  </si>
  <si>
    <t>Telecom Tower REITs</t>
  </si>
  <si>
    <t>Rail Transportation</t>
  </si>
  <si>
    <t>Life &amp; Health Insurance</t>
  </si>
  <si>
    <t>IT Consulting &amp; Other Services</t>
  </si>
  <si>
    <t>Managed Health Care</t>
  </si>
  <si>
    <t>Environmental &amp; Facilities Services</t>
  </si>
  <si>
    <t>Systems Software</t>
  </si>
  <si>
    <t>Multi-Utilities</t>
  </si>
  <si>
    <t>Commodity Chemicals</t>
  </si>
  <si>
    <t>Oil &amp; Gas Refining &amp; Marketing</t>
  </si>
  <si>
    <t>Data Center REITs</t>
  </si>
  <si>
    <t>Internet Services &amp; Infrastructure</t>
  </si>
  <si>
    <t>Health Care Facilities</t>
  </si>
  <si>
    <t>Scheduled S&amp;P 500 earnings release for 7/28-8/1/25; ATC stands for after-the-close</t>
  </si>
  <si>
    <t xml:space="preserve">132 ssues, 30.9% of the market value </t>
  </si>
  <si>
    <t>RVTY</t>
  </si>
  <si>
    <t>Revvity, Inc.</t>
  </si>
  <si>
    <t>BRO</t>
  </si>
  <si>
    <t>Brown &amp; Brown, Inc.</t>
  </si>
  <si>
    <t>CDNS</t>
  </si>
  <si>
    <t>Cadence Design Systems, Inc.</t>
  </si>
  <si>
    <t>CINF</t>
  </si>
  <si>
    <t>Cincinnati Financial Corporation</t>
  </si>
  <si>
    <t>HIG</t>
  </si>
  <si>
    <t>Hartford Insurance Group, Inc.</t>
  </si>
  <si>
    <t>NUE</t>
  </si>
  <si>
    <t>Nucor Corporation</t>
  </si>
  <si>
    <t>PFG</t>
  </si>
  <si>
    <t>Principal Financial Group, Inc.</t>
  </si>
  <si>
    <t>UHS</t>
  </si>
  <si>
    <t>Universal Health Services, Inc. Class B</t>
  </si>
  <si>
    <t>VLTO</t>
  </si>
  <si>
    <t>Veralto Corporation</t>
  </si>
  <si>
    <t>WM</t>
  </si>
  <si>
    <t>Waste Management, Inc.</t>
  </si>
  <si>
    <t>WELL</t>
  </si>
  <si>
    <t>Welltower Inc.</t>
  </si>
  <si>
    <t>AMT</t>
  </si>
  <si>
    <t>American Tower Corporation</t>
  </si>
  <si>
    <t>CARR</t>
  </si>
  <si>
    <t>Carrier Global Corp.</t>
  </si>
  <si>
    <t>CBRE</t>
  </si>
  <si>
    <t>CBRE Group, Inc. Class A</t>
  </si>
  <si>
    <t>GLW</t>
  </si>
  <si>
    <t>Corning Inc</t>
  </si>
  <si>
    <t>ECL</t>
  </si>
  <si>
    <t>Ecolab Inc.</t>
  </si>
  <si>
    <t>HUBB</t>
  </si>
  <si>
    <t>Hubbell Incorporated</t>
  </si>
  <si>
    <t>Electrical Components &amp; Equipment</t>
  </si>
  <si>
    <t>INCY</t>
  </si>
  <si>
    <t>Incyte Corporation</t>
  </si>
  <si>
    <t>Biotechnology</t>
  </si>
  <si>
    <t>JCI</t>
  </si>
  <si>
    <t>Johnson Controls International plc</t>
  </si>
  <si>
    <t>MRK</t>
  </si>
  <si>
    <t>Merck &amp; Co., Inc.</t>
  </si>
  <si>
    <t>NSC</t>
  </si>
  <si>
    <t>Norfolk Southern Corporation</t>
  </si>
  <si>
    <t>PYPL</t>
  </si>
  <si>
    <t>PayPal Holdings, Inc.</t>
  </si>
  <si>
    <t>Transaction &amp; Payment Processing Service</t>
  </si>
  <si>
    <t>PG</t>
  </si>
  <si>
    <t>Procter &amp; Gamble Company</t>
  </si>
  <si>
    <t>Household Products</t>
  </si>
  <si>
    <t>RCL</t>
  </si>
  <si>
    <t>Royal Caribbean Group</t>
  </si>
  <si>
    <t>SWK</t>
  </si>
  <si>
    <t>Stanley Black &amp; Decker, Inc.</t>
  </si>
  <si>
    <t>SYY</t>
  </si>
  <si>
    <t>Sysco Corporation</t>
  </si>
  <si>
    <t>Food Distributors</t>
  </si>
  <si>
    <t>UNH</t>
  </si>
  <si>
    <t>UnitedHealth Group Incorporated</t>
  </si>
  <si>
    <t>ACGL</t>
  </si>
  <si>
    <t>Arch Capital Group Ltd.</t>
  </si>
  <si>
    <t>BKNG</t>
  </si>
  <si>
    <t>Booking Holdings Inc.</t>
  </si>
  <si>
    <t>BXP</t>
  </si>
  <si>
    <t>BXP Inc</t>
  </si>
  <si>
    <t>Office REITs</t>
  </si>
  <si>
    <t>CZR</t>
  </si>
  <si>
    <t>Caesars Entertainment Inc</t>
  </si>
  <si>
    <t>Casinos &amp; Gaming</t>
  </si>
  <si>
    <t>EA</t>
  </si>
  <si>
    <t>Electronic Arts Inc.</t>
  </si>
  <si>
    <t>Interactive Home Entertainment</t>
  </si>
  <si>
    <t>ESS</t>
  </si>
  <si>
    <t>Essex Property Trust, Inc.</t>
  </si>
  <si>
    <t>Multi-Family Residential REITs</t>
  </si>
  <si>
    <t>PPG</t>
  </si>
  <si>
    <t>PPG Industries, Inc.</t>
  </si>
  <si>
    <t>REG</t>
  </si>
  <si>
    <t>Regency Centers Corporation</t>
  </si>
  <si>
    <t>Retail REITs</t>
  </si>
  <si>
    <t>RSG</t>
  </si>
  <si>
    <t>Republic Services, Inc.</t>
  </si>
  <si>
    <t>V</t>
  </si>
  <si>
    <t>Visa Inc. Class A</t>
  </si>
  <si>
    <t>MO</t>
  </si>
  <si>
    <t>Altria Group, Inc.</t>
  </si>
  <si>
    <t>AEP</t>
  </si>
  <si>
    <t>American Electric Power Company, Inc.</t>
  </si>
  <si>
    <t>ADP</t>
  </si>
  <si>
    <t>Automatic Data Processing, Inc.</t>
  </si>
  <si>
    <t>Human Resource &amp; Employment Services</t>
  </si>
  <si>
    <t>BG</t>
  </si>
  <si>
    <t>Bunge Global SA</t>
  </si>
  <si>
    <t>Agricultural Products &amp; Services</t>
  </si>
  <si>
    <t>FTV</t>
  </si>
  <si>
    <t>Fortive Corp.</t>
  </si>
  <si>
    <t>GRMN</t>
  </si>
  <si>
    <t>Garmin Ltd.</t>
  </si>
  <si>
    <t>Consumer Electronics</t>
  </si>
  <si>
    <t>GEHC</t>
  </si>
  <si>
    <t>GE Healthcare Technologies Inc.</t>
  </si>
  <si>
    <t>HSY</t>
  </si>
  <si>
    <t>Hershey Company</t>
  </si>
  <si>
    <t>HES</t>
  </si>
  <si>
    <t>Hess Corporation</t>
  </si>
  <si>
    <t>HUM</t>
  </si>
  <si>
    <t>Humana Inc.</t>
  </si>
  <si>
    <t>IEX</t>
  </si>
  <si>
    <t>IDEX Corporation</t>
  </si>
  <si>
    <t>ITW</t>
  </si>
  <si>
    <t>Illinois Tool Works Inc.</t>
  </si>
  <si>
    <t>KHC</t>
  </si>
  <si>
    <t>Kraft Heinz Company</t>
  </si>
  <si>
    <t>ODFL</t>
  </si>
  <si>
    <t>Old Dominion Freight Line, Inc.</t>
  </si>
  <si>
    <t>Cargo Ground Transportation</t>
  </si>
  <si>
    <t>SW</t>
  </si>
  <si>
    <t>Smurfit Westrock PLC</t>
  </si>
  <si>
    <t>TT</t>
  </si>
  <si>
    <t>Trane Technologies plc</t>
  </si>
  <si>
    <t>WEC</t>
  </si>
  <si>
    <t>WEC Energy Group Inc</t>
  </si>
  <si>
    <t>ALB</t>
  </si>
  <si>
    <t>Albemarle Corporation</t>
  </si>
  <si>
    <t>ALGN</t>
  </si>
  <si>
    <t>Align Technology, Inc.</t>
  </si>
  <si>
    <t>Health Care Supplies</t>
  </si>
  <si>
    <t>AWK</t>
  </si>
  <si>
    <t>American Water Works Company, Inc.</t>
  </si>
  <si>
    <t>Water Utilities</t>
  </si>
  <si>
    <t>AVB</t>
  </si>
  <si>
    <t>AvalonBay Communities, Inc.</t>
  </si>
  <si>
    <t>CHRW</t>
  </si>
  <si>
    <t>C.H. Robinson Worldwide, Inc.</t>
  </si>
  <si>
    <t>Air Freight &amp; Logistics</t>
  </si>
  <si>
    <t>CTSH</t>
  </si>
  <si>
    <t>Cognizant Technology Solutions Corporation Class A</t>
  </si>
  <si>
    <t>DXCM</t>
  </si>
  <si>
    <t>DexCom, Inc.</t>
  </si>
  <si>
    <t>EQIX</t>
  </si>
  <si>
    <t>Equinix, Inc.</t>
  </si>
  <si>
    <t>EG</t>
  </si>
  <si>
    <t>Everest Group, Ltd.</t>
  </si>
  <si>
    <t>Reinsurance</t>
  </si>
  <si>
    <t>EXR</t>
  </si>
  <si>
    <t>Extra Space Storage Inc.</t>
  </si>
  <si>
    <t>Self-Storage REITs</t>
  </si>
  <si>
    <t>FFIV</t>
  </si>
  <si>
    <t>F5, Inc.</t>
  </si>
  <si>
    <t>Communications Equipment</t>
  </si>
  <si>
    <t>FE</t>
  </si>
  <si>
    <t>FirstEnergy Corp.</t>
  </si>
  <si>
    <t>F</t>
  </si>
  <si>
    <t>Ford Motor Company</t>
  </si>
  <si>
    <t>HOLX</t>
  </si>
  <si>
    <t>Hologic, Inc.</t>
  </si>
  <si>
    <t>HST</t>
  </si>
  <si>
    <t>Host Hotels &amp; Resorts, Inc.</t>
  </si>
  <si>
    <t>Hotel &amp; Resort REITs</t>
  </si>
  <si>
    <t>INVH</t>
  </si>
  <si>
    <t>Invitation Homes, Inc.</t>
  </si>
  <si>
    <t>Single-Family Residential REITs</t>
  </si>
  <si>
    <t>LRCX</t>
  </si>
  <si>
    <t>Lam Research Corporation</t>
  </si>
  <si>
    <t>META</t>
  </si>
  <si>
    <t>Meta Platforms Inc Class A</t>
  </si>
  <si>
    <t>Interactive Media &amp; Services</t>
  </si>
  <si>
    <t>MGM</t>
  </si>
  <si>
    <t>MGM Resorts International</t>
  </si>
  <si>
    <t>MSFT</t>
  </si>
  <si>
    <t>Microsoft Corporation</t>
  </si>
  <si>
    <t>MAA</t>
  </si>
  <si>
    <t>Mid-America Apartment Communities, Inc.</t>
  </si>
  <si>
    <t>PRU</t>
  </si>
  <si>
    <t>Prudential Financial, Inc.</t>
  </si>
  <si>
    <t>PTC</t>
  </si>
  <si>
    <t>PTC Inc.</t>
  </si>
  <si>
    <t>PSA</t>
  </si>
  <si>
    <t>Public Storage</t>
  </si>
  <si>
    <t>UDR</t>
  </si>
  <si>
    <t>UDR, Inc.</t>
  </si>
  <si>
    <t>VTR</t>
  </si>
  <si>
    <t>Ventas, Inc.</t>
  </si>
  <si>
    <t>VICI</t>
  </si>
  <si>
    <t>VICI Properties Inc</t>
  </si>
  <si>
    <t>Other Specialized REITs</t>
  </si>
  <si>
    <t>ABBV</t>
  </si>
  <si>
    <t>AbbVie, Inc.</t>
  </si>
  <si>
    <t>APD</t>
  </si>
  <si>
    <t>Air Products and Chemicals, Inc.</t>
  </si>
  <si>
    <t>Industrial Gases</t>
  </si>
  <si>
    <t>APTV</t>
  </si>
  <si>
    <t>Aptiv PLC</t>
  </si>
  <si>
    <t>Automotive Parts &amp; Equipment</t>
  </si>
  <si>
    <t>BIIB</t>
  </si>
  <si>
    <t>Biogen Inc.</t>
  </si>
  <si>
    <t>BMY</t>
  </si>
  <si>
    <t>Bristol-Myers Squibb Company</t>
  </si>
  <si>
    <t>BLDR</t>
  </si>
  <si>
    <t>Builders FirstSource, Inc.</t>
  </si>
  <si>
    <t>CMS</t>
  </si>
  <si>
    <t>CMS Energy Corporation</t>
  </si>
  <si>
    <t>CVS</t>
  </si>
  <si>
    <t>CVS Health Corporation</t>
  </si>
  <si>
    <t>EXC</t>
  </si>
  <si>
    <t>Exelon Corporation</t>
  </si>
  <si>
    <t>HWM</t>
  </si>
  <si>
    <t>Howmet Aerospace Inc.</t>
  </si>
  <si>
    <t>HII</t>
  </si>
  <si>
    <t>Huntington Ingalls Industries, Inc.</t>
  </si>
  <si>
    <t>ICE</t>
  </si>
  <si>
    <t>Intercontinental Exchange, Inc.</t>
  </si>
  <si>
    <t>IP</t>
  </si>
  <si>
    <t>International Paper Company</t>
  </si>
  <si>
    <t>K</t>
  </si>
  <si>
    <t>Kellanova</t>
  </si>
  <si>
    <t>KIM</t>
  </si>
  <si>
    <t>Kimco Realty Corporation</t>
  </si>
  <si>
    <t>MAS</t>
  </si>
  <si>
    <t>Masco Corporation</t>
  </si>
  <si>
    <t>PCG</t>
  </si>
  <si>
    <t>PG&amp;E Corporation</t>
  </si>
  <si>
    <t>PPL</t>
  </si>
  <si>
    <t>PPL Corporation</t>
  </si>
  <si>
    <t>SPGI</t>
  </si>
  <si>
    <t>S&amp;P Global, Inc.</t>
  </si>
  <si>
    <t>SO</t>
  </si>
  <si>
    <t>Southern Company</t>
  </si>
  <si>
    <t>CI</t>
  </si>
  <si>
    <t>Cigna Group</t>
  </si>
  <si>
    <t>WTW</t>
  </si>
  <si>
    <t>Willis Towers Watson Public Limited Company</t>
  </si>
  <si>
    <t>XEL</t>
  </si>
  <si>
    <t>Xcel Energy Inc.</t>
  </si>
  <si>
    <t>XYL</t>
  </si>
  <si>
    <t>Xylem Inc.</t>
  </si>
  <si>
    <t>AEE</t>
  </si>
  <si>
    <t>Ameren Corporation</t>
  </si>
  <si>
    <t>AAPL</t>
  </si>
  <si>
    <t>Apple Inc.</t>
  </si>
  <si>
    <t>Technology Hardware Storage &amp; Peripheral</t>
  </si>
  <si>
    <t>AJG</t>
  </si>
  <si>
    <t>Arthur J. Gallagher &amp; Co.</t>
  </si>
  <si>
    <t>CPT</t>
  </si>
  <si>
    <t>Camden Property Trust</t>
  </si>
  <si>
    <t>CLX</t>
  </si>
  <si>
    <t>Clorox Company</t>
  </si>
  <si>
    <t>COIN</t>
  </si>
  <si>
    <t>Coinbase Global, Inc. Class A</t>
  </si>
  <si>
    <t>EMN</t>
  </si>
  <si>
    <t>Eastman Chemical Company</t>
  </si>
  <si>
    <t>EIX</t>
  </si>
  <si>
    <t>Edison International</t>
  </si>
  <si>
    <t>ES</t>
  </si>
  <si>
    <t>Eversource Energy</t>
  </si>
  <si>
    <t>IR</t>
  </si>
  <si>
    <t>Ingersoll Rand Inc.</t>
  </si>
  <si>
    <t>KLAC</t>
  </si>
  <si>
    <t>KLA Corporation</t>
  </si>
  <si>
    <t>MTD</t>
  </si>
  <si>
    <t>Mettler-Toledo International Inc.</t>
  </si>
  <si>
    <t>RMD</t>
  </si>
  <si>
    <t>ResMed Inc.</t>
  </si>
  <si>
    <t>SYK</t>
  </si>
  <si>
    <t>Stryker Corporation</t>
  </si>
  <si>
    <t>CBOE</t>
  </si>
  <si>
    <t>Cboe Global Markets Inc</t>
  </si>
  <si>
    <t>CVX</t>
  </si>
  <si>
    <t>Chevron Corporation</t>
  </si>
  <si>
    <t>Integrated Oil &amp; Gas</t>
  </si>
  <si>
    <t>CHD</t>
  </si>
  <si>
    <t>Church &amp; Dwight Co., Inc.</t>
  </si>
  <si>
    <t>CL</t>
  </si>
  <si>
    <t>Colgate-Palmolive Company</t>
  </si>
  <si>
    <t>D</t>
  </si>
  <si>
    <t>Dominion Energy Inc</t>
  </si>
  <si>
    <t>XOM</t>
  </si>
  <si>
    <t>Exxon Mobil Corporation</t>
  </si>
  <si>
    <t>BEN</t>
  </si>
  <si>
    <t>Franklin Resources, Inc.</t>
  </si>
  <si>
    <t>GWW</t>
  </si>
  <si>
    <t>W.W. Grainger, Inc.</t>
  </si>
  <si>
    <t>KMB</t>
  </si>
  <si>
    <t>Kimberly-Clark Corporation</t>
  </si>
  <si>
    <t>LIN</t>
  </si>
  <si>
    <t>Linde plc</t>
  </si>
  <si>
    <t>LYB</t>
  </si>
  <si>
    <t>LyondellBasell Industries NV</t>
  </si>
  <si>
    <t>REGN</t>
  </si>
  <si>
    <t>Regeneron Pharmaceuticals, Inc.</t>
  </si>
  <si>
    <t>TROW</t>
  </si>
  <si>
    <t>T. Rowe Price Group</t>
  </si>
  <si>
    <t>IDXX</t>
  </si>
  <si>
    <t>IDEXX Laboratories, Inc.</t>
  </si>
  <si>
    <t>TSN</t>
  </si>
  <si>
    <t>Tyson Foods, Inc. Class A</t>
  </si>
  <si>
    <t>WAT</t>
  </si>
  <si>
    <t>Waters Corporation</t>
  </si>
  <si>
    <t>CTRA</t>
  </si>
  <si>
    <t>Coterra Energy Inc.</t>
  </si>
  <si>
    <t>FANG</t>
  </si>
  <si>
    <t>Diamondback Energy, Inc.</t>
  </si>
  <si>
    <t>EQR</t>
  </si>
  <si>
    <t>Equity Residential</t>
  </si>
  <si>
    <t>OKE</t>
  </si>
  <si>
    <t>ONEOK, Inc.</t>
  </si>
  <si>
    <t>Oil &amp; Gas Storage &amp; Transportation</t>
  </si>
  <si>
    <t>SPG</t>
  </si>
  <si>
    <t>Simon Property Group, Inc.</t>
  </si>
  <si>
    <t>VRTX</t>
  </si>
  <si>
    <t>Vertex Pharmaceuticals Incorporated</t>
  </si>
  <si>
    <t>APO</t>
  </si>
  <si>
    <t>Apollo Global Management Inc</t>
  </si>
  <si>
    <t>Diversified Financial Services</t>
  </si>
  <si>
    <t>BALL</t>
  </si>
  <si>
    <t>Ball Corporation</t>
  </si>
  <si>
    <t>Metal Glass &amp; Plastic Containers</t>
  </si>
  <si>
    <t>DUK</t>
  </si>
  <si>
    <t>Duke Energy Corporation</t>
  </si>
  <si>
    <t>EXPD</t>
  </si>
  <si>
    <t>Expeditors International of Washington, Inc.</t>
  </si>
  <si>
    <t>LDOS</t>
  </si>
  <si>
    <t>Leidos Holdings, Inc.</t>
  </si>
  <si>
    <t>MPC</t>
  </si>
  <si>
    <t>Marathon Petroleum Corporation</t>
  </si>
  <si>
    <t>MAR</t>
  </si>
  <si>
    <t>Marriott International, Inc. Class A</t>
  </si>
  <si>
    <t>TAP</t>
  </si>
  <si>
    <t>Molson Coors Beverage Company Class B</t>
  </si>
  <si>
    <t>Brewers</t>
  </si>
  <si>
    <t>PFE</t>
  </si>
  <si>
    <t>Pfizer Inc.</t>
  </si>
  <si>
    <t>ZBRA</t>
  </si>
  <si>
    <t>Zebra Technologies Corporation Class A</t>
  </si>
  <si>
    <t>Electronic Equipment &amp; Instruments</t>
  </si>
  <si>
    <t>AMD</t>
  </si>
  <si>
    <t>Advanced Micro Devices, Inc.</t>
  </si>
  <si>
    <t>AFL</t>
  </si>
  <si>
    <t>Aflac Incorporated</t>
  </si>
  <si>
    <t>AMGN</t>
  </si>
  <si>
    <t>Amgen Inc.</t>
  </si>
  <si>
    <t>ANET</t>
  </si>
  <si>
    <t>Arista Networks, Inc.</t>
  </si>
  <si>
    <t>AIZ</t>
  </si>
  <si>
    <t>Assurant, Inc.</t>
  </si>
  <si>
    <t>DVN</t>
  </si>
  <si>
    <t>Devon Energy Corporation</t>
  </si>
  <si>
    <t>IFF</t>
  </si>
  <si>
    <t>International Flavors &amp; Fragrances Inc.</t>
  </si>
  <si>
    <t>COR</t>
  </si>
  <si>
    <t>Cencora, Inc.</t>
  </si>
  <si>
    <t>Health Care Distributors</t>
  </si>
  <si>
    <t>MCD</t>
  </si>
  <si>
    <t>McDonald's Corporation</t>
  </si>
  <si>
    <t>PNW</t>
  </si>
  <si>
    <t>Pinnacle West Capital Corp</t>
  </si>
  <si>
    <t>DIS</t>
  </si>
  <si>
    <t>Walt Disney Company</t>
  </si>
  <si>
    <t>AIG</t>
  </si>
  <si>
    <t>American International Group, Inc.</t>
  </si>
  <si>
    <t>ATO</t>
  </si>
  <si>
    <t>Atmos Energy Corporation</t>
  </si>
  <si>
    <t>Gas Utilities</t>
  </si>
  <si>
    <t>CF</t>
  </si>
  <si>
    <t>CF Industries Holdings, Inc.</t>
  </si>
  <si>
    <t>Fertilizers &amp; Agricultural Chemicals</t>
  </si>
  <si>
    <t>CTVA</t>
  </si>
  <si>
    <t>Corteva Inc</t>
  </si>
  <si>
    <t>DASH</t>
  </si>
  <si>
    <t>DoorDash, Inc. Class A</t>
  </si>
  <si>
    <t>FRT</t>
  </si>
  <si>
    <t>Federal Realty Investment Trust</t>
  </si>
  <si>
    <t>FTNT</t>
  </si>
  <si>
    <t>Fortinet, Inc.</t>
  </si>
  <si>
    <t>MCK</t>
  </si>
  <si>
    <t>McKesson Corporation</t>
  </si>
  <si>
    <t>MetLife, Inc.</t>
  </si>
  <si>
    <t>OXY</t>
  </si>
  <si>
    <t>Occidental Petroleum Corporation</t>
  </si>
  <si>
    <t>O</t>
  </si>
  <si>
    <t>Realty Income Corporation</t>
  </si>
  <si>
    <t>TKO</t>
  </si>
  <si>
    <t>TKO Group Holdings, Inc. Class A</t>
  </si>
  <si>
    <t>UBER</t>
  </si>
  <si>
    <t>Uber Technologies, Inc.</t>
  </si>
  <si>
    <t>Passenger Ground Transportation</t>
  </si>
  <si>
    <t>BDX</t>
  </si>
  <si>
    <t>Becton, Dickinson and Company</t>
  </si>
  <si>
    <t>COP</t>
  </si>
  <si>
    <t>ConocoPhillips</t>
  </si>
  <si>
    <t>LLY</t>
  </si>
  <si>
    <t>Eli Lilly and Company</t>
  </si>
  <si>
    <t>EPAM</t>
  </si>
  <si>
    <t>EPAM Systems, Inc.</t>
  </si>
  <si>
    <t>VTRS</t>
  </si>
  <si>
    <t>Viatris, Inc.</t>
  </si>
  <si>
    <t>WBD</t>
  </si>
  <si>
    <t>Warner Bros. Discovery, Inc. Series A</t>
  </si>
  <si>
    <t>ZBH</t>
  </si>
  <si>
    <t>Zimmer Biomet Holdings, Inc.</t>
  </si>
  <si>
    <t>AKAM</t>
  </si>
  <si>
    <t>Akamai Technologies, Inc.</t>
  </si>
  <si>
    <t>LNT</t>
  </si>
  <si>
    <t>Alliant Energy Corporation</t>
  </si>
  <si>
    <t>EXPE</t>
  </si>
  <si>
    <t>Expedia Group, Inc.</t>
  </si>
  <si>
    <t>GEN</t>
  </si>
  <si>
    <t>Gen Digital Inc.</t>
  </si>
  <si>
    <t>GDDY</t>
  </si>
  <si>
    <t>GoDaddy, Inc. Class A</t>
  </si>
  <si>
    <t>PODD</t>
  </si>
  <si>
    <t>Insulet Corporation</t>
  </si>
  <si>
    <t>TTWO</t>
  </si>
  <si>
    <t>Take-Two Interactive Software, Inc.</t>
  </si>
  <si>
    <t>Scheduled S&amp;P 500 earnings release for 8/4-8/25; ATC stands for after-the-close</t>
  </si>
  <si>
    <t xml:space="preserve">114 ssues, 11.6% of the market value </t>
  </si>
  <si>
    <t>ON</t>
  </si>
  <si>
    <t>ON Semiconductor Corporation</t>
  </si>
  <si>
    <t>AXON</t>
  </si>
  <si>
    <t>Axon Enterprise Inc</t>
  </si>
  <si>
    <t>PLTR</t>
  </si>
  <si>
    <t>Palantir Technologies Inc. Class A</t>
  </si>
  <si>
    <t>SBAC</t>
  </si>
  <si>
    <t>SBA Communications Corp. Class A</t>
  </si>
  <si>
    <t>WMB</t>
  </si>
  <si>
    <t>Williams Companies, Inc.</t>
  </si>
  <si>
    <t>ADM</t>
  </si>
  <si>
    <t>Archer-Daniels-Midland Company</t>
  </si>
  <si>
    <t>BR</t>
  </si>
  <si>
    <t>Broadridge Financial Solutions, Inc.</t>
  </si>
  <si>
    <t>Data Processing &amp; Outsourced Services</t>
  </si>
  <si>
    <t>CAT</t>
  </si>
  <si>
    <t>Caterpillar Inc.</t>
  </si>
  <si>
    <t>CMI</t>
  </si>
  <si>
    <t>Cummins Inc.</t>
  </si>
  <si>
    <t>DD</t>
  </si>
  <si>
    <t>DuPont de Nemours, Inc.</t>
  </si>
  <si>
    <t>ETN</t>
  </si>
  <si>
    <t>Eaton Corp. Plc</t>
  </si>
  <si>
    <t>FIS</t>
  </si>
  <si>
    <t>Fidelity National Information Services, Inc.</t>
  </si>
  <si>
    <t>FOXA</t>
  </si>
  <si>
    <t>Fox Corporation Class A</t>
  </si>
  <si>
    <t>Broadcasting</t>
  </si>
  <si>
    <t>IT</t>
  </si>
  <si>
    <t>Gartner, Inc.</t>
  </si>
  <si>
    <t>HSIC</t>
  </si>
  <si>
    <t>Henry Schein, Inc.</t>
  </si>
  <si>
    <t>J</t>
  </si>
  <si>
    <t>Jacobs Solutions Inc.</t>
  </si>
  <si>
    <t>Public Service Enterprise Group Inc</t>
  </si>
  <si>
    <t>YUM</t>
  </si>
  <si>
    <t>Yum! Brands, Inc.</t>
  </si>
  <si>
    <t>DVA</t>
  </si>
  <si>
    <t>DaVita Inc.</t>
  </si>
  <si>
    <t>MTCH</t>
  </si>
  <si>
    <t>Match Group, Inc.</t>
  </si>
  <si>
    <t>MOS</t>
  </si>
  <si>
    <t>Mosaic Company</t>
  </si>
  <si>
    <t>NWSA</t>
  </si>
  <si>
    <t>News Corporation Class A</t>
  </si>
  <si>
    <t>Publishing</t>
  </si>
  <si>
    <t>SWKS</t>
  </si>
  <si>
    <t>Skyworks Solutions, Inc.</t>
  </si>
  <si>
    <t>SMCI</t>
  </si>
  <si>
    <t>Super Micro Computer, Inc.</t>
  </si>
  <si>
    <t>TECH</t>
  </si>
  <si>
    <t>Bio-Techne Corporation</t>
  </si>
  <si>
    <t>CDW</t>
  </si>
  <si>
    <t>CDW Corporation</t>
  </si>
  <si>
    <t>Technology Distributors</t>
  </si>
  <si>
    <t>CRL</t>
  </si>
  <si>
    <t>Charles River Laboratories International, Inc.</t>
  </si>
  <si>
    <t>Dayforce, Inc.</t>
  </si>
  <si>
    <t>EMR</t>
  </si>
  <si>
    <t>Emerson Electric Co.</t>
  </si>
  <si>
    <t>GPN</t>
  </si>
  <si>
    <t>Global Payments Inc.</t>
  </si>
  <si>
    <t>IRM</t>
  </si>
  <si>
    <t>Iron Mountain, Inc.</t>
  </si>
  <si>
    <t>MKTX</t>
  </si>
  <si>
    <t>MarketAxess Holdings Inc.</t>
  </si>
  <si>
    <t>NI</t>
  </si>
  <si>
    <t>NiSource Inc</t>
  </si>
  <si>
    <t>NRG</t>
  </si>
  <si>
    <t>NRG Energy, Inc.</t>
  </si>
  <si>
    <t>ROK</t>
  </si>
  <si>
    <t>Rockwell Automation, Inc.</t>
  </si>
  <si>
    <t>TRMB</t>
  </si>
  <si>
    <t>Trimble Inc.</t>
  </si>
  <si>
    <t>ABNB</t>
  </si>
  <si>
    <t>Airbnb, Inc. Class A</t>
  </si>
  <si>
    <t>CPAY</t>
  </si>
  <si>
    <t>Corpay, Inc.</t>
  </si>
  <si>
    <t>PAYC</t>
  </si>
  <si>
    <t>Paycom Software, Inc.</t>
  </si>
  <si>
    <t>STE</t>
  </si>
  <si>
    <t>STERIS plc</t>
  </si>
  <si>
    <t>CEG</t>
  </si>
  <si>
    <t>Constellation Energy Corporation</t>
  </si>
  <si>
    <t>DDOG</t>
  </si>
  <si>
    <t>Datadog, Inc. Class A</t>
  </si>
  <si>
    <t>EVRG</t>
  </si>
  <si>
    <t>Evergy, Inc.</t>
  </si>
  <si>
    <t>KVUE</t>
  </si>
  <si>
    <t>Kenvue, Inc.</t>
  </si>
  <si>
    <t>Personal Care Products</t>
  </si>
  <si>
    <t>MLM</t>
  </si>
  <si>
    <t>Martin Marietta Materials, Inc.</t>
  </si>
  <si>
    <t>Construction Materials</t>
  </si>
  <si>
    <t>PH</t>
  </si>
  <si>
    <t>Parker-Hannifin Corporation</t>
  </si>
  <si>
    <t>RL</t>
  </si>
  <si>
    <t>Ralph Lauren Corporation Class A</t>
  </si>
  <si>
    <t>Apparel Accessories &amp; Luxury Goods</t>
  </si>
  <si>
    <t>SRE</t>
  </si>
  <si>
    <t>Sempra</t>
  </si>
  <si>
    <t>XYZ</t>
  </si>
  <si>
    <t>Block, Inc. Class A</t>
  </si>
  <si>
    <t>ED</t>
  </si>
  <si>
    <t>Consolidated Edison, Inc.</t>
  </si>
  <si>
    <t>GILD</t>
  </si>
  <si>
    <t>Gilead Sciences, Inc.</t>
  </si>
  <si>
    <t>LYV</t>
  </si>
  <si>
    <t>Live Nation Entertainment, Inc.</t>
  </si>
  <si>
    <t>MCHP</t>
  </si>
  <si>
    <t>Microchip Technology Incorporated</t>
  </si>
  <si>
    <t>MSI</t>
  </si>
  <si>
    <t>Motorola Solutions, Inc.</t>
  </si>
  <si>
    <t>SOLV</t>
  </si>
  <si>
    <t>Solventum Corporation</t>
  </si>
  <si>
    <t>TTD</t>
  </si>
  <si>
    <t>Trade Desk, Inc. Class A</t>
  </si>
  <si>
    <t>WYNN</t>
  </si>
  <si>
    <t>Wynn Resorts, Limited</t>
  </si>
  <si>
    <t>Scheduled S&amp;P 500 earnings release for 8/11-15/25; ATC stands for after-the-close</t>
  </si>
  <si>
    <t xml:space="preserve">4 Issues, 0.6% of the market value </t>
  </si>
  <si>
    <t>CAH</t>
  </si>
  <si>
    <t>Cardinal Health, Inc.</t>
  </si>
  <si>
    <t>DE</t>
  </si>
  <si>
    <t>Deere &amp; Company</t>
  </si>
  <si>
    <t>Agricultural &amp; Farm Machinery</t>
  </si>
  <si>
    <t>TPR</t>
  </si>
  <si>
    <t>Tapestry, Inc.</t>
  </si>
  <si>
    <t>AMAT</t>
  </si>
  <si>
    <t>Applied Materials, Inc.</t>
  </si>
  <si>
    <t>Scheduled S&amp;P 500 earnings release for 8/18-23/25; ATC stands for after-the-close</t>
  </si>
  <si>
    <t xml:space="preserve">7 ssues, 2.3% of the market value </t>
  </si>
  <si>
    <t>HD</t>
  </si>
  <si>
    <t>Home Depot, Inc.</t>
  </si>
  <si>
    <t>Home Improvement Retail</t>
  </si>
  <si>
    <t>MDT</t>
  </si>
  <si>
    <t>Medtronic Plc</t>
  </si>
  <si>
    <t>ADI</t>
  </si>
  <si>
    <t>Analog Devices, Inc.</t>
  </si>
  <si>
    <t>EL</t>
  </si>
  <si>
    <t>Estee Lauder Companies Inc. Class A</t>
  </si>
  <si>
    <t>LOW</t>
  </si>
  <si>
    <t>Lowe's Companies, Inc.</t>
  </si>
  <si>
    <t>TGT</t>
  </si>
  <si>
    <t>Target Corporation</t>
  </si>
  <si>
    <t>Consumer Staples Merchandise Retail</t>
  </si>
  <si>
    <t>WMT</t>
  </si>
  <si>
    <t>Walmart Inc.</t>
  </si>
  <si>
    <t>Productivity and Costs</t>
  </si>
  <si>
    <t>FOMC Minutes, 2 p.m.</t>
  </si>
  <si>
    <t>Leading Indicators, 10 a.m.</t>
  </si>
  <si>
    <t>Corporate Profits</t>
  </si>
  <si>
    <t>E-Commerce Retail Sales</t>
  </si>
  <si>
    <t xml:space="preserve">Three-day Fed Jackson Hole Economic Policy Symposium </t>
  </si>
  <si>
    <t xml:space="preserve">Of the 316 issues (503 in the index) with full operating comparative data </t>
  </si>
  <si>
    <t>246 beat, 50 missed, and 20 met their estimates; 247 of 315 (78.4%) beat on sales</t>
  </si>
  <si>
    <t>6/30/2025 (67.2%)</t>
  </si>
  <si>
    <t>Dividend yield (last 12 months: July  2025)</t>
  </si>
  <si>
    <t>https://www.spglobal.com/spdji/en/search/?query=index+earnings&amp;activeTab=all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</si>
</sst>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08">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xf numFmtId="3" fontId="10" fillId="0" borderId="0" xfId="54" applyNumberFormat="1" applyFont="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xf numFmtId="3" fontId="9" fillId="0" borderId="0" xfId="54" applyNumberFormat="1" applyFont="1"/>
    <xf numFmtId="10" fontId="38" fillId="0" borderId="0" xfId="54" applyNumberFormat="1" applyFont="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xf numFmtId="2" fontId="10" fillId="0" borderId="0" xfId="228" applyNumberFormat="1" applyFont="1" applyAlignment="1">
      <alignment horizontal="left"/>
    </xf>
    <xf numFmtId="2" fontId="9" fillId="0" borderId="0" xfId="228" applyNumberFormat="1" applyAlignment="1">
      <alignment horizontal="right"/>
    </xf>
    <xf numFmtId="2" fontId="9" fillId="0" borderId="0" xfId="228" applyNumberForma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xf numFmtId="0" fontId="10" fillId="0" borderId="0" xfId="57" applyNumberFormat="1" applyFont="1" applyBorder="1" applyAlignment="1">
      <alignment horizontal="left"/>
    </xf>
    <xf numFmtId="10" fontId="10" fillId="0" borderId="0" xfId="54" applyNumberFormat="1" applyFont="1" applyAlignment="1">
      <alignment horizontal="right"/>
    </xf>
    <xf numFmtId="1" fontId="9" fillId="0" borderId="0" xfId="228" applyNumberFormat="1"/>
    <xf numFmtId="170" fontId="9" fillId="0" borderId="0" xfId="228" applyNumberForma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10" fontId="9" fillId="0" borderId="0" xfId="228" applyNumberFormat="1" applyAlignment="1">
      <alignment horizontal="right"/>
    </xf>
    <xf numFmtId="1" fontId="88" fillId="0" borderId="0" xfId="0" applyNumberFormat="1" applyFont="1" applyAlignment="1"/>
    <xf numFmtId="167" fontId="88" fillId="0" borderId="0" xfId="0" applyFont="1" applyAlignment="1">
      <alignment horizontal="left"/>
    </xf>
    <xf numFmtId="1" fontId="73" fillId="0" borderId="0" xfId="0" applyNumberFormat="1" applyFont="1" applyAlignment="1"/>
    <xf numFmtId="0" fontId="87" fillId="0" borderId="0" xfId="0" applyNumberFormat="1" applyFont="1"/>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07"/>
  <sheetViews>
    <sheetView tabSelected="1" zoomScaleNormal="100" workbookViewId="0">
      <selection activeCell="C1" sqref="C1"/>
    </sheetView>
  </sheetViews>
  <sheetFormatPr defaultRowHeight="12.75" x14ac:dyDescent="0.35"/>
  <cols>
    <col min="1" max="1" width="18.3984375" customWidth="1"/>
    <col min="2" max="2" width="10.265625" bestFit="1" customWidth="1"/>
    <col min="3" max="3" width="15.86328125" customWidth="1"/>
    <col min="4" max="4" width="16.59765625" customWidth="1"/>
    <col min="5" max="5" width="13.59765625" customWidth="1"/>
    <col min="6" max="6" width="12" customWidth="1"/>
    <col min="7" max="7" width="14.73046875" customWidth="1"/>
    <col min="8" max="8" width="15.86328125" customWidth="1"/>
    <col min="9" max="9" width="14.1328125" customWidth="1"/>
    <col min="10" max="10" width="16.73046875" customWidth="1"/>
    <col min="11" max="11" width="16" bestFit="1" customWidth="1"/>
    <col min="12" max="12" width="15.3984375" bestFit="1" customWidth="1"/>
    <col min="13" max="13" width="13.3984375" customWidth="1"/>
    <col min="14" max="14" width="9" customWidth="1"/>
    <col min="15" max="15" width="8.265625" bestFit="1" customWidth="1"/>
    <col min="16" max="16" width="9" bestFit="1" customWidth="1"/>
    <col min="17" max="17" width="9.59765625" bestFit="1" customWidth="1"/>
    <col min="18" max="22" width="8.265625" bestFit="1" customWidth="1"/>
    <col min="24" max="24" width="10.1328125" customWidth="1"/>
  </cols>
  <sheetData>
    <row r="1" spans="1:28" s="120" customFormat="1" ht="15" x14ac:dyDescent="0.4">
      <c r="A1" s="256" t="s">
        <v>147</v>
      </c>
      <c r="B1" s="113"/>
      <c r="C1" s="113" t="s">
        <v>1404</v>
      </c>
      <c r="D1" s="292" t="s">
        <v>619</v>
      </c>
      <c r="F1" s="257"/>
      <c r="G1" s="257"/>
      <c r="I1" s="258"/>
      <c r="K1" s="218"/>
    </row>
    <row r="2" spans="1:28" s="120" customFormat="1" ht="15" x14ac:dyDescent="0.4">
      <c r="A2" s="255">
        <f>D112</f>
        <v>45869</v>
      </c>
      <c r="B2" s="113"/>
      <c r="C2" s="113"/>
      <c r="D2" s="293"/>
      <c r="E2" s="259"/>
      <c r="F2" s="113"/>
      <c r="G2" s="113"/>
      <c r="H2" s="113"/>
      <c r="I2" s="258"/>
      <c r="K2" s="218"/>
      <c r="L2" s="260"/>
      <c r="M2" s="267"/>
      <c r="N2" s="267"/>
      <c r="O2" s="267"/>
      <c r="P2" s="267"/>
      <c r="Q2" s="267"/>
    </row>
    <row r="3" spans="1:28" s="120" customFormat="1" ht="15" x14ac:dyDescent="0.4">
      <c r="A3" s="175" t="s">
        <v>6</v>
      </c>
      <c r="B3" s="113"/>
      <c r="C3" s="113"/>
      <c r="D3" s="113"/>
      <c r="E3" s="113"/>
      <c r="F3" s="113"/>
      <c r="G3" s="113"/>
      <c r="H3" s="113"/>
      <c r="I3" s="258"/>
      <c r="J3" s="130"/>
      <c r="K3" s="218"/>
      <c r="L3" s="260"/>
      <c r="M3" s="267"/>
      <c r="N3" s="267"/>
      <c r="O3" s="267"/>
      <c r="P3" s="267"/>
      <c r="Q3" s="267"/>
    </row>
    <row r="4" spans="1:28" s="120" customFormat="1" ht="15" x14ac:dyDescent="0.4">
      <c r="A4" s="113"/>
      <c r="B4" s="113"/>
      <c r="C4" s="113" t="s">
        <v>21</v>
      </c>
      <c r="D4" s="113"/>
      <c r="E4" s="113" t="s">
        <v>397</v>
      </c>
      <c r="F4" s="113"/>
      <c r="G4" s="113"/>
      <c r="H4" s="113"/>
      <c r="I4" s="113"/>
      <c r="J4" s="258"/>
      <c r="K4" s="218"/>
      <c r="L4" s="267"/>
      <c r="M4" s="267"/>
      <c r="N4" s="267"/>
      <c r="O4" s="267"/>
      <c r="P4" s="267"/>
      <c r="Q4" s="267"/>
      <c r="T4" s="267"/>
    </row>
    <row r="5" spans="1:28" s="7" customFormat="1" ht="15" x14ac:dyDescent="0.4">
      <c r="A5" s="6"/>
      <c r="B5" s="6"/>
      <c r="C5" s="6"/>
      <c r="D5" s="6"/>
      <c r="E5" s="6"/>
      <c r="F5" s="6"/>
      <c r="G5" s="6"/>
      <c r="H5" s="6"/>
      <c r="I5" s="6"/>
      <c r="J5" s="90"/>
      <c r="K5" s="218"/>
      <c r="L5" s="267"/>
      <c r="M5" s="267"/>
      <c r="N5" s="267"/>
      <c r="O5" s="267"/>
      <c r="P5" s="267"/>
      <c r="Q5" s="267"/>
      <c r="R5" s="120"/>
      <c r="S5" s="120"/>
      <c r="T5" s="267"/>
      <c r="U5" s="120"/>
      <c r="V5" s="120"/>
      <c r="W5" s="120"/>
      <c r="X5" s="120"/>
      <c r="Y5" s="120"/>
      <c r="Z5" s="120"/>
      <c r="AA5" s="120"/>
      <c r="AB5" s="120"/>
    </row>
    <row r="6" spans="1:28" s="7" customFormat="1" ht="15" x14ac:dyDescent="0.4">
      <c r="A6" s="6"/>
      <c r="B6" s="6"/>
      <c r="C6" s="6"/>
      <c r="D6" s="6"/>
      <c r="E6" s="6"/>
      <c r="F6" s="6"/>
      <c r="G6" s="6"/>
      <c r="H6" s="6"/>
      <c r="I6" s="6"/>
      <c r="J6" s="90"/>
      <c r="K6" s="218"/>
      <c r="L6" s="267"/>
      <c r="M6" s="267"/>
      <c r="N6" s="267"/>
      <c r="O6" s="120"/>
      <c r="P6" s="120"/>
      <c r="Q6" s="120"/>
      <c r="R6" s="267"/>
      <c r="S6" s="120"/>
      <c r="T6" s="120"/>
      <c r="U6" s="120"/>
      <c r="V6" s="120"/>
      <c r="W6" s="120"/>
      <c r="X6" s="120"/>
      <c r="Y6" s="120"/>
    </row>
    <row r="7" spans="1:28" s="208" customFormat="1" ht="17.25" x14ac:dyDescent="0.45">
      <c r="A7" s="209" t="s">
        <v>147</v>
      </c>
      <c r="B7" s="209"/>
      <c r="C7" s="209"/>
      <c r="D7" s="210"/>
      <c r="E7" s="211"/>
      <c r="F7" s="222"/>
      <c r="G7" s="222"/>
      <c r="H7" s="222"/>
      <c r="I7" s="222"/>
      <c r="J7" s="222"/>
      <c r="L7" s="268"/>
      <c r="M7" s="268"/>
      <c r="N7" s="268"/>
      <c r="O7" s="268"/>
      <c r="P7" s="268"/>
      <c r="Q7" s="268"/>
      <c r="R7" s="120"/>
      <c r="S7" s="120"/>
      <c r="T7" s="120"/>
      <c r="U7" s="120"/>
      <c r="V7" s="120"/>
      <c r="W7" s="120"/>
      <c r="X7" s="120"/>
      <c r="Y7" s="120"/>
      <c r="Z7" s="120"/>
    </row>
    <row r="8" spans="1:28" s="208" customFormat="1" ht="17.25" x14ac:dyDescent="0.45">
      <c r="A8" s="209" t="s">
        <v>407</v>
      </c>
      <c r="B8" s="209"/>
      <c r="C8" s="209"/>
      <c r="D8" s="210"/>
      <c r="E8" s="211"/>
      <c r="F8" s="222"/>
      <c r="G8" s="222"/>
      <c r="H8" s="222"/>
      <c r="I8" s="222"/>
      <c r="J8" s="209"/>
      <c r="K8" s="209" t="s">
        <v>455</v>
      </c>
      <c r="L8" s="222"/>
    </row>
    <row r="9" spans="1:28" s="208" customFormat="1" ht="17.649999999999999" x14ac:dyDescent="0.5">
      <c r="A9" s="209" t="s">
        <v>136</v>
      </c>
      <c r="B9" s="209"/>
      <c r="C9" s="275" t="s">
        <v>783</v>
      </c>
      <c r="D9" s="275" t="s">
        <v>784</v>
      </c>
      <c r="E9" s="214" t="s">
        <v>739</v>
      </c>
      <c r="F9" s="214" t="s">
        <v>654</v>
      </c>
      <c r="G9" s="214" t="s">
        <v>646</v>
      </c>
      <c r="H9" s="214" t="s">
        <v>246</v>
      </c>
      <c r="I9" s="214" t="s">
        <v>785</v>
      </c>
      <c r="J9" s="214"/>
      <c r="K9" s="209"/>
      <c r="L9" s="214" t="s">
        <v>608</v>
      </c>
      <c r="M9" s="214" t="s">
        <v>609</v>
      </c>
      <c r="N9" s="209"/>
      <c r="U9" s="269"/>
      <c r="V9" s="271"/>
    </row>
    <row r="10" spans="1:28" s="208" customFormat="1" ht="17.25" x14ac:dyDescent="0.45">
      <c r="A10" s="209" t="s">
        <v>23</v>
      </c>
      <c r="B10" s="209"/>
      <c r="C10" s="210">
        <v>0.18977009521099486</v>
      </c>
      <c r="D10" s="210">
        <v>0.17716730661027741</v>
      </c>
      <c r="E10" s="210">
        <v>0.18901065602747336</v>
      </c>
      <c r="F10" s="210">
        <v>0.14226260733623883</v>
      </c>
      <c r="G10" s="210">
        <v>0.20154414658820696</v>
      </c>
      <c r="H10" s="210">
        <v>0.30415938183907765</v>
      </c>
      <c r="I10" s="210">
        <v>0.35183070297343039</v>
      </c>
      <c r="J10" s="210"/>
      <c r="K10" s="209" t="s">
        <v>515</v>
      </c>
      <c r="L10" s="285">
        <v>0.29155729653462753</v>
      </c>
      <c r="M10" s="286">
        <v>0.30022335403904848</v>
      </c>
      <c r="N10" s="221"/>
      <c r="O10" s="209"/>
      <c r="V10" s="271"/>
    </row>
    <row r="11" spans="1:28" s="208" customFormat="1" ht="17.25" x14ac:dyDescent="0.45">
      <c r="A11" s="209" t="s">
        <v>483</v>
      </c>
      <c r="B11" s="209"/>
      <c r="C11" s="210">
        <v>0.17256916326107838</v>
      </c>
      <c r="D11" s="210">
        <v>0.1847776221380816</v>
      </c>
      <c r="E11" s="210">
        <v>0.16803544764007014</v>
      </c>
      <c r="F11" s="210">
        <v>0.14805415964071658</v>
      </c>
      <c r="G11" s="210">
        <v>0.1971590278548441</v>
      </c>
      <c r="H11" s="210">
        <v>0.32350796301959589</v>
      </c>
      <c r="I11" s="210">
        <v>0.33717613221114173</v>
      </c>
      <c r="J11" s="210"/>
      <c r="K11" s="218">
        <v>45747</v>
      </c>
      <c r="L11" s="210">
        <v>0.18901065602747336</v>
      </c>
      <c r="M11" s="250">
        <v>0.18977009521099486</v>
      </c>
      <c r="N11" s="236"/>
      <c r="O11" s="210"/>
    </row>
    <row r="12" spans="1:28" s="208" customFormat="1" ht="17.25" x14ac:dyDescent="0.45">
      <c r="A12" s="209" t="s">
        <v>401</v>
      </c>
      <c r="B12" s="209"/>
      <c r="C12" s="210">
        <v>0.19275794717288811</v>
      </c>
      <c r="D12" s="210">
        <v>0.13075905827994841</v>
      </c>
      <c r="E12" s="210">
        <v>0.21859391047518195</v>
      </c>
      <c r="F12" s="210">
        <v>0.17943449875490827</v>
      </c>
      <c r="G12" s="210">
        <v>0.20810642760995673</v>
      </c>
      <c r="H12" s="210">
        <v>0.33903447974765061</v>
      </c>
      <c r="I12" s="210">
        <v>0.37749196141479097</v>
      </c>
      <c r="J12" s="210"/>
      <c r="K12" s="218">
        <v>45657</v>
      </c>
      <c r="L12" s="210">
        <v>0.14226260733623883</v>
      </c>
      <c r="M12" s="250">
        <v>0.19263332315683748</v>
      </c>
      <c r="N12" s="236"/>
      <c r="O12" s="210"/>
    </row>
    <row r="13" spans="1:28" s="208" customFormat="1" ht="17.25" x14ac:dyDescent="0.45">
      <c r="A13" s="209" t="s">
        <v>402</v>
      </c>
      <c r="B13" s="209"/>
      <c r="C13" s="210">
        <v>0.22724683233474116</v>
      </c>
      <c r="D13" s="210">
        <v>0.23471947978680763</v>
      </c>
      <c r="E13" s="210">
        <v>0.25634214371098418</v>
      </c>
      <c r="F13" s="210">
        <v>0.14361669114756812</v>
      </c>
      <c r="G13" s="210">
        <v>0.28416214942257834</v>
      </c>
      <c r="H13" s="210">
        <v>0.29504278669835032</v>
      </c>
      <c r="I13" s="210">
        <v>0.39079089924160348</v>
      </c>
      <c r="J13" s="210"/>
      <c r="K13" s="218">
        <v>45565</v>
      </c>
      <c r="L13" s="210">
        <v>0.22291256099682574</v>
      </c>
      <c r="M13" s="250">
        <v>0.19443952185648355</v>
      </c>
      <c r="N13" s="218"/>
      <c r="O13" s="210"/>
    </row>
    <row r="14" spans="1:28" s="208" customFormat="1" ht="17.25" x14ac:dyDescent="0.45">
      <c r="A14" s="209" t="s">
        <v>127</v>
      </c>
      <c r="B14" s="209"/>
      <c r="C14" s="210">
        <v>0.27126565026256361</v>
      </c>
      <c r="D14" s="210">
        <v>0.24980600805270067</v>
      </c>
      <c r="E14" s="210">
        <v>0.29911017351251523</v>
      </c>
      <c r="F14" s="210">
        <v>0.22384709667534855</v>
      </c>
      <c r="G14" s="210">
        <v>0.27228262721974161</v>
      </c>
      <c r="H14" s="210">
        <v>0.55554587688734036</v>
      </c>
      <c r="I14" s="210">
        <v>0.40951110443049871</v>
      </c>
      <c r="J14" s="210"/>
      <c r="K14" s="218">
        <v>45473</v>
      </c>
      <c r="L14" s="210">
        <v>0.20512513713115144</v>
      </c>
      <c r="M14" s="250">
        <v>0.18220550335022392</v>
      </c>
      <c r="N14" s="218"/>
      <c r="O14" s="210"/>
    </row>
    <row r="15" spans="1:28" s="208" customFormat="1" ht="17.25" x14ac:dyDescent="0.45">
      <c r="A15" s="209" t="s">
        <v>133</v>
      </c>
      <c r="B15" s="209"/>
      <c r="C15" s="210">
        <v>0.19238043071358307</v>
      </c>
      <c r="D15" s="210">
        <v>0.18105531102918032</v>
      </c>
      <c r="E15" s="210">
        <v>0.18792387594379348</v>
      </c>
      <c r="F15" s="210">
        <v>0.17943203541603783</v>
      </c>
      <c r="G15" s="210">
        <v>0.19124968671466988</v>
      </c>
      <c r="H15" s="210">
        <v>0.27555263485876791</v>
      </c>
      <c r="I15" s="210">
        <v>0.34219115793264898</v>
      </c>
      <c r="J15" s="210"/>
      <c r="K15" s="218">
        <v>45382</v>
      </c>
      <c r="L15" s="210">
        <v>0.20154414658820696</v>
      </c>
      <c r="M15" s="250">
        <v>0.17716730661027741</v>
      </c>
      <c r="N15" s="218"/>
      <c r="O15" s="213"/>
    </row>
    <row r="16" spans="1:28" s="208" customFormat="1" ht="17.25" x14ac:dyDescent="0.45">
      <c r="A16" s="209" t="s">
        <v>403</v>
      </c>
      <c r="B16" s="209"/>
      <c r="C16" s="210">
        <v>0.13611964731899251</v>
      </c>
      <c r="D16" s="210">
        <v>0.21175724659353279</v>
      </c>
      <c r="E16" s="210">
        <v>0.18667751330360996</v>
      </c>
      <c r="F16" s="210">
        <v>-5.7652449770884732E-2</v>
      </c>
      <c r="G16" s="210">
        <v>0.34254820188764251</v>
      </c>
      <c r="H16" s="210">
        <v>0.26731404436582856</v>
      </c>
      <c r="I16" s="210">
        <v>0.33158847521210932</v>
      </c>
      <c r="J16" s="210"/>
      <c r="K16" s="218">
        <v>45291</v>
      </c>
      <c r="L16" s="210">
        <v>0.13973200900196101</v>
      </c>
      <c r="M16" s="250">
        <v>0.17742744424430068</v>
      </c>
      <c r="N16" s="218"/>
      <c r="O16" s="270"/>
    </row>
    <row r="17" spans="1:30" s="208" customFormat="1" ht="17.25" x14ac:dyDescent="0.45">
      <c r="A17" s="209" t="s">
        <v>129</v>
      </c>
      <c r="B17" s="209"/>
      <c r="C17" s="210">
        <v>0.18314725619455607</v>
      </c>
      <c r="D17" s="210">
        <v>0.20165740601797744</v>
      </c>
      <c r="E17" s="210">
        <v>0.19290484332231822</v>
      </c>
      <c r="F17" s="210">
        <v>8.6073351306005089E-2</v>
      </c>
      <c r="G17" s="210">
        <v>0.20454731936262041</v>
      </c>
      <c r="H17" s="210">
        <v>0.60743285446595885</v>
      </c>
      <c r="I17" s="210">
        <v>0.34691263761976304</v>
      </c>
      <c r="J17" s="210"/>
      <c r="K17" s="218">
        <v>45199</v>
      </c>
      <c r="L17" s="210">
        <v>0.17704983691914242</v>
      </c>
      <c r="M17" s="250">
        <v>0.19352953328194045</v>
      </c>
      <c r="N17" s="218"/>
      <c r="O17" s="218"/>
      <c r="P17" s="271"/>
      <c r="Q17" s="271"/>
      <c r="R17" s="271"/>
      <c r="S17" s="271"/>
    </row>
    <row r="18" spans="1:30" s="208" customFormat="1" ht="17.25" x14ac:dyDescent="0.45">
      <c r="A18" s="209" t="s">
        <v>404</v>
      </c>
      <c r="B18" s="209"/>
      <c r="C18" s="210">
        <v>0.19874924284944234</v>
      </c>
      <c r="D18" s="210">
        <v>0.13359773389826168</v>
      </c>
      <c r="E18" s="210">
        <v>0.15937315682548003</v>
      </c>
      <c r="F18" s="210">
        <v>0.14735001956699528</v>
      </c>
      <c r="G18" s="210">
        <v>0.14534926879964369</v>
      </c>
      <c r="H18" s="210">
        <v>0.237192111815792</v>
      </c>
      <c r="I18" s="210">
        <v>0.31968141654612314</v>
      </c>
      <c r="J18" s="210"/>
      <c r="K18" s="218">
        <v>45107</v>
      </c>
      <c r="L18" s="210">
        <v>0.18811933748584372</v>
      </c>
      <c r="M18" s="210">
        <v>0.19816611400990222</v>
      </c>
      <c r="N18" s="218"/>
      <c r="O18" s="218"/>
      <c r="P18" s="271"/>
      <c r="Q18" s="271"/>
      <c r="R18" s="271"/>
      <c r="S18" s="271"/>
    </row>
    <row r="19" spans="1:30" s="208" customFormat="1" ht="17.649999999999999" x14ac:dyDescent="0.5">
      <c r="A19" s="209" t="s">
        <v>405</v>
      </c>
      <c r="B19" s="209"/>
      <c r="C19" s="210">
        <v>0.27216856554985719</v>
      </c>
      <c r="D19" s="210">
        <v>0.21019350818688484</v>
      </c>
      <c r="E19" s="210">
        <v>0.30607228118278301</v>
      </c>
      <c r="F19" s="210">
        <v>0.37516568261236294</v>
      </c>
      <c r="G19" s="210">
        <v>0.22979372341279397</v>
      </c>
      <c r="H19" s="210">
        <v>0.32934738112166845</v>
      </c>
      <c r="I19" s="210">
        <v>0.34906135819579193</v>
      </c>
      <c r="J19" s="210"/>
      <c r="K19" s="218">
        <v>45016</v>
      </c>
      <c r="L19" s="210">
        <v>0.20199233765181288</v>
      </c>
      <c r="M19" s="210">
        <v>0.20148108572079212</v>
      </c>
      <c r="N19" s="218"/>
      <c r="O19" s="218"/>
      <c r="P19" s="271"/>
      <c r="Q19" s="271"/>
      <c r="R19" s="271"/>
      <c r="S19" s="271"/>
      <c r="W19" s="269"/>
    </row>
    <row r="20" spans="1:30" s="208" customFormat="1" ht="17.25" x14ac:dyDescent="0.45">
      <c r="A20" s="209" t="s">
        <v>303</v>
      </c>
      <c r="B20" s="209"/>
      <c r="C20" s="210">
        <v>5.3492097570642917E-2</v>
      </c>
      <c r="D20" s="210">
        <v>4.9840747138846904E-2</v>
      </c>
      <c r="E20" s="210">
        <v>5.4493770412483371E-2</v>
      </c>
      <c r="F20" s="210">
        <v>6.3901056428755473E-2</v>
      </c>
      <c r="G20" s="210">
        <v>5.4223652453740945E-2</v>
      </c>
      <c r="H20" s="210"/>
      <c r="I20" s="210"/>
      <c r="J20" s="210"/>
      <c r="K20" s="218">
        <v>44926</v>
      </c>
      <c r="L20" s="210">
        <v>0.20901741508182137</v>
      </c>
      <c r="M20" s="210">
        <v>0.19663634327166021</v>
      </c>
      <c r="N20" s="218"/>
      <c r="O20" s="213"/>
      <c r="W20" s="271"/>
    </row>
    <row r="21" spans="1:30" s="208" customFormat="1" ht="18.75" customHeight="1" x14ac:dyDescent="0.45">
      <c r="A21" s="209" t="s">
        <v>406</v>
      </c>
      <c r="B21" s="209"/>
      <c r="C21" s="210">
        <v>0.10312844107957944</v>
      </c>
      <c r="D21" s="210">
        <v>9.72257610047811E-2</v>
      </c>
      <c r="E21" s="210">
        <v>0.11484295680083843</v>
      </c>
      <c r="F21" s="210">
        <v>5.2967932681373661E-2</v>
      </c>
      <c r="G21" s="210">
        <v>0.12538003751859758</v>
      </c>
      <c r="H21" s="210">
        <v>0.3319101638997195</v>
      </c>
      <c r="I21" s="210">
        <v>0.33737641889417791</v>
      </c>
      <c r="J21" s="210"/>
      <c r="K21" s="218">
        <v>44834</v>
      </c>
      <c r="L21" s="210">
        <v>0.19499671133909402</v>
      </c>
      <c r="M21" s="250">
        <v>0.18458393906376294</v>
      </c>
      <c r="N21" s="218"/>
      <c r="O21" s="213"/>
      <c r="AD21" s="271"/>
    </row>
    <row r="22" spans="1:30" s="208" customFormat="1" ht="18.75" customHeight="1" x14ac:dyDescent="0.45">
      <c r="A22" s="212"/>
      <c r="B22" s="212"/>
      <c r="C22" s="212"/>
      <c r="D22" s="212"/>
      <c r="E22" s="210"/>
      <c r="F22" s="210"/>
      <c r="G22" s="210"/>
      <c r="H22" s="210"/>
      <c r="I22" s="210"/>
      <c r="J22" s="210"/>
      <c r="K22" s="218">
        <v>44734</v>
      </c>
      <c r="L22" s="210">
        <v>0.20053947969781968</v>
      </c>
      <c r="M22" s="250">
        <v>0.17832915168018781</v>
      </c>
      <c r="N22" s="218"/>
      <c r="O22" s="213"/>
    </row>
    <row r="23" spans="1:30" s="208" customFormat="1" ht="18.75" customHeight="1" x14ac:dyDescent="0.45">
      <c r="A23" s="212"/>
      <c r="B23" s="212"/>
      <c r="C23" s="212"/>
      <c r="D23" s="212"/>
      <c r="E23" s="210"/>
      <c r="F23" s="210"/>
      <c r="G23" s="210"/>
      <c r="H23" s="210"/>
      <c r="I23" s="210"/>
      <c r="J23" s="210"/>
      <c r="K23" s="218">
        <v>44621</v>
      </c>
      <c r="L23" s="210">
        <v>0.18352774771857772</v>
      </c>
      <c r="M23" s="250">
        <v>0.1754245377893705</v>
      </c>
      <c r="O23" s="213"/>
    </row>
    <row r="24" spans="1:30" s="208" customFormat="1" ht="18.75" customHeight="1" x14ac:dyDescent="0.45">
      <c r="A24" s="113"/>
      <c r="B24" s="6"/>
      <c r="C24" s="6"/>
      <c r="D24" s="138"/>
      <c r="E24" s="97"/>
      <c r="F24" s="210"/>
      <c r="G24" s="210"/>
      <c r="H24" s="218"/>
      <c r="I24" s="210"/>
      <c r="J24" s="250"/>
      <c r="K24" s="218"/>
      <c r="L24" s="210"/>
      <c r="M24" s="250"/>
    </row>
    <row r="25" spans="1:30" s="7" customFormat="1" ht="17.25" x14ac:dyDescent="0.45">
      <c r="A25" s="6" t="str">
        <f>'BEATS AND SHARES'!M7</f>
        <v>Q2 2025</v>
      </c>
      <c r="B25" s="6"/>
      <c r="C25" s="6"/>
      <c r="D25" s="97"/>
      <c r="E25" s="97"/>
      <c r="F25" s="6"/>
      <c r="G25" s="6"/>
      <c r="H25" s="218"/>
      <c r="I25" s="210"/>
      <c r="J25" s="250"/>
      <c r="K25" s="218"/>
      <c r="L25" s="210"/>
      <c r="M25" s="250"/>
      <c r="N25" s="208"/>
      <c r="O25" s="208"/>
      <c r="P25" s="208"/>
      <c r="Q25" s="208"/>
      <c r="R25" s="208"/>
      <c r="S25" s="208"/>
      <c r="T25" s="208"/>
      <c r="U25" s="208"/>
      <c r="V25" s="208"/>
      <c r="W25" s="208"/>
      <c r="X25" s="208"/>
      <c r="Y25" s="208"/>
    </row>
    <row r="26" spans="1:30" s="7" customFormat="1" ht="15" x14ac:dyDescent="0.4">
      <c r="A26" s="6" t="str">
        <f>'BEATS AND SHARES'!M8</f>
        <v xml:space="preserve">Issues with diluted share counts for Q1 2025 over Q1 2024 EPS </v>
      </c>
      <c r="B26" s="6"/>
      <c r="C26" s="6"/>
      <c r="D26" s="97"/>
      <c r="E26" s="97"/>
      <c r="F26" s="6"/>
      <c r="G26" s="6"/>
      <c r="H26" s="218"/>
      <c r="I26" s="210"/>
      <c r="J26" s="250"/>
      <c r="K26" s="218"/>
      <c r="L26" s="210"/>
      <c r="M26" s="250"/>
    </row>
    <row r="27" spans="1:30" s="7" customFormat="1" ht="15" x14ac:dyDescent="0.4">
      <c r="A27" s="6" t="str">
        <f>'BEATS AND SHARES'!M9</f>
        <v xml:space="preserve">   -&gt; Therefore adding at least a 4% tailwind to their current EPS</v>
      </c>
      <c r="B27" s="6"/>
      <c r="C27" s="6"/>
      <c r="D27" s="97"/>
      <c r="E27" s="97"/>
      <c r="F27" s="6"/>
      <c r="G27" s="54"/>
      <c r="H27" s="218"/>
      <c r="I27" s="210"/>
      <c r="J27" s="250"/>
      <c r="K27" s="218"/>
      <c r="L27" s="210"/>
      <c r="M27" s="250"/>
      <c r="N27" s="250"/>
    </row>
    <row r="28" spans="1:30" s="7" customFormat="1" ht="15" x14ac:dyDescent="0.4">
      <c r="A28" s="6" t="str">
        <f>'BEATS AND SHARES'!M10</f>
        <v xml:space="preserve">Issues   </v>
      </c>
      <c r="B28" s="6"/>
      <c r="C28" s="6"/>
      <c r="D28" s="138">
        <f>'BEATS AND SHARES'!N10</f>
        <v>294</v>
      </c>
      <c r="E28" s="97" t="str">
        <f>'BEATS AND SHARES'!O10</f>
        <v>% of issues</v>
      </c>
      <c r="F28" s="6"/>
      <c r="G28" s="138"/>
      <c r="H28" s="218"/>
      <c r="I28" s="210"/>
      <c r="J28" s="250"/>
      <c r="K28" s="90"/>
      <c r="L28" s="91"/>
    </row>
    <row r="29" spans="1:30" s="120" customFormat="1" ht="15" x14ac:dyDescent="0.4">
      <c r="A29" s="6" t="str">
        <f>'BEATS AND SHARES'!M11</f>
        <v>Q2,'25 lower shares than Q2,'24</v>
      </c>
      <c r="B29" s="6"/>
      <c r="C29" s="6"/>
      <c r="D29" s="138">
        <f>'BEATS AND SHARES'!N11</f>
        <v>195</v>
      </c>
      <c r="E29" s="97">
        <f>'BEATS AND SHARES'!O11</f>
        <v>0.66326530612244894</v>
      </c>
      <c r="F29" s="6"/>
      <c r="G29" s="76"/>
      <c r="H29" s="228"/>
      <c r="I29" s="230"/>
      <c r="J29" s="231"/>
      <c r="K29" s="130"/>
      <c r="L29" s="91"/>
      <c r="M29" s="7"/>
      <c r="N29" s="7"/>
      <c r="O29" s="7"/>
      <c r="P29" s="7"/>
      <c r="Q29" s="7"/>
      <c r="R29" s="7"/>
      <c r="S29" s="7"/>
      <c r="T29" s="7"/>
      <c r="U29" s="7"/>
      <c r="V29" s="7"/>
      <c r="W29" s="7"/>
      <c r="X29" s="7"/>
      <c r="Y29" s="7"/>
      <c r="Z29" s="7"/>
    </row>
    <row r="30" spans="1:30" s="120" customFormat="1" ht="15" x14ac:dyDescent="0.4">
      <c r="A30" s="6" t="str">
        <f>'BEATS AND SHARES'!M12</f>
        <v xml:space="preserve">    4% lower shares</v>
      </c>
      <c r="B30" s="6"/>
      <c r="C30" s="6"/>
      <c r="D30" s="138">
        <f>'BEATS AND SHARES'!N12</f>
        <v>53</v>
      </c>
      <c r="E30" s="97">
        <f>'BEATS AND SHARES'!O12</f>
        <v>0.18027210884353742</v>
      </c>
      <c r="F30" s="97"/>
      <c r="G30" s="6"/>
      <c r="H30" s="228"/>
      <c r="I30" s="230"/>
      <c r="J30" s="231"/>
      <c r="K30" s="130"/>
    </row>
    <row r="31" spans="1:30" s="120" customFormat="1" ht="15" x14ac:dyDescent="0.4">
      <c r="A31" s="6" t="str">
        <f>'BEATS AND SHARES'!M13</f>
        <v>Q2,'25 higher sharers than Q2,'24</v>
      </c>
      <c r="B31" s="6"/>
      <c r="C31" s="6"/>
      <c r="D31" s="138">
        <f>'BEATS AND SHARES'!N13</f>
        <v>89</v>
      </c>
      <c r="E31" s="97">
        <f>'BEATS AND SHARES'!O13</f>
        <v>0.30272108843537415</v>
      </c>
      <c r="F31" s="6"/>
      <c r="G31" s="6"/>
      <c r="H31" s="228"/>
      <c r="I31" s="230"/>
      <c r="J31" s="231"/>
      <c r="K31" s="130"/>
    </row>
    <row r="32" spans="1:30" s="120" customFormat="1" ht="15" x14ac:dyDescent="0.4">
      <c r="A32" s="6" t="str">
        <f>'BEATS AND SHARES'!M14</f>
        <v xml:space="preserve">    4% higher shares</v>
      </c>
      <c r="B32" s="6"/>
      <c r="C32" s="6"/>
      <c r="D32" s="138">
        <f>'BEATS AND SHARES'!N14</f>
        <v>14</v>
      </c>
      <c r="E32" s="97">
        <f>'BEATS AND SHARES'!O14</f>
        <v>4.7619047619047616E-2</v>
      </c>
      <c r="F32" s="6"/>
      <c r="G32" s="6"/>
      <c r="H32" s="228"/>
      <c r="I32" s="230"/>
      <c r="J32" s="231"/>
      <c r="K32" s="130"/>
    </row>
    <row r="33" spans="1:58" s="120" customFormat="1" ht="15" x14ac:dyDescent="0.4">
      <c r="A33" s="6"/>
      <c r="B33" s="6"/>
      <c r="C33" s="6"/>
      <c r="D33" s="138"/>
      <c r="E33" s="97"/>
      <c r="F33" s="6"/>
      <c r="G33" s="6"/>
      <c r="H33" s="228"/>
      <c r="I33" s="230"/>
      <c r="J33" s="231"/>
      <c r="K33" s="130"/>
    </row>
    <row r="34" spans="1:58" s="120" customFormat="1" ht="15" x14ac:dyDescent="0.4">
      <c r="A34" s="6" t="s">
        <v>3</v>
      </c>
      <c r="B34" s="6"/>
      <c r="C34" s="6"/>
      <c r="D34" s="76"/>
      <c r="E34" s="97"/>
      <c r="F34" s="6"/>
      <c r="G34" s="6"/>
      <c r="H34"/>
      <c r="I34" s="161"/>
      <c r="J34" s="162"/>
      <c r="K34" s="130"/>
    </row>
    <row r="35" spans="1:58" s="120" customFormat="1" ht="15" x14ac:dyDescent="0.4">
      <c r="A35" s="6"/>
      <c r="B35" s="139"/>
      <c r="C35" s="140"/>
      <c r="D35" s="6"/>
      <c r="E35" s="113"/>
      <c r="F35" s="113"/>
      <c r="G35" s="113"/>
      <c r="H35" s="131"/>
      <c r="I35" s="131"/>
      <c r="J35" s="131"/>
    </row>
    <row r="36" spans="1:58" s="7" customFormat="1" ht="17.649999999999999" x14ac:dyDescent="0.5">
      <c r="A36" s="6" t="s">
        <v>203</v>
      </c>
      <c r="B36" s="135"/>
      <c r="C36" s="135"/>
      <c r="D36" s="251"/>
      <c r="E36" s="135"/>
      <c r="F36" s="135"/>
      <c r="G36" s="131"/>
      <c r="H36" s="135"/>
      <c r="I36" s="135"/>
      <c r="J36" s="135"/>
      <c r="K36" s="131"/>
      <c r="L36" s="131"/>
      <c r="M36" s="91"/>
    </row>
    <row r="37" spans="1:58" s="7" customFormat="1" ht="13.15" x14ac:dyDescent="0.4">
      <c r="A37" s="6"/>
      <c r="B37" s="6"/>
      <c r="C37" s="135" t="s">
        <v>204</v>
      </c>
      <c r="D37" s="135" t="s">
        <v>204</v>
      </c>
      <c r="E37" s="135" t="s">
        <v>204</v>
      </c>
      <c r="F37" s="135" t="s">
        <v>204</v>
      </c>
      <c r="G37" s="135" t="s">
        <v>204</v>
      </c>
      <c r="H37" s="135" t="s">
        <v>204</v>
      </c>
      <c r="I37" s="135" t="s">
        <v>204</v>
      </c>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ht="13.15" x14ac:dyDescent="0.4">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ht="13.15" x14ac:dyDescent="0.4">
      <c r="A39" s="136" t="s">
        <v>127</v>
      </c>
      <c r="B39" s="136"/>
      <c r="C39" s="134">
        <v>4.5118245915679055E-2</v>
      </c>
      <c r="D39" s="134">
        <v>4.7427164230363222E-2</v>
      </c>
      <c r="E39" s="134">
        <v>4.6540185062093876E-2</v>
      </c>
      <c r="F39" s="134">
        <v>4.5721128682031882E-2</v>
      </c>
      <c r="G39" s="134">
        <v>4.2038360546519001E-2</v>
      </c>
      <c r="H39" s="134">
        <v>4.5368938875087993E-2</v>
      </c>
      <c r="I39" s="134">
        <v>4.5309129360600713E-2</v>
      </c>
      <c r="J39" s="134">
        <v>4.7062337237399637E-2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ht="13.15" x14ac:dyDescent="0.4">
      <c r="A40" s="136" t="s">
        <v>128</v>
      </c>
      <c r="B40" s="136"/>
      <c r="C40" s="134">
        <v>1.890515134218989E-2</v>
      </c>
      <c r="D40" s="134">
        <v>2.0245697154064168E-2</v>
      </c>
      <c r="E40" s="134">
        <v>2.3510587479079414E-2</v>
      </c>
      <c r="F40" s="134">
        <v>2.0165659026738145E-2</v>
      </c>
      <c r="G40" s="134">
        <v>1.8905143754693512E-2</v>
      </c>
      <c r="H40" s="134">
        <v>2.0369781465630833E-2</v>
      </c>
      <c r="I40" s="134">
        <v>2.4165506886456294E-2</v>
      </c>
      <c r="J40" s="134">
        <v>2.0700199792035086E-2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ht="13.15" x14ac:dyDescent="0.4">
      <c r="A41" s="136" t="s">
        <v>129</v>
      </c>
      <c r="B41" s="136"/>
      <c r="C41" s="134">
        <v>7.9203721341948155E-2</v>
      </c>
      <c r="D41" s="134">
        <v>8.0526737511721402E-2</v>
      </c>
      <c r="E41" s="134">
        <v>8.5297025114181801E-2</v>
      </c>
      <c r="F41" s="134">
        <v>7.6052943936711248E-2</v>
      </c>
      <c r="G41" s="134">
        <v>7.7387622308971879E-2</v>
      </c>
      <c r="H41" s="134">
        <v>7.7238020052968454E-2</v>
      </c>
      <c r="I41" s="134">
        <v>8.5557319177818766E-2</v>
      </c>
      <c r="J41" s="134">
        <v>8.1661019576707405E-2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ht="13.15" x14ac:dyDescent="0.4">
      <c r="A42" s="136" t="s">
        <v>130</v>
      </c>
      <c r="B42" s="136"/>
      <c r="C42" s="134">
        <v>8.0842401268563194E-2</v>
      </c>
      <c r="D42" s="134">
        <v>8.7934130768667337E-2</v>
      </c>
      <c r="E42" s="134">
        <v>8.3041757785506001E-2</v>
      </c>
      <c r="F42" s="134">
        <v>7.4251410680007374E-2</v>
      </c>
      <c r="G42" s="134">
        <v>7.9234126951129108E-2</v>
      </c>
      <c r="H42" s="134">
        <v>8.7553616616023289E-2</v>
      </c>
      <c r="I42" s="134">
        <v>8.0415067871065948E-2</v>
      </c>
      <c r="J42" s="134">
        <v>7.6338260547957656E-2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ht="13.15" x14ac:dyDescent="0.4">
      <c r="A43" s="136" t="s">
        <v>131</v>
      </c>
      <c r="B43" s="136"/>
      <c r="C43" s="134">
        <v>5.1989816480460464E-2</v>
      </c>
      <c r="D43" s="134">
        <v>5.4570639953660877E-2</v>
      </c>
      <c r="E43" s="134">
        <v>5.5195414122587869E-2</v>
      </c>
      <c r="F43" s="134">
        <v>5.2390325768080698E-2</v>
      </c>
      <c r="G43" s="134">
        <v>5.5641083034009664E-2</v>
      </c>
      <c r="H43" s="134">
        <v>5.8467764655836217E-2</v>
      </c>
      <c r="I43" s="134">
        <v>5.7680547804418461E-2</v>
      </c>
      <c r="J43" s="134">
        <v>5.8995586648569971E-2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ht="13.15" x14ac:dyDescent="0.4">
      <c r="A44" s="136" t="s">
        <v>132</v>
      </c>
      <c r="B44" s="136"/>
      <c r="C44" s="134">
        <v>0.11538933934559392</v>
      </c>
      <c r="D44" s="134">
        <v>0.12221483786541755</v>
      </c>
      <c r="E44" s="134">
        <v>0.12235582271024868</v>
      </c>
      <c r="F44" s="134">
        <v>0.1301318083953282</v>
      </c>
      <c r="G44" s="134">
        <v>0.11696345796745106</v>
      </c>
      <c r="H44" s="134">
        <v>0.12491875099007599</v>
      </c>
      <c r="I44" s="134">
        <v>0.11656031324976135</v>
      </c>
      <c r="J44" s="134">
        <v>0.12696975041688091</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ht="13.15" x14ac:dyDescent="0.4">
      <c r="A45" s="136" t="s">
        <v>133</v>
      </c>
      <c r="B45" s="136"/>
      <c r="C45" s="134">
        <v>0.18457265840329781</v>
      </c>
      <c r="D45" s="134">
        <v>0.18189845834616111</v>
      </c>
      <c r="E45" s="134">
        <v>0.18760745786127095</v>
      </c>
      <c r="F45" s="134">
        <v>0.19295354983649868</v>
      </c>
      <c r="G45" s="134">
        <v>0.18462327847925022</v>
      </c>
      <c r="H45" s="134">
        <v>0.18361725291840569</v>
      </c>
      <c r="I45" s="134">
        <v>0.19902441543426352</v>
      </c>
      <c r="J45" s="134">
        <v>0.18205704631872499</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ht="13.15" x14ac:dyDescent="0.4">
      <c r="A46" s="136" t="s">
        <v>134</v>
      </c>
      <c r="B46" s="136"/>
      <c r="C46" s="134">
        <v>0.27172205221759582</v>
      </c>
      <c r="D46" s="134">
        <v>0.25182776091568815</v>
      </c>
      <c r="E46" s="134">
        <v>0.24753656378835637</v>
      </c>
      <c r="F46" s="134">
        <v>0.25494731110776736</v>
      </c>
      <c r="G46" s="134">
        <v>0.27278154476450517</v>
      </c>
      <c r="H46" s="134">
        <v>0.24461629600710835</v>
      </c>
      <c r="I46" s="134">
        <v>0.23288183496292439</v>
      </c>
      <c r="J46" s="134">
        <v>0.22673953201843441</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ht="13.15" x14ac:dyDescent="0.4">
      <c r="A47" s="136" t="s">
        <v>376</v>
      </c>
      <c r="B47" s="136"/>
      <c r="C47" s="134">
        <v>0.11221299192501989</v>
      </c>
      <c r="D47" s="134">
        <v>0.10599817355226142</v>
      </c>
      <c r="E47" s="134">
        <v>0.10953100410872106</v>
      </c>
      <c r="F47" s="134">
        <v>0.10807986074441089</v>
      </c>
      <c r="G47" s="134">
        <v>0.1120722056223892</v>
      </c>
      <c r="H47" s="134">
        <v>0.10908994611604879</v>
      </c>
      <c r="I47" s="134">
        <v>0.11889619667488405</v>
      </c>
      <c r="J47" s="134">
        <v>0.13416620368061935</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ht="13.15" x14ac:dyDescent="0.4">
      <c r="A48" s="136" t="s">
        <v>135</v>
      </c>
      <c r="B48" s="136"/>
      <c r="C48" s="134">
        <v>2.5706450202460335E-2</v>
      </c>
      <c r="D48" s="134">
        <v>3.3779470755022058E-2</v>
      </c>
      <c r="E48" s="134">
        <v>2.5242467561112886E-2</v>
      </c>
      <c r="F48" s="134">
        <v>3.1310771998644536E-2</v>
      </c>
      <c r="G48" s="134">
        <v>2.5802931870763324E-2</v>
      </c>
      <c r="H48" s="134">
        <v>3.5048095171408854E-2</v>
      </c>
      <c r="I48" s="134">
        <v>2.5682359864004686E-2</v>
      </c>
      <c r="J48" s="134">
        <v>3.2599198757483197E-2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ht="13.15" x14ac:dyDescent="0.4">
      <c r="A49" s="136" t="s">
        <v>303</v>
      </c>
      <c r="B49" s="136"/>
      <c r="C49" s="134">
        <v>1.4337171557191398E-2</v>
      </c>
      <c r="D49" s="134">
        <v>1.3576928946972818E-2</v>
      </c>
      <c r="E49" s="134">
        <v>1.4141714406841177E-2</v>
      </c>
      <c r="F49" s="134">
        <v>1.3995229823780923E-2</v>
      </c>
      <c r="G49" s="134">
        <v>1.4550244700317889E-2</v>
      </c>
      <c r="H49" s="134">
        <v>1.3711537131405554E-2</v>
      </c>
      <c r="I49" s="134">
        <v>1.3827308713801745E-2</v>
      </c>
      <c r="J49" s="134">
        <v>1.2710865005187562E-2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ht="13.15" x14ac:dyDescent="0.4">
      <c r="A50" s="136" t="s">
        <v>23</v>
      </c>
      <c r="B50" s="136"/>
      <c r="C50" s="134">
        <v>0.99999999999999989</v>
      </c>
      <c r="D50" s="134">
        <v>1</v>
      </c>
      <c r="E50" s="134">
        <v>1</v>
      </c>
      <c r="F50" s="134">
        <v>0.99999999999999989</v>
      </c>
      <c r="G50" s="134">
        <v>0.99999999999999989</v>
      </c>
      <c r="H50" s="134">
        <v>1</v>
      </c>
      <c r="I50" s="134">
        <v>0.99999999999999989</v>
      </c>
      <c r="J50" s="134">
        <v>1.0000000000000002</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ht="13.15" x14ac:dyDescent="0.4">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ht="13.15" x14ac:dyDescent="0.4">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7.649999999999999" x14ac:dyDescent="0.5">
      <c r="A53" s="136"/>
      <c r="B53" s="136"/>
      <c r="C53" s="134"/>
      <c r="D53" s="251"/>
      <c r="E53" s="251"/>
      <c r="F53" s="134"/>
      <c r="G53" s="134"/>
      <c r="H53" s="134"/>
      <c r="I53" s="134"/>
      <c r="J53" s="144"/>
      <c r="K53" s="134"/>
      <c r="L53" s="134"/>
      <c r="M53" s="134"/>
      <c r="N53" s="134"/>
      <c r="O53" s="134"/>
      <c r="P53" s="134"/>
      <c r="Q53" s="134"/>
      <c r="R53" s="91"/>
    </row>
    <row r="54" spans="1:58" s="146" customFormat="1" ht="13.15" x14ac:dyDescent="0.4">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ht="13.15" x14ac:dyDescent="0.4">
      <c r="A55" s="142" t="s">
        <v>750</v>
      </c>
      <c r="B55" s="142"/>
      <c r="C55" s="143" t="s">
        <v>749</v>
      </c>
      <c r="D55" s="143" t="s">
        <v>213</v>
      </c>
      <c r="E55" s="143" t="s">
        <v>214</v>
      </c>
      <c r="F55" s="143"/>
      <c r="G55" s="143" t="s">
        <v>749</v>
      </c>
      <c r="H55" s="143" t="s">
        <v>213</v>
      </c>
      <c r="I55" s="143" t="s">
        <v>214</v>
      </c>
      <c r="J55" s="143"/>
      <c r="K55" s="143" t="s">
        <v>749</v>
      </c>
      <c r="L55" s="143" t="s">
        <v>213</v>
      </c>
      <c r="M55" s="143" t="s">
        <v>214</v>
      </c>
      <c r="O55" s="147"/>
      <c r="P55" s="147"/>
      <c r="Q55" s="147"/>
      <c r="R55" s="147"/>
      <c r="S55" s="147"/>
      <c r="T55" s="147"/>
      <c r="U55" s="147"/>
    </row>
    <row r="56" spans="1:58" s="146" customFormat="1" ht="13.15" x14ac:dyDescent="0.4">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ht="13.15" x14ac:dyDescent="0.4">
      <c r="A57" s="148" t="s">
        <v>23</v>
      </c>
      <c r="B57" s="149"/>
      <c r="C57" s="149">
        <f>'SECTOR EPS'!DK8</f>
        <v>24.74</v>
      </c>
      <c r="D57" s="80">
        <v>14.966970524310801</v>
      </c>
      <c r="E57" s="149">
        <f>C57/D57</f>
        <v>1.6529731223706827</v>
      </c>
      <c r="F57" s="149"/>
      <c r="G57" s="149">
        <f>'SECTOR EPS'!DK21</f>
        <v>18.87</v>
      </c>
      <c r="H57" s="94">
        <v>13.621754639378601</v>
      </c>
      <c r="I57" s="149">
        <f t="shared" ref="I57:I68" si="0">G57/H57</f>
        <v>1.385284091481831</v>
      </c>
      <c r="J57" s="149"/>
      <c r="K57" s="149">
        <f>'SECTOR EPS'!DK34</f>
        <v>18.399999999999999</v>
      </c>
      <c r="L57" s="94">
        <v>11.507508630088999</v>
      </c>
      <c r="M57" s="149">
        <f t="shared" ref="M57:M68" si="1">K57/L57</f>
        <v>1.5989560026823715</v>
      </c>
      <c r="O57" s="147"/>
      <c r="P57" s="147"/>
      <c r="Q57" s="147"/>
      <c r="R57" s="147"/>
      <c r="S57" s="147"/>
      <c r="T57" s="147"/>
      <c r="U57" s="147"/>
    </row>
    <row r="58" spans="1:58" ht="13.15" x14ac:dyDescent="0.4">
      <c r="A58" s="148" t="s">
        <v>377</v>
      </c>
      <c r="B58" s="149"/>
      <c r="C58" s="149">
        <f>'SECTOR EPS'!DK17</f>
        <v>20.16</v>
      </c>
      <c r="D58" s="80">
        <v>14.8754867179084</v>
      </c>
      <c r="E58" s="149">
        <f t="shared" ref="E58:E68" si="2">C58/D58</f>
        <v>1.355249773153953</v>
      </c>
      <c r="F58" s="149"/>
      <c r="G58" s="149">
        <f>'SECTOR EPS'!DK17</f>
        <v>20.16</v>
      </c>
      <c r="H58" s="94">
        <v>13.036549126494201</v>
      </c>
      <c r="I58" s="149">
        <f t="shared" si="0"/>
        <v>1.5464215111212827</v>
      </c>
      <c r="J58" s="149"/>
      <c r="K58" s="149">
        <f>'SECTOR EPS'!DK43</f>
        <v>62.63</v>
      </c>
      <c r="L58" s="94">
        <v>11.5830642809039</v>
      </c>
      <c r="M58" s="149">
        <f t="shared" si="1"/>
        <v>5.407032066916285</v>
      </c>
      <c r="O58" s="82"/>
      <c r="P58" s="82"/>
      <c r="Q58" s="82"/>
      <c r="R58" s="82"/>
      <c r="S58" s="82"/>
      <c r="T58" s="82"/>
      <c r="U58" s="82"/>
    </row>
    <row r="59" spans="1:58" s="146" customFormat="1" ht="13.15" x14ac:dyDescent="0.4">
      <c r="A59" s="148" t="s">
        <v>130</v>
      </c>
      <c r="B59" s="149"/>
      <c r="C59" s="149">
        <f>'SECTOR EPS'!DK9</f>
        <v>31.78</v>
      </c>
      <c r="D59" s="80">
        <v>15.080510035056401</v>
      </c>
      <c r="E59" s="149">
        <f t="shared" si="2"/>
        <v>2.1073557808140237</v>
      </c>
      <c r="F59" s="149"/>
      <c r="G59" s="149">
        <f>'SECTOR EPS'!DK22</f>
        <v>17</v>
      </c>
      <c r="H59" s="94">
        <v>12.881300184243299</v>
      </c>
      <c r="I59" s="149">
        <f t="shared" si="0"/>
        <v>1.3197425536899441</v>
      </c>
      <c r="J59" s="149"/>
      <c r="K59" s="149">
        <f>'SECTOR EPS'!DK35</f>
        <v>13.82</v>
      </c>
      <c r="L59" s="94">
        <v>9.1664419986623304</v>
      </c>
      <c r="M59" s="149">
        <f t="shared" si="1"/>
        <v>1.507673315558727</v>
      </c>
      <c r="O59" s="147"/>
      <c r="P59" s="147"/>
      <c r="Q59" s="147"/>
      <c r="R59" s="147"/>
      <c r="S59" s="147"/>
      <c r="T59" s="147"/>
      <c r="U59" s="147"/>
    </row>
    <row r="60" spans="1:58" s="146" customFormat="1" ht="13.15" x14ac:dyDescent="0.4">
      <c r="A60" s="148" t="s">
        <v>131</v>
      </c>
      <c r="B60" s="149"/>
      <c r="C60" s="149">
        <f>'SECTOR EPS'!DK10</f>
        <v>22.57</v>
      </c>
      <c r="D60" s="80">
        <v>6.3756002703241403</v>
      </c>
      <c r="E60" s="149">
        <f t="shared" si="2"/>
        <v>3.5400588247438112</v>
      </c>
      <c r="F60" s="149"/>
      <c r="G60" s="149">
        <f>'SECTOR EPS'!DK23</f>
        <v>21.71</v>
      </c>
      <c r="H60" s="94">
        <v>13.996131911773199</v>
      </c>
      <c r="I60" s="149">
        <f t="shared" si="0"/>
        <v>1.5511428541008596</v>
      </c>
      <c r="J60" s="149"/>
      <c r="K60" s="149">
        <f>'SECTOR EPS'!DK36</f>
        <v>13.29</v>
      </c>
      <c r="L60" s="94">
        <v>32.625716589225497</v>
      </c>
      <c r="M60" s="149">
        <f t="shared" si="1"/>
        <v>0.40734737468996973</v>
      </c>
      <c r="O60" s="147"/>
      <c r="P60" s="147"/>
      <c r="Q60" s="147"/>
      <c r="R60" s="147"/>
      <c r="S60" s="147"/>
      <c r="T60" s="147"/>
      <c r="U60" s="147"/>
    </row>
    <row r="61" spans="1:58" s="146" customFormat="1" ht="13.15" x14ac:dyDescent="0.4">
      <c r="A61" s="148" t="s">
        <v>155</v>
      </c>
      <c r="B61" s="149"/>
      <c r="C61" s="149">
        <f>'SECTOR EPS'!DK11</f>
        <v>16.61</v>
      </c>
      <c r="D61" s="80">
        <v>9.7109394598651804</v>
      </c>
      <c r="E61" s="149">
        <f t="shared" si="2"/>
        <v>1.7104421326740102</v>
      </c>
      <c r="F61" s="149"/>
      <c r="G61" s="149">
        <f>'SECTOR EPS'!DK24</f>
        <v>13.82</v>
      </c>
      <c r="H61" s="94">
        <v>25.499275168283699</v>
      </c>
      <c r="I61" s="149">
        <f t="shared" si="0"/>
        <v>0.54197618986399587</v>
      </c>
      <c r="J61" s="149"/>
      <c r="K61" s="149">
        <f>'SECTOR EPS'!DK37</f>
        <v>14.67</v>
      </c>
      <c r="L61" s="94">
        <v>1.78210588225751</v>
      </c>
      <c r="M61" s="149">
        <f t="shared" si="1"/>
        <v>8.2318341160607993</v>
      </c>
      <c r="O61" s="147"/>
      <c r="P61" s="147"/>
      <c r="Q61" s="147"/>
      <c r="R61" s="147"/>
      <c r="S61" s="147"/>
      <c r="T61" s="147"/>
      <c r="U61" s="147"/>
    </row>
    <row r="62" spans="1:58" s="146" customFormat="1" ht="13.15" x14ac:dyDescent="0.4">
      <c r="A62" s="148" t="s">
        <v>150</v>
      </c>
      <c r="B62" s="149"/>
      <c r="C62" s="149">
        <f>'SECTOR EPS'!DK12</f>
        <v>18.18</v>
      </c>
      <c r="D62" s="80">
        <v>11.657319569637799</v>
      </c>
      <c r="E62" s="149">
        <f t="shared" si="2"/>
        <v>1.5595351822858936</v>
      </c>
      <c r="F62" s="149"/>
      <c r="G62" s="149">
        <f>'SECTOR EPS'!DK25</f>
        <v>12.45</v>
      </c>
      <c r="H62" s="94">
        <v>12.4050911419487</v>
      </c>
      <c r="I62" s="149">
        <f t="shared" si="0"/>
        <v>1.0036201957355586</v>
      </c>
      <c r="J62" s="149"/>
      <c r="K62" s="149">
        <f>'SECTOR EPS'!DK38</f>
        <v>12.56</v>
      </c>
      <c r="L62" s="94">
        <v>9.8415920420388492</v>
      </c>
      <c r="M62" s="149">
        <f t="shared" si="1"/>
        <v>1.2762162815070301</v>
      </c>
      <c r="O62" s="147"/>
      <c r="P62" s="147"/>
      <c r="Q62" s="147"/>
      <c r="R62" s="147"/>
      <c r="S62" s="147"/>
      <c r="T62" s="147"/>
      <c r="U62" s="147"/>
    </row>
    <row r="63" spans="1:58" s="146" customFormat="1" ht="13.15" x14ac:dyDescent="0.4">
      <c r="A63" s="148" t="s">
        <v>132</v>
      </c>
      <c r="B63" s="149"/>
      <c r="C63" s="149">
        <f>'SECTOR EPS'!DK13</f>
        <v>18.420000000000002</v>
      </c>
      <c r="D63" s="80">
        <v>20.854516458200401</v>
      </c>
      <c r="E63" s="149">
        <f t="shared" si="2"/>
        <v>0.88326190813006844</v>
      </c>
      <c r="F63" s="149"/>
      <c r="G63" s="149">
        <f>'SECTOR EPS'!DK26</f>
        <v>22.05</v>
      </c>
      <c r="H63" s="94">
        <v>13.420790962136399</v>
      </c>
      <c r="I63" s="149">
        <f t="shared" si="0"/>
        <v>1.6429732094187952</v>
      </c>
      <c r="J63" s="149"/>
      <c r="K63" s="149">
        <f>'SECTOR EPS'!DK39</f>
        <v>25.24</v>
      </c>
      <c r="L63" s="94">
        <v>16.287925232118202</v>
      </c>
      <c r="M63" s="149">
        <f t="shared" si="1"/>
        <v>1.5496141859878616</v>
      </c>
      <c r="N63" s="147"/>
      <c r="O63" s="147"/>
      <c r="P63" s="147"/>
      <c r="Q63" s="147"/>
      <c r="R63" s="147"/>
      <c r="S63" s="147"/>
      <c r="T63" s="147"/>
      <c r="U63" s="147"/>
    </row>
    <row r="64" spans="1:58" s="147" customFormat="1" ht="13.15" x14ac:dyDescent="0.4">
      <c r="A64" s="148" t="s">
        <v>151</v>
      </c>
      <c r="B64" s="149"/>
      <c r="C64" s="149">
        <f>'SECTOR EPS'!DK14</f>
        <v>26.56</v>
      </c>
      <c r="D64" s="80">
        <v>11.9407982456248</v>
      </c>
      <c r="E64" s="149">
        <f t="shared" si="2"/>
        <v>2.2243069059249692</v>
      </c>
      <c r="F64" s="149"/>
      <c r="G64" s="149">
        <f>'SECTOR EPS'!DK27</f>
        <v>22.24</v>
      </c>
      <c r="H64" s="94">
        <v>13.642333742721799</v>
      </c>
      <c r="I64" s="149">
        <f t="shared" si="0"/>
        <v>1.6302196104728095</v>
      </c>
      <c r="J64" s="149"/>
      <c r="K64" s="149">
        <f>'SECTOR EPS'!DK40</f>
        <v>23</v>
      </c>
      <c r="L64" s="94">
        <v>13.8354203706173</v>
      </c>
      <c r="M64" s="149">
        <f t="shared" si="1"/>
        <v>1.6623997958779624</v>
      </c>
      <c r="O64" s="82"/>
      <c r="P64" s="82"/>
    </row>
    <row r="65" spans="1:31" s="147" customFormat="1" ht="13.15" x14ac:dyDescent="0.4">
      <c r="A65" s="148" t="s">
        <v>149</v>
      </c>
      <c r="B65" s="149"/>
      <c r="C65" s="149">
        <f>'SECTOR EPS'!DK15</f>
        <v>34.32</v>
      </c>
      <c r="D65" s="80">
        <v>17.985034657942599</v>
      </c>
      <c r="E65" s="149">
        <f t="shared" si="2"/>
        <v>1.9082532034400896</v>
      </c>
      <c r="F65" s="149"/>
      <c r="G65" s="149">
        <f>'SECTOR EPS'!DK28</f>
        <v>27.93</v>
      </c>
      <c r="H65" s="94">
        <v>20.178311461943299</v>
      </c>
      <c r="I65" s="149">
        <f t="shared" si="0"/>
        <v>1.3841594254641445</v>
      </c>
      <c r="J65" s="149"/>
      <c r="K65" s="149">
        <f>'SECTOR EPS'!DK41</f>
        <v>25.15</v>
      </c>
      <c r="L65" s="94">
        <v>15.3911888523717</v>
      </c>
      <c r="M65" s="149">
        <f t="shared" si="1"/>
        <v>1.6340518098525261</v>
      </c>
      <c r="N65"/>
      <c r="O65" s="82"/>
      <c r="P65" s="82"/>
      <c r="Q65" s="82"/>
      <c r="R65" s="82"/>
      <c r="S65" s="82"/>
    </row>
    <row r="66" spans="1:31" ht="13.15" x14ac:dyDescent="0.4">
      <c r="A66" s="148" t="s">
        <v>152</v>
      </c>
      <c r="B66" s="149"/>
      <c r="C66" s="149">
        <f>'SECTOR EPS'!DK16</f>
        <v>21.69</v>
      </c>
      <c r="D66" s="80">
        <v>11.014579880594701</v>
      </c>
      <c r="E66" s="149">
        <f t="shared" si="2"/>
        <v>1.969208107357147</v>
      </c>
      <c r="F66" s="149"/>
      <c r="G66" s="149">
        <f>'SECTOR EPS'!DK29</f>
        <v>20.149999999999999</v>
      </c>
      <c r="H66" s="94">
        <v>13.3131199385278</v>
      </c>
      <c r="I66" s="149">
        <f t="shared" si="0"/>
        <v>1.5135445405014687</v>
      </c>
      <c r="J66" s="149"/>
      <c r="K66" s="149">
        <f>'SECTOR EPS'!DK42</f>
        <v>17.899999999999999</v>
      </c>
      <c r="L66" s="94">
        <v>9.8531325207207701</v>
      </c>
      <c r="M66" s="149">
        <f t="shared" si="1"/>
        <v>1.8166811379383121</v>
      </c>
      <c r="O66" s="82"/>
      <c r="P66" s="82"/>
      <c r="Q66" s="82"/>
      <c r="R66" s="82"/>
      <c r="S66" s="82"/>
      <c r="T66" s="82"/>
      <c r="U66" s="82"/>
    </row>
    <row r="67" spans="1:31" ht="13.15" x14ac:dyDescent="0.4">
      <c r="A67" s="148" t="s">
        <v>303</v>
      </c>
      <c r="B67" s="149"/>
      <c r="C67" s="149">
        <f>'SECTOR EPS'!DK19</f>
        <v>36.369999999999997</v>
      </c>
      <c r="D67" s="80">
        <v>10.402113356184101</v>
      </c>
      <c r="E67" s="149">
        <f t="shared" si="2"/>
        <v>3.4964048895292876</v>
      </c>
      <c r="F67" s="149"/>
      <c r="G67" s="149">
        <f>'SECTOR EPS'!DK32</f>
        <v>27.7</v>
      </c>
      <c r="H67" s="94">
        <v>3.4782436997016699</v>
      </c>
      <c r="I67" s="149">
        <f t="shared" si="0"/>
        <v>7.9637893119380445</v>
      </c>
      <c r="J67" s="149"/>
      <c r="K67" s="149">
        <f>'SECTOR EPS'!DK45</f>
        <v>43.11</v>
      </c>
      <c r="L67" s="94">
        <v>2.7584538629198301</v>
      </c>
      <c r="M67" s="149">
        <f t="shared" si="1"/>
        <v>15.628320117838753</v>
      </c>
      <c r="O67" s="82"/>
      <c r="P67" s="82"/>
      <c r="Q67" s="82"/>
      <c r="R67" s="82"/>
      <c r="S67" s="82"/>
      <c r="T67" s="82"/>
      <c r="U67" s="82"/>
    </row>
    <row r="68" spans="1:31" ht="13.15" x14ac:dyDescent="0.4">
      <c r="A68" s="148" t="s">
        <v>205</v>
      </c>
      <c r="B68" s="149"/>
      <c r="C68" s="149">
        <f>'SECTOR EPS'!DK18</f>
        <v>20.23</v>
      </c>
      <c r="D68" s="129">
        <v>9.40767117072944</v>
      </c>
      <c r="E68" s="149">
        <f t="shared" si="2"/>
        <v>2.1503727790723186</v>
      </c>
      <c r="F68" s="149"/>
      <c r="G68" s="149">
        <f>'SECTOR EPS'!DK31</f>
        <v>16.32</v>
      </c>
      <c r="H68" s="94">
        <v>8.7320766681306097</v>
      </c>
      <c r="I68" s="149">
        <f t="shared" si="0"/>
        <v>1.8689712218816141</v>
      </c>
      <c r="J68" s="149"/>
      <c r="K68" s="149">
        <f>'SECTOR EPS'!DK44</f>
        <v>17.690000000000001</v>
      </c>
      <c r="L68" s="94">
        <v>9.9116891392659099</v>
      </c>
      <c r="M68" s="149">
        <f t="shared" si="1"/>
        <v>1.7847613813794585</v>
      </c>
      <c r="O68" s="147"/>
      <c r="P68" s="82"/>
      <c r="Q68" s="82"/>
      <c r="R68" s="82"/>
      <c r="S68" s="82"/>
      <c r="T68" s="82"/>
      <c r="U68" s="82"/>
    </row>
    <row r="69" spans="1:31" ht="13.15" x14ac:dyDescent="0.4">
      <c r="A69" s="148"/>
      <c r="B69" s="149"/>
      <c r="C69" s="149"/>
      <c r="D69" s="94"/>
      <c r="E69" s="149"/>
      <c r="F69" s="149"/>
      <c r="G69" s="149"/>
      <c r="H69" s="6"/>
      <c r="I69" s="6"/>
      <c r="J69" s="90"/>
      <c r="K69" s="150"/>
      <c r="L69" s="94"/>
      <c r="M69" s="149"/>
      <c r="O69" s="147"/>
      <c r="P69" s="82"/>
      <c r="Q69" s="82"/>
      <c r="R69" s="82"/>
      <c r="S69" s="82"/>
      <c r="T69" s="82"/>
      <c r="U69" s="82"/>
    </row>
    <row r="70" spans="1:31" s="7" customFormat="1" ht="13.15" x14ac:dyDescent="0.4">
      <c r="A70" s="6"/>
      <c r="B70" s="6"/>
      <c r="C70" s="6"/>
      <c r="D70" s="6"/>
      <c r="E70" s="6"/>
      <c r="F70" s="6"/>
      <c r="G70" s="6"/>
      <c r="H70" s="6"/>
      <c r="I70" s="6"/>
      <c r="J70" s="90"/>
      <c r="K70" s="91"/>
    </row>
    <row r="71" spans="1:31" s="7" customFormat="1" ht="13.15" x14ac:dyDescent="0.4">
      <c r="A71" s="6" t="s">
        <v>780</v>
      </c>
      <c r="B71" s="6"/>
      <c r="C71" s="6"/>
      <c r="D71" s="287"/>
      <c r="E71" s="6"/>
      <c r="F71" s="6"/>
      <c r="G71" s="6"/>
      <c r="H71" s="6"/>
      <c r="I71" s="6"/>
      <c r="J71" s="90"/>
      <c r="K71" s="91"/>
    </row>
    <row r="72" spans="1:31" s="7" customFormat="1" ht="15" customHeight="1" x14ac:dyDescent="0.5">
      <c r="A72" s="6" t="s">
        <v>251</v>
      </c>
      <c r="B72" s="6"/>
      <c r="C72" s="266"/>
      <c r="D72" s="6"/>
      <c r="E72" s="6"/>
      <c r="F72" s="251"/>
      <c r="G72" s="6"/>
      <c r="H72" s="6"/>
      <c r="I72" s="90"/>
      <c r="J72" s="91"/>
      <c r="K72" s="127"/>
      <c r="L72" s="125"/>
      <c r="M72" s="82"/>
      <c r="N72" s="82"/>
      <c r="O72" s="123"/>
      <c r="P72" s="16"/>
      <c r="Q72" s="16"/>
      <c r="R72" s="16"/>
      <c r="S72" s="16"/>
    </row>
    <row r="73" spans="1:31" s="7" customFormat="1" ht="13.15" x14ac:dyDescent="0.4">
      <c r="A73" s="152" t="s">
        <v>178</v>
      </c>
      <c r="B73" s="111" t="s">
        <v>747</v>
      </c>
      <c r="C73" s="111" t="s">
        <v>650</v>
      </c>
      <c r="D73" s="111" t="s">
        <v>598</v>
      </c>
      <c r="E73" s="111" t="s">
        <v>550</v>
      </c>
      <c r="F73" s="111" t="s">
        <v>510</v>
      </c>
      <c r="G73" s="111" t="s">
        <v>457</v>
      </c>
      <c r="H73" s="111" t="s">
        <v>409</v>
      </c>
      <c r="I73" s="111" t="s">
        <v>368</v>
      </c>
      <c r="J73" s="111" t="s">
        <v>339</v>
      </c>
      <c r="K73" s="111" t="s">
        <v>284</v>
      </c>
      <c r="L73" s="111" t="s">
        <v>233</v>
      </c>
      <c r="M73" s="111" t="s">
        <v>192</v>
      </c>
      <c r="N73" s="111" t="s">
        <v>179</v>
      </c>
      <c r="O73" s="111" t="s">
        <v>180</v>
      </c>
      <c r="P73" s="111" t="s">
        <v>181</v>
      </c>
      <c r="Q73" s="111" t="s">
        <v>182</v>
      </c>
      <c r="R73" s="111" t="s">
        <v>183</v>
      </c>
      <c r="S73" s="111" t="s">
        <v>243</v>
      </c>
      <c r="T73" s="111" t="s">
        <v>184</v>
      </c>
      <c r="U73" s="111">
        <v>2006</v>
      </c>
      <c r="V73" s="85"/>
      <c r="W73" s="127"/>
      <c r="X73" s="125"/>
      <c r="Y73" s="82"/>
      <c r="Z73" s="82"/>
      <c r="AA73" s="123"/>
      <c r="AB73" s="16"/>
      <c r="AC73" s="16"/>
      <c r="AD73" s="16"/>
      <c r="AE73" s="16"/>
    </row>
    <row r="74" spans="1:31" s="7" customFormat="1" ht="13.15" x14ac:dyDescent="0.4">
      <c r="A74" s="152" t="s">
        <v>746</v>
      </c>
      <c r="B74" s="15"/>
      <c r="C74" s="15">
        <v>0.12035258590164889</v>
      </c>
      <c r="D74" s="15">
        <v>0.10995478250350105</v>
      </c>
      <c r="E74" s="15">
        <v>0.10915745618923482</v>
      </c>
      <c r="F74" s="15">
        <v>0.13405827346969609</v>
      </c>
      <c r="G74" s="15">
        <v>0.10389729886351276</v>
      </c>
      <c r="H74" s="15">
        <v>0.1061133365471657</v>
      </c>
      <c r="I74" s="15">
        <v>0.10103677208743679</v>
      </c>
      <c r="J74" s="15">
        <v>0.10273270105034775</v>
      </c>
      <c r="K74" s="15">
        <v>9.2655472320979218E-2</v>
      </c>
      <c r="L74" s="15">
        <v>7.9827003131535332E-2</v>
      </c>
      <c r="M74" s="15">
        <v>8.9825643514267486E-2</v>
      </c>
      <c r="N74" s="15">
        <v>9.7596100527673146E-2</v>
      </c>
      <c r="O74" s="15">
        <v>8.0374891429939588E-2</v>
      </c>
      <c r="P74" s="15">
        <v>8.7037751900159097E-2</v>
      </c>
      <c r="Q74" s="15">
        <v>8.6771602794317018E-2</v>
      </c>
      <c r="R74" s="15">
        <v>7.2722331971166995E-2</v>
      </c>
      <c r="S74" s="15">
        <v>-4.0601727380559641E-4</v>
      </c>
      <c r="T74" s="15">
        <v>5.6757159904534601E-2</v>
      </c>
      <c r="U74" s="15">
        <v>8.859790491539081E-2</v>
      </c>
      <c r="V74" s="90"/>
      <c r="W74" s="127"/>
      <c r="X74" s="125"/>
      <c r="Y74" s="82"/>
      <c r="Z74" s="82"/>
      <c r="AA74" s="123"/>
      <c r="AB74" s="16"/>
      <c r="AC74" s="16"/>
      <c r="AD74" s="16"/>
      <c r="AE74" s="16"/>
    </row>
    <row r="75" spans="1:31" s="7" customFormat="1" ht="13.15" x14ac:dyDescent="0.4">
      <c r="A75" s="152" t="s">
        <v>709</v>
      </c>
      <c r="B75" s="15"/>
      <c r="C75" s="15">
        <v>0.11800047688105995</v>
      </c>
      <c r="D75" s="15">
        <v>0.11152041495527062</v>
      </c>
      <c r="E75" s="15">
        <v>0.11280805929253626</v>
      </c>
      <c r="F75" s="15">
        <v>0.13167381826391233</v>
      </c>
      <c r="G75" s="15">
        <v>0.10931318983149081</v>
      </c>
      <c r="H75" s="15">
        <v>0.11213565917616758</v>
      </c>
      <c r="I75" s="15">
        <v>0.12125165670467826</v>
      </c>
      <c r="J75" s="15">
        <v>0.10164749338145562</v>
      </c>
      <c r="K75" s="15">
        <v>9.8641234855432691E-2</v>
      </c>
      <c r="L75" s="15">
        <v>8.9666767807327852E-2</v>
      </c>
      <c r="M75" s="15">
        <v>0.10099287041700378</v>
      </c>
      <c r="N75" s="15">
        <v>9.6345419831311632E-2</v>
      </c>
      <c r="O75" s="15">
        <v>8.9222621802131877E-2</v>
      </c>
      <c r="P75" s="15">
        <v>9.5078937071402136E-2</v>
      </c>
      <c r="Q75" s="15">
        <v>8.9519568767415278E-2</v>
      </c>
      <c r="R75" s="15">
        <v>6.9423592264317074E-2</v>
      </c>
      <c r="S75" s="15">
        <v>5.9552238805970152E-2</v>
      </c>
      <c r="T75" s="15">
        <v>8.0638306093273063E-2</v>
      </c>
      <c r="U75" s="15">
        <v>9.6038365304420351E-2</v>
      </c>
      <c r="V75" s="90"/>
      <c r="W75" s="127"/>
      <c r="X75" s="125"/>
      <c r="Y75" s="82"/>
      <c r="Z75" s="82"/>
      <c r="AA75" s="123"/>
      <c r="AB75" s="16"/>
      <c r="AC75" s="16"/>
      <c r="AD75" s="16"/>
      <c r="AE75" s="16"/>
    </row>
    <row r="76" spans="1:31" s="7" customFormat="1" ht="13.15" x14ac:dyDescent="0.4">
      <c r="A76" s="152" t="s">
        <v>778</v>
      </c>
      <c r="B76" s="15">
        <f>SALES!D32</f>
        <v>0.1257851077403894</v>
      </c>
      <c r="C76" s="15">
        <v>0.11941754711852645</v>
      </c>
      <c r="D76" s="15">
        <v>0.11866721928247406</v>
      </c>
      <c r="E76" s="15">
        <v>0.10864900332657955</v>
      </c>
      <c r="F76" s="15">
        <v>0.13536877284392831</v>
      </c>
      <c r="G76" s="15">
        <v>8.4883373900301803E-2</v>
      </c>
      <c r="H76" s="15">
        <v>0.11406268926786187</v>
      </c>
      <c r="I76" s="15">
        <v>0.11549800920667584</v>
      </c>
      <c r="J76" s="15">
        <v>0.10136874401202751</v>
      </c>
      <c r="K76" s="15">
        <v>9.0304491689420285E-2</v>
      </c>
      <c r="L76" s="15">
        <v>9.2909676243833034E-2</v>
      </c>
      <c r="M76" s="15">
        <v>0.10073379317750085</v>
      </c>
      <c r="N76" s="15">
        <v>9.5105041999730258E-2</v>
      </c>
      <c r="O76" s="15">
        <v>9.4089696894151781E-2</v>
      </c>
      <c r="P76" s="15">
        <v>9.4411857923775475E-2</v>
      </c>
      <c r="Q76" s="15">
        <v>8.8277449464547783E-2</v>
      </c>
      <c r="R76" s="15">
        <v>6.1877107726682479E-2</v>
      </c>
      <c r="S76" s="15">
        <v>6.1106523534269201E-2</v>
      </c>
      <c r="T76" s="15">
        <v>9.4120408402769626E-2</v>
      </c>
      <c r="U76" s="15">
        <v>9.3519662562310937E-2</v>
      </c>
      <c r="V76" s="90"/>
      <c r="W76" s="126"/>
      <c r="X76" s="125"/>
      <c r="Y76" s="82"/>
      <c r="Z76" s="82"/>
      <c r="AA76" s="123"/>
      <c r="AB76" s="16"/>
      <c r="AC76" s="16"/>
      <c r="AD76" s="16"/>
      <c r="AE76" s="16"/>
    </row>
    <row r="77" spans="1:31" s="7" customFormat="1" ht="13.15" x14ac:dyDescent="0.4">
      <c r="A77" s="31" t="s">
        <v>779</v>
      </c>
      <c r="B77" s="15">
        <v>0.1177470203223165</v>
      </c>
      <c r="C77" s="15">
        <v>0.11575399140523783</v>
      </c>
      <c r="D77" s="15">
        <v>0.11638365740967041</v>
      </c>
      <c r="E77" s="15">
        <v>0.11930429907317099</v>
      </c>
      <c r="F77" s="15">
        <v>0.13022820502356097</v>
      </c>
      <c r="G77" s="15">
        <v>5.8631263175576244E-2</v>
      </c>
      <c r="H77" s="15">
        <v>0.11211436927857679</v>
      </c>
      <c r="I77" s="15">
        <v>0.1140492079851171</v>
      </c>
      <c r="J77" s="15">
        <v>9.8436000873383014E-2</v>
      </c>
      <c r="K77" s="15">
        <v>8.7472037952982667E-2</v>
      </c>
      <c r="L77" s="15">
        <v>9.4477126926980182E-2</v>
      </c>
      <c r="M77" s="15">
        <v>9.7584898983632068E-2</v>
      </c>
      <c r="N77" s="15">
        <v>9.5171799454255815E-2</v>
      </c>
      <c r="O77" s="15">
        <v>9.0674747758055146E-2</v>
      </c>
      <c r="P77" s="15">
        <v>8.9919776972502266E-2</v>
      </c>
      <c r="Q77" s="15">
        <v>8.3401474508591519E-2</v>
      </c>
      <c r="R77" s="15">
        <v>4.560281119508753E-2</v>
      </c>
      <c r="S77" s="15">
        <v>6.2547041999096789E-2</v>
      </c>
      <c r="T77" s="15">
        <v>9.2337512372154415E-2</v>
      </c>
      <c r="U77" s="15">
        <v>9.0295909486510006E-2</v>
      </c>
      <c r="V77" s="90"/>
      <c r="W77" s="82"/>
      <c r="X77" s="82"/>
      <c r="Y77" s="16"/>
      <c r="Z77" s="16"/>
      <c r="AA77" s="16"/>
      <c r="AB77" s="16"/>
      <c r="AC77" s="16"/>
      <c r="AD77" s="16"/>
      <c r="AE77" s="16"/>
    </row>
    <row r="78" spans="1:31" s="7" customFormat="1" ht="13.15" x14ac:dyDescent="0.4">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1" s="7" customFormat="1" ht="13.15" x14ac:dyDescent="0.4">
      <c r="A79" s="77" t="s">
        <v>3</v>
      </c>
      <c r="B79" s="15"/>
      <c r="C79" s="15"/>
      <c r="D79" s="15"/>
      <c r="E79" s="94"/>
      <c r="F79" s="32"/>
      <c r="G79" s="16"/>
      <c r="J79" s="16"/>
      <c r="K79" s="16"/>
      <c r="L79" s="16"/>
      <c r="M79" s="16"/>
      <c r="N79" s="16"/>
      <c r="O79" s="16"/>
      <c r="P79" s="16"/>
    </row>
    <row r="80" spans="1:31" ht="13.15" x14ac:dyDescent="0.4">
      <c r="A80" s="95"/>
      <c r="B80" s="94"/>
      <c r="C80" s="16"/>
      <c r="D80" s="82"/>
      <c r="E80" s="82"/>
      <c r="F80" s="82"/>
      <c r="G80" s="82"/>
      <c r="H80" s="82"/>
      <c r="I80" s="82"/>
    </row>
    <row r="81" spans="1:24" ht="13.15" x14ac:dyDescent="0.4">
      <c r="A81" s="105" t="s">
        <v>154</v>
      </c>
      <c r="B81" s="106" t="s">
        <v>642</v>
      </c>
      <c r="C81" s="154" t="s">
        <v>711</v>
      </c>
      <c r="D81" s="154" t="s">
        <v>712</v>
      </c>
      <c r="E81" s="154" t="s">
        <v>713</v>
      </c>
      <c r="F81" s="154" t="s">
        <v>748</v>
      </c>
      <c r="G81" s="54" t="s">
        <v>232</v>
      </c>
      <c r="H81" s="154" t="s">
        <v>641</v>
      </c>
      <c r="I81" s="154" t="s">
        <v>727</v>
      </c>
      <c r="J81" s="173" t="str">
        <f t="shared" ref="J81:J89" si="3">A81</f>
        <v>OBSERVATION</v>
      </c>
      <c r="K81" s="7"/>
      <c r="L81" s="7"/>
      <c r="M81" s="82"/>
      <c r="N81" s="82"/>
      <c r="O81" s="82"/>
      <c r="P81" s="82"/>
      <c r="Q81" s="82"/>
      <c r="R81" s="82"/>
      <c r="S81" s="82"/>
    </row>
    <row r="82" spans="1:24" ht="13.15" x14ac:dyDescent="0.4">
      <c r="A82" s="107">
        <v>45382</v>
      </c>
      <c r="B82" s="89">
        <v>273.79000000000002</v>
      </c>
      <c r="C82" s="157">
        <v>67.11</v>
      </c>
      <c r="D82" s="157">
        <v>71.099999999999994</v>
      </c>
      <c r="E82" s="157">
        <v>72.52</v>
      </c>
      <c r="F82" s="157"/>
      <c r="G82" s="32">
        <v>5254.3544012623997</v>
      </c>
      <c r="H82" s="157">
        <f>G82/B82</f>
        <v>19.191184489069723</v>
      </c>
      <c r="I82" s="157"/>
      <c r="J82" s="151">
        <f t="shared" si="3"/>
        <v>45382</v>
      </c>
      <c r="K82" s="155"/>
      <c r="M82" s="82"/>
      <c r="N82" s="82"/>
      <c r="O82" s="82"/>
      <c r="P82" s="82"/>
      <c r="Q82" s="82"/>
      <c r="R82" s="82"/>
      <c r="S82" s="82"/>
    </row>
    <row r="83" spans="1:24" ht="13.15" x14ac:dyDescent="0.4">
      <c r="A83" s="107">
        <v>45471</v>
      </c>
      <c r="B83" s="89">
        <v>276.29000000000002</v>
      </c>
      <c r="C83" s="157">
        <v>67.48</v>
      </c>
      <c r="D83" s="157">
        <v>71.260000000000005</v>
      </c>
      <c r="E83" s="157">
        <v>73.17</v>
      </c>
      <c r="F83" s="157"/>
      <c r="G83" s="32">
        <v>5460.4826211495101</v>
      </c>
      <c r="H83" s="157">
        <v>19.763591230770242</v>
      </c>
      <c r="I83" s="157"/>
      <c r="J83" s="151">
        <f t="shared" si="3"/>
        <v>45471</v>
      </c>
      <c r="K83" s="155"/>
      <c r="M83" s="82"/>
      <c r="N83" s="82"/>
      <c r="O83" s="82"/>
      <c r="P83" s="82"/>
      <c r="Q83" s="82"/>
      <c r="R83" s="82"/>
      <c r="S83" s="82"/>
    </row>
    <row r="84" spans="1:24" ht="13.15" x14ac:dyDescent="0.4">
      <c r="A84" s="107">
        <v>45565</v>
      </c>
      <c r="B84" s="89">
        <v>274.73</v>
      </c>
      <c r="C84" s="157">
        <v>67.11</v>
      </c>
      <c r="D84" s="157">
        <v>71.099999999999994</v>
      </c>
      <c r="E84" s="157">
        <v>72.52</v>
      </c>
      <c r="F84" s="157"/>
      <c r="G84" s="32">
        <v>5762.4848833691203</v>
      </c>
      <c r="H84" s="157">
        <v>20.975084204015289</v>
      </c>
      <c r="I84" s="157"/>
      <c r="J84" s="151">
        <f t="shared" si="3"/>
        <v>45565</v>
      </c>
      <c r="K84" s="155"/>
      <c r="M84" s="82"/>
      <c r="N84" s="82"/>
      <c r="O84" s="82"/>
      <c r="P84" s="82"/>
      <c r="Q84" s="82"/>
      <c r="R84" s="82"/>
      <c r="S84" s="82"/>
    </row>
    <row r="85" spans="1:24" ht="13.15" x14ac:dyDescent="0.4">
      <c r="A85" s="107">
        <v>45657</v>
      </c>
      <c r="B85" s="89">
        <v>271.25</v>
      </c>
      <c r="C85" s="157">
        <v>66.47</v>
      </c>
      <c r="D85" s="157">
        <v>70.510000000000005</v>
      </c>
      <c r="E85" s="157">
        <v>72.02</v>
      </c>
      <c r="F85" s="157"/>
      <c r="G85" s="32">
        <v>5906.94</v>
      </c>
      <c r="H85" s="157">
        <v>21.77673732718894</v>
      </c>
      <c r="I85" s="157"/>
      <c r="J85" s="151">
        <f t="shared" si="3"/>
        <v>45657</v>
      </c>
      <c r="K85" s="155"/>
      <c r="M85" s="82"/>
      <c r="N85" s="82"/>
      <c r="O85" s="82"/>
      <c r="P85" s="82"/>
      <c r="Q85" s="82"/>
      <c r="R85" s="82"/>
      <c r="S85" s="82"/>
    </row>
    <row r="86" spans="1:24" ht="13.15" x14ac:dyDescent="0.4">
      <c r="A86" s="107">
        <v>45747</v>
      </c>
      <c r="B86" s="89">
        <v>266.39</v>
      </c>
      <c r="C86" s="157">
        <v>64.94</v>
      </c>
      <c r="D86" s="157">
        <v>69.69</v>
      </c>
      <c r="E86" s="157">
        <v>72.39</v>
      </c>
      <c r="F86" s="157">
        <v>304.89</v>
      </c>
      <c r="G86" s="32">
        <v>5611.8526068176197</v>
      </c>
      <c r="H86" s="157">
        <v>21.066303565515298</v>
      </c>
      <c r="I86" s="157">
        <f>G86/F86</f>
        <v>18.406155029084655</v>
      </c>
      <c r="J86" s="151">
        <f t="shared" si="3"/>
        <v>45747</v>
      </c>
      <c r="K86" s="155"/>
      <c r="M86" s="82"/>
      <c r="N86" s="82"/>
      <c r="O86" s="82"/>
      <c r="P86" s="82"/>
      <c r="Q86" s="82"/>
      <c r="R86" s="82"/>
      <c r="S86" s="82"/>
    </row>
    <row r="87" spans="1:24" ht="13.15" x14ac:dyDescent="0.4">
      <c r="A87" s="107">
        <v>414732</v>
      </c>
      <c r="B87" s="89">
        <v>255.29</v>
      </c>
      <c r="C87" s="157">
        <v>62.02</v>
      </c>
      <c r="D87" s="157">
        <v>66.69</v>
      </c>
      <c r="E87" s="157">
        <v>69.08</v>
      </c>
      <c r="F87" s="157">
        <v>295.32</v>
      </c>
      <c r="G87" s="32">
        <v>6204.9539523896101</v>
      </c>
      <c r="H87" s="157">
        <v>24.305511192720477</v>
      </c>
      <c r="I87" s="157">
        <f t="shared" ref="I87:I88" si="4">G87/F87</f>
        <v>21.010950671778446</v>
      </c>
      <c r="J87" s="151">
        <f t="shared" si="3"/>
        <v>414732</v>
      </c>
      <c r="K87" s="155"/>
      <c r="M87" s="82"/>
      <c r="N87" s="82"/>
      <c r="O87" s="82"/>
      <c r="P87" s="82"/>
      <c r="Q87" s="82"/>
      <c r="R87" s="82"/>
      <c r="S87" s="82"/>
    </row>
    <row r="88" spans="1:24" ht="13.15" x14ac:dyDescent="0.4">
      <c r="A88" s="107" t="s">
        <v>195</v>
      </c>
      <c r="B88" s="89">
        <f>'SECTOR EPS'!DJ8</f>
        <v>257.19</v>
      </c>
      <c r="C88" s="157">
        <f>'SECTOR EPS'!BT8</f>
        <v>63.4</v>
      </c>
      <c r="D88" s="157">
        <f>'SECTOR EPS'!BU8</f>
        <v>66.73</v>
      </c>
      <c r="E88" s="157">
        <f>'SECTOR EPS'!BV8</f>
        <v>69.56</v>
      </c>
      <c r="F88" s="157">
        <f>'SECTOR EPS'!DL8</f>
        <v>299.27999999999997</v>
      </c>
      <c r="G88" s="32">
        <f>D113</f>
        <v>6339.3945671658003</v>
      </c>
      <c r="H88" s="157">
        <f>G88/B88</f>
        <v>24.648682169469264</v>
      </c>
      <c r="I88" s="157">
        <f t="shared" si="4"/>
        <v>21.182152389621095</v>
      </c>
      <c r="J88" s="151" t="str">
        <f t="shared" si="3"/>
        <v>Current</v>
      </c>
      <c r="K88" s="155"/>
      <c r="M88" s="82"/>
      <c r="N88" s="82"/>
      <c r="O88" s="82"/>
      <c r="P88" s="82"/>
      <c r="Q88" s="82"/>
      <c r="R88" s="82"/>
      <c r="S88" s="82"/>
    </row>
    <row r="89" spans="1:24" ht="13.15" x14ac:dyDescent="0.4">
      <c r="A89" s="107" t="s">
        <v>458</v>
      </c>
      <c r="B89" s="172">
        <f>B88/B87-1</f>
        <v>7.4425163539504346E-3</v>
      </c>
      <c r="C89" s="172">
        <f t="shared" ref="C89:I89" si="5">C88/C87-1</f>
        <v>2.2250886810706083E-2</v>
      </c>
      <c r="D89" s="172">
        <f t="shared" si="5"/>
        <v>5.9979007347443769E-4</v>
      </c>
      <c r="E89" s="172">
        <f t="shared" si="5"/>
        <v>6.9484655471916401E-3</v>
      </c>
      <c r="F89" s="172">
        <f t="shared" si="5"/>
        <v>1.3409183258837887E-2</v>
      </c>
      <c r="G89" s="172">
        <f t="shared" si="5"/>
        <v>2.166665793295941E-2</v>
      </c>
      <c r="H89" s="172">
        <f t="shared" si="5"/>
        <v>1.4119060242253401E-2</v>
      </c>
      <c r="I89" s="172">
        <f t="shared" si="5"/>
        <v>8.1482137822828093E-3</v>
      </c>
      <c r="J89" s="151" t="str">
        <f t="shared" si="3"/>
        <v>Change QTR</v>
      </c>
      <c r="K89" s="155"/>
      <c r="M89" s="82"/>
      <c r="N89" s="82"/>
      <c r="O89" s="82"/>
      <c r="P89" s="82"/>
      <c r="Q89" s="82"/>
      <c r="R89" s="82"/>
      <c r="S89" s="82"/>
    </row>
    <row r="90" spans="1:24" ht="13.15" x14ac:dyDescent="0.4">
      <c r="A90" s="107"/>
      <c r="B90" s="151"/>
      <c r="C90" s="82"/>
      <c r="D90" s="82"/>
      <c r="E90" s="82"/>
      <c r="F90" s="82"/>
      <c r="G90" s="82"/>
      <c r="H90" s="82"/>
      <c r="I90" s="82"/>
    </row>
    <row r="91" spans="1:24" ht="13.15" x14ac:dyDescent="0.4">
      <c r="A91" s="107"/>
      <c r="B91" s="151"/>
      <c r="C91" s="204"/>
      <c r="D91" s="204"/>
      <c r="E91" s="151"/>
      <c r="F91" s="82"/>
      <c r="G91" s="82"/>
      <c r="H91" s="82"/>
    </row>
    <row r="92" spans="1:24" ht="15" x14ac:dyDescent="0.4">
      <c r="A92" s="107"/>
      <c r="B92" s="204"/>
      <c r="C92" s="204"/>
      <c r="D92" s="204"/>
      <c r="E92" s="220"/>
      <c r="F92" s="176"/>
      <c r="G92" s="176"/>
      <c r="I92" s="151"/>
      <c r="J92" s="82"/>
      <c r="K92" s="82"/>
    </row>
    <row r="93" spans="1:24" s="176" customFormat="1" ht="15" x14ac:dyDescent="0.4">
      <c r="A93" s="219"/>
      <c r="B93" s="220"/>
      <c r="C93" s="220"/>
      <c r="D93" s="220"/>
      <c r="E93" s="220"/>
      <c r="F93" s="220"/>
      <c r="G93" s="220"/>
      <c r="H93" s="153"/>
      <c r="I93" s="157"/>
      <c r="J93" s="83"/>
      <c r="K93" s="219"/>
    </row>
    <row r="94" spans="1:24" ht="13.15" x14ac:dyDescent="0.4">
      <c r="A94" s="151" t="str">
        <f>'BEATS AND SHARES'!A4</f>
        <v>Q2 2025</v>
      </c>
      <c r="B94" s="151"/>
      <c r="C94" s="207"/>
      <c r="D94" s="171"/>
      <c r="E94" s="89"/>
      <c r="F94" s="32"/>
      <c r="G94" s="32"/>
      <c r="H94" s="89"/>
      <c r="I94" s="89"/>
      <c r="J94" s="32"/>
      <c r="K94" s="7"/>
      <c r="N94" s="82"/>
      <c r="O94" s="82"/>
      <c r="P94" s="82"/>
      <c r="Q94" s="82"/>
      <c r="R94" s="82"/>
      <c r="S94" s="82"/>
      <c r="T94" s="82"/>
    </row>
    <row r="95" spans="1:24" ht="13.15" x14ac:dyDescent="0.4">
      <c r="A95" s="151" t="str">
        <f>'BEATS AND SHARES'!A5</f>
        <v xml:space="preserve">Of the 316 issues (503 in the index) with full operating comparative data </v>
      </c>
      <c r="B95" s="89"/>
      <c r="C95" s="89"/>
      <c r="D95" s="89"/>
      <c r="E95" s="89"/>
      <c r="F95" s="89"/>
      <c r="G95" s="89"/>
      <c r="H95" s="89"/>
      <c r="I95" s="89"/>
      <c r="J95" s="32"/>
      <c r="K95" s="7"/>
      <c r="L95" s="88"/>
      <c r="M95" s="85"/>
      <c r="N95" s="83"/>
      <c r="O95" s="7"/>
      <c r="R95" s="82"/>
      <c r="S95" s="82"/>
      <c r="T95" s="82"/>
      <c r="U95" s="82"/>
      <c r="V95" s="82"/>
      <c r="W95" s="82"/>
      <c r="X95" s="82"/>
    </row>
    <row r="96" spans="1:24" ht="13.15" x14ac:dyDescent="0.4">
      <c r="A96" s="151" t="str">
        <f>'BEATS AND SHARES'!A6</f>
        <v>246 beat, 50 missed, and 20 met their estimates; 247 of 315 (78.4%) beat on sales</v>
      </c>
      <c r="B96" s="89"/>
      <c r="C96" s="89"/>
      <c r="D96" s="89"/>
      <c r="E96" s="89"/>
      <c r="F96" s="89"/>
      <c r="G96" s="89"/>
      <c r="H96" s="89"/>
      <c r="I96" s="89"/>
      <c r="J96" s="32"/>
      <c r="K96" s="95"/>
      <c r="L96" s="88"/>
      <c r="M96" s="85"/>
      <c r="N96" s="83"/>
      <c r="O96" s="7"/>
      <c r="R96" s="82"/>
      <c r="S96" s="82"/>
      <c r="T96" s="82"/>
      <c r="U96" s="82"/>
      <c r="V96" s="82"/>
      <c r="W96" s="82"/>
      <c r="X96" s="82"/>
    </row>
    <row r="97" spans="1:20" ht="13.15" x14ac:dyDescent="0.4">
      <c r="A97" s="73"/>
      <c r="B97" s="73"/>
      <c r="C97" s="72" t="str">
        <f>'BEATS AND SHARES'!B1000</f>
        <v xml:space="preserve">    ------------- ISSUES --------------------</v>
      </c>
      <c r="D97" s="72"/>
      <c r="E97" s="72"/>
      <c r="F97" s="72"/>
      <c r="G97" s="72"/>
      <c r="H97" s="72" t="str">
        <f>'BEATS AND SHARES'!G1000</f>
        <v xml:space="preserve">  ----------- PERCENTAGE --------------------</v>
      </c>
      <c r="I97" s="72"/>
      <c r="J97" s="72"/>
      <c r="K97" s="95"/>
      <c r="N97" s="82"/>
      <c r="O97" s="82"/>
      <c r="P97" s="121"/>
      <c r="Q97" s="82"/>
      <c r="R97" s="82"/>
      <c r="S97" s="82"/>
      <c r="T97" s="82"/>
    </row>
    <row r="98" spans="1:20" ht="13.15" x14ac:dyDescent="0.4">
      <c r="A98" s="73" t="str">
        <f>'BEATS AND SHARES'!A1001</f>
        <v>SECTOR</v>
      </c>
      <c r="B98" s="73"/>
      <c r="C98" s="71" t="str">
        <f>'BEATS AND SHARES'!B1001</f>
        <v>REPORTED</v>
      </c>
      <c r="D98" s="71" t="str">
        <f>'BEATS AND SHARES'!C1001</f>
        <v>BEAT</v>
      </c>
      <c r="E98" s="71" t="str">
        <f>'BEATS AND SHARES'!D1001</f>
        <v>MISSED</v>
      </c>
      <c r="F98" s="71" t="str">
        <f>'BEATS AND SHARES'!E1001</f>
        <v>MET</v>
      </c>
      <c r="G98" s="74"/>
      <c r="H98" s="74" t="str">
        <f>'BEATS AND SHARES'!G1001</f>
        <v>REPORTED</v>
      </c>
      <c r="I98" s="74" t="str">
        <f>'BEATS AND SHARES'!H1001</f>
        <v>BEAT</v>
      </c>
      <c r="J98" s="74" t="str">
        <f>'BEATS AND SHARES'!I1001</f>
        <v>MISSED</v>
      </c>
      <c r="K98" s="74" t="str">
        <f>'BEATS AND SHARES'!J1001</f>
        <v>MET</v>
      </c>
      <c r="N98" s="82"/>
      <c r="O98" s="82"/>
      <c r="P98" s="82"/>
      <c r="Q98" s="82"/>
      <c r="R98" s="82"/>
      <c r="S98" s="82"/>
      <c r="T98" s="82"/>
    </row>
    <row r="99" spans="1:20" ht="13.15" x14ac:dyDescent="0.4">
      <c r="A99" s="73" t="str">
        <f>'BEATS AND SHARES'!A9</f>
        <v xml:space="preserve">Energy </v>
      </c>
      <c r="B99" s="73"/>
      <c r="C99" s="108">
        <f>'BEATS AND SHARES'!B9</f>
        <v>8</v>
      </c>
      <c r="D99" s="108">
        <f>'BEATS AND SHARES'!C9</f>
        <v>5</v>
      </c>
      <c r="E99" s="108">
        <f>'BEATS AND SHARES'!D9</f>
        <v>1</v>
      </c>
      <c r="F99" s="108">
        <f>'BEATS AND SHARES'!E9</f>
        <v>2</v>
      </c>
      <c r="G99" s="108"/>
      <c r="H99" s="110">
        <f>'BEATS AND SHARES'!G9</f>
        <v>0.34782608695652173</v>
      </c>
      <c r="I99" s="110">
        <f>'BEATS AND SHARES'!H9</f>
        <v>0.625</v>
      </c>
      <c r="J99" s="110">
        <f>'BEATS AND SHARES'!I9</f>
        <v>0.125</v>
      </c>
      <c r="K99" s="110">
        <f>'BEATS AND SHARES'!J9</f>
        <v>0.25</v>
      </c>
      <c r="L99" s="75"/>
      <c r="M99" s="75"/>
      <c r="N99" s="75"/>
      <c r="O99" s="75"/>
      <c r="P99" s="82"/>
      <c r="Q99" s="82"/>
      <c r="R99" s="82"/>
      <c r="S99" s="82"/>
      <c r="T99" s="82"/>
    </row>
    <row r="100" spans="1:20" ht="13.15" x14ac:dyDescent="0.4">
      <c r="A100" s="73" t="str">
        <f>'BEATS AND SHARES'!A10</f>
        <v xml:space="preserve">Materials  </v>
      </c>
      <c r="B100" s="73"/>
      <c r="C100" s="108">
        <f>'BEATS AND SHARES'!B10</f>
        <v>16</v>
      </c>
      <c r="D100" s="108">
        <f>'BEATS AND SHARES'!C10</f>
        <v>6</v>
      </c>
      <c r="E100" s="108">
        <f>'BEATS AND SHARES'!D10</f>
        <v>9</v>
      </c>
      <c r="F100" s="108">
        <f>'BEATS AND SHARES'!E10</f>
        <v>1</v>
      </c>
      <c r="G100" s="108"/>
      <c r="H100" s="110">
        <f>'BEATS AND SHARES'!G10</f>
        <v>0.61538461538461542</v>
      </c>
      <c r="I100" s="110">
        <f>'BEATS AND SHARES'!H10</f>
        <v>0.375</v>
      </c>
      <c r="J100" s="110">
        <f>'BEATS AND SHARES'!I10</f>
        <v>0.5625</v>
      </c>
      <c r="K100" s="110">
        <f>'BEATS AND SHARES'!J10</f>
        <v>6.25E-2</v>
      </c>
      <c r="L100" s="75"/>
      <c r="M100" s="75"/>
      <c r="N100" s="75"/>
      <c r="O100" s="75"/>
      <c r="P100" s="82"/>
      <c r="Q100" s="82"/>
      <c r="R100" s="82"/>
      <c r="S100" s="82"/>
      <c r="T100" s="82"/>
    </row>
    <row r="101" spans="1:20" ht="13.15" x14ac:dyDescent="0.4">
      <c r="A101" s="73" t="str">
        <f>'BEATS AND SHARES'!A11</f>
        <v xml:space="preserve">Industrials </v>
      </c>
      <c r="B101" s="73"/>
      <c r="C101" s="108">
        <f>'BEATS AND SHARES'!B11</f>
        <v>58</v>
      </c>
      <c r="D101" s="108">
        <f>'BEATS AND SHARES'!C11</f>
        <v>50</v>
      </c>
      <c r="E101" s="108">
        <f>'BEATS AND SHARES'!D11</f>
        <v>5</v>
      </c>
      <c r="F101" s="108">
        <f>'BEATS AND SHARES'!E11</f>
        <v>3</v>
      </c>
      <c r="G101" s="108"/>
      <c r="H101" s="110">
        <f>'BEATS AND SHARES'!G11</f>
        <v>0.74358974358974361</v>
      </c>
      <c r="I101" s="110">
        <f>'BEATS AND SHARES'!H11</f>
        <v>0.86206896551724133</v>
      </c>
      <c r="J101" s="110">
        <f>'BEATS AND SHARES'!I11</f>
        <v>8.6206896551724144E-2</v>
      </c>
      <c r="K101" s="110">
        <f>'BEATS AND SHARES'!J11</f>
        <v>5.1724137931034482E-2</v>
      </c>
      <c r="L101" s="75"/>
      <c r="M101" s="75"/>
      <c r="N101" s="75"/>
      <c r="O101" s="75"/>
      <c r="P101" s="82"/>
      <c r="Q101" s="82"/>
      <c r="R101" s="82"/>
      <c r="S101" s="82"/>
      <c r="T101" s="82"/>
    </row>
    <row r="102" spans="1:20" ht="13.15" x14ac:dyDescent="0.4">
      <c r="A102" s="73" t="str">
        <f>'BEATS AND SHARES'!A12</f>
        <v>Consumer Discretionary</v>
      </c>
      <c r="B102" s="73"/>
      <c r="C102" s="108">
        <f>'BEATS AND SHARES'!B12</f>
        <v>34</v>
      </c>
      <c r="D102" s="108">
        <f>'BEATS AND SHARES'!C12</f>
        <v>24</v>
      </c>
      <c r="E102" s="108">
        <f>'BEATS AND SHARES'!D12</f>
        <v>7</v>
      </c>
      <c r="F102" s="108">
        <f>'BEATS AND SHARES'!E12</f>
        <v>3</v>
      </c>
      <c r="G102" s="108"/>
      <c r="H102" s="110">
        <f>'BEATS AND SHARES'!G12</f>
        <v>0.66666666666666663</v>
      </c>
      <c r="I102" s="110">
        <f>'BEATS AND SHARES'!H12</f>
        <v>0.70588235294117652</v>
      </c>
      <c r="J102" s="110">
        <f>'BEATS AND SHARES'!I12</f>
        <v>0.20588235294117646</v>
      </c>
      <c r="K102" s="110">
        <f>'BEATS AND SHARES'!J12</f>
        <v>8.8235294117647065E-2</v>
      </c>
      <c r="L102" s="75"/>
      <c r="M102" s="75"/>
      <c r="N102" s="75"/>
      <c r="O102" s="75"/>
      <c r="P102" s="82"/>
      <c r="Q102" s="82"/>
      <c r="R102" s="82"/>
      <c r="S102" s="82"/>
      <c r="T102" s="82"/>
    </row>
    <row r="103" spans="1:20" ht="13.15" x14ac:dyDescent="0.4">
      <c r="A103" s="73" t="str">
        <f>'BEATS AND SHARES'!A13</f>
        <v>Consumer Staples</v>
      </c>
      <c r="B103" s="73"/>
      <c r="C103" s="108">
        <f>'BEATS AND SHARES'!B13</f>
        <v>20</v>
      </c>
      <c r="D103" s="108">
        <f>'BEATS AND SHARES'!C13</f>
        <v>16</v>
      </c>
      <c r="E103" s="108">
        <f>'BEATS AND SHARES'!D13</f>
        <v>3</v>
      </c>
      <c r="F103" s="108">
        <f>'BEATS AND SHARES'!E13</f>
        <v>1</v>
      </c>
      <c r="G103" s="108"/>
      <c r="H103" s="110">
        <f>'BEATS AND SHARES'!G13</f>
        <v>0.52631578947368418</v>
      </c>
      <c r="I103" s="110">
        <f>'BEATS AND SHARES'!H13</f>
        <v>0.8</v>
      </c>
      <c r="J103" s="110">
        <f>'BEATS AND SHARES'!I13</f>
        <v>0.15</v>
      </c>
      <c r="K103" s="110">
        <f>'BEATS AND SHARES'!J13</f>
        <v>0.05</v>
      </c>
      <c r="L103" s="75"/>
      <c r="M103" s="75"/>
      <c r="N103" s="75"/>
      <c r="O103" s="75"/>
      <c r="P103" s="82"/>
      <c r="Q103" s="82"/>
      <c r="R103" s="82"/>
      <c r="S103" s="82"/>
      <c r="T103" s="82"/>
    </row>
    <row r="104" spans="1:20" ht="13.15" x14ac:dyDescent="0.4">
      <c r="A104" s="73" t="str">
        <f>'BEATS AND SHARES'!A14</f>
        <v>Health Care</v>
      </c>
      <c r="B104" s="73"/>
      <c r="C104" s="108">
        <f>'BEATS AND SHARES'!B14</f>
        <v>34</v>
      </c>
      <c r="D104" s="108">
        <f>'BEATS AND SHARES'!C14</f>
        <v>27</v>
      </c>
      <c r="E104" s="108">
        <f>'BEATS AND SHARES'!D14</f>
        <v>6</v>
      </c>
      <c r="F104" s="108">
        <f>'BEATS AND SHARES'!E14</f>
        <v>1</v>
      </c>
      <c r="G104" s="108"/>
      <c r="H104" s="110">
        <f>'BEATS AND SHARES'!G14</f>
        <v>0.56666666666666665</v>
      </c>
      <c r="I104" s="110">
        <f>'BEATS AND SHARES'!H14</f>
        <v>0.79411764705882348</v>
      </c>
      <c r="J104" s="110">
        <f>'BEATS AND SHARES'!I14</f>
        <v>0.17647058823529413</v>
      </c>
      <c r="K104" s="110">
        <f>'BEATS AND SHARES'!J14</f>
        <v>2.9411764705882353E-2</v>
      </c>
      <c r="L104" s="75"/>
      <c r="M104" s="75"/>
      <c r="N104" s="75"/>
      <c r="O104" s="75"/>
      <c r="P104" s="82"/>
      <c r="Q104" s="82"/>
      <c r="R104" s="82"/>
      <c r="S104" s="82"/>
      <c r="T104" s="82"/>
    </row>
    <row r="105" spans="1:20" ht="13.15" x14ac:dyDescent="0.4">
      <c r="A105" s="73" t="str">
        <f>'BEATS AND SHARES'!A15</f>
        <v xml:space="preserve">Financials </v>
      </c>
      <c r="B105" s="73"/>
      <c r="C105" s="108">
        <f>'BEATS AND SHARES'!B15</f>
        <v>57</v>
      </c>
      <c r="D105" s="108">
        <f>'BEATS AND SHARES'!C15</f>
        <v>50</v>
      </c>
      <c r="E105" s="108">
        <f>'BEATS AND SHARES'!D15</f>
        <v>6</v>
      </c>
      <c r="F105" s="108">
        <f>'BEATS AND SHARES'!E15</f>
        <v>1</v>
      </c>
      <c r="G105" s="108"/>
      <c r="H105" s="110">
        <f>'BEATS AND SHARES'!G15</f>
        <v>0.78082191780821919</v>
      </c>
      <c r="I105" s="110">
        <f>'BEATS AND SHARES'!H15</f>
        <v>0.8771929824561403</v>
      </c>
      <c r="J105" s="110">
        <f>'BEATS AND SHARES'!I15</f>
        <v>0.10526315789473684</v>
      </c>
      <c r="K105" s="110">
        <f>'BEATS AND SHARES'!J15</f>
        <v>1.7543859649122806E-2</v>
      </c>
      <c r="L105" s="75"/>
      <c r="M105" s="75"/>
      <c r="N105" s="75"/>
      <c r="O105" s="75"/>
      <c r="P105" s="82"/>
      <c r="Q105" s="82"/>
      <c r="R105" s="82"/>
      <c r="S105" s="82"/>
      <c r="T105" s="82"/>
    </row>
    <row r="106" spans="1:20" ht="13.15" x14ac:dyDescent="0.4">
      <c r="A106" s="73" t="str">
        <f>'BEATS AND SHARES'!A16</f>
        <v xml:space="preserve">Information Technology  </v>
      </c>
      <c r="B106" s="73"/>
      <c r="C106" s="108">
        <f>'BEATS AND SHARES'!B16</f>
        <v>33</v>
      </c>
      <c r="D106" s="108">
        <f>'BEATS AND SHARES'!C16</f>
        <v>31</v>
      </c>
      <c r="E106" s="108">
        <f>'BEATS AND SHARES'!D16</f>
        <v>1</v>
      </c>
      <c r="F106" s="108">
        <f>'BEATS AND SHARES'!E16</f>
        <v>1</v>
      </c>
      <c r="G106" s="108"/>
      <c r="H106" s="110">
        <f>'BEATS AND SHARES'!G16</f>
        <v>0.47826086956521741</v>
      </c>
      <c r="I106" s="110">
        <f>'BEATS AND SHARES'!H16</f>
        <v>0.93939393939393945</v>
      </c>
      <c r="J106" s="110">
        <f>'BEATS AND SHARES'!I16</f>
        <v>3.0303030303030304E-2</v>
      </c>
      <c r="K106" s="110">
        <f>'BEATS AND SHARES'!J16</f>
        <v>3.0303030303030304E-2</v>
      </c>
      <c r="L106" s="75"/>
      <c r="M106" s="75"/>
      <c r="N106" s="75"/>
      <c r="O106" s="75"/>
      <c r="P106" s="82"/>
      <c r="Q106" s="82"/>
      <c r="R106" s="82"/>
      <c r="S106" s="82"/>
      <c r="T106" s="82"/>
    </row>
    <row r="107" spans="1:20" ht="13.15" x14ac:dyDescent="0.4">
      <c r="A107" s="73" t="str">
        <f>'BEATS AND SHARES'!A17</f>
        <v xml:space="preserve">Communication Services  </v>
      </c>
      <c r="B107" s="73"/>
      <c r="C107" s="108">
        <f>'BEATS AND SHARES'!B17</f>
        <v>13</v>
      </c>
      <c r="D107" s="108">
        <f>'BEATS AND SHARES'!C17</f>
        <v>12</v>
      </c>
      <c r="E107" s="108">
        <f>'BEATS AND SHARES'!D17</f>
        <v>1</v>
      </c>
      <c r="F107" s="108">
        <f>'BEATS AND SHARES'!E17</f>
        <v>0</v>
      </c>
      <c r="G107" s="108"/>
      <c r="H107" s="110">
        <f>'BEATS AND SHARES'!G17</f>
        <v>0.56521739130434778</v>
      </c>
      <c r="I107" s="110">
        <f>'BEATS AND SHARES'!H17</f>
        <v>0.92307692307692313</v>
      </c>
      <c r="J107" s="110">
        <f>'BEATS AND SHARES'!I17</f>
        <v>7.6923076923076927E-2</v>
      </c>
      <c r="K107" s="110">
        <f>'BEATS AND SHARES'!J17</f>
        <v>0</v>
      </c>
      <c r="L107" s="75"/>
      <c r="M107" s="75"/>
      <c r="N107" s="75"/>
      <c r="O107" s="75"/>
      <c r="P107" s="129"/>
      <c r="Q107" s="129"/>
      <c r="R107" s="129"/>
      <c r="S107" s="82"/>
      <c r="T107" s="82"/>
    </row>
    <row r="108" spans="1:20" ht="13.15" x14ac:dyDescent="0.4">
      <c r="A108" s="73" t="str">
        <f>'BEATS AND SHARES'!A18</f>
        <v xml:space="preserve">Utilities  </v>
      </c>
      <c r="B108" s="73"/>
      <c r="C108" s="108">
        <f>'BEATS AND SHARES'!B18</f>
        <v>18</v>
      </c>
      <c r="D108" s="108">
        <f>'BEATS AND SHARES'!C18</f>
        <v>13</v>
      </c>
      <c r="E108" s="108">
        <f>'BEATS AND SHARES'!D18</f>
        <v>5</v>
      </c>
      <c r="F108" s="108">
        <f>'BEATS AND SHARES'!E18</f>
        <v>0</v>
      </c>
      <c r="G108" s="108"/>
      <c r="H108" s="110">
        <f>'BEATS AND SHARES'!G18</f>
        <v>0.58064516129032262</v>
      </c>
      <c r="I108" s="110">
        <f>'BEATS AND SHARES'!H18</f>
        <v>0.72222222222222221</v>
      </c>
      <c r="J108" s="110">
        <f>'BEATS AND SHARES'!I18</f>
        <v>0.27777777777777779</v>
      </c>
      <c r="K108" s="110">
        <f>'BEATS AND SHARES'!J18</f>
        <v>0</v>
      </c>
      <c r="L108" s="75"/>
      <c r="M108" s="75"/>
      <c r="N108" s="75"/>
      <c r="O108" s="75"/>
      <c r="P108" s="129"/>
      <c r="Q108" s="129"/>
      <c r="R108" s="129"/>
      <c r="S108" s="82"/>
      <c r="T108" s="82"/>
    </row>
    <row r="109" spans="1:20" ht="13.15" x14ac:dyDescent="0.4">
      <c r="A109" s="73" t="str">
        <f>'BEATS AND SHARES'!A19</f>
        <v>Real Estate</v>
      </c>
      <c r="B109" s="73"/>
      <c r="C109" s="108">
        <f>'BEATS AND SHARES'!B19</f>
        <v>25</v>
      </c>
      <c r="D109" s="108">
        <f>'BEATS AND SHARES'!C19</f>
        <v>12</v>
      </c>
      <c r="E109" s="108">
        <f>'BEATS AND SHARES'!D19</f>
        <v>6</v>
      </c>
      <c r="F109" s="108">
        <f>'BEATS AND SHARES'!E19</f>
        <v>7</v>
      </c>
      <c r="G109" s="108"/>
      <c r="H109" s="110">
        <f>'BEATS AND SHARES'!G19</f>
        <v>0.80645161290322576</v>
      </c>
      <c r="I109" s="110">
        <f>'BEATS AND SHARES'!H19</f>
        <v>0.48</v>
      </c>
      <c r="J109" s="110">
        <f>'BEATS AND SHARES'!I19</f>
        <v>0.24</v>
      </c>
      <c r="K109" s="110">
        <f>'BEATS AND SHARES'!J19</f>
        <v>0.28000000000000003</v>
      </c>
      <c r="L109" s="75"/>
      <c r="M109" s="75"/>
      <c r="N109" s="75"/>
      <c r="O109" s="75"/>
      <c r="P109" s="129"/>
      <c r="Q109" s="129"/>
      <c r="R109" s="129"/>
      <c r="S109" s="82"/>
      <c r="T109" s="82"/>
    </row>
    <row r="110" spans="1:20" ht="13.15" x14ac:dyDescent="0.4">
      <c r="A110" s="73" t="str">
        <f>'BEATS AND SHARES'!A20</f>
        <v>S&amp;P 500</v>
      </c>
      <c r="B110" s="73"/>
      <c r="C110" s="108">
        <f>'BEATS AND SHARES'!B20</f>
        <v>316</v>
      </c>
      <c r="D110" s="108">
        <f>'BEATS AND SHARES'!C20</f>
        <v>246</v>
      </c>
      <c r="E110" s="108">
        <f>'BEATS AND SHARES'!D20</f>
        <v>50</v>
      </c>
      <c r="F110" s="108">
        <f>'BEATS AND SHARES'!E20</f>
        <v>20</v>
      </c>
      <c r="G110" s="109"/>
      <c r="H110" s="110">
        <f>'BEATS AND SHARES'!G20</f>
        <v>0.62823061630218691</v>
      </c>
      <c r="I110" s="110">
        <f>'BEATS AND SHARES'!H20</f>
        <v>0.77848101265822789</v>
      </c>
      <c r="J110" s="110">
        <f>'BEATS AND SHARES'!I20</f>
        <v>0.15822784810126583</v>
      </c>
      <c r="K110" s="110">
        <f>'BEATS AND SHARES'!J20</f>
        <v>6.3291139240506333E-2</v>
      </c>
      <c r="L110" s="75"/>
      <c r="M110" s="75"/>
      <c r="N110" s="75"/>
      <c r="O110" s="75"/>
      <c r="P110" s="129"/>
      <c r="Q110" s="129"/>
      <c r="R110" s="129"/>
      <c r="S110" s="82"/>
      <c r="T110" s="82"/>
    </row>
    <row r="111" spans="1:20" ht="13.15" x14ac:dyDescent="0.4">
      <c r="A111" s="73"/>
      <c r="B111" s="73"/>
      <c r="C111" s="108"/>
      <c r="D111" s="108"/>
      <c r="E111" s="108"/>
      <c r="F111" s="108"/>
      <c r="G111" s="109"/>
      <c r="H111" s="110"/>
      <c r="I111" s="110"/>
      <c r="J111" s="110"/>
      <c r="K111" s="110"/>
      <c r="M111" s="80"/>
      <c r="N111" s="129"/>
      <c r="O111" s="129"/>
      <c r="P111" s="129"/>
      <c r="Q111" s="129"/>
      <c r="R111" s="129"/>
      <c r="S111" s="82"/>
      <c r="T111" s="82"/>
    </row>
    <row r="112" spans="1:20" ht="13.15" x14ac:dyDescent="0.4">
      <c r="A112" s="5" t="s">
        <v>456</v>
      </c>
      <c r="B112" s="22"/>
      <c r="C112" s="6"/>
      <c r="D112" s="35">
        <v>45869</v>
      </c>
      <c r="E112" s="232"/>
      <c r="F112" s="155"/>
      <c r="G112" s="155"/>
      <c r="H112" s="155"/>
      <c r="I112" s="155"/>
      <c r="J112" s="155"/>
    </row>
    <row r="113" spans="1:13" ht="13.15" x14ac:dyDescent="0.4">
      <c r="A113" s="5" t="s">
        <v>710</v>
      </c>
      <c r="B113" s="1"/>
      <c r="C113" s="1"/>
      <c r="D113" s="272">
        <v>6339.3945671658003</v>
      </c>
      <c r="E113" s="155"/>
      <c r="F113" s="92"/>
      <c r="G113" s="92"/>
      <c r="H113" s="80"/>
      <c r="I113" s="80"/>
      <c r="J113" s="80"/>
      <c r="K113" s="80"/>
      <c r="L113" s="80"/>
      <c r="M113" s="80"/>
    </row>
    <row r="114" spans="1:13" ht="15" customHeight="1" x14ac:dyDescent="0.5">
      <c r="A114" s="274" t="s">
        <v>1403</v>
      </c>
      <c r="B114" s="1"/>
      <c r="C114" s="1"/>
      <c r="D114" s="15">
        <f>(77.4509)/D113</f>
        <v>1.2217396973702893E-2</v>
      </c>
      <c r="E114" s="80"/>
      <c r="F114" s="252"/>
      <c r="G114" s="80"/>
      <c r="H114" s="155"/>
      <c r="I114" s="155"/>
      <c r="J114" s="155"/>
      <c r="K114" s="80"/>
      <c r="L114" s="155"/>
    </row>
    <row r="115" spans="1:13" ht="13.15" x14ac:dyDescent="0.4">
      <c r="A115" s="6" t="s">
        <v>186</v>
      </c>
      <c r="B115" s="1"/>
      <c r="C115" s="1"/>
      <c r="D115" s="15">
        <f>78.0388/D113</f>
        <v>1.2310134536221078E-2</v>
      </c>
      <c r="E115" s="155"/>
      <c r="F115" s="155"/>
      <c r="G115" s="155"/>
      <c r="H115" s="155"/>
      <c r="I115" s="155"/>
      <c r="J115" s="155"/>
      <c r="K115" s="155"/>
      <c r="L115" s="80"/>
    </row>
    <row r="116" spans="1:13" ht="13.15" x14ac:dyDescent="0.4">
      <c r="A116" s="6"/>
      <c r="B116" s="1"/>
      <c r="C116" s="1"/>
      <c r="D116" s="15"/>
      <c r="E116" s="155"/>
      <c r="F116" s="155"/>
      <c r="G116" s="155"/>
      <c r="H116" s="155"/>
      <c r="I116" s="155"/>
      <c r="J116" s="155"/>
      <c r="K116" s="155"/>
      <c r="L116" s="80"/>
    </row>
    <row r="117" spans="1:13" ht="13.15" x14ac:dyDescent="0.4">
      <c r="A117" s="20" t="s">
        <v>16</v>
      </c>
      <c r="B117" s="18"/>
      <c r="C117" s="19" t="s">
        <v>14</v>
      </c>
      <c r="D117" s="19" t="s">
        <v>9</v>
      </c>
      <c r="E117" s="19"/>
      <c r="F117" s="19" t="s">
        <v>14</v>
      </c>
      <c r="G117" s="19" t="s">
        <v>9</v>
      </c>
      <c r="H117" s="38"/>
      <c r="I117" s="72" t="s">
        <v>224</v>
      </c>
      <c r="J117" s="72"/>
      <c r="K117" s="98"/>
    </row>
    <row r="118" spans="1:13" ht="13.15" x14ac:dyDescent="0.4">
      <c r="A118" s="20" t="s">
        <v>10</v>
      </c>
      <c r="B118" s="18"/>
      <c r="C118" s="19" t="s">
        <v>15</v>
      </c>
      <c r="D118" s="19" t="s">
        <v>15</v>
      </c>
      <c r="E118" s="19"/>
      <c r="F118" s="19" t="s">
        <v>15</v>
      </c>
      <c r="G118" s="19" t="s">
        <v>15</v>
      </c>
      <c r="H118" s="38"/>
      <c r="I118" s="54" t="s">
        <v>14</v>
      </c>
      <c r="J118" s="54" t="s">
        <v>9</v>
      </c>
      <c r="K118" s="97"/>
    </row>
    <row r="119" spans="1:13" ht="13.15" x14ac:dyDescent="0.4">
      <c r="A119" s="20"/>
      <c r="B119" s="21" t="s">
        <v>1</v>
      </c>
      <c r="C119" s="19" t="s">
        <v>13</v>
      </c>
      <c r="D119" s="19" t="s">
        <v>13</v>
      </c>
      <c r="E119" s="19"/>
      <c r="F119" s="19" t="s">
        <v>8</v>
      </c>
      <c r="G119" s="19" t="s">
        <v>8</v>
      </c>
      <c r="H119" s="38"/>
      <c r="I119" s="54" t="s">
        <v>15</v>
      </c>
      <c r="J119" s="54" t="s">
        <v>15</v>
      </c>
      <c r="K119" s="97"/>
    </row>
    <row r="120" spans="1:13" ht="13.15" x14ac:dyDescent="0.4">
      <c r="A120" s="20"/>
      <c r="B120" s="19" t="s">
        <v>3</v>
      </c>
      <c r="C120" s="19" t="s">
        <v>11</v>
      </c>
      <c r="D120" s="19" t="s">
        <v>11</v>
      </c>
      <c r="E120" s="19"/>
      <c r="F120" s="19" t="s">
        <v>11</v>
      </c>
      <c r="G120" s="19" t="s">
        <v>11</v>
      </c>
      <c r="H120" s="38"/>
      <c r="I120" s="54" t="s">
        <v>11</v>
      </c>
      <c r="J120" s="54" t="s">
        <v>11</v>
      </c>
      <c r="K120" s="97"/>
    </row>
    <row r="121" spans="1:13" ht="13.15" x14ac:dyDescent="0.4">
      <c r="A121" s="20"/>
      <c r="B121" s="22"/>
      <c r="C121" s="19" t="s">
        <v>12</v>
      </c>
      <c r="D121" s="54" t="s">
        <v>223</v>
      </c>
      <c r="E121" s="19"/>
      <c r="F121" s="19" t="s">
        <v>12</v>
      </c>
      <c r="G121" s="77" t="s">
        <v>223</v>
      </c>
      <c r="H121" s="50"/>
      <c r="I121" s="54" t="s">
        <v>12</v>
      </c>
      <c r="J121" s="77" t="s">
        <v>12</v>
      </c>
      <c r="K121" s="97"/>
      <c r="L121" s="92"/>
    </row>
    <row r="122" spans="1:13" ht="13.15" x14ac:dyDescent="0.4">
      <c r="A122" s="7" t="s">
        <v>22</v>
      </c>
      <c r="B122" s="80"/>
      <c r="C122" s="58"/>
      <c r="D122" s="80"/>
      <c r="E122" s="215"/>
      <c r="F122" s="80"/>
      <c r="G122" s="80"/>
      <c r="H122" s="50"/>
      <c r="I122" s="52"/>
      <c r="J122" s="52"/>
      <c r="K122" s="97"/>
    </row>
    <row r="123" spans="1:13" ht="13.15" x14ac:dyDescent="0.4">
      <c r="A123" s="31" t="s">
        <v>728</v>
      </c>
      <c r="B123" s="80"/>
      <c r="C123" s="58">
        <f>'SECTOR EPS'!BZ8</f>
        <v>79.34</v>
      </c>
      <c r="D123" s="52">
        <v>73.461814939847997</v>
      </c>
      <c r="E123" s="215"/>
      <c r="F123" s="155">
        <f>D113/I123</f>
        <v>21.182152389621088</v>
      </c>
      <c r="G123" s="80">
        <f>D113/J123</f>
        <v>22.669137703778667</v>
      </c>
      <c r="H123" s="50"/>
      <c r="I123" s="52">
        <f>SUM(C123:C126)</f>
        <v>299.28000000000003</v>
      </c>
      <c r="J123" s="52">
        <f>SUM(D123:D126)</f>
        <v>279.64868580374372</v>
      </c>
      <c r="K123" s="97"/>
    </row>
    <row r="124" spans="1:13" ht="13.15" x14ac:dyDescent="0.4">
      <c r="A124" s="31" t="s">
        <v>729</v>
      </c>
      <c r="B124" s="80"/>
      <c r="C124" s="58">
        <f>'SECTOR EPS'!BY8</f>
        <v>77.06</v>
      </c>
      <c r="D124" s="52">
        <v>71.442158223225405</v>
      </c>
      <c r="E124" s="215"/>
      <c r="F124" s="155">
        <f>D113/I124</f>
        <v>21.897735983301555</v>
      </c>
      <c r="G124" s="80">
        <f>D113/J124</f>
        <v>23.443545991960441</v>
      </c>
      <c r="H124" s="50"/>
      <c r="I124" s="52">
        <f t="shared" ref="I124:J126" si="6">SUM(C124:C127)</f>
        <v>289.5</v>
      </c>
      <c r="J124" s="52">
        <f t="shared" si="6"/>
        <v>270.41107899546364</v>
      </c>
      <c r="K124" s="97"/>
    </row>
    <row r="125" spans="1:13" ht="13.15" x14ac:dyDescent="0.4">
      <c r="A125" s="31" t="s">
        <v>730</v>
      </c>
      <c r="B125" s="80"/>
      <c r="C125" s="58">
        <f>'SECTOR EPS'!BX8</f>
        <v>72.959999999999994</v>
      </c>
      <c r="D125" s="52">
        <v>70.406121381228857</v>
      </c>
      <c r="E125" s="215"/>
      <c r="F125" s="155">
        <f>D113/I125</f>
        <v>22.708007906171151</v>
      </c>
      <c r="G125" s="80">
        <f>D113/J125</f>
        <v>24.310352890428593</v>
      </c>
      <c r="H125" s="50"/>
      <c r="I125" s="52">
        <f t="shared" si="6"/>
        <v>279.17</v>
      </c>
      <c r="J125" s="52">
        <f t="shared" si="6"/>
        <v>260.76933542423933</v>
      </c>
      <c r="K125" s="97"/>
    </row>
    <row r="126" spans="1:13" ht="13.15" x14ac:dyDescent="0.4">
      <c r="A126" s="31" t="s">
        <v>731</v>
      </c>
      <c r="B126" s="80"/>
      <c r="C126" s="58">
        <f>'SECTOR EPS'!BW8</f>
        <v>69.92</v>
      </c>
      <c r="D126" s="52">
        <v>64.338591259441444</v>
      </c>
      <c r="E126" s="215"/>
      <c r="F126" s="155">
        <f>D113/I126</f>
        <v>23.513202652593748</v>
      </c>
      <c r="G126" s="80">
        <f>D113/J126</f>
        <v>25.306692703626087</v>
      </c>
      <c r="H126" s="50"/>
      <c r="I126" s="52">
        <f t="shared" si="6"/>
        <v>269.61</v>
      </c>
      <c r="J126" s="52">
        <f t="shared" si="6"/>
        <v>250.50268881075306</v>
      </c>
      <c r="K126" s="97"/>
    </row>
    <row r="127" spans="1:13" ht="13.15" x14ac:dyDescent="0.4">
      <c r="A127" s="31" t="s">
        <v>639</v>
      </c>
      <c r="B127" s="80"/>
      <c r="C127" s="58">
        <f>'SECTOR EPS'!BV8</f>
        <v>69.56</v>
      </c>
      <c r="D127" s="52">
        <v>64.22420813156792</v>
      </c>
      <c r="E127" s="215"/>
      <c r="F127" s="155">
        <f>D113/I127</f>
        <v>24.647723822573091</v>
      </c>
      <c r="G127" s="80">
        <f>D113/J127</f>
        <v>26.408191452806815</v>
      </c>
      <c r="H127" s="50"/>
      <c r="I127" s="52">
        <f t="shared" ref="I127:J129" si="7">SUM(C127:C132)</f>
        <v>257.20000000000005</v>
      </c>
      <c r="J127" s="52">
        <f t="shared" si="7"/>
        <v>240.0540975513116</v>
      </c>
      <c r="K127" s="97"/>
    </row>
    <row r="128" spans="1:13" ht="13.15" x14ac:dyDescent="0.4">
      <c r="A128" s="31" t="s">
        <v>640</v>
      </c>
      <c r="B128" s="80"/>
      <c r="C128" s="58">
        <f>'SECTOR EPS'!BU8</f>
        <v>66.73</v>
      </c>
      <c r="D128" s="52">
        <v>61.800414652001088</v>
      </c>
      <c r="E128" s="215"/>
      <c r="F128" s="155">
        <f>D113/I128</f>
        <v>25.474762174666669</v>
      </c>
      <c r="G128" s="80">
        <f>D113/J128</f>
        <v>27.147129021506874</v>
      </c>
      <c r="H128" s="50"/>
      <c r="I128" s="52">
        <f t="shared" si="7"/>
        <v>248.85</v>
      </c>
      <c r="J128" s="52">
        <f t="shared" si="7"/>
        <v>233.51988941974369</v>
      </c>
      <c r="K128" s="97"/>
    </row>
    <row r="129" spans="1:13" ht="13.15" x14ac:dyDescent="0.4">
      <c r="A129" s="31" t="s">
        <v>1402</v>
      </c>
      <c r="B129" s="80">
        <v>6204.9539523896101</v>
      </c>
      <c r="C129" s="58">
        <f>'SECTOR EPS'!BT8</f>
        <v>63.4</v>
      </c>
      <c r="D129" s="52">
        <v>60.139474767742605</v>
      </c>
      <c r="E129" s="215"/>
      <c r="F129" s="155">
        <f>D113/I129</f>
        <v>26.274015944818469</v>
      </c>
      <c r="G129" s="80">
        <f>D113/J129</f>
        <v>28.337622149206787</v>
      </c>
      <c r="H129" s="50"/>
      <c r="I129" s="52">
        <f t="shared" si="7"/>
        <v>241.28</v>
      </c>
      <c r="J129" s="52">
        <f t="shared" si="7"/>
        <v>223.70947476774262</v>
      </c>
      <c r="K129" s="97"/>
    </row>
    <row r="130" spans="1:13" ht="13.15" x14ac:dyDescent="0.4">
      <c r="A130" s="31"/>
      <c r="B130" s="80"/>
      <c r="C130" s="58"/>
      <c r="D130" s="58"/>
      <c r="E130" s="215"/>
      <c r="F130" s="155">
        <f>B129/I129</f>
        <v>25.716818436628024</v>
      </c>
      <c r="G130" s="80">
        <f>B129/J129</f>
        <v>27.736661394568355</v>
      </c>
      <c r="H130" s="82" t="s">
        <v>777</v>
      </c>
      <c r="I130" s="52"/>
      <c r="J130" s="52"/>
      <c r="K130" s="97"/>
      <c r="L130" s="97"/>
    </row>
    <row r="131" spans="1:13" ht="12.75" customHeight="1" x14ac:dyDescent="0.4">
      <c r="A131" s="7" t="s">
        <v>424</v>
      </c>
      <c r="B131" s="80"/>
      <c r="C131" s="58"/>
      <c r="D131" s="58"/>
      <c r="E131" s="215"/>
      <c r="F131" s="80"/>
      <c r="G131" s="80"/>
      <c r="H131" s="50"/>
      <c r="I131" s="52"/>
      <c r="J131" s="52"/>
      <c r="K131" s="97"/>
      <c r="L131" s="97"/>
    </row>
    <row r="132" spans="1:13" ht="12.75" customHeight="1" x14ac:dyDescent="0.4">
      <c r="A132" s="16" t="s">
        <v>776</v>
      </c>
      <c r="B132" s="80">
        <v>5611.8526068176197</v>
      </c>
      <c r="C132" s="58">
        <v>57.51</v>
      </c>
      <c r="D132" s="58">
        <v>53.89</v>
      </c>
      <c r="E132" s="215"/>
      <c r="F132" s="80">
        <f>B132/I132</f>
        <v>23.75487896553344</v>
      </c>
      <c r="G132" s="4">
        <f t="shared" ref="G132:G133" si="8">B132/J132</f>
        <v>25.89806916247921</v>
      </c>
      <c r="H132" s="50"/>
      <c r="I132" s="52">
        <f>SUM(C132:C135)</f>
        <v>236.24</v>
      </c>
      <c r="J132" s="52">
        <f>SUM(D132:D135)</f>
        <v>216.69</v>
      </c>
      <c r="K132" s="97"/>
      <c r="L132" s="97"/>
    </row>
    <row r="133" spans="1:13" ht="13.15" x14ac:dyDescent="0.4">
      <c r="A133" s="31" t="s">
        <v>745</v>
      </c>
      <c r="B133" s="80">
        <v>5881.6276482140802</v>
      </c>
      <c r="C133" s="58">
        <v>61.21</v>
      </c>
      <c r="D133" s="52">
        <v>57.69</v>
      </c>
      <c r="E133" s="215"/>
      <c r="F133" s="80">
        <f>B133/I133</f>
        <v>25.204095167184093</v>
      </c>
      <c r="G133" s="4">
        <f t="shared" si="8"/>
        <v>27.985096104173191</v>
      </c>
      <c r="H133" s="50"/>
      <c r="I133" s="52">
        <f>SUM(C133:C136)</f>
        <v>233.36</v>
      </c>
      <c r="J133" s="52">
        <f>SUM(D133:D136)</f>
        <v>210.17000000000002</v>
      </c>
      <c r="K133" s="97"/>
    </row>
    <row r="134" spans="1:13" ht="12.75" customHeight="1" x14ac:dyDescent="0.4">
      <c r="A134" s="31" t="s">
        <v>721</v>
      </c>
      <c r="B134" s="80">
        <v>5762.4848833691203</v>
      </c>
      <c r="C134" s="58">
        <v>59.16</v>
      </c>
      <c r="D134" s="58">
        <v>51.99</v>
      </c>
      <c r="E134" s="215"/>
      <c r="F134" s="80">
        <f>B134/I134</f>
        <v>25.492080881969123</v>
      </c>
      <c r="G134" s="4">
        <f t="shared" ref="G134:G136" si="9">B134/J134</f>
        <v>28.773580083732565</v>
      </c>
      <c r="H134" s="50"/>
      <c r="I134" s="52">
        <f>SUM(C134:C137)</f>
        <v>226.05</v>
      </c>
      <c r="J134" s="52">
        <f t="shared" ref="J134:J136" si="10">SUM(D134:D137)</f>
        <v>200.26999999999998</v>
      </c>
      <c r="K134" s="97"/>
      <c r="L134" s="97"/>
    </row>
    <row r="135" spans="1:13" ht="13.15" x14ac:dyDescent="0.4">
      <c r="A135" s="31" t="s">
        <v>678</v>
      </c>
      <c r="B135" s="80">
        <v>5460.4826211495101</v>
      </c>
      <c r="C135" s="58">
        <v>58.36</v>
      </c>
      <c r="D135" s="52">
        <v>53.12</v>
      </c>
      <c r="E135" s="215"/>
      <c r="F135" s="80">
        <f t="shared" ref="F135:F136" si="11">B135/I135</f>
        <v>24.917781423516974</v>
      </c>
      <c r="G135" s="4">
        <f t="shared" si="9"/>
        <v>27.869558623740673</v>
      </c>
      <c r="H135" s="50"/>
      <c r="I135" s="52">
        <f t="shared" ref="I135:I136" si="12">SUM(C135:C138)</f>
        <v>219.14000000000001</v>
      </c>
      <c r="J135" s="52">
        <f t="shared" si="10"/>
        <v>195.93</v>
      </c>
      <c r="K135" s="97"/>
    </row>
    <row r="136" spans="1:13" ht="13.15" x14ac:dyDescent="0.4">
      <c r="A136" s="31" t="s">
        <v>665</v>
      </c>
      <c r="B136" s="80">
        <v>5254.3544012623997</v>
      </c>
      <c r="C136" s="58">
        <v>54.63</v>
      </c>
      <c r="D136" s="52">
        <v>47.37</v>
      </c>
      <c r="E136" s="215"/>
      <c r="F136" s="80">
        <f t="shared" si="11"/>
        <v>24.368585480300528</v>
      </c>
      <c r="G136" s="4">
        <f t="shared" si="9"/>
        <v>27.453651712536704</v>
      </c>
      <c r="H136" s="50"/>
      <c r="I136" s="52">
        <f t="shared" si="12"/>
        <v>215.62</v>
      </c>
      <c r="J136" s="52">
        <f t="shared" si="10"/>
        <v>191.39</v>
      </c>
      <c r="K136" s="97"/>
    </row>
    <row r="137" spans="1:13" ht="13.15" x14ac:dyDescent="0.4">
      <c r="A137" s="31" t="s">
        <v>651</v>
      </c>
      <c r="B137" s="80">
        <v>4769.8294107906704</v>
      </c>
      <c r="C137" s="58">
        <v>53.9</v>
      </c>
      <c r="D137" s="52">
        <v>47.79</v>
      </c>
      <c r="E137" s="215"/>
      <c r="F137" s="80">
        <f t="shared" ref="F137" si="13">B137/I137</f>
        <v>22.337982535431415</v>
      </c>
      <c r="G137" s="4">
        <f t="shared" ref="G137:G138" si="14">B137/J137</f>
        <v>24.787348182667312</v>
      </c>
      <c r="H137" s="23"/>
      <c r="I137" s="52">
        <f t="shared" ref="I137:J140" si="15">SUM(C137:C140)</f>
        <v>213.53</v>
      </c>
      <c r="J137" s="52">
        <f t="shared" si="15"/>
        <v>192.42999999999998</v>
      </c>
      <c r="K137" s="97"/>
      <c r="L137" s="97"/>
      <c r="M137" s="52"/>
    </row>
    <row r="138" spans="1:13" ht="12.75" customHeight="1" x14ac:dyDescent="0.4">
      <c r="A138" s="31" t="s">
        <v>632</v>
      </c>
      <c r="B138" s="80">
        <v>4288.05412263991</v>
      </c>
      <c r="C138" s="58">
        <v>52.25</v>
      </c>
      <c r="D138" s="58">
        <v>47.65</v>
      </c>
      <c r="E138" s="215"/>
      <c r="F138" s="80">
        <f>B138/I138</f>
        <v>20.419305345904334</v>
      </c>
      <c r="G138" s="4">
        <f t="shared" si="14"/>
        <v>23.273021018398428</v>
      </c>
      <c r="H138" s="23"/>
      <c r="I138" s="52">
        <f t="shared" si="15"/>
        <v>210</v>
      </c>
      <c r="J138" s="52">
        <f t="shared" si="15"/>
        <v>184.25</v>
      </c>
      <c r="K138" s="97"/>
      <c r="L138" s="97"/>
    </row>
    <row r="139" spans="1:13" ht="13.15" x14ac:dyDescent="0.4">
      <c r="A139" s="31" t="s">
        <v>611</v>
      </c>
      <c r="B139" s="80">
        <v>4450.3813118092003</v>
      </c>
      <c r="C139" s="58">
        <v>54.84</v>
      </c>
      <c r="D139" s="52">
        <v>48.58</v>
      </c>
      <c r="E139" s="215"/>
      <c r="F139" s="80">
        <f t="shared" ref="F139:F143" si="16">B139/I139</f>
        <v>21.385782372941858</v>
      </c>
      <c r="G139" s="4">
        <f t="shared" ref="G139:G143" si="17">B139/J139</f>
        <v>24.586383690454674</v>
      </c>
      <c r="H139" s="23"/>
      <c r="I139" s="52">
        <f t="shared" si="15"/>
        <v>208.1</v>
      </c>
      <c r="J139" s="52">
        <f t="shared" si="15"/>
        <v>181.01</v>
      </c>
      <c r="K139" s="97"/>
      <c r="L139" s="97"/>
      <c r="M139" s="52"/>
    </row>
    <row r="140" spans="1:13" ht="13.15" x14ac:dyDescent="0.4">
      <c r="A140" s="31" t="s">
        <v>607</v>
      </c>
      <c r="B140" s="80">
        <v>4109.3124446214597</v>
      </c>
      <c r="C140" s="58">
        <v>52.54</v>
      </c>
      <c r="D140" s="52">
        <v>48.41</v>
      </c>
      <c r="E140" s="215"/>
      <c r="F140" s="80">
        <f t="shared" si="16"/>
        <v>20.533215632945883</v>
      </c>
      <c r="G140" s="4">
        <f t="shared" si="17"/>
        <v>23.458996658226063</v>
      </c>
      <c r="H140" s="23"/>
      <c r="I140" s="52">
        <f t="shared" si="15"/>
        <v>200.13</v>
      </c>
      <c r="J140" s="52">
        <f t="shared" si="15"/>
        <v>175.17000000000002</v>
      </c>
      <c r="K140" s="97"/>
      <c r="L140" s="97"/>
      <c r="M140" s="52"/>
    </row>
    <row r="141" spans="1:13" ht="13.15" x14ac:dyDescent="0.4">
      <c r="A141" s="31" t="s">
        <v>599</v>
      </c>
      <c r="B141" s="80">
        <v>3839.4965866768098</v>
      </c>
      <c r="C141" s="58">
        <v>50.37</v>
      </c>
      <c r="D141" s="52">
        <v>39.61</v>
      </c>
      <c r="E141" s="215"/>
      <c r="F141" s="80">
        <f t="shared" si="16"/>
        <v>19.494778302497132</v>
      </c>
      <c r="G141" s="4">
        <f t="shared" si="17"/>
        <v>22.22574000970657</v>
      </c>
      <c r="H141" s="23"/>
      <c r="I141" s="52">
        <f t="shared" ref="I141:J143" si="18">SUM(C141:C144)</f>
        <v>196.95</v>
      </c>
      <c r="J141" s="52">
        <f t="shared" si="18"/>
        <v>172.75</v>
      </c>
      <c r="K141" s="97"/>
      <c r="L141" s="97"/>
      <c r="M141" s="52"/>
    </row>
    <row r="142" spans="1:13" ht="13.15" x14ac:dyDescent="0.4">
      <c r="A142" s="31" t="s">
        <v>578</v>
      </c>
      <c r="B142" s="80">
        <v>3585.6241035486701</v>
      </c>
      <c r="C142" s="58">
        <v>50.35</v>
      </c>
      <c r="D142" s="52">
        <v>44.41</v>
      </c>
      <c r="E142" s="215"/>
      <c r="F142" s="80">
        <f t="shared" si="16"/>
        <v>17.636240733602236</v>
      </c>
      <c r="G142" s="4">
        <f t="shared" si="17"/>
        <v>19.16626097684771</v>
      </c>
      <c r="H142" s="46"/>
      <c r="I142" s="52">
        <f t="shared" si="18"/>
        <v>203.30999999999997</v>
      </c>
      <c r="J142" s="52">
        <f t="shared" si="18"/>
        <v>187.08</v>
      </c>
      <c r="K142" s="97"/>
      <c r="L142" s="97"/>
      <c r="M142" s="52"/>
    </row>
    <row r="143" spans="1:13" ht="13.15" x14ac:dyDescent="0.4">
      <c r="A143" s="31" t="s">
        <v>568</v>
      </c>
      <c r="B143" s="80">
        <v>3785.3848459311298</v>
      </c>
      <c r="C143" s="58">
        <v>46.87</v>
      </c>
      <c r="D143" s="52">
        <v>42.74</v>
      </c>
      <c r="E143" s="215"/>
      <c r="F143" s="80">
        <f t="shared" si="16"/>
        <v>18.467093599039565</v>
      </c>
      <c r="G143" s="4">
        <f t="shared" si="17"/>
        <v>19.688884042084311</v>
      </c>
      <c r="H143" s="46"/>
      <c r="I143" s="52">
        <f t="shared" si="18"/>
        <v>204.98</v>
      </c>
      <c r="J143" s="52">
        <f t="shared" si="18"/>
        <v>192.26000000000002</v>
      </c>
      <c r="K143" s="97"/>
      <c r="L143" s="97"/>
      <c r="M143" s="52"/>
    </row>
    <row r="144" spans="1:13" ht="13.15" x14ac:dyDescent="0.4">
      <c r="A144" s="31" t="s">
        <v>563</v>
      </c>
      <c r="B144" s="80">
        <v>4530.4134516834702</v>
      </c>
      <c r="C144" s="58">
        <v>49.36</v>
      </c>
      <c r="D144" s="52">
        <v>45.99</v>
      </c>
      <c r="E144" s="215"/>
      <c r="F144" s="80">
        <f t="shared" ref="F144" si="19">B144/I144</f>
        <v>21.556973028566187</v>
      </c>
      <c r="G144" s="4">
        <f t="shared" ref="G144" si="20">B144/J144</f>
        <v>22.891281146397198</v>
      </c>
      <c r="H144" s="46"/>
      <c r="I144" s="52">
        <f>SUM(C144:C147)</f>
        <v>210.16000000000003</v>
      </c>
      <c r="J144" s="52">
        <f t="shared" ref="J144" si="21">SUM(D144:D147)</f>
        <v>197.91000000000003</v>
      </c>
      <c r="K144" s="97"/>
      <c r="L144" s="97"/>
      <c r="M144" s="52"/>
    </row>
    <row r="145" spans="1:13" ht="13.15" x14ac:dyDescent="0.4">
      <c r="A145" s="31" t="s">
        <v>549</v>
      </c>
      <c r="B145" s="80">
        <v>4766.1829724282998</v>
      </c>
      <c r="C145" s="58">
        <v>56.73</v>
      </c>
      <c r="D145" s="52">
        <v>53.94</v>
      </c>
      <c r="E145" s="215"/>
      <c r="F145" s="80">
        <f t="shared" ref="F145:F176" si="22">B145/I145</f>
        <v>22.891229875742276</v>
      </c>
      <c r="G145" s="4">
        <f t="shared" ref="G145:G176" si="23">B145/J145</f>
        <v>24.087446163785817</v>
      </c>
      <c r="H145" s="46"/>
      <c r="I145" s="52">
        <f t="shared" ref="I145:I164" si="24">SUM(C145:C148)</f>
        <v>208.21</v>
      </c>
      <c r="J145" s="52">
        <f t="shared" ref="J145:J164" si="25">SUM(D145:D148)</f>
        <v>197.87</v>
      </c>
      <c r="K145" s="97"/>
      <c r="L145" s="97"/>
      <c r="M145" s="52"/>
    </row>
    <row r="146" spans="1:13" ht="13.15" x14ac:dyDescent="0.4">
      <c r="A146" s="31" t="s">
        <v>545</v>
      </c>
      <c r="B146" s="80">
        <v>4307.5387507897103</v>
      </c>
      <c r="C146" s="58">
        <v>52.02</v>
      </c>
      <c r="D146" s="52">
        <v>49.59</v>
      </c>
      <c r="E146" s="215"/>
      <c r="F146" s="80">
        <f t="shared" si="22"/>
        <v>22.711898928554838</v>
      </c>
      <c r="G146" s="4">
        <f t="shared" si="23"/>
        <v>24.562574846266237</v>
      </c>
      <c r="H146" s="50"/>
      <c r="I146" s="52">
        <f t="shared" si="24"/>
        <v>189.66</v>
      </c>
      <c r="J146" s="52">
        <f t="shared" si="25"/>
        <v>175.37</v>
      </c>
      <c r="K146" s="97"/>
      <c r="L146" s="97"/>
    </row>
    <row r="147" spans="1:13" ht="13.15" x14ac:dyDescent="0.4">
      <c r="A147" s="31" t="s">
        <v>534</v>
      </c>
      <c r="B147" s="80">
        <v>4297.4966318818697</v>
      </c>
      <c r="C147" s="58">
        <v>52.05</v>
      </c>
      <c r="D147" s="52">
        <v>48.39</v>
      </c>
      <c r="E147" s="215"/>
      <c r="F147" s="80">
        <f t="shared" si="22"/>
        <v>24.481580448227582</v>
      </c>
      <c r="G147" s="4">
        <f t="shared" si="23"/>
        <v>27.069139782576656</v>
      </c>
      <c r="H147" s="50"/>
      <c r="I147" s="52">
        <f t="shared" si="24"/>
        <v>175.54</v>
      </c>
      <c r="J147" s="52">
        <f t="shared" si="25"/>
        <v>158.76</v>
      </c>
      <c r="K147" s="97"/>
      <c r="L147" s="97"/>
    </row>
    <row r="148" spans="1:13" ht="13.15" x14ac:dyDescent="0.4">
      <c r="A148" s="31" t="s">
        <v>524</v>
      </c>
      <c r="B148" s="80">
        <v>3972.8922084302499</v>
      </c>
      <c r="C148" s="58">
        <v>47.41</v>
      </c>
      <c r="D148" s="52">
        <v>45.95</v>
      </c>
      <c r="E148" s="215"/>
      <c r="F148" s="80">
        <f t="shared" si="22"/>
        <v>26.436599736693172</v>
      </c>
      <c r="G148" s="4">
        <f t="shared" si="23"/>
        <v>30.98979881770866</v>
      </c>
      <c r="H148" s="50"/>
      <c r="I148" s="52">
        <f t="shared" si="24"/>
        <v>150.28</v>
      </c>
      <c r="J148" s="52">
        <f t="shared" si="25"/>
        <v>128.19999999999999</v>
      </c>
      <c r="K148" s="97"/>
      <c r="L148" s="97"/>
    </row>
    <row r="149" spans="1:13" ht="13.15" x14ac:dyDescent="0.4">
      <c r="A149" s="31" t="s">
        <v>514</v>
      </c>
      <c r="B149" s="80">
        <v>3756.0714689572001</v>
      </c>
      <c r="C149" s="58">
        <v>38.18</v>
      </c>
      <c r="D149" s="52">
        <v>31.44</v>
      </c>
      <c r="E149" s="215"/>
      <c r="F149" s="80">
        <f t="shared" si="22"/>
        <v>30.694381539243278</v>
      </c>
      <c r="G149" s="4">
        <f t="shared" si="23"/>
        <v>39.903022086021465</v>
      </c>
      <c r="H149" s="50"/>
      <c r="I149" s="52">
        <f t="shared" si="24"/>
        <v>122.37</v>
      </c>
      <c r="J149" s="52">
        <f t="shared" si="25"/>
        <v>94.13</v>
      </c>
      <c r="K149" s="97"/>
      <c r="L149" s="97"/>
    </row>
    <row r="150" spans="1:13" ht="13.15" x14ac:dyDescent="0.4">
      <c r="A150" s="31" t="s">
        <v>497</v>
      </c>
      <c r="B150" s="80">
        <v>3362.9989876496502</v>
      </c>
      <c r="C150" s="58">
        <v>37.9</v>
      </c>
      <c r="D150" s="52">
        <v>32.979999999999997</v>
      </c>
      <c r="E150" s="215"/>
      <c r="F150" s="80">
        <f t="shared" si="22"/>
        <v>27.259455196965632</v>
      </c>
      <c r="G150" s="4">
        <f t="shared" si="23"/>
        <v>34.239452124309203</v>
      </c>
      <c r="H150" s="50"/>
      <c r="I150" s="52">
        <f t="shared" si="24"/>
        <v>123.37</v>
      </c>
      <c r="J150" s="52">
        <f t="shared" si="25"/>
        <v>98.22</v>
      </c>
      <c r="K150" s="97"/>
      <c r="L150" s="97"/>
    </row>
    <row r="151" spans="1:13" ht="13.15" x14ac:dyDescent="0.4">
      <c r="A151" s="31" t="s">
        <v>476</v>
      </c>
      <c r="B151" s="80">
        <v>3100.2851286595301</v>
      </c>
      <c r="C151" s="58">
        <v>26.79</v>
      </c>
      <c r="D151" s="52">
        <v>17.829999999999998</v>
      </c>
      <c r="E151" s="215"/>
      <c r="F151" s="80">
        <f t="shared" si="22"/>
        <v>24.746848089555634</v>
      </c>
      <c r="G151" s="4">
        <f t="shared" si="23"/>
        <v>31.24342566420971</v>
      </c>
      <c r="H151" s="50"/>
      <c r="I151" s="52">
        <f t="shared" si="24"/>
        <v>125.28</v>
      </c>
      <c r="J151" s="52">
        <f t="shared" si="25"/>
        <v>99.230000000000018</v>
      </c>
      <c r="K151" s="97"/>
      <c r="L151" s="97"/>
    </row>
    <row r="152" spans="1:13" ht="12.75" customHeight="1" x14ac:dyDescent="0.4">
      <c r="A152" s="31" t="s">
        <v>472</v>
      </c>
      <c r="B152" s="80">
        <v>2584.5907599343</v>
      </c>
      <c r="C152" s="58">
        <v>19.5</v>
      </c>
      <c r="D152" s="58">
        <v>11.88</v>
      </c>
      <c r="E152" s="215"/>
      <c r="F152" s="80">
        <f t="shared" si="22"/>
        <v>18.643805525025609</v>
      </c>
      <c r="G152" s="4">
        <f t="shared" si="23"/>
        <v>22.217749161302326</v>
      </c>
      <c r="H152" s="50"/>
      <c r="I152" s="52">
        <f t="shared" si="24"/>
        <v>138.63</v>
      </c>
      <c r="J152" s="52">
        <f t="shared" si="25"/>
        <v>116.33000000000001</v>
      </c>
      <c r="K152" s="97"/>
      <c r="L152" s="97"/>
    </row>
    <row r="153" spans="1:13" ht="12.75" customHeight="1" x14ac:dyDescent="0.4">
      <c r="A153" s="31" t="s">
        <v>450</v>
      </c>
      <c r="B153" s="80">
        <v>3230.7819500904302</v>
      </c>
      <c r="C153" s="58">
        <v>39.18</v>
      </c>
      <c r="D153" s="58">
        <v>35.53</v>
      </c>
      <c r="E153" s="215"/>
      <c r="F153" s="80">
        <f t="shared" si="22"/>
        <v>20.56251241147168</v>
      </c>
      <c r="G153" s="4">
        <f t="shared" si="23"/>
        <v>23.164708898619271</v>
      </c>
      <c r="H153" s="50"/>
      <c r="I153" s="52">
        <f t="shared" si="24"/>
        <v>157.12</v>
      </c>
      <c r="J153" s="52">
        <f t="shared" si="25"/>
        <v>139.47000000000003</v>
      </c>
      <c r="K153" s="97"/>
      <c r="L153" s="97"/>
    </row>
    <row r="154" spans="1:13" ht="13.15" x14ac:dyDescent="0.4">
      <c r="A154" s="31" t="s">
        <v>444</v>
      </c>
      <c r="B154" s="80">
        <v>2976.73727174433</v>
      </c>
      <c r="C154" s="58">
        <v>39.81</v>
      </c>
      <c r="D154" s="52">
        <v>33.99</v>
      </c>
      <c r="E154" s="215"/>
      <c r="F154" s="80">
        <f t="shared" si="22"/>
        <v>19.459614772467347</v>
      </c>
      <c r="G154" s="4">
        <f t="shared" si="23"/>
        <v>22.398324091379457</v>
      </c>
      <c r="H154" s="50"/>
      <c r="I154" s="52">
        <f t="shared" si="24"/>
        <v>152.97</v>
      </c>
      <c r="J154" s="52">
        <f t="shared" si="25"/>
        <v>132.9</v>
      </c>
      <c r="K154" s="97"/>
      <c r="L154" s="97"/>
    </row>
    <row r="155" spans="1:13" ht="12.75" customHeight="1" x14ac:dyDescent="0.4">
      <c r="A155" s="16" t="s">
        <v>434</v>
      </c>
      <c r="B155" s="80">
        <v>2941.76</v>
      </c>
      <c r="C155" s="58">
        <v>40.14</v>
      </c>
      <c r="D155" s="58">
        <v>34.93</v>
      </c>
      <c r="E155" s="215"/>
      <c r="F155" s="80">
        <f t="shared" si="22"/>
        <v>19.035589491393818</v>
      </c>
      <c r="G155" s="4">
        <f t="shared" si="23"/>
        <v>21.747320174465887</v>
      </c>
      <c r="H155" s="50"/>
      <c r="I155" s="52">
        <f t="shared" si="24"/>
        <v>154.54</v>
      </c>
      <c r="J155" s="52">
        <f t="shared" si="25"/>
        <v>135.26999999999998</v>
      </c>
      <c r="K155" s="97"/>
      <c r="L155" s="97"/>
    </row>
    <row r="156" spans="1:13" ht="13.15" x14ac:dyDescent="0.4">
      <c r="A156" s="31" t="s">
        <v>422</v>
      </c>
      <c r="B156" s="80">
        <v>2834.4</v>
      </c>
      <c r="C156" s="58">
        <v>37.99</v>
      </c>
      <c r="D156" s="52">
        <v>35.020000000000003</v>
      </c>
      <c r="E156" s="215"/>
      <c r="F156" s="80">
        <f t="shared" si="22"/>
        <v>18.519438092126755</v>
      </c>
      <c r="G156" s="4">
        <f t="shared" si="23"/>
        <v>21.090854974328451</v>
      </c>
      <c r="H156" s="50"/>
      <c r="I156" s="52">
        <f t="shared" si="24"/>
        <v>153.05000000000001</v>
      </c>
      <c r="J156" s="52">
        <f t="shared" si="25"/>
        <v>134.38999999999999</v>
      </c>
      <c r="K156" s="97"/>
      <c r="L156" s="97"/>
    </row>
    <row r="157" spans="1:13" ht="13.15" x14ac:dyDescent="0.4">
      <c r="A157" s="31" t="s">
        <v>412</v>
      </c>
      <c r="B157" s="80">
        <v>2506.85</v>
      </c>
      <c r="C157" s="58">
        <v>35.03</v>
      </c>
      <c r="D157" s="58">
        <v>28.96</v>
      </c>
      <c r="E157" s="215"/>
      <c r="F157" s="80">
        <f t="shared" si="22"/>
        <v>16.535949868073878</v>
      </c>
      <c r="G157" s="4">
        <f t="shared" si="23"/>
        <v>18.935342548530858</v>
      </c>
      <c r="H157" s="50"/>
      <c r="I157" s="52">
        <f t="shared" si="24"/>
        <v>151.6</v>
      </c>
      <c r="J157" s="52">
        <f t="shared" si="25"/>
        <v>132.38999999999999</v>
      </c>
      <c r="K157" s="97"/>
      <c r="L157" s="97"/>
    </row>
    <row r="158" spans="1:13" ht="12.75" customHeight="1" x14ac:dyDescent="0.4">
      <c r="A158" s="31" t="s">
        <v>399</v>
      </c>
      <c r="B158" s="80">
        <v>2913.97813988603</v>
      </c>
      <c r="C158" s="58">
        <v>41.38</v>
      </c>
      <c r="D158" s="58">
        <v>36.36</v>
      </c>
      <c r="E158" s="215"/>
      <c r="F158" s="80">
        <f t="shared" si="22"/>
        <v>19.372278552626181</v>
      </c>
      <c r="G158" s="4">
        <f t="shared" si="23"/>
        <v>22.348171944827286</v>
      </c>
      <c r="H158" s="50"/>
      <c r="I158" s="52">
        <f t="shared" si="24"/>
        <v>150.41999999999999</v>
      </c>
      <c r="J158" s="52">
        <f t="shared" si="25"/>
        <v>130.39000000000001</v>
      </c>
      <c r="K158" s="97"/>
      <c r="L158" s="97"/>
    </row>
    <row r="159" spans="1:13" ht="13.15" x14ac:dyDescent="0.4">
      <c r="A159" s="31" t="s">
        <v>391</v>
      </c>
      <c r="B159" s="80">
        <v>2718.37</v>
      </c>
      <c r="C159" s="58">
        <v>38.65</v>
      </c>
      <c r="D159" s="58">
        <v>34.049999999999997</v>
      </c>
      <c r="E159" s="215"/>
      <c r="F159" s="80">
        <f t="shared" si="22"/>
        <v>19.365747666880385</v>
      </c>
      <c r="G159" s="4">
        <f t="shared" si="23"/>
        <v>22.194399085564989</v>
      </c>
      <c r="H159" s="50"/>
      <c r="I159" s="52">
        <f t="shared" si="24"/>
        <v>140.37</v>
      </c>
      <c r="J159" s="52">
        <f t="shared" si="25"/>
        <v>122.48</v>
      </c>
      <c r="K159" s="97"/>
      <c r="L159" s="97"/>
    </row>
    <row r="160" spans="1:13" ht="13.15" x14ac:dyDescent="0.4">
      <c r="A160" s="31" t="s">
        <v>373</v>
      </c>
      <c r="B160" s="80">
        <v>2640.8659903292901</v>
      </c>
      <c r="C160" s="58">
        <v>36.54</v>
      </c>
      <c r="D160" s="58">
        <v>33.020000000000003</v>
      </c>
      <c r="E160" s="215"/>
      <c r="F160" s="80">
        <f t="shared" si="22"/>
        <v>19.971761251828557</v>
      </c>
      <c r="G160" s="4">
        <f t="shared" si="23"/>
        <v>22.876524517751992</v>
      </c>
      <c r="I160" s="52">
        <f t="shared" si="24"/>
        <v>132.22999999999999</v>
      </c>
      <c r="J160" s="52">
        <f t="shared" si="25"/>
        <v>115.44000000000001</v>
      </c>
      <c r="K160" s="97"/>
      <c r="L160" s="97"/>
    </row>
    <row r="161" spans="1:16" ht="13.15" x14ac:dyDescent="0.4">
      <c r="A161" s="43">
        <v>43100</v>
      </c>
      <c r="B161" s="44">
        <v>2673.6105231517399</v>
      </c>
      <c r="C161" s="36">
        <v>33.85</v>
      </c>
      <c r="D161" s="36">
        <v>26.96</v>
      </c>
      <c r="E161" s="215"/>
      <c r="F161" s="80">
        <f t="shared" si="22"/>
        <v>21.473058574827238</v>
      </c>
      <c r="G161" s="4">
        <f t="shared" si="23"/>
        <v>24.332094313357665</v>
      </c>
      <c r="I161" s="52">
        <f t="shared" si="24"/>
        <v>124.51000000000002</v>
      </c>
      <c r="J161" s="52">
        <f t="shared" si="25"/>
        <v>109.88</v>
      </c>
      <c r="K161" s="97"/>
      <c r="L161" s="97"/>
    </row>
    <row r="162" spans="1:16" ht="13.15" x14ac:dyDescent="0.4">
      <c r="A162" s="43">
        <v>43008</v>
      </c>
      <c r="B162" s="44">
        <v>2519.3596719060702</v>
      </c>
      <c r="C162" s="36">
        <v>31.33</v>
      </c>
      <c r="D162" s="36">
        <v>28.45</v>
      </c>
      <c r="E162" s="215"/>
      <c r="F162" s="80">
        <f t="shared" si="22"/>
        <v>21.249659850759702</v>
      </c>
      <c r="G162" s="4">
        <f t="shared" si="23"/>
        <v>23.527826596059676</v>
      </c>
      <c r="H162" s="50"/>
      <c r="I162" s="52">
        <f t="shared" si="24"/>
        <v>118.56</v>
      </c>
      <c r="J162" s="52">
        <f t="shared" si="25"/>
        <v>107.08</v>
      </c>
      <c r="K162" s="97"/>
      <c r="L162" s="97"/>
    </row>
    <row r="163" spans="1:16" ht="13.15" x14ac:dyDescent="0.4">
      <c r="A163" s="43">
        <v>42916</v>
      </c>
      <c r="B163" s="80">
        <v>2423.4088910629698</v>
      </c>
      <c r="C163" s="52">
        <v>30.51</v>
      </c>
      <c r="D163" s="52">
        <v>27.01</v>
      </c>
      <c r="E163" s="215"/>
      <c r="F163" s="80">
        <f t="shared" si="22"/>
        <v>20.905873801440389</v>
      </c>
      <c r="G163" s="4">
        <f t="shared" si="23"/>
        <v>23.297528274014322</v>
      </c>
      <c r="H163" s="50"/>
      <c r="I163" s="52">
        <f t="shared" si="24"/>
        <v>115.91999999999999</v>
      </c>
      <c r="J163" s="52">
        <f t="shared" si="25"/>
        <v>104.02</v>
      </c>
      <c r="K163" s="97"/>
      <c r="L163" s="97"/>
    </row>
    <row r="164" spans="1:16" ht="13.15" x14ac:dyDescent="0.4">
      <c r="A164" s="43">
        <v>42825</v>
      </c>
      <c r="B164" s="80">
        <v>2362.7182203972902</v>
      </c>
      <c r="C164" s="52">
        <v>28.82</v>
      </c>
      <c r="D164" s="52">
        <v>27.46</v>
      </c>
      <c r="E164" s="215"/>
      <c r="F164" s="80">
        <f t="shared" si="22"/>
        <v>21.264676630341917</v>
      </c>
      <c r="G164" s="4">
        <f t="shared" si="23"/>
        <v>23.558861505606643</v>
      </c>
      <c r="H164" s="50"/>
      <c r="I164" s="52">
        <f t="shared" si="24"/>
        <v>111.11</v>
      </c>
      <c r="J164" s="52">
        <f t="shared" si="25"/>
        <v>100.29</v>
      </c>
      <c r="K164" s="97"/>
      <c r="L164" s="97"/>
    </row>
    <row r="165" spans="1:16" ht="13.15" x14ac:dyDescent="0.4">
      <c r="A165" s="43">
        <v>42735</v>
      </c>
      <c r="B165" s="80">
        <v>2238.83</v>
      </c>
      <c r="C165" s="26">
        <v>27.9</v>
      </c>
      <c r="D165" s="137">
        <v>24.16</v>
      </c>
      <c r="E165" s="215"/>
      <c r="F165" s="80">
        <f t="shared" si="22"/>
        <v>21.069358178053829</v>
      </c>
      <c r="G165" s="4">
        <f t="shared" si="23"/>
        <v>23.678794288736118</v>
      </c>
      <c r="H165" s="23"/>
      <c r="I165" s="52">
        <f>SUM(C165:C168)</f>
        <v>106.26</v>
      </c>
      <c r="J165" s="52">
        <v>94.55</v>
      </c>
      <c r="K165" s="97"/>
      <c r="L165" s="97"/>
      <c r="M165" s="9"/>
    </row>
    <row r="166" spans="1:16" ht="13.15" x14ac:dyDescent="0.4">
      <c r="A166" s="43">
        <v>42643</v>
      </c>
      <c r="B166" s="80">
        <v>2168.2720896372798</v>
      </c>
      <c r="C166" s="26">
        <v>28.69</v>
      </c>
      <c r="D166" s="137">
        <v>25.39</v>
      </c>
      <c r="E166" s="215"/>
      <c r="F166" s="80">
        <f t="shared" si="22"/>
        <v>21.379137148859002</v>
      </c>
      <c r="G166" s="4">
        <f t="shared" si="23"/>
        <v>24.33799629180918</v>
      </c>
      <c r="H166" s="23"/>
      <c r="I166" s="52">
        <v>101.42</v>
      </c>
      <c r="J166" s="52">
        <v>89.09</v>
      </c>
      <c r="K166" s="97"/>
      <c r="L166" s="97"/>
      <c r="M166" s="9"/>
      <c r="N166" s="9"/>
      <c r="O166" s="9"/>
      <c r="P166" s="9"/>
    </row>
    <row r="167" spans="1:16" s="9" customFormat="1" ht="13.15" x14ac:dyDescent="0.4">
      <c r="A167" s="43">
        <v>42551</v>
      </c>
      <c r="B167" s="80">
        <v>2098.8552265056101</v>
      </c>
      <c r="C167" s="26">
        <v>25.7</v>
      </c>
      <c r="D167" s="137">
        <v>23.28</v>
      </c>
      <c r="E167" s="215"/>
      <c r="F167" s="80">
        <f t="shared" si="22"/>
        <v>21.379802653617297</v>
      </c>
      <c r="G167" s="4">
        <f t="shared" si="23"/>
        <v>24.146976835085251</v>
      </c>
      <c r="H167" s="23"/>
      <c r="I167" s="52">
        <v>98.17</v>
      </c>
      <c r="J167" s="52">
        <v>86.92</v>
      </c>
      <c r="K167" s="97"/>
      <c r="L167" s="97"/>
      <c r="M167"/>
    </row>
    <row r="168" spans="1:16" s="82" customFormat="1" ht="13.15" x14ac:dyDescent="0.4">
      <c r="A168" s="43">
        <v>42460</v>
      </c>
      <c r="B168" s="44">
        <v>2059.7411766011501</v>
      </c>
      <c r="C168" s="36">
        <v>23.97</v>
      </c>
      <c r="D168" s="36">
        <v>21.72</v>
      </c>
      <c r="E168" s="215"/>
      <c r="F168" s="80">
        <f t="shared" si="22"/>
        <v>20.8877515120287</v>
      </c>
      <c r="G168" s="4">
        <f t="shared" si="23"/>
        <v>23.828565208250232</v>
      </c>
      <c r="H168" s="50"/>
      <c r="I168" s="52">
        <v>98.61</v>
      </c>
      <c r="J168" s="52">
        <v>86.44</v>
      </c>
      <c r="K168" s="97"/>
      <c r="L168" s="97"/>
    </row>
    <row r="169" spans="1:16" ht="13.15" x14ac:dyDescent="0.4">
      <c r="A169" s="43">
        <v>42369</v>
      </c>
      <c r="B169" s="80">
        <v>2043.94</v>
      </c>
      <c r="C169" s="26">
        <v>23.06</v>
      </c>
      <c r="D169" s="137">
        <v>18.7</v>
      </c>
      <c r="E169" s="215"/>
      <c r="F169" s="80">
        <f t="shared" si="22"/>
        <v>20.347834743653561</v>
      </c>
      <c r="G169" s="4">
        <f t="shared" si="23"/>
        <v>23.62117184791402</v>
      </c>
      <c r="H169" s="50"/>
      <c r="I169" s="52">
        <v>100.45</v>
      </c>
      <c r="J169" s="52">
        <v>86.53</v>
      </c>
      <c r="K169" s="97"/>
      <c r="L169" s="97"/>
    </row>
    <row r="170" spans="1:16" ht="13.15" x14ac:dyDescent="0.4">
      <c r="A170" s="43">
        <v>42277</v>
      </c>
      <c r="B170" s="80">
        <v>1920.0265516397001</v>
      </c>
      <c r="C170" s="26">
        <v>25.44</v>
      </c>
      <c r="D170" s="137">
        <v>23.22</v>
      </c>
      <c r="E170" s="215"/>
      <c r="F170" s="80">
        <f t="shared" si="22"/>
        <v>18.436974761280009</v>
      </c>
      <c r="G170" s="4">
        <f t="shared" si="23"/>
        <v>21.17832066666336</v>
      </c>
      <c r="H170" s="50"/>
      <c r="I170" s="52">
        <v>104.14</v>
      </c>
      <c r="J170" s="52">
        <v>90.66</v>
      </c>
      <c r="K170" s="97"/>
      <c r="L170" s="97"/>
    </row>
    <row r="171" spans="1:16" s="9" customFormat="1" ht="13.15" x14ac:dyDescent="0.4">
      <c r="A171" s="43">
        <v>42185</v>
      </c>
      <c r="B171" s="80">
        <v>2063.1118322236698</v>
      </c>
      <c r="C171" s="26">
        <v>26.14</v>
      </c>
      <c r="D171" s="137">
        <v>22.8</v>
      </c>
      <c r="E171" s="215"/>
      <c r="F171" s="80">
        <f t="shared" si="22"/>
        <v>19.049970749987715</v>
      </c>
      <c r="G171" s="4">
        <f t="shared" si="23"/>
        <v>21.737560133006742</v>
      </c>
      <c r="H171" s="50"/>
      <c r="I171" s="52">
        <v>108.30000000000001</v>
      </c>
      <c r="J171" s="52">
        <v>94.91</v>
      </c>
      <c r="K171" s="97"/>
      <c r="L171" s="97"/>
    </row>
    <row r="172" spans="1:16" ht="13.15" x14ac:dyDescent="0.4">
      <c r="A172" s="43">
        <v>42094</v>
      </c>
      <c r="B172" s="80">
        <v>2067.88724075851</v>
      </c>
      <c r="C172" s="26">
        <v>25.81</v>
      </c>
      <c r="D172" s="137">
        <v>21.81</v>
      </c>
      <c r="E172" s="215"/>
      <c r="F172" s="80">
        <f t="shared" si="22"/>
        <v>18.54607390814807</v>
      </c>
      <c r="G172" s="4">
        <f t="shared" si="23"/>
        <v>20.835135927037882</v>
      </c>
      <c r="H172" s="50"/>
      <c r="I172" s="52">
        <v>111.5</v>
      </c>
      <c r="J172" s="52">
        <v>99.25</v>
      </c>
      <c r="K172" s="97"/>
      <c r="L172" s="97"/>
    </row>
    <row r="173" spans="1:16" ht="13.15" x14ac:dyDescent="0.4">
      <c r="A173" s="43">
        <v>42004</v>
      </c>
      <c r="B173" s="44">
        <v>2058.9023788568802</v>
      </c>
      <c r="C173" s="36">
        <v>26.75</v>
      </c>
      <c r="D173" s="36">
        <v>22.83</v>
      </c>
      <c r="E173" s="215"/>
      <c r="F173" s="80">
        <f t="shared" si="22"/>
        <v>18.218762754241929</v>
      </c>
      <c r="G173" s="4">
        <f t="shared" si="23"/>
        <v>20.12415578982387</v>
      </c>
      <c r="H173" s="50"/>
      <c r="I173" s="52">
        <v>113.00999999999999</v>
      </c>
      <c r="J173" s="52">
        <v>102.31</v>
      </c>
      <c r="K173" s="97"/>
      <c r="L173" s="97"/>
    </row>
    <row r="174" spans="1:16" ht="13.15" x14ac:dyDescent="0.4">
      <c r="A174" s="43">
        <v>41912</v>
      </c>
      <c r="B174" s="80">
        <v>1972.28514504996</v>
      </c>
      <c r="C174" s="26">
        <v>29.6</v>
      </c>
      <c r="D174" s="58">
        <v>27.47</v>
      </c>
      <c r="E174" s="215"/>
      <c r="F174" s="80">
        <f t="shared" si="22"/>
        <v>17.223693520652869</v>
      </c>
      <c r="G174" s="4">
        <f t="shared" si="23"/>
        <v>18.613487590127971</v>
      </c>
      <c r="H174" s="50"/>
      <c r="I174" s="52">
        <v>114.50999999999999</v>
      </c>
      <c r="J174" s="52">
        <v>105.96000000000001</v>
      </c>
      <c r="K174" s="97"/>
      <c r="L174" s="97"/>
    </row>
    <row r="175" spans="1:16" ht="13.15" x14ac:dyDescent="0.4">
      <c r="A175" s="43">
        <v>41820</v>
      </c>
      <c r="B175" s="80">
        <v>1960.23124036383</v>
      </c>
      <c r="C175" s="26">
        <v>29.34</v>
      </c>
      <c r="D175" s="58">
        <v>27.14</v>
      </c>
      <c r="E175" s="215"/>
      <c r="F175" s="80">
        <f t="shared" si="22"/>
        <v>17.528670664077886</v>
      </c>
      <c r="G175" s="4">
        <f t="shared" si="23"/>
        <v>19.009224596235743</v>
      </c>
      <c r="H175" s="50"/>
      <c r="I175" s="52">
        <v>111.83</v>
      </c>
      <c r="J175" s="52">
        <v>103.12</v>
      </c>
      <c r="K175" s="97"/>
      <c r="L175" s="97"/>
    </row>
    <row r="176" spans="1:16" ht="13.15" x14ac:dyDescent="0.4">
      <c r="A176" s="43">
        <v>41729</v>
      </c>
      <c r="B176" s="80">
        <v>1872.33517921728</v>
      </c>
      <c r="C176" s="26">
        <v>27.32</v>
      </c>
      <c r="D176" s="58">
        <v>24.87</v>
      </c>
      <c r="E176" s="215"/>
      <c r="F176" s="80">
        <f t="shared" si="22"/>
        <v>17.201058146231325</v>
      </c>
      <c r="G176" s="4">
        <f t="shared" si="23"/>
        <v>18.5655446625412</v>
      </c>
      <c r="I176" s="52">
        <v>108.85000000000001</v>
      </c>
      <c r="J176" s="52">
        <v>100.85000000000001</v>
      </c>
      <c r="K176" s="97"/>
      <c r="L176" s="97"/>
    </row>
    <row r="177" spans="1:13" ht="13.15" x14ac:dyDescent="0.4">
      <c r="A177" s="43">
        <v>41639</v>
      </c>
      <c r="B177" s="80">
        <v>1848.3565209419301</v>
      </c>
      <c r="C177" s="26">
        <v>28.25</v>
      </c>
      <c r="D177" s="52">
        <v>26.48</v>
      </c>
      <c r="E177" s="215"/>
      <c r="F177" s="80">
        <f t="shared" ref="F177:F208" si="26">B177/I177</f>
        <v>17.22606263692386</v>
      </c>
      <c r="G177" s="4">
        <f t="shared" ref="G177:G208" si="27">B177/J177</f>
        <v>18.446671865687925</v>
      </c>
      <c r="I177" s="52">
        <v>107.3</v>
      </c>
      <c r="J177" s="52">
        <v>100.2</v>
      </c>
      <c r="K177" s="97"/>
      <c r="L177" s="97"/>
    </row>
    <row r="178" spans="1:13" ht="13.15" x14ac:dyDescent="0.4">
      <c r="A178" s="43">
        <v>41547</v>
      </c>
      <c r="B178" s="44">
        <v>1681.54666211214</v>
      </c>
      <c r="C178" s="36">
        <v>26.92</v>
      </c>
      <c r="D178" s="36">
        <v>24.63</v>
      </c>
      <c r="E178" s="215"/>
      <c r="F178" s="80">
        <f t="shared" si="26"/>
        <v>16.45348984454149</v>
      </c>
      <c r="G178" s="4">
        <f t="shared" si="27"/>
        <v>17.818657010831195</v>
      </c>
      <c r="I178" s="52">
        <v>102.19999999999999</v>
      </c>
      <c r="J178" s="52">
        <v>94.37</v>
      </c>
      <c r="K178" s="97"/>
      <c r="L178" s="97"/>
    </row>
    <row r="179" spans="1:13" ht="13.15" x14ac:dyDescent="0.4">
      <c r="A179" s="43">
        <v>41455</v>
      </c>
      <c r="B179" s="80">
        <v>1606.27760773726</v>
      </c>
      <c r="C179" s="26">
        <v>26.36</v>
      </c>
      <c r="D179" s="52">
        <v>24.87</v>
      </c>
      <c r="E179" s="215"/>
      <c r="F179" s="80">
        <f t="shared" si="26"/>
        <v>16.179266798320509</v>
      </c>
      <c r="G179" s="4">
        <f t="shared" si="27"/>
        <v>17.661106187325561</v>
      </c>
      <c r="H179" s="50"/>
      <c r="I179" s="52">
        <v>99.28</v>
      </c>
      <c r="J179" s="52">
        <v>90.950000000000017</v>
      </c>
      <c r="K179" s="97"/>
      <c r="L179" s="97"/>
    </row>
    <row r="180" spans="1:13" ht="13.15" x14ac:dyDescent="0.4">
      <c r="A180" s="43">
        <v>41364</v>
      </c>
      <c r="B180" s="80">
        <v>1569.18587246845</v>
      </c>
      <c r="C180" s="26">
        <v>25.77</v>
      </c>
      <c r="D180" s="103">
        <v>24.22</v>
      </c>
      <c r="E180" s="215"/>
      <c r="F180" s="80">
        <f t="shared" si="26"/>
        <v>15.95511817456482</v>
      </c>
      <c r="G180" s="4">
        <f t="shared" si="27"/>
        <v>17.892655330312998</v>
      </c>
      <c r="H180" s="49"/>
      <c r="I180" s="52">
        <v>98.35</v>
      </c>
      <c r="J180" s="52">
        <v>87.7</v>
      </c>
      <c r="K180" s="97"/>
      <c r="L180" s="97"/>
    </row>
    <row r="181" spans="1:13" ht="13.15" x14ac:dyDescent="0.4">
      <c r="A181" s="43">
        <v>41274</v>
      </c>
      <c r="B181" s="80">
        <v>1426.18797808055</v>
      </c>
      <c r="C181" s="26">
        <v>23.15</v>
      </c>
      <c r="D181" s="29">
        <v>20.65</v>
      </c>
      <c r="E181" s="215"/>
      <c r="F181" s="80">
        <f t="shared" si="26"/>
        <v>14.730303429875544</v>
      </c>
      <c r="G181" s="4">
        <f t="shared" si="27"/>
        <v>16.485816415218473</v>
      </c>
      <c r="H181" s="49"/>
      <c r="I181" s="52">
        <v>96.82</v>
      </c>
      <c r="J181" s="52">
        <v>86.51</v>
      </c>
      <c r="K181" s="97"/>
      <c r="L181" s="97"/>
    </row>
    <row r="182" spans="1:13" x14ac:dyDescent="0.35">
      <c r="A182" s="43">
        <v>41182</v>
      </c>
      <c r="B182" s="80">
        <v>1440.67</v>
      </c>
      <c r="C182" s="26">
        <v>24</v>
      </c>
      <c r="D182" s="37">
        <v>21.21</v>
      </c>
      <c r="E182" s="215"/>
      <c r="F182" s="80">
        <f t="shared" si="26"/>
        <v>14.791273100616017</v>
      </c>
      <c r="G182" s="4">
        <f t="shared" si="27"/>
        <v>16.655144508670521</v>
      </c>
      <c r="H182" s="49"/>
      <c r="I182" s="52">
        <v>97.4</v>
      </c>
      <c r="J182" s="52">
        <v>86.5</v>
      </c>
      <c r="K182" s="92"/>
      <c r="L182" s="92"/>
    </row>
    <row r="183" spans="1:13" x14ac:dyDescent="0.35">
      <c r="A183" s="43">
        <v>41090</v>
      </c>
      <c r="B183" s="80">
        <v>1362.1587454406599</v>
      </c>
      <c r="C183" s="26">
        <v>25.43</v>
      </c>
      <c r="D183" s="37">
        <v>21.62</v>
      </c>
      <c r="E183" s="215"/>
      <c r="F183" s="80">
        <f t="shared" si="26"/>
        <v>13.802398879731076</v>
      </c>
      <c r="G183" s="4">
        <f t="shared" si="27"/>
        <v>15.493161344866468</v>
      </c>
      <c r="H183" s="49"/>
      <c r="I183" s="52">
        <v>98.69</v>
      </c>
      <c r="J183" s="52">
        <v>87.92</v>
      </c>
      <c r="K183" s="92"/>
      <c r="L183" s="92"/>
    </row>
    <row r="184" spans="1:13" x14ac:dyDescent="0.35">
      <c r="A184" s="43">
        <v>40999</v>
      </c>
      <c r="B184" s="34">
        <v>1408.46786041941</v>
      </c>
      <c r="C184" s="26">
        <v>24.24</v>
      </c>
      <c r="D184" s="37">
        <v>23.03</v>
      </c>
      <c r="E184" s="215"/>
      <c r="F184" s="80">
        <f t="shared" si="26"/>
        <v>14.354544031995619</v>
      </c>
      <c r="G184" s="4">
        <f t="shared" si="27"/>
        <v>15.907701156758643</v>
      </c>
      <c r="I184" s="52">
        <v>98.11999999999999</v>
      </c>
      <c r="J184" s="52">
        <v>88.539999999999992</v>
      </c>
      <c r="K184" s="92"/>
      <c r="L184" s="92"/>
    </row>
    <row r="185" spans="1:13" x14ac:dyDescent="0.35">
      <c r="A185" s="43">
        <v>40908</v>
      </c>
      <c r="B185" s="14">
        <v>1257.60480453436</v>
      </c>
      <c r="C185" s="26">
        <v>23.73</v>
      </c>
      <c r="D185" s="26">
        <v>20.64</v>
      </c>
      <c r="E185" s="215"/>
      <c r="F185" s="80">
        <f t="shared" si="26"/>
        <v>13.040282087664455</v>
      </c>
      <c r="G185" s="4">
        <f t="shared" si="27"/>
        <v>14.463540017646466</v>
      </c>
      <c r="H185" s="30"/>
      <c r="I185" s="52">
        <v>96.44</v>
      </c>
      <c r="J185" s="52">
        <v>86.949999999999989</v>
      </c>
      <c r="K185" s="92"/>
      <c r="L185" s="92"/>
    </row>
    <row r="186" spans="1:13" x14ac:dyDescent="0.35">
      <c r="A186" s="43">
        <v>40816</v>
      </c>
      <c r="B186" s="8">
        <v>1131.42036008329</v>
      </c>
      <c r="C186" s="26">
        <v>25.29</v>
      </c>
      <c r="D186" s="26">
        <v>22.63</v>
      </c>
      <c r="E186" s="215"/>
      <c r="F186" s="80">
        <f t="shared" si="26"/>
        <v>11.954991125140429</v>
      </c>
      <c r="G186" s="4">
        <f t="shared" si="27"/>
        <v>13.007822029010002</v>
      </c>
      <c r="H186" s="30"/>
      <c r="I186" s="52">
        <v>94.639999999999986</v>
      </c>
      <c r="J186" s="52">
        <v>86.98</v>
      </c>
      <c r="K186" s="92"/>
      <c r="L186" s="92"/>
    </row>
    <row r="187" spans="1:13" x14ac:dyDescent="0.35">
      <c r="A187" s="43">
        <v>40724</v>
      </c>
      <c r="B187" s="8">
        <v>1320.63904926284</v>
      </c>
      <c r="C187" s="26">
        <v>24.86</v>
      </c>
      <c r="D187" s="26">
        <v>22.24</v>
      </c>
      <c r="E187" s="215"/>
      <c r="F187" s="80">
        <f t="shared" si="26"/>
        <v>14.526884273048511</v>
      </c>
      <c r="G187" s="4">
        <f t="shared" si="27"/>
        <v>15.74626265962609</v>
      </c>
      <c r="H187" s="30"/>
      <c r="I187" s="52">
        <v>90.91</v>
      </c>
      <c r="J187" s="52">
        <v>83.86999999999999</v>
      </c>
      <c r="K187" s="92"/>
      <c r="L187" s="92"/>
    </row>
    <row r="188" spans="1:13" x14ac:dyDescent="0.35">
      <c r="A188" s="43">
        <v>40633</v>
      </c>
      <c r="B188" s="47">
        <v>1325.82671751112</v>
      </c>
      <c r="C188" s="40">
        <v>22.56</v>
      </c>
      <c r="D188" s="26">
        <v>21.44</v>
      </c>
      <c r="E188" s="215"/>
      <c r="F188" s="80">
        <f t="shared" si="26"/>
        <v>15.248150862692585</v>
      </c>
      <c r="G188" s="4">
        <f t="shared" si="27"/>
        <v>16.305826067041199</v>
      </c>
      <c r="I188" s="52">
        <v>86.949999999999989</v>
      </c>
      <c r="J188" s="52">
        <v>81.31</v>
      </c>
      <c r="K188" s="92"/>
      <c r="L188" s="92"/>
    </row>
    <row r="189" spans="1:13" ht="12" customHeight="1" x14ac:dyDescent="0.35">
      <c r="A189" s="43">
        <v>40543</v>
      </c>
      <c r="B189" s="44">
        <v>1257.63598797798</v>
      </c>
      <c r="C189" s="36">
        <v>21.93</v>
      </c>
      <c r="D189" s="17">
        <v>20.67</v>
      </c>
      <c r="E189" s="215"/>
      <c r="F189" s="80">
        <f t="shared" si="26"/>
        <v>15.012963924769968</v>
      </c>
      <c r="G189" s="4">
        <f t="shared" si="27"/>
        <v>16.259030225959666</v>
      </c>
      <c r="I189" s="52">
        <f t="shared" ref="I189:I220" si="28">SUM(C189:C192)</f>
        <v>83.769999999999982</v>
      </c>
      <c r="J189" s="52">
        <f t="shared" ref="J189:J220" si="29">SUM(D189:D192)</f>
        <v>77.349999999999994</v>
      </c>
      <c r="K189" s="92"/>
      <c r="L189" s="92"/>
    </row>
    <row r="190" spans="1:13" x14ac:dyDescent="0.35">
      <c r="A190" s="43">
        <v>40451</v>
      </c>
      <c r="B190" s="44">
        <v>1141.20115690593</v>
      </c>
      <c r="C190" s="36">
        <v>21.56</v>
      </c>
      <c r="D190" s="17">
        <v>19.52</v>
      </c>
      <c r="E190" s="215"/>
      <c r="F190" s="80">
        <f t="shared" si="26"/>
        <v>14.445584264632028</v>
      </c>
      <c r="G190" s="4">
        <f t="shared" si="27"/>
        <v>15.880895587335511</v>
      </c>
      <c r="H190" s="39"/>
      <c r="I190" s="52">
        <f t="shared" si="28"/>
        <v>78.999999999999986</v>
      </c>
      <c r="J190" s="52">
        <f t="shared" si="29"/>
        <v>71.860000000000014</v>
      </c>
      <c r="K190" s="92"/>
      <c r="L190" s="92"/>
    </row>
    <row r="191" spans="1:13" x14ac:dyDescent="0.35">
      <c r="A191" s="43">
        <v>40359</v>
      </c>
      <c r="B191" s="48">
        <v>1030.71008330308</v>
      </c>
      <c r="C191" s="23">
        <v>20.9</v>
      </c>
      <c r="D191" s="23">
        <v>19.68</v>
      </c>
      <c r="E191" s="215"/>
      <c r="F191" s="80">
        <f t="shared" si="26"/>
        <v>14.076892697392516</v>
      </c>
      <c r="G191" s="4">
        <f t="shared" si="27"/>
        <v>15.360806010478093</v>
      </c>
      <c r="H191" s="39"/>
      <c r="I191" s="52">
        <f t="shared" si="28"/>
        <v>73.22</v>
      </c>
      <c r="J191" s="52">
        <f t="shared" si="29"/>
        <v>67.099999999999994</v>
      </c>
      <c r="K191" s="92"/>
      <c r="L191" s="92"/>
    </row>
    <row r="192" spans="1:13" x14ac:dyDescent="0.35">
      <c r="A192" s="43">
        <v>40268</v>
      </c>
      <c r="B192" s="1">
        <v>1169.43119269817</v>
      </c>
      <c r="C192" s="23">
        <v>19.38</v>
      </c>
      <c r="D192" s="29">
        <v>17.48</v>
      </c>
      <c r="E192" s="215"/>
      <c r="F192" s="80">
        <f t="shared" si="26"/>
        <v>17.68382266290897</v>
      </c>
      <c r="G192" s="4">
        <f t="shared" si="27"/>
        <v>19.193027945152963</v>
      </c>
      <c r="H192" s="39"/>
      <c r="I192" s="52">
        <f t="shared" si="28"/>
        <v>66.13</v>
      </c>
      <c r="J192" s="52">
        <f t="shared" si="29"/>
        <v>60.929999999999993</v>
      </c>
      <c r="K192" s="92"/>
      <c r="L192" s="92"/>
      <c r="M192" s="9"/>
    </row>
    <row r="193" spans="1:16" x14ac:dyDescent="0.35">
      <c r="A193" s="43">
        <v>40178</v>
      </c>
      <c r="B193" s="42">
        <v>1115.0999999999999</v>
      </c>
      <c r="C193" s="23">
        <v>17.16</v>
      </c>
      <c r="D193" s="23">
        <v>15.18</v>
      </c>
      <c r="E193" s="215"/>
      <c r="F193" s="80">
        <f t="shared" si="26"/>
        <v>19.611326064016882</v>
      </c>
      <c r="G193" s="4">
        <f t="shared" si="27"/>
        <v>21.877575044143612</v>
      </c>
      <c r="I193" s="52">
        <f t="shared" si="28"/>
        <v>56.86</v>
      </c>
      <c r="J193" s="52">
        <f t="shared" si="29"/>
        <v>50.97</v>
      </c>
      <c r="K193" s="92"/>
      <c r="L193" s="92"/>
      <c r="N193" s="9"/>
      <c r="O193" s="9"/>
      <c r="P193" s="9"/>
    </row>
    <row r="194" spans="1:16" s="9" customFormat="1" x14ac:dyDescent="0.35">
      <c r="A194" s="43">
        <v>40086</v>
      </c>
      <c r="B194" s="44">
        <v>1057.0786000000001</v>
      </c>
      <c r="C194" s="36">
        <v>15.78</v>
      </c>
      <c r="D194" s="29">
        <v>14.76</v>
      </c>
      <c r="E194" s="215"/>
      <c r="F194" s="80">
        <f t="shared" si="26"/>
        <v>26.687164857359253</v>
      </c>
      <c r="G194" s="4">
        <f t="shared" si="27"/>
        <v>84.296539074960137</v>
      </c>
      <c r="H194"/>
      <c r="I194" s="52">
        <f t="shared" si="28"/>
        <v>39.61</v>
      </c>
      <c r="J194" s="52">
        <f t="shared" si="29"/>
        <v>12.54</v>
      </c>
      <c r="K194" s="92"/>
      <c r="L194" s="92"/>
      <c r="M194"/>
      <c r="N194"/>
      <c r="O194"/>
      <c r="P194"/>
    </row>
    <row r="195" spans="1:16" x14ac:dyDescent="0.35">
      <c r="A195" s="43">
        <v>39994</v>
      </c>
      <c r="B195" s="44">
        <v>919.32</v>
      </c>
      <c r="C195" s="36">
        <v>13.81</v>
      </c>
      <c r="D195" s="29">
        <v>13.51</v>
      </c>
      <c r="E195" s="215"/>
      <c r="F195" s="80">
        <f t="shared" si="26"/>
        <v>23.104297562201555</v>
      </c>
      <c r="G195" s="4">
        <f t="shared" si="27"/>
        <v>122.41278295605856</v>
      </c>
      <c r="I195" s="52">
        <f t="shared" si="28"/>
        <v>39.790000000000006</v>
      </c>
      <c r="J195" s="52">
        <f t="shared" si="29"/>
        <v>7.5100000000000016</v>
      </c>
      <c r="K195" s="92"/>
      <c r="L195" s="92"/>
      <c r="M195" s="9"/>
    </row>
    <row r="196" spans="1:16" x14ac:dyDescent="0.35">
      <c r="A196" s="43">
        <v>39903</v>
      </c>
      <c r="B196" s="13">
        <v>797.86699999999996</v>
      </c>
      <c r="C196" s="23">
        <v>10.11</v>
      </c>
      <c r="D196" s="29">
        <v>7.52</v>
      </c>
      <c r="E196" s="215"/>
      <c r="F196" s="80">
        <f t="shared" si="26"/>
        <v>18.555046511627907</v>
      </c>
      <c r="G196" s="4">
        <f t="shared" si="27"/>
        <v>116.30714285714286</v>
      </c>
      <c r="I196" s="52">
        <f t="shared" si="28"/>
        <v>43</v>
      </c>
      <c r="J196" s="52">
        <f t="shared" si="29"/>
        <v>6.8599999999999994</v>
      </c>
      <c r="K196" s="92"/>
      <c r="L196" s="92"/>
      <c r="M196" s="9"/>
      <c r="N196" s="9"/>
      <c r="O196" s="9"/>
      <c r="P196" s="9"/>
    </row>
    <row r="197" spans="1:16" s="9" customFormat="1" x14ac:dyDescent="0.35">
      <c r="A197" s="43">
        <v>39813</v>
      </c>
      <c r="B197" s="12">
        <v>903.25</v>
      </c>
      <c r="C197" s="23">
        <v>-0.09</v>
      </c>
      <c r="D197" s="29">
        <v>-23.25</v>
      </c>
      <c r="E197" s="215"/>
      <c r="F197" s="80">
        <f t="shared" si="26"/>
        <v>18.243789133508379</v>
      </c>
      <c r="G197" s="4">
        <f t="shared" si="27"/>
        <v>60.70228494623656</v>
      </c>
      <c r="H197"/>
      <c r="I197" s="52">
        <f t="shared" si="28"/>
        <v>49.510000000000005</v>
      </c>
      <c r="J197" s="52">
        <f t="shared" si="29"/>
        <v>14.879999999999999</v>
      </c>
      <c r="K197" s="92"/>
      <c r="L197" s="92"/>
      <c r="M197"/>
    </row>
    <row r="198" spans="1:16" s="9" customFormat="1" x14ac:dyDescent="0.35">
      <c r="A198" s="43">
        <v>39721</v>
      </c>
      <c r="B198" s="12">
        <v>1166.361418</v>
      </c>
      <c r="C198" s="24">
        <v>15.96</v>
      </c>
      <c r="D198" s="17">
        <v>9.73</v>
      </c>
      <c r="E198" s="215"/>
      <c r="F198" s="80">
        <f t="shared" si="26"/>
        <v>17.993850941067571</v>
      </c>
      <c r="G198" s="4">
        <f t="shared" si="27"/>
        <v>25.383273514689883</v>
      </c>
      <c r="H198"/>
      <c r="I198" s="52">
        <f t="shared" si="28"/>
        <v>64.820000000000007</v>
      </c>
      <c r="J198" s="52">
        <f t="shared" si="29"/>
        <v>45.949999999999996</v>
      </c>
      <c r="K198" s="92"/>
      <c r="L198" s="92"/>
      <c r="N198"/>
      <c r="O198"/>
      <c r="P198"/>
    </row>
    <row r="199" spans="1:16" x14ac:dyDescent="0.35">
      <c r="A199" s="43">
        <v>39629</v>
      </c>
      <c r="B199" s="1">
        <v>1280.001</v>
      </c>
      <c r="C199" s="24">
        <v>17.02</v>
      </c>
      <c r="D199" s="24">
        <v>12.86</v>
      </c>
      <c r="E199" s="215"/>
      <c r="F199" s="80">
        <f t="shared" si="26"/>
        <v>18.356532339021939</v>
      </c>
      <c r="G199" s="4">
        <f t="shared" si="27"/>
        <v>24.917286353903059</v>
      </c>
      <c r="I199" s="52">
        <f t="shared" si="28"/>
        <v>69.73</v>
      </c>
      <c r="J199" s="52">
        <f t="shared" si="29"/>
        <v>51.37</v>
      </c>
      <c r="K199" s="92"/>
      <c r="L199" s="92"/>
      <c r="N199" s="9"/>
      <c r="O199" s="9"/>
      <c r="P199" s="9"/>
    </row>
    <row r="200" spans="1:16" s="9" customFormat="1" x14ac:dyDescent="0.35">
      <c r="A200" s="43">
        <v>39538</v>
      </c>
      <c r="B200" s="12">
        <v>1322.703</v>
      </c>
      <c r="C200" s="24">
        <v>16.62</v>
      </c>
      <c r="D200" s="24">
        <v>15.54</v>
      </c>
      <c r="E200" s="215"/>
      <c r="F200" s="80">
        <f t="shared" si="26"/>
        <v>17.229425556858146</v>
      </c>
      <c r="G200" s="4">
        <f t="shared" si="27"/>
        <v>21.902412613211197</v>
      </c>
      <c r="H200"/>
      <c r="I200" s="52">
        <f t="shared" si="28"/>
        <v>76.77000000000001</v>
      </c>
      <c r="J200" s="52">
        <f t="shared" si="29"/>
        <v>60.390744314722937</v>
      </c>
      <c r="K200" s="92"/>
      <c r="L200" s="92"/>
      <c r="M200"/>
      <c r="N200"/>
      <c r="O200"/>
      <c r="P200"/>
    </row>
    <row r="201" spans="1:16" x14ac:dyDescent="0.35">
      <c r="A201" s="43">
        <v>39447</v>
      </c>
      <c r="B201" s="1">
        <v>1468.3552</v>
      </c>
      <c r="C201" s="23">
        <v>15.22</v>
      </c>
      <c r="D201" s="29">
        <v>7.82</v>
      </c>
      <c r="E201" s="215"/>
      <c r="F201" s="80">
        <f t="shared" si="26"/>
        <v>17.789619578386237</v>
      </c>
      <c r="G201" s="4">
        <f t="shared" si="27"/>
        <v>22.187045721595815</v>
      </c>
      <c r="I201" s="52">
        <f t="shared" si="28"/>
        <v>82.54</v>
      </c>
      <c r="J201" s="52">
        <f t="shared" si="29"/>
        <v>66.180744314722929</v>
      </c>
      <c r="K201" s="92"/>
      <c r="L201" s="92"/>
    </row>
    <row r="202" spans="1:16" x14ac:dyDescent="0.35">
      <c r="A202" s="43">
        <v>39355</v>
      </c>
      <c r="B202" s="11">
        <v>1526.75</v>
      </c>
      <c r="C202" s="23">
        <v>20.87</v>
      </c>
      <c r="D202" s="29">
        <v>15.15</v>
      </c>
      <c r="E202" s="215"/>
      <c r="F202" s="80">
        <f t="shared" si="26"/>
        <v>17.094950173552796</v>
      </c>
      <c r="G202" s="4">
        <f t="shared" si="27"/>
        <v>19.424116314812302</v>
      </c>
      <c r="I202" s="52">
        <f t="shared" si="28"/>
        <v>89.309999999999988</v>
      </c>
      <c r="J202" s="52">
        <f t="shared" si="29"/>
        <v>78.600744314722931</v>
      </c>
      <c r="K202" s="92"/>
      <c r="L202" s="92"/>
      <c r="M202" s="9"/>
    </row>
    <row r="203" spans="1:16" x14ac:dyDescent="0.35">
      <c r="A203" s="43">
        <v>39263</v>
      </c>
      <c r="B203" s="1">
        <v>1503.3486</v>
      </c>
      <c r="C203" s="23">
        <v>24.06</v>
      </c>
      <c r="D203" s="29">
        <v>21.880744314722936</v>
      </c>
      <c r="E203" s="215"/>
      <c r="F203" s="80">
        <f t="shared" si="26"/>
        <v>16.43542800918334</v>
      </c>
      <c r="G203" s="4">
        <f t="shared" si="27"/>
        <v>17.70296070920519</v>
      </c>
      <c r="I203" s="52">
        <f t="shared" si="28"/>
        <v>91.47</v>
      </c>
      <c r="J203" s="52">
        <f t="shared" si="29"/>
        <v>84.920744314722924</v>
      </c>
      <c r="K203" s="92"/>
      <c r="L203" s="92"/>
      <c r="N203" s="9"/>
      <c r="O203" s="9"/>
      <c r="P203" s="9"/>
    </row>
    <row r="204" spans="1:16" s="9" customFormat="1" x14ac:dyDescent="0.35">
      <c r="A204" s="43">
        <v>39172</v>
      </c>
      <c r="B204" s="1">
        <v>1420.86</v>
      </c>
      <c r="C204" s="23">
        <v>22.39</v>
      </c>
      <c r="D204" s="30">
        <v>21.33</v>
      </c>
      <c r="E204" s="215"/>
      <c r="F204" s="80">
        <f t="shared" si="26"/>
        <v>15.900402864816472</v>
      </c>
      <c r="G204" s="4">
        <f t="shared" si="27"/>
        <v>17.087913409500903</v>
      </c>
      <c r="H204"/>
      <c r="I204" s="52">
        <f t="shared" si="28"/>
        <v>89.36</v>
      </c>
      <c r="J204" s="52">
        <f t="shared" si="29"/>
        <v>83.149999999999991</v>
      </c>
      <c r="K204" s="92"/>
      <c r="L204" s="92"/>
      <c r="M204"/>
      <c r="N204"/>
      <c r="O204"/>
      <c r="P204"/>
    </row>
    <row r="205" spans="1:16" x14ac:dyDescent="0.35">
      <c r="A205" s="43">
        <v>39082</v>
      </c>
      <c r="B205" s="1">
        <v>1418.3</v>
      </c>
      <c r="C205" s="17">
        <v>21.99</v>
      </c>
      <c r="D205" s="30">
        <v>20.239999999999998</v>
      </c>
      <c r="E205" s="215"/>
      <c r="F205" s="80">
        <f t="shared" si="26"/>
        <v>16.168490652074784</v>
      </c>
      <c r="G205" s="4">
        <f t="shared" si="27"/>
        <v>17.400318979266348</v>
      </c>
      <c r="I205" s="52">
        <f t="shared" si="28"/>
        <v>87.72</v>
      </c>
      <c r="J205" s="52">
        <f t="shared" si="29"/>
        <v>81.509999999999991</v>
      </c>
      <c r="K205" s="92"/>
      <c r="L205" s="92"/>
    </row>
    <row r="206" spans="1:16" x14ac:dyDescent="0.35">
      <c r="A206" s="43">
        <v>38990</v>
      </c>
      <c r="B206" s="1">
        <v>1335.847</v>
      </c>
      <c r="C206" s="17">
        <v>23.03</v>
      </c>
      <c r="D206" s="17">
        <v>21.47</v>
      </c>
      <c r="E206" s="215"/>
      <c r="F206" s="80">
        <f t="shared" si="26"/>
        <v>15.547567504655493</v>
      </c>
      <c r="G206" s="4">
        <f t="shared" si="27"/>
        <v>17.001998218149421</v>
      </c>
      <c r="I206" s="52">
        <f t="shared" si="28"/>
        <v>85.92</v>
      </c>
      <c r="J206" s="52">
        <f t="shared" si="29"/>
        <v>78.569999999999993</v>
      </c>
      <c r="K206" s="92"/>
      <c r="L206" s="92"/>
    </row>
    <row r="207" spans="1:16" x14ac:dyDescent="0.35">
      <c r="A207" s="43">
        <v>38898</v>
      </c>
      <c r="B207" s="1">
        <v>1270.2</v>
      </c>
      <c r="C207" s="17">
        <v>21.95</v>
      </c>
      <c r="D207" s="17">
        <v>20.11</v>
      </c>
      <c r="E207" s="215"/>
      <c r="F207" s="80">
        <f t="shared" si="26"/>
        <v>15.54141686039398</v>
      </c>
      <c r="G207" s="4">
        <f t="shared" si="27"/>
        <v>17.051953282319776</v>
      </c>
      <c r="I207" s="52">
        <f t="shared" si="28"/>
        <v>81.73</v>
      </c>
      <c r="J207" s="52">
        <f t="shared" si="29"/>
        <v>74.489999999999995</v>
      </c>
      <c r="K207" s="92"/>
      <c r="L207" s="92"/>
    </row>
    <row r="208" spans="1:16" x14ac:dyDescent="0.35">
      <c r="A208" s="43">
        <v>38807</v>
      </c>
      <c r="B208" s="1">
        <v>1294.83</v>
      </c>
      <c r="C208" s="17">
        <v>20.75</v>
      </c>
      <c r="D208" s="17">
        <v>19.690000000000001</v>
      </c>
      <c r="E208" s="215"/>
      <c r="F208" s="80">
        <f t="shared" si="26"/>
        <v>16.348863636363635</v>
      </c>
      <c r="G208" s="4">
        <f t="shared" si="27"/>
        <v>17.817944131003163</v>
      </c>
      <c r="I208" s="52">
        <f t="shared" si="28"/>
        <v>79.2</v>
      </c>
      <c r="J208" s="52">
        <f t="shared" si="29"/>
        <v>72.67</v>
      </c>
      <c r="K208" s="92"/>
      <c r="L208" s="92"/>
    </row>
    <row r="209" spans="1:12" x14ac:dyDescent="0.35">
      <c r="A209" s="43">
        <v>38717</v>
      </c>
      <c r="B209" s="1">
        <v>1248.29</v>
      </c>
      <c r="C209" s="17">
        <v>20.190000000000001</v>
      </c>
      <c r="D209" s="17">
        <v>17.3</v>
      </c>
      <c r="E209" s="215"/>
      <c r="F209" s="80">
        <f t="shared" ref="F209:F240" si="30">B209/I209</f>
        <v>16.328188358404184</v>
      </c>
      <c r="G209" s="4">
        <f t="shared" ref="G209:G240" si="31">B209/J209</f>
        <v>17.850564850564851</v>
      </c>
      <c r="I209" s="52">
        <f t="shared" si="28"/>
        <v>76.45</v>
      </c>
      <c r="J209" s="52">
        <f t="shared" si="29"/>
        <v>69.929999999999993</v>
      </c>
      <c r="K209" s="92"/>
      <c r="L209" s="92"/>
    </row>
    <row r="210" spans="1:12" x14ac:dyDescent="0.35">
      <c r="A210" s="43">
        <v>38625</v>
      </c>
      <c r="B210" s="1">
        <v>1228.81</v>
      </c>
      <c r="C210" s="17">
        <v>18.84</v>
      </c>
      <c r="D210" s="17">
        <v>17.39</v>
      </c>
      <c r="E210" s="215"/>
      <c r="F210" s="80">
        <f t="shared" si="30"/>
        <v>16.558550060638726</v>
      </c>
      <c r="G210" s="4">
        <f t="shared" si="31"/>
        <v>18.458915427369686</v>
      </c>
      <c r="I210" s="52">
        <f t="shared" si="28"/>
        <v>74.210000000000008</v>
      </c>
      <c r="J210" s="52">
        <f t="shared" si="29"/>
        <v>66.569999999999993</v>
      </c>
      <c r="K210" s="92"/>
      <c r="L210" s="92"/>
    </row>
    <row r="211" spans="1:12" x14ac:dyDescent="0.35">
      <c r="A211" s="43">
        <v>38533</v>
      </c>
      <c r="B211" s="4">
        <v>1191.33</v>
      </c>
      <c r="C211" s="17">
        <v>19.420000000000002</v>
      </c>
      <c r="D211" s="17">
        <v>18.29</v>
      </c>
      <c r="E211" s="215"/>
      <c r="F211" s="80">
        <f t="shared" si="30"/>
        <v>16.488996539792385</v>
      </c>
      <c r="G211" s="4">
        <f t="shared" si="31"/>
        <v>18.80255681818182</v>
      </c>
      <c r="I211" s="52">
        <f t="shared" si="28"/>
        <v>72.25</v>
      </c>
      <c r="J211" s="52">
        <f t="shared" si="29"/>
        <v>63.359999999999992</v>
      </c>
      <c r="K211" s="92"/>
      <c r="L211" s="92"/>
    </row>
    <row r="212" spans="1:12" x14ac:dyDescent="0.35">
      <c r="A212" s="43">
        <v>38442</v>
      </c>
      <c r="B212" s="4">
        <v>1180.5899999999999</v>
      </c>
      <c r="C212" s="17">
        <v>18</v>
      </c>
      <c r="D212" s="17">
        <v>16.95</v>
      </c>
      <c r="E212" s="215"/>
      <c r="F212" s="80">
        <f t="shared" si="30"/>
        <v>16.911474000859474</v>
      </c>
      <c r="G212" s="4">
        <f t="shared" si="31"/>
        <v>19.572115384615383</v>
      </c>
      <c r="H212" s="9"/>
      <c r="I212" s="52">
        <f t="shared" si="28"/>
        <v>69.81</v>
      </c>
      <c r="J212" s="52">
        <f t="shared" si="29"/>
        <v>60.32</v>
      </c>
      <c r="K212" s="92"/>
      <c r="L212" s="92"/>
    </row>
    <row r="213" spans="1:12" x14ac:dyDescent="0.35">
      <c r="A213" s="43">
        <v>38352</v>
      </c>
      <c r="B213" s="8">
        <v>1211.92</v>
      </c>
      <c r="C213" s="26">
        <v>17.95</v>
      </c>
      <c r="D213" s="26">
        <v>13.94</v>
      </c>
      <c r="E213" s="215"/>
      <c r="F213" s="80">
        <f t="shared" si="30"/>
        <v>17.90661938534279</v>
      </c>
      <c r="G213" s="4">
        <f t="shared" si="31"/>
        <v>20.698889837745519</v>
      </c>
      <c r="I213" s="52">
        <f t="shared" si="28"/>
        <v>67.680000000000007</v>
      </c>
      <c r="J213" s="52">
        <f t="shared" si="29"/>
        <v>58.55</v>
      </c>
      <c r="K213" s="92"/>
      <c r="L213" s="92"/>
    </row>
    <row r="214" spans="1:12" x14ac:dyDescent="0.35">
      <c r="A214" s="43">
        <v>38260</v>
      </c>
      <c r="B214" s="1">
        <v>1114.58</v>
      </c>
      <c r="C214" s="17">
        <v>16.88</v>
      </c>
      <c r="D214" s="17">
        <v>14.18</v>
      </c>
      <c r="E214" s="215"/>
      <c r="F214" s="80">
        <f t="shared" si="30"/>
        <v>17.250889955115305</v>
      </c>
      <c r="G214" s="4">
        <f t="shared" si="31"/>
        <v>19.293404881426348</v>
      </c>
      <c r="I214" s="52">
        <f t="shared" si="28"/>
        <v>64.61</v>
      </c>
      <c r="J214" s="52">
        <f t="shared" si="29"/>
        <v>57.769999999999996</v>
      </c>
      <c r="K214" s="92"/>
      <c r="L214" s="92"/>
    </row>
    <row r="215" spans="1:12" x14ac:dyDescent="0.35">
      <c r="A215" s="43">
        <v>38168</v>
      </c>
      <c r="B215" s="1">
        <v>1140.8399999999999</v>
      </c>
      <c r="C215" s="17">
        <v>16.98</v>
      </c>
      <c r="D215" s="17">
        <v>15.25</v>
      </c>
      <c r="E215" s="215"/>
      <c r="F215" s="80">
        <f t="shared" si="30"/>
        <v>18.359188928226583</v>
      </c>
      <c r="G215" s="4">
        <f t="shared" si="31"/>
        <v>20.317720391807654</v>
      </c>
      <c r="H215" s="9"/>
      <c r="I215" s="52">
        <f t="shared" si="28"/>
        <v>62.14</v>
      </c>
      <c r="J215" s="52">
        <f t="shared" si="29"/>
        <v>56.150000000000006</v>
      </c>
      <c r="K215" s="92"/>
      <c r="L215" s="92"/>
    </row>
    <row r="216" spans="1:12" x14ac:dyDescent="0.35">
      <c r="A216" s="43">
        <v>38077</v>
      </c>
      <c r="B216" s="8">
        <v>1126.21</v>
      </c>
      <c r="C216" s="26">
        <v>15.87</v>
      </c>
      <c r="D216" s="26">
        <v>15.18</v>
      </c>
      <c r="E216" s="215"/>
      <c r="F216" s="80">
        <f t="shared" si="30"/>
        <v>19.390668044077135</v>
      </c>
      <c r="G216" s="4">
        <f t="shared" si="31"/>
        <v>21.657884615384617</v>
      </c>
      <c r="H216" s="9"/>
      <c r="I216" s="52">
        <f t="shared" si="28"/>
        <v>58.08</v>
      </c>
      <c r="J216" s="52">
        <f t="shared" si="29"/>
        <v>52</v>
      </c>
      <c r="K216" s="92"/>
      <c r="L216" s="92"/>
    </row>
    <row r="217" spans="1:12" x14ac:dyDescent="0.35">
      <c r="A217" s="43">
        <v>37986</v>
      </c>
      <c r="B217" s="8">
        <v>1111.92</v>
      </c>
      <c r="C217" s="26">
        <v>14.88</v>
      </c>
      <c r="D217" s="26">
        <v>13.16</v>
      </c>
      <c r="E217" s="215"/>
      <c r="F217" s="80">
        <f t="shared" si="30"/>
        <v>20.331321996708724</v>
      </c>
      <c r="G217" s="4">
        <f t="shared" si="31"/>
        <v>22.813295034878951</v>
      </c>
      <c r="I217" s="52">
        <f t="shared" si="28"/>
        <v>54.69</v>
      </c>
      <c r="J217" s="52">
        <f t="shared" si="29"/>
        <v>48.74</v>
      </c>
      <c r="K217" s="92"/>
      <c r="L217" s="92"/>
    </row>
    <row r="218" spans="1:12" x14ac:dyDescent="0.35">
      <c r="A218" s="43">
        <v>37894</v>
      </c>
      <c r="B218" s="1">
        <v>995.97</v>
      </c>
      <c r="C218" s="17">
        <v>14.41</v>
      </c>
      <c r="D218" s="17">
        <v>12.56</v>
      </c>
      <c r="E218" s="215"/>
      <c r="F218" s="80">
        <f t="shared" si="30"/>
        <v>19.245797101449277</v>
      </c>
      <c r="G218" s="4">
        <f t="shared" si="31"/>
        <v>25.815707620528773</v>
      </c>
      <c r="H218" s="9"/>
      <c r="I218" s="52">
        <f t="shared" si="28"/>
        <v>51.75</v>
      </c>
      <c r="J218" s="52">
        <f t="shared" si="29"/>
        <v>38.58</v>
      </c>
      <c r="K218" s="92"/>
      <c r="L218" s="92"/>
    </row>
    <row r="219" spans="1:12" x14ac:dyDescent="0.35">
      <c r="A219" s="43">
        <v>37802</v>
      </c>
      <c r="B219" s="8">
        <v>974.5</v>
      </c>
      <c r="C219" s="26">
        <v>12.92</v>
      </c>
      <c r="D219" s="26">
        <v>11.1</v>
      </c>
      <c r="E219" s="215"/>
      <c r="F219" s="80">
        <f t="shared" si="30"/>
        <v>19.908069458631257</v>
      </c>
      <c r="G219" s="4">
        <f t="shared" si="31"/>
        <v>28.205499276411</v>
      </c>
      <c r="I219" s="52">
        <f t="shared" si="28"/>
        <v>48.949999999999996</v>
      </c>
      <c r="J219" s="52">
        <f t="shared" si="29"/>
        <v>34.549999999999997</v>
      </c>
      <c r="K219" s="92"/>
      <c r="L219" s="92"/>
    </row>
    <row r="220" spans="1:12" x14ac:dyDescent="0.35">
      <c r="A220" s="43">
        <v>37711</v>
      </c>
      <c r="B220" s="1">
        <v>848.18</v>
      </c>
      <c r="C220" s="17">
        <v>12.48</v>
      </c>
      <c r="D220" s="17">
        <v>11.92</v>
      </c>
      <c r="E220" s="215"/>
      <c r="F220" s="80">
        <f t="shared" si="30"/>
        <v>17.792741766310048</v>
      </c>
      <c r="G220" s="4">
        <f t="shared" si="31"/>
        <v>27.974274406332452</v>
      </c>
      <c r="I220" s="52">
        <f t="shared" si="28"/>
        <v>47.67</v>
      </c>
      <c r="J220" s="52">
        <f t="shared" si="29"/>
        <v>30.32</v>
      </c>
      <c r="K220" s="92"/>
      <c r="L220" s="92"/>
    </row>
    <row r="221" spans="1:12" x14ac:dyDescent="0.35">
      <c r="A221" s="43">
        <v>37621</v>
      </c>
      <c r="B221" s="1">
        <v>879.82</v>
      </c>
      <c r="C221" s="17">
        <v>11.94</v>
      </c>
      <c r="D221" s="17">
        <v>3</v>
      </c>
      <c r="E221" s="215"/>
      <c r="F221" s="80">
        <f t="shared" si="30"/>
        <v>19.109904430929628</v>
      </c>
      <c r="G221" s="4">
        <f t="shared" si="31"/>
        <v>31.889090250090618</v>
      </c>
      <c r="I221" s="52">
        <f t="shared" ref="I221:I252" si="32">SUM(C221:C224)</f>
        <v>46.04</v>
      </c>
      <c r="J221" s="52">
        <f t="shared" ref="J221:J252" si="33">SUM(D221:D224)</f>
        <v>27.589999999999996</v>
      </c>
      <c r="K221" s="92"/>
      <c r="L221" s="92"/>
    </row>
    <row r="222" spans="1:12" x14ac:dyDescent="0.35">
      <c r="A222" s="43">
        <v>37529</v>
      </c>
      <c r="B222" s="8">
        <v>815.28</v>
      </c>
      <c r="C222" s="17">
        <v>11.61</v>
      </c>
      <c r="D222" s="17">
        <v>8.5299999999999994</v>
      </c>
      <c r="E222" s="215"/>
      <c r="F222" s="80">
        <f t="shared" si="30"/>
        <v>18.51226158038147</v>
      </c>
      <c r="G222" s="4">
        <f t="shared" si="31"/>
        <v>27.139813581890817</v>
      </c>
      <c r="H222" s="9"/>
      <c r="I222" s="52">
        <f t="shared" si="32"/>
        <v>44.04</v>
      </c>
      <c r="J222" s="52">
        <f t="shared" si="33"/>
        <v>30.039999999999996</v>
      </c>
      <c r="K222" s="92"/>
      <c r="L222" s="92"/>
    </row>
    <row r="223" spans="1:12" x14ac:dyDescent="0.35">
      <c r="A223" s="43">
        <v>37437</v>
      </c>
      <c r="B223" s="1">
        <v>989.81</v>
      </c>
      <c r="C223" s="17">
        <v>11.64</v>
      </c>
      <c r="D223" s="17">
        <v>6.87</v>
      </c>
      <c r="E223" s="215"/>
      <c r="F223" s="80">
        <f t="shared" si="30"/>
        <v>23.799230584275062</v>
      </c>
      <c r="G223" s="4">
        <f t="shared" si="31"/>
        <v>37.016080777860886</v>
      </c>
      <c r="I223" s="52">
        <f t="shared" si="32"/>
        <v>41.59</v>
      </c>
      <c r="J223" s="52">
        <f t="shared" si="33"/>
        <v>26.74</v>
      </c>
      <c r="K223" s="92"/>
      <c r="L223" s="92"/>
    </row>
    <row r="224" spans="1:12" x14ac:dyDescent="0.35">
      <c r="A224" s="43">
        <v>37346</v>
      </c>
      <c r="B224" s="1">
        <v>1147.3900000000001</v>
      </c>
      <c r="C224" s="17">
        <v>10.85</v>
      </c>
      <c r="D224" s="17">
        <v>9.19</v>
      </c>
      <c r="E224" s="215"/>
      <c r="F224" s="80">
        <f t="shared" si="30"/>
        <v>29.442904798562999</v>
      </c>
      <c r="G224" s="4">
        <f t="shared" si="31"/>
        <v>46.453036437246965</v>
      </c>
      <c r="I224" s="52">
        <f t="shared" si="32"/>
        <v>38.97</v>
      </c>
      <c r="J224" s="52">
        <f t="shared" si="33"/>
        <v>24.700000000000003</v>
      </c>
      <c r="K224" s="92"/>
      <c r="L224" s="92"/>
    </row>
    <row r="225" spans="1:12" x14ac:dyDescent="0.35">
      <c r="A225" s="43">
        <v>37256</v>
      </c>
      <c r="B225" s="1">
        <v>1148.08</v>
      </c>
      <c r="C225" s="17">
        <v>9.94</v>
      </c>
      <c r="D225" s="17">
        <v>5.45</v>
      </c>
      <c r="E225" s="215"/>
      <c r="F225" s="80">
        <f t="shared" si="30"/>
        <v>29.55160875160875</v>
      </c>
      <c r="G225" s="4">
        <f t="shared" si="31"/>
        <v>46.499797488861887</v>
      </c>
      <c r="I225" s="52">
        <f t="shared" si="32"/>
        <v>38.85</v>
      </c>
      <c r="J225" s="52">
        <f t="shared" si="33"/>
        <v>24.689999999999998</v>
      </c>
      <c r="K225" s="92"/>
      <c r="L225" s="92"/>
    </row>
    <row r="226" spans="1:12" x14ac:dyDescent="0.35">
      <c r="A226" s="43">
        <v>37164</v>
      </c>
      <c r="B226" s="1">
        <v>1040.94</v>
      </c>
      <c r="C226" s="17">
        <v>9.16</v>
      </c>
      <c r="D226" s="17">
        <v>5.23</v>
      </c>
      <c r="E226" s="215"/>
      <c r="F226" s="80">
        <f t="shared" si="30"/>
        <v>24.772489290813901</v>
      </c>
      <c r="G226" s="4">
        <f t="shared" si="31"/>
        <v>36.769339456022607</v>
      </c>
      <c r="I226" s="52">
        <f t="shared" si="32"/>
        <v>42.019999999999996</v>
      </c>
      <c r="J226" s="52">
        <f t="shared" si="33"/>
        <v>28.310000000000002</v>
      </c>
      <c r="K226" s="92"/>
      <c r="L226" s="92"/>
    </row>
    <row r="227" spans="1:12" x14ac:dyDescent="0.35">
      <c r="A227" s="43">
        <v>37072</v>
      </c>
      <c r="B227" s="1">
        <v>1224.3800000000001</v>
      </c>
      <c r="C227" s="17">
        <v>9.02</v>
      </c>
      <c r="D227" s="17">
        <v>4.83</v>
      </c>
      <c r="E227" s="215"/>
      <c r="F227" s="80">
        <f t="shared" si="30"/>
        <v>26.03402083776313</v>
      </c>
      <c r="G227" s="4">
        <f t="shared" si="31"/>
        <v>33.280239195433545</v>
      </c>
      <c r="I227" s="52">
        <f t="shared" si="32"/>
        <v>47.03</v>
      </c>
      <c r="J227" s="52">
        <f t="shared" si="33"/>
        <v>36.79</v>
      </c>
      <c r="K227" s="92"/>
      <c r="L227" s="92"/>
    </row>
    <row r="228" spans="1:12" x14ac:dyDescent="0.35">
      <c r="A228" s="43">
        <v>36981</v>
      </c>
      <c r="B228" s="1">
        <v>1160.33</v>
      </c>
      <c r="C228" s="17">
        <v>10.73</v>
      </c>
      <c r="D228" s="17">
        <v>9.18</v>
      </c>
      <c r="E228" s="215"/>
      <c r="F228" s="80">
        <f t="shared" si="30"/>
        <v>21.938551711098505</v>
      </c>
      <c r="G228" s="4">
        <f t="shared" si="31"/>
        <v>25.535431338028168</v>
      </c>
      <c r="I228" s="52">
        <f t="shared" si="32"/>
        <v>52.89</v>
      </c>
      <c r="J228" s="52">
        <f t="shared" si="33"/>
        <v>45.44</v>
      </c>
      <c r="K228" s="92"/>
      <c r="L228" s="92"/>
    </row>
    <row r="229" spans="1:12" x14ac:dyDescent="0.35">
      <c r="A229" s="43">
        <v>36891</v>
      </c>
      <c r="B229" s="1">
        <v>1320.28</v>
      </c>
      <c r="C229" s="17">
        <v>13.11</v>
      </c>
      <c r="D229" s="17">
        <v>9.07</v>
      </c>
      <c r="E229" s="215"/>
      <c r="F229" s="80">
        <f t="shared" si="30"/>
        <v>23.521824336362016</v>
      </c>
      <c r="G229" s="4">
        <f t="shared" si="31"/>
        <v>26.405599999999996</v>
      </c>
      <c r="I229" s="52">
        <f t="shared" si="32"/>
        <v>56.13</v>
      </c>
      <c r="J229" s="52">
        <f t="shared" si="33"/>
        <v>50.000000000000007</v>
      </c>
      <c r="K229" s="92"/>
      <c r="L229" s="92"/>
    </row>
    <row r="230" spans="1:12" x14ac:dyDescent="0.35">
      <c r="A230" s="43">
        <v>36799</v>
      </c>
      <c r="B230" s="1">
        <v>1436.51</v>
      </c>
      <c r="C230" s="17">
        <v>14.17</v>
      </c>
      <c r="D230" s="17">
        <v>13.71</v>
      </c>
      <c r="E230" s="215"/>
      <c r="F230" s="80">
        <f t="shared" si="30"/>
        <v>25.295122380700825</v>
      </c>
      <c r="G230" s="4">
        <f t="shared" si="31"/>
        <v>26.750651769087522</v>
      </c>
      <c r="I230" s="52">
        <f t="shared" si="32"/>
        <v>56.790000000000006</v>
      </c>
      <c r="J230" s="52">
        <f t="shared" si="33"/>
        <v>53.7</v>
      </c>
      <c r="K230" s="92"/>
      <c r="L230" s="92"/>
    </row>
    <row r="231" spans="1:12" x14ac:dyDescent="0.35">
      <c r="A231" s="43">
        <v>36707</v>
      </c>
      <c r="B231" s="1">
        <v>1454.6</v>
      </c>
      <c r="C231" s="17">
        <v>14.88</v>
      </c>
      <c r="D231" s="17">
        <v>13.48</v>
      </c>
      <c r="E231" s="215"/>
      <c r="F231" s="80">
        <f t="shared" si="30"/>
        <v>26.16657672243209</v>
      </c>
      <c r="G231" s="4">
        <f t="shared" si="31"/>
        <v>28.01617873651772</v>
      </c>
      <c r="I231" s="52">
        <f t="shared" si="32"/>
        <v>55.59</v>
      </c>
      <c r="J231" s="52">
        <f t="shared" si="33"/>
        <v>51.919999999999995</v>
      </c>
      <c r="K231" s="92"/>
      <c r="L231" s="92"/>
    </row>
    <row r="232" spans="1:12" x14ac:dyDescent="0.35">
      <c r="A232" s="43">
        <v>36616</v>
      </c>
      <c r="B232" s="1">
        <v>1498.58</v>
      </c>
      <c r="C232" s="17">
        <v>13.97</v>
      </c>
      <c r="D232" s="17">
        <v>13.74</v>
      </c>
      <c r="E232" s="215"/>
      <c r="F232" s="80">
        <f t="shared" si="30"/>
        <v>27.792655786350146</v>
      </c>
      <c r="G232" s="4">
        <f t="shared" si="31"/>
        <v>29.412757605495585</v>
      </c>
      <c r="I232" s="52">
        <f t="shared" si="32"/>
        <v>53.92</v>
      </c>
      <c r="J232" s="52">
        <f t="shared" si="33"/>
        <v>50.949999999999996</v>
      </c>
      <c r="K232" s="92"/>
      <c r="L232" s="92"/>
    </row>
    <row r="233" spans="1:12" x14ac:dyDescent="0.35">
      <c r="A233" s="43">
        <v>36525</v>
      </c>
      <c r="B233" s="1">
        <v>1469.25</v>
      </c>
      <c r="C233" s="17">
        <v>13.77</v>
      </c>
      <c r="D233" s="17">
        <v>12.77</v>
      </c>
      <c r="E233" s="215"/>
      <c r="F233" s="80">
        <f t="shared" si="30"/>
        <v>28.429760061919502</v>
      </c>
      <c r="G233" s="4">
        <f t="shared" si="31"/>
        <v>30.501349387585634</v>
      </c>
      <c r="I233" s="52">
        <f t="shared" si="32"/>
        <v>51.680000000000007</v>
      </c>
      <c r="J233" s="52">
        <f t="shared" si="33"/>
        <v>48.17</v>
      </c>
      <c r="K233" s="92"/>
      <c r="L233" s="92"/>
    </row>
    <row r="234" spans="1:12" x14ac:dyDescent="0.35">
      <c r="A234" s="43">
        <v>36433</v>
      </c>
      <c r="B234" s="1">
        <v>1282.71</v>
      </c>
      <c r="C234" s="17">
        <v>12.97</v>
      </c>
      <c r="D234" s="17">
        <v>11.93</v>
      </c>
      <c r="E234" s="215"/>
      <c r="F234" s="80">
        <f t="shared" si="30"/>
        <v>25.976306196840831</v>
      </c>
      <c r="G234" s="4">
        <f t="shared" si="31"/>
        <v>29.179026387625115</v>
      </c>
      <c r="I234" s="52">
        <f t="shared" si="32"/>
        <v>49.379999999999995</v>
      </c>
      <c r="J234" s="52">
        <f t="shared" si="33"/>
        <v>43.96</v>
      </c>
      <c r="K234" s="92"/>
      <c r="L234" s="92"/>
    </row>
    <row r="235" spans="1:12" x14ac:dyDescent="0.35">
      <c r="A235" s="43">
        <v>36341</v>
      </c>
      <c r="B235" s="1">
        <v>1372.71</v>
      </c>
      <c r="C235" s="17">
        <v>13.21</v>
      </c>
      <c r="D235" s="17">
        <v>12.51</v>
      </c>
      <c r="E235" s="215"/>
      <c r="F235" s="80">
        <f t="shared" si="30"/>
        <v>29.293854033290653</v>
      </c>
      <c r="G235" s="4">
        <f t="shared" si="31"/>
        <v>33.464407606045832</v>
      </c>
      <c r="I235" s="52">
        <f t="shared" si="32"/>
        <v>46.86</v>
      </c>
      <c r="J235" s="52">
        <f t="shared" si="33"/>
        <v>41.02</v>
      </c>
      <c r="K235" s="92"/>
      <c r="L235" s="92"/>
    </row>
    <row r="236" spans="1:12" x14ac:dyDescent="0.35">
      <c r="A236" s="43">
        <v>36250</v>
      </c>
      <c r="B236" s="1">
        <v>1286.3699999999999</v>
      </c>
      <c r="C236" s="17">
        <v>11.73</v>
      </c>
      <c r="D236" s="17">
        <v>10.96</v>
      </c>
      <c r="E236" s="215"/>
      <c r="F236" s="80">
        <f t="shared" si="30"/>
        <v>28.535270629991121</v>
      </c>
      <c r="G236" s="4">
        <f t="shared" si="31"/>
        <v>33.516675351745697</v>
      </c>
      <c r="I236" s="52">
        <f t="shared" si="32"/>
        <v>45.080000000000005</v>
      </c>
      <c r="J236" s="52">
        <f t="shared" si="33"/>
        <v>38.380000000000003</v>
      </c>
      <c r="K236" s="92"/>
      <c r="L236" s="92"/>
    </row>
    <row r="237" spans="1:12" x14ac:dyDescent="0.35">
      <c r="A237" s="43">
        <v>36160</v>
      </c>
      <c r="B237" s="1">
        <v>1229.23</v>
      </c>
      <c r="C237" s="17">
        <v>11.47</v>
      </c>
      <c r="D237" s="17">
        <v>8.56</v>
      </c>
      <c r="E237" s="215"/>
      <c r="F237" s="80">
        <f t="shared" si="30"/>
        <v>27.766659137113166</v>
      </c>
      <c r="G237" s="4">
        <f t="shared" si="31"/>
        <v>32.596923892866613</v>
      </c>
      <c r="I237" s="52">
        <f t="shared" si="32"/>
        <v>44.27</v>
      </c>
      <c r="J237" s="52">
        <f t="shared" si="33"/>
        <v>37.71</v>
      </c>
      <c r="K237" s="92"/>
      <c r="L237" s="92"/>
    </row>
    <row r="238" spans="1:12" x14ac:dyDescent="0.35">
      <c r="A238" s="43">
        <v>36068</v>
      </c>
      <c r="B238" s="1">
        <v>1017.01</v>
      </c>
      <c r="C238" s="17">
        <v>10.45</v>
      </c>
      <c r="D238" s="17">
        <v>8.99</v>
      </c>
      <c r="E238" s="215"/>
      <c r="F238" s="80">
        <f t="shared" si="30"/>
        <v>23.066681787253348</v>
      </c>
      <c r="G238" s="4">
        <f t="shared" si="31"/>
        <v>26.700183775269103</v>
      </c>
      <c r="I238" s="52">
        <f t="shared" si="32"/>
        <v>44.089999999999996</v>
      </c>
      <c r="J238" s="52">
        <f t="shared" si="33"/>
        <v>38.089999999999996</v>
      </c>
      <c r="K238" s="92"/>
      <c r="L238" s="92"/>
    </row>
    <row r="239" spans="1:12" x14ac:dyDescent="0.35">
      <c r="A239" s="43">
        <v>35976</v>
      </c>
      <c r="B239" s="1">
        <v>1133.8399999999999</v>
      </c>
      <c r="C239" s="17">
        <v>11.43</v>
      </c>
      <c r="D239" s="17">
        <v>9.8699999999999992</v>
      </c>
      <c r="E239" s="215"/>
      <c r="F239" s="80">
        <f t="shared" si="30"/>
        <v>25.382583389299302</v>
      </c>
      <c r="G239" s="4">
        <f t="shared" si="31"/>
        <v>29.095201437002828</v>
      </c>
      <c r="I239" s="52">
        <f t="shared" si="32"/>
        <v>44.67</v>
      </c>
      <c r="J239" s="52">
        <f t="shared" si="33"/>
        <v>38.969999999999992</v>
      </c>
      <c r="K239" s="92"/>
      <c r="L239" s="92"/>
    </row>
    <row r="240" spans="1:12" x14ac:dyDescent="0.35">
      <c r="A240" s="43">
        <v>35885</v>
      </c>
      <c r="B240" s="1">
        <v>1101.75</v>
      </c>
      <c r="C240" s="17">
        <v>10.92</v>
      </c>
      <c r="D240" s="17">
        <v>10.29</v>
      </c>
      <c r="E240" s="215"/>
      <c r="F240" s="80">
        <f t="shared" si="30"/>
        <v>24.830966869506419</v>
      </c>
      <c r="G240" s="4">
        <f t="shared" si="31"/>
        <v>27.86418816388468</v>
      </c>
      <c r="I240" s="52">
        <f t="shared" si="32"/>
        <v>44.370000000000005</v>
      </c>
      <c r="J240" s="52">
        <f t="shared" si="33"/>
        <v>39.539999999999992</v>
      </c>
      <c r="K240" s="92"/>
      <c r="L240" s="92"/>
    </row>
    <row r="241" spans="1:12" x14ac:dyDescent="0.35">
      <c r="A241" s="43">
        <v>35795</v>
      </c>
      <c r="B241" s="1">
        <v>970.43</v>
      </c>
      <c r="C241" s="17">
        <v>11.29</v>
      </c>
      <c r="D241" s="17">
        <v>8.94</v>
      </c>
      <c r="E241" s="215"/>
      <c r="F241" s="80">
        <f t="shared" ref="F241:F277" si="34">B241/I241</f>
        <v>22.050215860031809</v>
      </c>
      <c r="G241" s="4">
        <f t="shared" ref="G241:G277" si="35">B241/J241</f>
        <v>24.431772406847934</v>
      </c>
      <c r="I241" s="52">
        <f t="shared" si="32"/>
        <v>44.010000000000005</v>
      </c>
      <c r="J241" s="52">
        <f t="shared" si="33"/>
        <v>39.72</v>
      </c>
      <c r="K241" s="92"/>
      <c r="L241" s="92"/>
    </row>
    <row r="242" spans="1:12" x14ac:dyDescent="0.35">
      <c r="A242" s="43">
        <v>35703</v>
      </c>
      <c r="B242" s="1">
        <v>947.28</v>
      </c>
      <c r="C242" s="17">
        <v>11.03</v>
      </c>
      <c r="D242" s="17">
        <v>9.8699999999999992</v>
      </c>
      <c r="E242" s="215"/>
      <c r="F242" s="80">
        <f t="shared" si="34"/>
        <v>21.662016922021497</v>
      </c>
      <c r="G242" s="4">
        <f t="shared" si="35"/>
        <v>23.309055118110233</v>
      </c>
      <c r="I242" s="52">
        <f t="shared" si="32"/>
        <v>43.73</v>
      </c>
      <c r="J242" s="52">
        <f t="shared" si="33"/>
        <v>40.64</v>
      </c>
      <c r="K242" s="92"/>
      <c r="L242" s="92"/>
    </row>
    <row r="243" spans="1:12" x14ac:dyDescent="0.35">
      <c r="A243" s="43">
        <v>35611</v>
      </c>
      <c r="B243" s="1">
        <v>885.14</v>
      </c>
      <c r="C243" s="17">
        <v>11.13</v>
      </c>
      <c r="D243" s="17">
        <v>10.44</v>
      </c>
      <c r="E243" s="215"/>
      <c r="F243" s="80">
        <f t="shared" si="34"/>
        <v>20.768183951196619</v>
      </c>
      <c r="G243" s="4">
        <f t="shared" si="35"/>
        <v>21.828360049321827</v>
      </c>
      <c r="I243" s="52">
        <f t="shared" si="32"/>
        <v>42.620000000000005</v>
      </c>
      <c r="J243" s="52">
        <f t="shared" si="33"/>
        <v>40.549999999999997</v>
      </c>
      <c r="K243" s="92"/>
      <c r="L243" s="92"/>
    </row>
    <row r="244" spans="1:12" x14ac:dyDescent="0.35">
      <c r="A244" s="43">
        <v>35520</v>
      </c>
      <c r="B244" s="1">
        <v>757.12</v>
      </c>
      <c r="C244" s="17">
        <v>10.56</v>
      </c>
      <c r="D244" s="17">
        <v>10.47</v>
      </c>
      <c r="E244" s="215"/>
      <c r="F244" s="80">
        <f t="shared" si="34"/>
        <v>18.112918660287079</v>
      </c>
      <c r="G244" s="4">
        <f t="shared" si="35"/>
        <v>18.815109343936381</v>
      </c>
      <c r="I244" s="52">
        <f t="shared" si="32"/>
        <v>41.800000000000004</v>
      </c>
      <c r="J244" s="52">
        <f t="shared" si="33"/>
        <v>40.24</v>
      </c>
      <c r="K244" s="92"/>
      <c r="L244" s="92"/>
    </row>
    <row r="245" spans="1:12" x14ac:dyDescent="0.35">
      <c r="A245" s="43">
        <v>35430</v>
      </c>
      <c r="B245" s="1">
        <v>740.74</v>
      </c>
      <c r="C245" s="17">
        <v>11.01</v>
      </c>
      <c r="D245" s="17">
        <v>9.86</v>
      </c>
      <c r="E245" s="215"/>
      <c r="F245" s="80">
        <f t="shared" si="34"/>
        <v>18.231356140782673</v>
      </c>
      <c r="G245" s="4">
        <f t="shared" si="35"/>
        <v>19.125742318616059</v>
      </c>
      <c r="I245" s="52">
        <f t="shared" si="32"/>
        <v>40.630000000000003</v>
      </c>
      <c r="J245" s="52">
        <f t="shared" si="33"/>
        <v>38.730000000000004</v>
      </c>
      <c r="K245" s="92"/>
      <c r="L245" s="92"/>
    </row>
    <row r="246" spans="1:12" x14ac:dyDescent="0.35">
      <c r="A246" s="43">
        <v>35338</v>
      </c>
      <c r="B246" s="1">
        <v>687.33</v>
      </c>
      <c r="C246" s="17">
        <v>9.92</v>
      </c>
      <c r="D246" s="17">
        <v>9.7799999999999994</v>
      </c>
      <c r="E246" s="215"/>
      <c r="F246" s="80">
        <f t="shared" si="34"/>
        <v>17.444923857868023</v>
      </c>
      <c r="G246" s="4">
        <f t="shared" si="35"/>
        <v>19.092500000000001</v>
      </c>
      <c r="I246" s="52">
        <f t="shared" si="32"/>
        <v>39.4</v>
      </c>
      <c r="J246" s="52">
        <f t="shared" si="33"/>
        <v>36</v>
      </c>
      <c r="K246" s="92"/>
      <c r="L246" s="92"/>
    </row>
    <row r="247" spans="1:12" x14ac:dyDescent="0.35">
      <c r="A247" s="43">
        <v>35246</v>
      </c>
      <c r="B247" s="1">
        <v>670.63</v>
      </c>
      <c r="C247" s="17">
        <v>10.31</v>
      </c>
      <c r="D247" s="17">
        <v>10.130000000000001</v>
      </c>
      <c r="E247" s="215"/>
      <c r="F247" s="80">
        <f t="shared" si="34"/>
        <v>17.081762608252671</v>
      </c>
      <c r="G247" s="4">
        <f t="shared" si="35"/>
        <v>19.210254941277569</v>
      </c>
      <c r="I247" s="52">
        <f t="shared" si="32"/>
        <v>39.260000000000005</v>
      </c>
      <c r="J247" s="52">
        <f t="shared" si="33"/>
        <v>34.910000000000004</v>
      </c>
      <c r="K247" s="92"/>
      <c r="L247" s="92"/>
    </row>
    <row r="248" spans="1:12" x14ac:dyDescent="0.35">
      <c r="A248" s="43">
        <v>35155</v>
      </c>
      <c r="B248" s="1">
        <v>645.5</v>
      </c>
      <c r="C248" s="17">
        <v>9.39</v>
      </c>
      <c r="D248" s="17">
        <v>8.9600000000000009</v>
      </c>
      <c r="E248" s="215"/>
      <c r="F248" s="80">
        <f t="shared" si="34"/>
        <v>16.788036410923276</v>
      </c>
      <c r="G248" s="4">
        <f t="shared" si="35"/>
        <v>18.962984723854291</v>
      </c>
      <c r="I248" s="52">
        <f t="shared" si="32"/>
        <v>38.450000000000003</v>
      </c>
      <c r="J248" s="52">
        <f t="shared" si="33"/>
        <v>34.04</v>
      </c>
      <c r="K248" s="92"/>
      <c r="L248" s="92"/>
    </row>
    <row r="249" spans="1:12" x14ac:dyDescent="0.35">
      <c r="A249" s="43">
        <v>35064</v>
      </c>
      <c r="B249" s="1">
        <v>615.92999999999995</v>
      </c>
      <c r="C249" s="17">
        <v>9.7799999999999994</v>
      </c>
      <c r="D249" s="17">
        <v>7.13</v>
      </c>
      <c r="E249" s="215"/>
      <c r="F249" s="80">
        <f t="shared" si="34"/>
        <v>16.337665782493367</v>
      </c>
      <c r="G249" s="4">
        <f t="shared" si="35"/>
        <v>18.136925795053003</v>
      </c>
      <c r="I249" s="52">
        <f t="shared" si="32"/>
        <v>37.700000000000003</v>
      </c>
      <c r="J249" s="52">
        <f t="shared" si="33"/>
        <v>33.96</v>
      </c>
      <c r="K249" s="92"/>
      <c r="L249" s="92"/>
    </row>
    <row r="250" spans="1:12" x14ac:dyDescent="0.35">
      <c r="A250" s="43">
        <v>34972</v>
      </c>
      <c r="B250" s="1">
        <v>584.41</v>
      </c>
      <c r="C250" s="17">
        <v>9.7799999999999994</v>
      </c>
      <c r="D250" s="17">
        <v>8.69</v>
      </c>
      <c r="E250" s="215"/>
      <c r="F250" s="80">
        <f t="shared" si="34"/>
        <v>15.915305010893245</v>
      </c>
      <c r="G250" s="4">
        <f t="shared" si="35"/>
        <v>16.611995451961342</v>
      </c>
      <c r="I250" s="52">
        <f t="shared" si="32"/>
        <v>36.72</v>
      </c>
      <c r="J250" s="52">
        <f t="shared" si="33"/>
        <v>35.18</v>
      </c>
      <c r="K250" s="92"/>
      <c r="L250" s="92"/>
    </row>
    <row r="251" spans="1:12" x14ac:dyDescent="0.35">
      <c r="A251" s="43">
        <v>34880</v>
      </c>
      <c r="B251" s="1">
        <v>544.75</v>
      </c>
      <c r="C251" s="17">
        <v>9.5</v>
      </c>
      <c r="D251" s="17">
        <v>9.26</v>
      </c>
      <c r="E251" s="215"/>
      <c r="F251" s="80">
        <f t="shared" si="34"/>
        <v>15.577637975407493</v>
      </c>
      <c r="G251" s="4">
        <f t="shared" si="35"/>
        <v>15.821957595120535</v>
      </c>
      <c r="I251" s="52">
        <f t="shared" si="32"/>
        <v>34.97</v>
      </c>
      <c r="J251" s="52">
        <f t="shared" si="33"/>
        <v>34.43</v>
      </c>
      <c r="K251" s="92"/>
      <c r="L251" s="92"/>
    </row>
    <row r="252" spans="1:12" x14ac:dyDescent="0.35">
      <c r="A252" s="43">
        <v>34789</v>
      </c>
      <c r="B252" s="1">
        <v>500.71</v>
      </c>
      <c r="C252" s="17">
        <v>8.64</v>
      </c>
      <c r="D252" s="17">
        <v>8.8800000000000008</v>
      </c>
      <c r="E252" s="215"/>
      <c r="F252" s="80">
        <f t="shared" si="34"/>
        <v>15.072546658639373</v>
      </c>
      <c r="G252" s="4">
        <f t="shared" si="35"/>
        <v>15.382795698924729</v>
      </c>
      <c r="I252" s="52">
        <f t="shared" si="32"/>
        <v>33.22</v>
      </c>
      <c r="J252" s="52">
        <f t="shared" si="33"/>
        <v>32.550000000000004</v>
      </c>
      <c r="K252" s="92"/>
      <c r="L252" s="92"/>
    </row>
    <row r="253" spans="1:12" x14ac:dyDescent="0.35">
      <c r="A253" s="43">
        <v>34699</v>
      </c>
      <c r="B253" s="1">
        <v>459.27</v>
      </c>
      <c r="C253" s="17">
        <v>8.8000000000000007</v>
      </c>
      <c r="D253" s="17">
        <v>8.35</v>
      </c>
      <c r="E253" s="215"/>
      <c r="F253" s="80">
        <f t="shared" si="34"/>
        <v>14.465196850393701</v>
      </c>
      <c r="G253" s="4">
        <f t="shared" si="35"/>
        <v>15.008823529411766</v>
      </c>
      <c r="I253" s="52">
        <f t="shared" ref="I253:I277" si="36">SUM(C253:C256)</f>
        <v>31.75</v>
      </c>
      <c r="J253" s="52">
        <f t="shared" ref="J253:J277" si="37">SUM(D253:D256)</f>
        <v>30.599999999999998</v>
      </c>
      <c r="K253" s="92"/>
      <c r="L253" s="92"/>
    </row>
    <row r="254" spans="1:12" x14ac:dyDescent="0.35">
      <c r="A254" s="43">
        <v>34607</v>
      </c>
      <c r="B254" s="1">
        <v>462.71</v>
      </c>
      <c r="C254" s="17">
        <v>8.0299999999999994</v>
      </c>
      <c r="D254" s="17">
        <v>7.94</v>
      </c>
      <c r="E254" s="215"/>
      <c r="F254" s="80">
        <f t="shared" si="34"/>
        <v>15.3673198272999</v>
      </c>
      <c r="G254" s="4">
        <f t="shared" si="35"/>
        <v>16.930479326747164</v>
      </c>
      <c r="I254" s="52">
        <f t="shared" si="36"/>
        <v>30.11</v>
      </c>
      <c r="J254" s="52">
        <f t="shared" si="37"/>
        <v>27.33</v>
      </c>
      <c r="K254" s="92"/>
      <c r="L254" s="92"/>
    </row>
    <row r="255" spans="1:12" x14ac:dyDescent="0.35">
      <c r="A255" s="43">
        <v>34515</v>
      </c>
      <c r="B255" s="1">
        <v>444.27</v>
      </c>
      <c r="C255" s="17">
        <v>7.75</v>
      </c>
      <c r="D255" s="17">
        <v>7.38</v>
      </c>
      <c r="E255" s="215"/>
      <c r="F255" s="80">
        <f t="shared" si="34"/>
        <v>15.319655172413793</v>
      </c>
      <c r="G255" s="4">
        <f t="shared" si="35"/>
        <v>17.629761904761903</v>
      </c>
      <c r="I255" s="52">
        <f t="shared" si="36"/>
        <v>29</v>
      </c>
      <c r="J255" s="52">
        <f t="shared" si="37"/>
        <v>25.2</v>
      </c>
      <c r="K255" s="92"/>
      <c r="L255" s="92"/>
    </row>
    <row r="256" spans="1:12" x14ac:dyDescent="0.35">
      <c r="A256" s="43">
        <v>34424</v>
      </c>
      <c r="B256" s="1">
        <v>445.77</v>
      </c>
      <c r="C256" s="17">
        <v>7.17</v>
      </c>
      <c r="D256" s="17">
        <v>6.93</v>
      </c>
      <c r="E256" s="215"/>
      <c r="F256" s="80">
        <f t="shared" si="34"/>
        <v>16.023364485981308</v>
      </c>
      <c r="G256" s="4">
        <f t="shared" si="35"/>
        <v>19.628797886393659</v>
      </c>
      <c r="I256" s="52">
        <f t="shared" si="36"/>
        <v>27.82</v>
      </c>
      <c r="J256" s="52">
        <f t="shared" si="37"/>
        <v>22.71</v>
      </c>
      <c r="K256" s="92"/>
      <c r="L256" s="92"/>
    </row>
    <row r="257" spans="1:16" x14ac:dyDescent="0.35">
      <c r="A257" s="43">
        <v>34334</v>
      </c>
      <c r="B257" s="1">
        <v>466.45</v>
      </c>
      <c r="C257" s="17">
        <v>7.16</v>
      </c>
      <c r="D257" s="17">
        <v>5.08</v>
      </c>
      <c r="E257" s="215"/>
      <c r="F257" s="80">
        <f t="shared" si="34"/>
        <v>17.340148698884757</v>
      </c>
      <c r="G257" s="4">
        <f t="shared" si="35"/>
        <v>21.308816811329372</v>
      </c>
      <c r="I257" s="52">
        <f t="shared" si="36"/>
        <v>26.9</v>
      </c>
      <c r="J257" s="52">
        <f t="shared" si="37"/>
        <v>21.89</v>
      </c>
      <c r="K257" s="92"/>
      <c r="L257" s="92"/>
    </row>
    <row r="258" spans="1:16" x14ac:dyDescent="0.35">
      <c r="A258" s="43">
        <v>34242</v>
      </c>
      <c r="B258" s="1">
        <v>458.93</v>
      </c>
      <c r="C258" s="17">
        <v>6.92</v>
      </c>
      <c r="D258" s="17">
        <v>5.81</v>
      </c>
      <c r="E258" s="215"/>
      <c r="F258" s="80">
        <f t="shared" si="34"/>
        <v>18.103747534516764</v>
      </c>
      <c r="G258" s="4">
        <f t="shared" si="35"/>
        <v>22.485546300832926</v>
      </c>
      <c r="I258" s="52">
        <f t="shared" si="36"/>
        <v>25.35</v>
      </c>
      <c r="J258" s="52">
        <f t="shared" si="37"/>
        <v>20.41</v>
      </c>
      <c r="K258" s="92"/>
      <c r="L258" s="92"/>
    </row>
    <row r="259" spans="1:16" x14ac:dyDescent="0.35">
      <c r="A259" s="43">
        <v>34150</v>
      </c>
      <c r="B259" s="1">
        <v>450.53</v>
      </c>
      <c r="C259" s="17">
        <v>6.57</v>
      </c>
      <c r="D259" s="17">
        <v>4.8899999999999997</v>
      </c>
      <c r="E259" s="215"/>
      <c r="F259" s="80">
        <f t="shared" si="34"/>
        <v>19.130785562632695</v>
      </c>
      <c r="G259" s="4">
        <f t="shared" si="35"/>
        <v>23.307294361096741</v>
      </c>
      <c r="I259" s="52">
        <f t="shared" si="36"/>
        <v>23.55</v>
      </c>
      <c r="J259" s="52">
        <f t="shared" si="37"/>
        <v>19.329999999999998</v>
      </c>
      <c r="K259" s="92"/>
      <c r="L259" s="92"/>
    </row>
    <row r="260" spans="1:16" x14ac:dyDescent="0.35">
      <c r="A260" s="43">
        <v>34059</v>
      </c>
      <c r="B260" s="1">
        <v>451.67</v>
      </c>
      <c r="C260" s="17">
        <v>6.25</v>
      </c>
      <c r="D260" s="17">
        <v>6.11</v>
      </c>
      <c r="E260" s="215"/>
      <c r="F260" s="80">
        <f t="shared" si="34"/>
        <v>20.354664263181611</v>
      </c>
      <c r="G260" s="4">
        <f t="shared" si="35"/>
        <v>22.765624999999996</v>
      </c>
      <c r="I260" s="52">
        <f t="shared" si="36"/>
        <v>22.19</v>
      </c>
      <c r="J260" s="52">
        <f t="shared" si="37"/>
        <v>19.840000000000003</v>
      </c>
      <c r="K260" s="92"/>
      <c r="L260" s="92"/>
    </row>
    <row r="261" spans="1:16" x14ac:dyDescent="0.35">
      <c r="A261" s="43">
        <v>33969</v>
      </c>
      <c r="B261" s="1">
        <v>435.71</v>
      </c>
      <c r="C261" s="17">
        <v>5.61</v>
      </c>
      <c r="D261" s="17">
        <v>3.6</v>
      </c>
      <c r="E261" s="215"/>
      <c r="F261" s="80">
        <f t="shared" si="34"/>
        <v>20.877335888835646</v>
      </c>
      <c r="G261" s="4">
        <f t="shared" si="35"/>
        <v>22.823991618648506</v>
      </c>
      <c r="I261" s="52">
        <f t="shared" si="36"/>
        <v>20.87</v>
      </c>
      <c r="J261" s="52">
        <f t="shared" si="37"/>
        <v>19.09</v>
      </c>
      <c r="K261" s="92"/>
      <c r="L261" s="92"/>
    </row>
    <row r="262" spans="1:16" x14ac:dyDescent="0.35">
      <c r="A262" s="43">
        <v>33877</v>
      </c>
      <c r="B262" s="1">
        <v>417.8</v>
      </c>
      <c r="C262" s="17">
        <v>5.12</v>
      </c>
      <c r="D262" s="17">
        <v>4.7300000000000004</v>
      </c>
      <c r="E262" s="215"/>
      <c r="F262" s="80">
        <f t="shared" si="34"/>
        <v>21.005530417295123</v>
      </c>
      <c r="G262" s="4">
        <f t="shared" si="35"/>
        <v>23.159645232815961</v>
      </c>
      <c r="I262" s="52">
        <f t="shared" si="36"/>
        <v>19.89</v>
      </c>
      <c r="J262" s="52">
        <f t="shared" si="37"/>
        <v>18.040000000000003</v>
      </c>
      <c r="K262" s="92"/>
      <c r="L262" s="92"/>
    </row>
    <row r="263" spans="1:16" x14ac:dyDescent="0.35">
      <c r="A263" s="43">
        <v>33785</v>
      </c>
      <c r="B263" s="1">
        <v>408.14</v>
      </c>
      <c r="C263" s="17">
        <v>5.21</v>
      </c>
      <c r="D263" s="17">
        <v>5.4</v>
      </c>
      <c r="E263" s="215"/>
      <c r="F263" s="80">
        <f t="shared" si="34"/>
        <v>20.530181086519114</v>
      </c>
      <c r="G263" s="4">
        <f t="shared" si="35"/>
        <v>23.937829912023453</v>
      </c>
      <c r="I263" s="52">
        <f t="shared" si="36"/>
        <v>19.88</v>
      </c>
      <c r="J263" s="52">
        <f t="shared" si="37"/>
        <v>17.050000000000004</v>
      </c>
      <c r="K263" s="92"/>
      <c r="L263" s="92"/>
    </row>
    <row r="264" spans="1:16" x14ac:dyDescent="0.35">
      <c r="A264" s="43">
        <v>33694</v>
      </c>
      <c r="B264" s="1">
        <v>403.69</v>
      </c>
      <c r="C264" s="17">
        <v>4.93</v>
      </c>
      <c r="D264" s="17">
        <v>5.36</v>
      </c>
      <c r="E264" s="215"/>
      <c r="F264" s="80">
        <f t="shared" si="34"/>
        <v>20.744604316546766</v>
      </c>
      <c r="G264" s="4">
        <f t="shared" si="35"/>
        <v>24.934527486102532</v>
      </c>
      <c r="I264" s="52">
        <f t="shared" si="36"/>
        <v>19.459999999999997</v>
      </c>
      <c r="J264" s="52">
        <f t="shared" si="37"/>
        <v>16.190000000000001</v>
      </c>
      <c r="K264" s="92"/>
      <c r="L264" s="92"/>
    </row>
    <row r="265" spans="1:16" x14ac:dyDescent="0.35">
      <c r="A265" s="43">
        <v>33603</v>
      </c>
      <c r="B265" s="1">
        <v>417.09</v>
      </c>
      <c r="C265" s="17">
        <v>4.63</v>
      </c>
      <c r="D265" s="17">
        <v>2.5499999999999998</v>
      </c>
      <c r="E265" s="215"/>
      <c r="F265" s="80">
        <f t="shared" si="34"/>
        <v>21.610880829015542</v>
      </c>
      <c r="G265" s="4">
        <f t="shared" si="35"/>
        <v>26.117094552285536</v>
      </c>
      <c r="I265" s="52">
        <f t="shared" si="36"/>
        <v>19.3</v>
      </c>
      <c r="J265" s="52">
        <f t="shared" si="37"/>
        <v>15.969999999999999</v>
      </c>
      <c r="K265" s="92"/>
      <c r="L265" s="92"/>
    </row>
    <row r="266" spans="1:16" x14ac:dyDescent="0.35">
      <c r="A266" s="43">
        <v>33511</v>
      </c>
      <c r="B266" s="1">
        <v>387.86</v>
      </c>
      <c r="C266" s="17">
        <v>5.1100000000000003</v>
      </c>
      <c r="D266" s="17">
        <v>3.74</v>
      </c>
      <c r="E266" s="215"/>
      <c r="F266" s="80">
        <f t="shared" si="34"/>
        <v>19.708333333333336</v>
      </c>
      <c r="G266" s="4">
        <f t="shared" si="35"/>
        <v>21.765432098765434</v>
      </c>
      <c r="I266" s="52">
        <f t="shared" si="36"/>
        <v>19.68</v>
      </c>
      <c r="J266" s="52">
        <f t="shared" si="37"/>
        <v>17.82</v>
      </c>
      <c r="K266" s="92"/>
      <c r="L266" s="92"/>
    </row>
    <row r="267" spans="1:16" x14ac:dyDescent="0.35">
      <c r="A267" s="43">
        <v>33419</v>
      </c>
      <c r="B267" s="1">
        <v>371.16</v>
      </c>
      <c r="C267" s="17">
        <v>4.79</v>
      </c>
      <c r="D267" s="17">
        <v>4.54</v>
      </c>
      <c r="E267" s="215"/>
      <c r="F267" s="80">
        <f t="shared" si="34"/>
        <v>18.070107108081793</v>
      </c>
      <c r="G267" s="4">
        <f t="shared" si="35"/>
        <v>19.122102009273572</v>
      </c>
      <c r="I267" s="52">
        <f t="shared" si="36"/>
        <v>20.54</v>
      </c>
      <c r="J267" s="52">
        <f t="shared" si="37"/>
        <v>19.41</v>
      </c>
      <c r="K267" s="92"/>
      <c r="L267" s="92"/>
    </row>
    <row r="268" spans="1:16" x14ac:dyDescent="0.35">
      <c r="A268" s="43">
        <v>33328</v>
      </c>
      <c r="B268" s="1">
        <v>375.22</v>
      </c>
      <c r="C268" s="17">
        <v>4.7699999999999996</v>
      </c>
      <c r="D268" s="17">
        <v>5.14</v>
      </c>
      <c r="E268" s="215"/>
      <c r="F268" s="80">
        <f t="shared" si="34"/>
        <v>17.204034846400734</v>
      </c>
      <c r="G268" s="4">
        <f t="shared" si="35"/>
        <v>17.91881566380134</v>
      </c>
      <c r="I268" s="52">
        <f t="shared" si="36"/>
        <v>21.81</v>
      </c>
      <c r="J268" s="52">
        <f t="shared" si="37"/>
        <v>20.939999999999998</v>
      </c>
      <c r="K268" s="92"/>
      <c r="L268" s="92"/>
    </row>
    <row r="269" spans="1:16" x14ac:dyDescent="0.35">
      <c r="A269" s="43">
        <v>33238</v>
      </c>
      <c r="B269" s="1">
        <v>330.22</v>
      </c>
      <c r="C269" s="17">
        <v>5.01</v>
      </c>
      <c r="D269" s="17">
        <v>4.4000000000000004</v>
      </c>
      <c r="E269" s="215"/>
      <c r="F269" s="80">
        <f t="shared" si="34"/>
        <v>14.579249448123623</v>
      </c>
      <c r="G269" s="4">
        <f t="shared" si="35"/>
        <v>15.474226804123713</v>
      </c>
      <c r="I269" s="52">
        <f t="shared" si="36"/>
        <v>22.65</v>
      </c>
      <c r="J269" s="52">
        <f t="shared" si="37"/>
        <v>21.34</v>
      </c>
      <c r="K269" s="92"/>
      <c r="L269" s="92"/>
    </row>
    <row r="270" spans="1:16" x14ac:dyDescent="0.35">
      <c r="A270" s="43">
        <v>33146</v>
      </c>
      <c r="B270" s="1">
        <v>306.05</v>
      </c>
      <c r="C270" s="17">
        <v>5.97</v>
      </c>
      <c r="D270" s="17">
        <v>5.33</v>
      </c>
      <c r="E270" s="215"/>
      <c r="F270" s="80">
        <f t="shared" si="34"/>
        <v>13.034497444633731</v>
      </c>
      <c r="G270" s="4">
        <f t="shared" si="35"/>
        <v>14.077736890524378</v>
      </c>
      <c r="I270" s="52">
        <f t="shared" si="36"/>
        <v>23.48</v>
      </c>
      <c r="J270" s="52">
        <f t="shared" si="37"/>
        <v>21.740000000000002</v>
      </c>
      <c r="K270" s="92"/>
      <c r="L270" s="92"/>
      <c r="M270" s="16"/>
    </row>
    <row r="271" spans="1:16" x14ac:dyDescent="0.35">
      <c r="A271" s="43">
        <v>33054</v>
      </c>
      <c r="B271" s="1">
        <v>358.02</v>
      </c>
      <c r="C271" s="17">
        <v>6.06</v>
      </c>
      <c r="D271" s="17">
        <v>6.07</v>
      </c>
      <c r="E271" s="215"/>
      <c r="F271" s="80">
        <f t="shared" si="34"/>
        <v>15.532321041214752</v>
      </c>
      <c r="G271" s="4">
        <f t="shared" si="35"/>
        <v>16.840075258701788</v>
      </c>
      <c r="I271" s="52">
        <f t="shared" si="36"/>
        <v>23.049999999999997</v>
      </c>
      <c r="J271" s="52">
        <f t="shared" si="37"/>
        <v>21.259999999999998</v>
      </c>
      <c r="K271" s="92"/>
      <c r="L271" s="92"/>
      <c r="M271" s="16"/>
      <c r="N271" s="16"/>
      <c r="O271" s="16"/>
      <c r="P271" s="16"/>
    </row>
    <row r="272" spans="1:16" s="16" customFormat="1" x14ac:dyDescent="0.35">
      <c r="A272" s="43">
        <v>32963</v>
      </c>
      <c r="B272" s="1">
        <v>339.94</v>
      </c>
      <c r="C272" s="17">
        <v>5.61</v>
      </c>
      <c r="D272" s="17">
        <v>5.54</v>
      </c>
      <c r="E272" s="215"/>
      <c r="F272" s="80">
        <f t="shared" si="34"/>
        <v>14.453231292517007</v>
      </c>
      <c r="G272" s="4">
        <f t="shared" si="35"/>
        <v>15.687125057683431</v>
      </c>
      <c r="H272"/>
      <c r="I272" s="52">
        <f t="shared" si="36"/>
        <v>23.52</v>
      </c>
      <c r="J272" s="52">
        <f t="shared" si="37"/>
        <v>21.67</v>
      </c>
      <c r="K272" s="92"/>
      <c r="L272" s="92"/>
      <c r="M272"/>
    </row>
    <row r="273" spans="1:16" s="16" customFormat="1" x14ac:dyDescent="0.35">
      <c r="A273" s="43">
        <v>32873</v>
      </c>
      <c r="B273" s="1">
        <v>353.4</v>
      </c>
      <c r="C273" s="17">
        <v>5.84</v>
      </c>
      <c r="D273" s="17">
        <v>4.8</v>
      </c>
      <c r="E273" s="215"/>
      <c r="F273" s="80">
        <f t="shared" si="34"/>
        <v>14.531249999999998</v>
      </c>
      <c r="G273" s="4">
        <f t="shared" si="35"/>
        <v>15.452557936160909</v>
      </c>
      <c r="H273"/>
      <c r="I273" s="52">
        <f t="shared" si="36"/>
        <v>24.32</v>
      </c>
      <c r="J273" s="52">
        <f t="shared" si="37"/>
        <v>22.869999999999997</v>
      </c>
      <c r="K273" s="92"/>
      <c r="L273" s="92"/>
      <c r="M273"/>
      <c r="N273"/>
      <c r="O273"/>
      <c r="P273"/>
    </row>
    <row r="274" spans="1:16" x14ac:dyDescent="0.35">
      <c r="A274" s="43">
        <v>32781</v>
      </c>
      <c r="B274" s="1">
        <v>349.15</v>
      </c>
      <c r="C274" s="17">
        <v>5.54</v>
      </c>
      <c r="D274" s="17">
        <v>4.8499999999999996</v>
      </c>
      <c r="E274" s="215"/>
      <c r="F274" s="80">
        <f t="shared" si="34"/>
        <v>14.050301810865189</v>
      </c>
      <c r="G274" s="4">
        <f t="shared" si="35"/>
        <v>14.73828619670747</v>
      </c>
      <c r="I274" s="52">
        <f t="shared" si="36"/>
        <v>24.85</v>
      </c>
      <c r="J274" s="52">
        <f t="shared" si="37"/>
        <v>23.69</v>
      </c>
      <c r="K274" s="92"/>
      <c r="L274" s="92"/>
    </row>
    <row r="275" spans="1:16" x14ac:dyDescent="0.35">
      <c r="A275" s="43">
        <v>32689</v>
      </c>
      <c r="B275" s="1">
        <v>317.98</v>
      </c>
      <c r="C275" s="17">
        <v>6.53</v>
      </c>
      <c r="D275" s="17">
        <v>6.48</v>
      </c>
      <c r="E275" s="215"/>
      <c r="F275" s="80">
        <f t="shared" si="34"/>
        <v>12.45515080297689</v>
      </c>
      <c r="G275" s="4">
        <f t="shared" si="35"/>
        <v>12.608247422680414</v>
      </c>
      <c r="I275" s="52">
        <f t="shared" si="36"/>
        <v>25.53</v>
      </c>
      <c r="J275" s="52">
        <f t="shared" si="37"/>
        <v>25.22</v>
      </c>
      <c r="K275" s="92"/>
      <c r="L275" s="92"/>
    </row>
    <row r="276" spans="1:16" x14ac:dyDescent="0.35">
      <c r="A276" s="43">
        <v>32598</v>
      </c>
      <c r="B276" s="1">
        <v>294.87</v>
      </c>
      <c r="C276" s="17">
        <v>6.41</v>
      </c>
      <c r="D276" s="17">
        <v>6.74</v>
      </c>
      <c r="E276" s="215"/>
      <c r="F276" s="80">
        <f t="shared" si="34"/>
        <v>11.77125748502994</v>
      </c>
      <c r="G276" s="4">
        <f t="shared" si="35"/>
        <v>11.813701923076925</v>
      </c>
      <c r="I276" s="52">
        <f t="shared" si="36"/>
        <v>25.05</v>
      </c>
      <c r="J276" s="52">
        <f t="shared" si="37"/>
        <v>24.959999999999997</v>
      </c>
      <c r="K276" s="92"/>
      <c r="L276" s="92"/>
    </row>
    <row r="277" spans="1:16" x14ac:dyDescent="0.35">
      <c r="A277" s="43">
        <v>32508</v>
      </c>
      <c r="B277" s="1">
        <v>277.72000000000003</v>
      </c>
      <c r="C277" s="17">
        <v>6.37</v>
      </c>
      <c r="D277" s="17">
        <v>5.62</v>
      </c>
      <c r="E277" s="215"/>
      <c r="F277" s="80">
        <f t="shared" si="34"/>
        <v>11.514096185737978</v>
      </c>
      <c r="G277" s="4">
        <f t="shared" si="35"/>
        <v>11.693473684210527</v>
      </c>
      <c r="I277" s="52">
        <f t="shared" si="36"/>
        <v>24.12</v>
      </c>
      <c r="J277" s="52">
        <f t="shared" si="37"/>
        <v>23.75</v>
      </c>
      <c r="K277" s="92"/>
      <c r="L277" s="92"/>
    </row>
    <row r="278" spans="1:16" x14ac:dyDescent="0.35">
      <c r="A278" s="43">
        <v>32416</v>
      </c>
      <c r="B278" s="1">
        <v>271.91000000000003</v>
      </c>
      <c r="C278" s="17">
        <v>6.22</v>
      </c>
      <c r="D278" s="17">
        <v>6.38</v>
      </c>
      <c r="E278" s="215"/>
      <c r="F278" s="80"/>
      <c r="G278" s="8"/>
      <c r="I278" s="52"/>
      <c r="J278" s="52"/>
      <c r="K278" s="92"/>
      <c r="L278" s="92"/>
    </row>
    <row r="279" spans="1:16" x14ac:dyDescent="0.35">
      <c r="A279" s="43">
        <v>32324</v>
      </c>
      <c r="B279" s="1">
        <v>273.5</v>
      </c>
      <c r="C279" s="17">
        <v>6.05</v>
      </c>
      <c r="D279" s="17">
        <v>6.22</v>
      </c>
      <c r="E279" s="215"/>
      <c r="F279" s="1"/>
      <c r="G279" s="1"/>
      <c r="I279" s="52"/>
      <c r="J279" s="52"/>
      <c r="K279" s="52"/>
      <c r="L279" s="52"/>
    </row>
    <row r="280" spans="1:16" x14ac:dyDescent="0.35">
      <c r="A280" s="43">
        <v>32233</v>
      </c>
      <c r="B280" s="1">
        <v>258.89</v>
      </c>
      <c r="C280" s="17">
        <v>5.48</v>
      </c>
      <c r="D280" s="17">
        <v>5.53</v>
      </c>
      <c r="E280" s="215"/>
      <c r="F280" s="1"/>
      <c r="G280" s="1"/>
      <c r="I280" s="52"/>
      <c r="J280" s="52"/>
      <c r="K280" s="52"/>
      <c r="L280" s="52"/>
    </row>
    <row r="281" spans="1:16" x14ac:dyDescent="0.35">
      <c r="E281" s="46"/>
    </row>
    <row r="282" spans="1:16" x14ac:dyDescent="0.35">
      <c r="A282" s="3" t="s">
        <v>104</v>
      </c>
      <c r="B282" s="3"/>
      <c r="C282" t="s">
        <v>17</v>
      </c>
    </row>
    <row r="283" spans="1:16" x14ac:dyDescent="0.35">
      <c r="A283" s="3" t="s">
        <v>105</v>
      </c>
      <c r="B283" s="3"/>
      <c r="C283" t="s">
        <v>18</v>
      </c>
    </row>
    <row r="284" spans="1:16" x14ac:dyDescent="0.35">
      <c r="A284" s="3" t="s">
        <v>103</v>
      </c>
      <c r="B284" s="3"/>
      <c r="C284" s="53" t="s">
        <v>111</v>
      </c>
    </row>
    <row r="285" spans="1:16" x14ac:dyDescent="0.35">
      <c r="A285" s="3"/>
      <c r="H285" s="1"/>
    </row>
    <row r="286" spans="1:16" x14ac:dyDescent="0.35">
      <c r="A286" s="3" t="s">
        <v>19</v>
      </c>
      <c r="B286" s="1"/>
      <c r="C286" s="1"/>
      <c r="D286" s="1"/>
      <c r="E286" s="1"/>
      <c r="F286" s="1"/>
      <c r="G286" s="1"/>
      <c r="H286" s="1"/>
    </row>
    <row r="287" spans="1:16" x14ac:dyDescent="0.35">
      <c r="A287" s="3"/>
      <c r="B287" s="1"/>
      <c r="C287" s="1"/>
      <c r="D287" s="1"/>
      <c r="E287" s="1"/>
      <c r="F287" s="1"/>
      <c r="G287" s="1"/>
      <c r="H287" s="261"/>
    </row>
    <row r="288" spans="1:16" x14ac:dyDescent="0.35">
      <c r="A288" s="14"/>
      <c r="B288" s="14"/>
      <c r="C288" s="14"/>
      <c r="D288" s="15"/>
      <c r="E288" s="14"/>
      <c r="F288" s="14"/>
      <c r="G288" s="14"/>
      <c r="H288" s="261"/>
      <c r="I288" s="261"/>
      <c r="J288" s="261"/>
      <c r="K288" s="16"/>
      <c r="L288" s="16"/>
      <c r="M288" s="16"/>
    </row>
    <row r="289" spans="1:14" ht="15" x14ac:dyDescent="0.4">
      <c r="A289" s="113" t="s">
        <v>194</v>
      </c>
      <c r="B289" s="14"/>
      <c r="C289" s="14"/>
      <c r="D289" s="15"/>
      <c r="E289" s="15"/>
      <c r="F289" s="14"/>
      <c r="G289" s="14"/>
      <c r="H289" s="261"/>
      <c r="I289" s="261"/>
      <c r="J289" s="261"/>
      <c r="K289" s="16"/>
      <c r="L289" s="16"/>
      <c r="M289" s="16"/>
      <c r="N289" s="16"/>
    </row>
    <row r="290" spans="1:14" ht="12.6" customHeight="1" x14ac:dyDescent="0.35">
      <c r="A290" s="306" t="s">
        <v>618</v>
      </c>
      <c r="B290" s="307"/>
      <c r="C290" s="307"/>
      <c r="D290" s="307"/>
      <c r="E290" s="307"/>
      <c r="F290" s="307"/>
      <c r="G290" s="307"/>
      <c r="H290" s="307"/>
      <c r="I290" s="307"/>
      <c r="J290" s="307"/>
      <c r="K290" s="307"/>
      <c r="L290" s="307"/>
      <c r="M290" s="265"/>
    </row>
    <row r="291" spans="1:14" ht="12.6" customHeight="1" x14ac:dyDescent="0.35">
      <c r="A291" s="307"/>
      <c r="B291" s="307"/>
      <c r="C291" s="307"/>
      <c r="D291" s="307"/>
      <c r="E291" s="307"/>
      <c r="F291" s="307"/>
      <c r="G291" s="307"/>
      <c r="H291" s="307"/>
      <c r="I291" s="307"/>
      <c r="J291" s="307"/>
      <c r="K291" s="307"/>
      <c r="L291" s="307"/>
      <c r="M291" s="265"/>
    </row>
    <row r="292" spans="1:14" ht="12.6" customHeight="1" x14ac:dyDescent="0.35">
      <c r="A292" s="307"/>
      <c r="B292" s="307"/>
      <c r="C292" s="307"/>
      <c r="D292" s="307"/>
      <c r="E292" s="307"/>
      <c r="F292" s="307"/>
      <c r="G292" s="307"/>
      <c r="H292" s="307"/>
      <c r="I292" s="307"/>
      <c r="J292" s="307"/>
      <c r="K292" s="307"/>
      <c r="L292" s="307"/>
      <c r="M292" s="265"/>
    </row>
    <row r="293" spans="1:14" ht="12.6" customHeight="1" x14ac:dyDescent="0.35">
      <c r="A293" s="307"/>
      <c r="B293" s="307"/>
      <c r="C293" s="307"/>
      <c r="D293" s="307"/>
      <c r="E293" s="307"/>
      <c r="F293" s="307"/>
      <c r="G293" s="307"/>
      <c r="H293" s="307"/>
      <c r="I293" s="307"/>
      <c r="J293" s="307"/>
      <c r="K293" s="307"/>
      <c r="L293" s="307"/>
      <c r="M293" s="265"/>
    </row>
    <row r="294" spans="1:14" ht="12.6" customHeight="1" x14ac:dyDescent="0.35">
      <c r="A294" s="307"/>
      <c r="B294" s="307"/>
      <c r="C294" s="307"/>
      <c r="D294" s="307"/>
      <c r="E294" s="307"/>
      <c r="F294" s="307"/>
      <c r="G294" s="307"/>
      <c r="H294" s="307"/>
      <c r="I294" s="307"/>
      <c r="J294" s="307"/>
      <c r="K294" s="307"/>
      <c r="L294" s="307"/>
      <c r="M294" s="265"/>
    </row>
    <row r="295" spans="1:14" ht="12.6" customHeight="1" x14ac:dyDescent="0.35">
      <c r="A295" s="307"/>
      <c r="B295" s="307"/>
      <c r="C295" s="307"/>
      <c r="D295" s="307"/>
      <c r="E295" s="307"/>
      <c r="F295" s="307"/>
      <c r="G295" s="307"/>
      <c r="H295" s="307"/>
      <c r="I295" s="307"/>
      <c r="J295" s="307"/>
      <c r="K295" s="307"/>
      <c r="L295" s="307"/>
      <c r="M295" s="265"/>
    </row>
    <row r="296" spans="1:14" ht="12.6" customHeight="1" x14ac:dyDescent="0.35">
      <c r="A296" s="307"/>
      <c r="B296" s="307"/>
      <c r="C296" s="307"/>
      <c r="D296" s="307"/>
      <c r="E296" s="307"/>
      <c r="F296" s="307"/>
      <c r="G296" s="307"/>
      <c r="H296" s="307"/>
      <c r="I296" s="307"/>
      <c r="J296" s="307"/>
      <c r="K296" s="307"/>
      <c r="L296" s="307"/>
      <c r="M296" s="265"/>
    </row>
    <row r="297" spans="1:14" ht="12.6" customHeight="1" x14ac:dyDescent="0.35">
      <c r="A297" s="307"/>
      <c r="B297" s="307"/>
      <c r="C297" s="307"/>
      <c r="D297" s="307"/>
      <c r="E297" s="307"/>
      <c r="F297" s="307"/>
      <c r="G297" s="307"/>
      <c r="H297" s="307"/>
      <c r="I297" s="307"/>
      <c r="J297" s="307"/>
      <c r="K297" s="307"/>
      <c r="L297" s="307"/>
      <c r="M297" s="265"/>
    </row>
    <row r="298" spans="1:14" ht="12.6" customHeight="1" x14ac:dyDescent="0.35">
      <c r="A298" s="307"/>
      <c r="B298" s="307"/>
      <c r="C298" s="307"/>
      <c r="D298" s="307"/>
      <c r="E298" s="307"/>
      <c r="F298" s="307"/>
      <c r="G298" s="307"/>
      <c r="H298" s="307"/>
      <c r="I298" s="307"/>
      <c r="J298" s="307"/>
      <c r="K298" s="307"/>
      <c r="L298" s="307"/>
      <c r="M298" s="265"/>
    </row>
    <row r="299" spans="1:14" ht="12.6" customHeight="1" x14ac:dyDescent="0.35">
      <c r="A299" s="307"/>
      <c r="B299" s="307"/>
      <c r="C299" s="307"/>
      <c r="D299" s="307"/>
      <c r="E299" s="307"/>
      <c r="F299" s="307"/>
      <c r="G299" s="307"/>
      <c r="H299" s="307"/>
      <c r="I299" s="307"/>
      <c r="J299" s="307"/>
      <c r="K299" s="307"/>
      <c r="L299" s="307"/>
      <c r="M299" s="265"/>
    </row>
    <row r="300" spans="1:14" ht="12.6" customHeight="1" x14ac:dyDescent="0.35">
      <c r="A300" s="307"/>
      <c r="B300" s="307"/>
      <c r="C300" s="307"/>
      <c r="D300" s="307"/>
      <c r="E300" s="307"/>
      <c r="F300" s="307"/>
      <c r="G300" s="307"/>
      <c r="H300" s="307"/>
      <c r="I300" s="307"/>
      <c r="J300" s="307"/>
      <c r="K300" s="307"/>
      <c r="L300" s="307"/>
      <c r="M300" s="265"/>
    </row>
    <row r="301" spans="1:14" ht="12.6" customHeight="1" x14ac:dyDescent="0.35">
      <c r="A301" s="307"/>
      <c r="B301" s="307"/>
      <c r="C301" s="307"/>
      <c r="D301" s="307"/>
      <c r="E301" s="307"/>
      <c r="F301" s="307"/>
      <c r="G301" s="307"/>
      <c r="H301" s="307"/>
      <c r="I301" s="307"/>
      <c r="J301" s="307"/>
      <c r="K301" s="307"/>
      <c r="L301" s="307"/>
      <c r="M301" s="265"/>
    </row>
    <row r="302" spans="1:14" ht="12.6" customHeight="1" x14ac:dyDescent="0.35">
      <c r="A302" s="261"/>
      <c r="B302" s="261"/>
      <c r="C302" s="261"/>
      <c r="D302" s="261"/>
      <c r="E302" s="261"/>
      <c r="F302" s="261"/>
      <c r="G302" s="261"/>
      <c r="H302" s="265"/>
      <c r="I302" s="265"/>
      <c r="J302" s="265"/>
      <c r="K302" s="265"/>
      <c r="L302" s="265"/>
      <c r="M302" s="265"/>
    </row>
    <row r="303" spans="1:14" ht="12.6" customHeight="1" x14ac:dyDescent="0.35">
      <c r="A303" s="265"/>
      <c r="B303" s="265"/>
      <c r="C303" s="265"/>
      <c r="D303" s="265"/>
      <c r="E303" s="265"/>
      <c r="F303" s="265"/>
      <c r="G303" s="265"/>
      <c r="H303" s="265"/>
      <c r="I303" s="265"/>
      <c r="J303" s="265"/>
      <c r="K303" s="265"/>
      <c r="L303" s="265"/>
      <c r="M303" s="265"/>
    </row>
    <row r="304" spans="1:14" ht="12.6" customHeight="1" x14ac:dyDescent="0.35">
      <c r="A304" s="265"/>
      <c r="B304" s="265"/>
      <c r="C304" s="265"/>
      <c r="D304" s="265"/>
      <c r="E304" s="265"/>
      <c r="F304" s="265"/>
      <c r="G304" s="265"/>
      <c r="H304" s="265"/>
      <c r="I304" s="265"/>
      <c r="J304" s="265"/>
      <c r="K304" s="265"/>
      <c r="L304" s="265"/>
      <c r="M304" s="265"/>
    </row>
    <row r="305" spans="1:13" ht="12.6" customHeight="1" x14ac:dyDescent="0.35">
      <c r="A305" s="265"/>
      <c r="B305" s="265"/>
      <c r="C305" s="265"/>
      <c r="D305" s="265"/>
      <c r="E305" s="265"/>
      <c r="F305" s="265"/>
      <c r="G305" s="265"/>
      <c r="H305" s="265"/>
      <c r="I305" s="265"/>
      <c r="J305" s="265"/>
      <c r="K305" s="265"/>
      <c r="L305" s="265"/>
      <c r="M305" s="265"/>
    </row>
    <row r="306" spans="1:13" ht="12.6" customHeight="1" x14ac:dyDescent="0.35">
      <c r="A306" s="265"/>
      <c r="B306" s="265"/>
      <c r="C306" s="265"/>
      <c r="D306" s="265"/>
      <c r="E306" s="265"/>
      <c r="F306" s="265"/>
      <c r="G306" s="265"/>
      <c r="H306" s="265"/>
      <c r="I306" s="265"/>
      <c r="J306" s="265"/>
      <c r="K306" s="265"/>
      <c r="L306" s="265"/>
      <c r="M306" s="265"/>
    </row>
    <row r="307" spans="1:13" ht="12.6" customHeight="1" x14ac:dyDescent="0.35">
      <c r="A307" s="265"/>
      <c r="B307" s="265"/>
      <c r="C307" s="265"/>
      <c r="D307" s="265"/>
      <c r="E307" s="265"/>
      <c r="F307" s="265"/>
      <c r="G307" s="265"/>
      <c r="I307" s="265"/>
      <c r="J307" s="265"/>
      <c r="K307" s="265"/>
      <c r="L307" s="265"/>
      <c r="M307" s="265"/>
    </row>
  </sheetData>
  <sortState xmlns:xlrd2="http://schemas.microsoft.com/office/spreadsheetml/2017/richdata2" ref="A2:A3">
    <sortCondition ref="A2:A3"/>
  </sortState>
  <mergeCells count="1">
    <mergeCell ref="A290:L301"/>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topLeftCell="BH9" workbookViewId="0">
      <selection activeCell="BS24" sqref="BS24"/>
    </sheetView>
  </sheetViews>
  <sheetFormatPr defaultColWidth="9.1328125" defaultRowHeight="13.15" x14ac:dyDescent="0.4"/>
  <cols>
    <col min="1" max="1" width="50.59765625" style="64" customWidth="1"/>
    <col min="2" max="2" width="10.1328125" style="51" bestFit="1" customWidth="1"/>
    <col min="3" max="3" width="11.59765625" style="65" bestFit="1" customWidth="1"/>
    <col min="4" max="22" width="8" style="65" bestFit="1" customWidth="1"/>
    <col min="23" max="32" width="8" style="65" customWidth="1"/>
    <col min="33" max="34" width="8.265625" style="65" bestFit="1" customWidth="1"/>
    <col min="35" max="42" width="8" style="65" customWidth="1"/>
    <col min="43" max="49" width="8" style="65" bestFit="1" customWidth="1"/>
    <col min="50" max="50" width="8" style="234" bestFit="1" customWidth="1"/>
    <col min="51" max="51" width="8.1328125" style="65" bestFit="1" customWidth="1"/>
    <col min="52" max="54" width="8" style="65" bestFit="1" customWidth="1"/>
    <col min="55" max="55" width="7.86328125" style="65" bestFit="1" customWidth="1"/>
    <col min="56" max="57" width="8" style="65" bestFit="1" customWidth="1"/>
    <col min="58" max="58" width="9.1328125" style="65" bestFit="1" customWidth="1"/>
    <col min="59" max="61" width="9" style="65" bestFit="1" customWidth="1"/>
    <col min="62" max="66" width="9.1328125" style="65" bestFit="1" customWidth="1"/>
    <col min="67" max="78" width="9.1328125" style="65" customWidth="1"/>
    <col min="79" max="79" width="6.73046875" style="65" bestFit="1" customWidth="1"/>
    <col min="80" max="80" width="9.265625" style="66" bestFit="1" customWidth="1"/>
    <col min="81" max="81" width="8.59765625" style="65" bestFit="1" customWidth="1"/>
    <col min="82" max="82" width="9.265625" style="66" bestFit="1" customWidth="1"/>
    <col min="83" max="83" width="8.59765625" style="65" bestFit="1" customWidth="1"/>
    <col min="84" max="84" width="9.265625" style="66" bestFit="1" customWidth="1"/>
    <col min="85" max="85" width="8.59765625" style="65" bestFit="1" customWidth="1"/>
    <col min="86" max="86" width="9.265625" style="66" bestFit="1" customWidth="1"/>
    <col min="87" max="87" width="8.59765625" style="65" bestFit="1" customWidth="1"/>
    <col min="88" max="88" width="9.265625" style="66" bestFit="1" customWidth="1"/>
    <col min="89" max="89" width="8.59765625" style="65" bestFit="1" customWidth="1"/>
    <col min="90" max="90" width="9.265625" style="66" bestFit="1" customWidth="1"/>
    <col min="91" max="91" width="8.59765625" style="65" bestFit="1" customWidth="1"/>
    <col min="92" max="92" width="9.265625" style="66" bestFit="1" customWidth="1"/>
    <col min="93" max="93" width="8.59765625" style="65" bestFit="1" customWidth="1"/>
    <col min="94" max="94" width="9.265625" style="66" bestFit="1" customWidth="1"/>
    <col min="95" max="95" width="8.59765625" style="65" bestFit="1" customWidth="1"/>
    <col min="96" max="96" width="9.265625" style="66" bestFit="1" customWidth="1"/>
    <col min="97" max="97" width="8.59765625" style="65" bestFit="1" customWidth="1"/>
    <col min="98" max="98" width="9.265625" style="65" bestFit="1" customWidth="1"/>
    <col min="99" max="99" width="8.59765625" style="65" customWidth="1"/>
    <col min="100" max="100" width="9.73046875" style="65" bestFit="1" customWidth="1"/>
    <col min="101" max="101" width="9.1328125" style="65" bestFit="1" customWidth="1"/>
    <col min="102" max="102" width="10.3984375" style="65" bestFit="1" customWidth="1"/>
    <col min="103" max="103" width="10.265625" style="65" bestFit="1" customWidth="1"/>
    <col min="104" max="104" width="10.3984375" style="65" bestFit="1" customWidth="1"/>
    <col min="105" max="105" width="9.73046875" style="65" bestFit="1" customWidth="1"/>
    <col min="106" max="106" width="10.3984375" style="65" bestFit="1" customWidth="1"/>
    <col min="107" max="107" width="9.73046875" style="65" bestFit="1" customWidth="1"/>
    <col min="108" max="108" width="10.3984375" style="65" bestFit="1" customWidth="1"/>
    <col min="109" max="109" width="9.73046875" style="65" bestFit="1" customWidth="1"/>
    <col min="110" max="110" width="10.3984375" style="65" bestFit="1" customWidth="1"/>
    <col min="111" max="111" width="9.73046875" style="65" bestFit="1" customWidth="1"/>
    <col min="112" max="117" width="9.73046875" style="65" customWidth="1"/>
    <col min="118" max="118" width="6.59765625" style="65" bestFit="1" customWidth="1"/>
    <col min="119" max="119" width="11.73046875" style="67" customWidth="1"/>
    <col min="120" max="121" width="11.73046875" style="67" bestFit="1" customWidth="1"/>
    <col min="122" max="122" width="11.73046875" style="276" bestFit="1" customWidth="1"/>
    <col min="123" max="123" width="11.73046875" style="277" bestFit="1" customWidth="1"/>
    <col min="124" max="127" width="11.73046875" style="51" bestFit="1" customWidth="1"/>
    <col min="128" max="130" width="11.73046875" style="51" customWidth="1"/>
    <col min="131" max="131" width="11.73046875" style="51" bestFit="1" customWidth="1"/>
    <col min="132" max="135" width="11.73046875" style="276" bestFit="1" customWidth="1"/>
    <col min="136" max="136" width="48.59765625" style="112" bestFit="1" customWidth="1"/>
    <col min="137" max="16384" width="9.1328125" style="68"/>
  </cols>
  <sheetData>
    <row r="1" spans="1:136" x14ac:dyDescent="0.4">
      <c r="A1" s="5" t="s">
        <v>147</v>
      </c>
      <c r="B1" s="233"/>
      <c r="C1" s="69"/>
      <c r="CA1" s="170"/>
    </row>
    <row r="2" spans="1:136" ht="15" x14ac:dyDescent="0.4">
      <c r="A2" s="64" t="s">
        <v>5</v>
      </c>
      <c r="B2" s="280">
        <v>45868</v>
      </c>
      <c r="C2" s="69"/>
      <c r="E2" s="278"/>
      <c r="F2" s="234"/>
      <c r="G2" s="234"/>
      <c r="CA2" s="170"/>
      <c r="DS2" s="279"/>
      <c r="DT2" s="279"/>
      <c r="DU2" s="280"/>
      <c r="DV2" s="280"/>
      <c r="DW2" s="280"/>
      <c r="DX2" s="280"/>
      <c r="DY2" s="280"/>
      <c r="DZ2" s="280"/>
      <c r="EA2" s="279"/>
    </row>
    <row r="3" spans="1:136" x14ac:dyDescent="0.4">
      <c r="A3" s="64" t="s">
        <v>27</v>
      </c>
      <c r="B3" s="280">
        <v>45747</v>
      </c>
      <c r="C3" s="69" t="s">
        <v>28</v>
      </c>
      <c r="AQ3" s="89"/>
      <c r="AR3" s="89"/>
      <c r="AS3" s="89"/>
      <c r="AT3" s="89"/>
      <c r="AU3" s="89"/>
      <c r="AV3" s="89"/>
      <c r="AW3" s="89"/>
      <c r="AX3" s="235"/>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0"/>
      <c r="DA3" s="264"/>
      <c r="DS3" s="279"/>
      <c r="DT3" s="279"/>
      <c r="DU3" s="280"/>
      <c r="DV3" s="280"/>
      <c r="DW3" s="280"/>
      <c r="DX3" s="280"/>
      <c r="DY3" s="280"/>
      <c r="DZ3" s="280"/>
      <c r="EA3" s="279"/>
    </row>
    <row r="4" spans="1:136" x14ac:dyDescent="0.4">
      <c r="A4" s="64" t="s">
        <v>29</v>
      </c>
      <c r="B4" s="280">
        <v>45838</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0"/>
      <c r="CT4" s="67"/>
      <c r="CU4" s="67"/>
      <c r="CW4" s="67"/>
      <c r="DS4" s="279"/>
      <c r="DT4" s="279"/>
      <c r="DU4" s="280"/>
      <c r="DV4" s="280"/>
      <c r="DW4" s="280"/>
      <c r="DX4" s="280"/>
      <c r="DY4" s="280"/>
      <c r="DZ4" s="280"/>
      <c r="EA4" s="279"/>
    </row>
    <row r="5" spans="1:136" x14ac:dyDescent="0.4">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0"/>
      <c r="CJ5" s="84"/>
      <c r="CK5" s="84"/>
      <c r="CL5" s="84"/>
      <c r="CN5" s="84"/>
      <c r="CP5" s="84"/>
      <c r="CR5" s="84"/>
      <c r="CW5" s="67"/>
    </row>
    <row r="6" spans="1:136" s="64" customFormat="1" x14ac:dyDescent="0.4">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3" t="s">
        <v>140</v>
      </c>
      <c r="X6" s="233" t="s">
        <v>141</v>
      </c>
      <c r="Y6" s="233" t="s">
        <v>142</v>
      </c>
      <c r="Z6" s="233" t="s">
        <v>143</v>
      </c>
      <c r="AA6" s="233" t="s">
        <v>169</v>
      </c>
      <c r="AB6" s="233" t="s">
        <v>170</v>
      </c>
      <c r="AC6" s="233" t="s">
        <v>171</v>
      </c>
      <c r="AD6" s="233" t="s">
        <v>172</v>
      </c>
      <c r="AE6" s="233" t="s">
        <v>187</v>
      </c>
      <c r="AF6" s="233" t="s">
        <v>188</v>
      </c>
      <c r="AG6" s="233" t="s">
        <v>189</v>
      </c>
      <c r="AH6" s="233" t="s">
        <v>190</v>
      </c>
      <c r="AI6" s="233" t="s">
        <v>217</v>
      </c>
      <c r="AJ6" s="233" t="s">
        <v>218</v>
      </c>
      <c r="AK6" s="233" t="s">
        <v>219</v>
      </c>
      <c r="AL6" s="233" t="s">
        <v>220</v>
      </c>
      <c r="AM6" s="233" t="s">
        <v>263</v>
      </c>
      <c r="AN6" s="233" t="s">
        <v>264</v>
      </c>
      <c r="AO6" s="233" t="s">
        <v>265</v>
      </c>
      <c r="AP6" s="233" t="s">
        <v>266</v>
      </c>
      <c r="AQ6" s="233" t="s">
        <v>324</v>
      </c>
      <c r="AR6" s="233" t="s">
        <v>325</v>
      </c>
      <c r="AS6" s="233" t="s">
        <v>326</v>
      </c>
      <c r="AT6" s="233" t="s">
        <v>327</v>
      </c>
      <c r="AU6" s="233" t="s">
        <v>423</v>
      </c>
      <c r="AV6" s="233" t="s">
        <v>435</v>
      </c>
      <c r="AW6" s="233" t="s">
        <v>443</v>
      </c>
      <c r="AX6" s="233" t="s">
        <v>459</v>
      </c>
      <c r="AY6" s="233" t="s">
        <v>473</v>
      </c>
      <c r="AZ6" s="233" t="s">
        <v>482</v>
      </c>
      <c r="BA6" s="233" t="s">
        <v>491</v>
      </c>
      <c r="BB6" s="233" t="s">
        <v>511</v>
      </c>
      <c r="BC6" s="233" t="s">
        <v>525</v>
      </c>
      <c r="BD6" s="233" t="s">
        <v>533</v>
      </c>
      <c r="BE6" s="233" t="s">
        <v>538</v>
      </c>
      <c r="BF6" s="233" t="s">
        <v>547</v>
      </c>
      <c r="BG6" s="233" t="s">
        <v>564</v>
      </c>
      <c r="BH6" s="233" t="s">
        <v>567</v>
      </c>
      <c r="BI6" s="233" t="s">
        <v>580</v>
      </c>
      <c r="BJ6" s="233" t="s">
        <v>597</v>
      </c>
      <c r="BK6" s="233" t="s">
        <v>606</v>
      </c>
      <c r="BL6" s="233" t="s">
        <v>612</v>
      </c>
      <c r="BM6" s="233" t="s">
        <v>625</v>
      </c>
      <c r="BN6" s="233" t="s">
        <v>636</v>
      </c>
      <c r="BO6" s="233" t="s">
        <v>666</v>
      </c>
      <c r="BP6" s="233" t="s">
        <v>677</v>
      </c>
      <c r="BQ6" s="233" t="s">
        <v>714</v>
      </c>
      <c r="BR6" s="233" t="s">
        <v>715</v>
      </c>
      <c r="BS6" s="233" t="s">
        <v>716</v>
      </c>
      <c r="BT6" s="233" t="s">
        <v>633</v>
      </c>
      <c r="BU6" s="233" t="s">
        <v>634</v>
      </c>
      <c r="BV6" s="233" t="s">
        <v>635</v>
      </c>
      <c r="BW6" s="233" t="s">
        <v>722</v>
      </c>
      <c r="BX6" s="233" t="s">
        <v>723</v>
      </c>
      <c r="BY6" s="233" t="s">
        <v>724</v>
      </c>
      <c r="BZ6" s="233" t="s">
        <v>725</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582</v>
      </c>
      <c r="DE6" s="69" t="s">
        <v>583</v>
      </c>
      <c r="DF6" s="69" t="s">
        <v>584</v>
      </c>
      <c r="DG6" s="69" t="s">
        <v>585</v>
      </c>
      <c r="DH6" s="69" t="s">
        <v>586</v>
      </c>
      <c r="DI6" s="69" t="s">
        <v>587</v>
      </c>
      <c r="DJ6" s="69" t="s">
        <v>637</v>
      </c>
      <c r="DK6" s="69" t="s">
        <v>638</v>
      </c>
      <c r="DL6" s="69" t="s">
        <v>726</v>
      </c>
      <c r="DM6" s="69" t="s">
        <v>727</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626</v>
      </c>
      <c r="EE6" s="74" t="s">
        <v>732</v>
      </c>
      <c r="EF6" s="112" t="s">
        <v>32</v>
      </c>
    </row>
    <row r="7" spans="1:136" x14ac:dyDescent="0.4">
      <c r="A7" s="64" t="s">
        <v>31</v>
      </c>
      <c r="B7" s="233" t="s">
        <v>669</v>
      </c>
      <c r="BH7" s="170"/>
      <c r="BI7" s="170"/>
      <c r="BJ7" s="170"/>
      <c r="BK7" s="170"/>
      <c r="BL7" s="170"/>
      <c r="BM7" s="170"/>
      <c r="BN7" s="170"/>
      <c r="BO7" s="170"/>
      <c r="BP7" s="170"/>
      <c r="BQ7" s="170"/>
      <c r="BR7" s="170"/>
      <c r="BS7" s="170"/>
      <c r="BT7" s="170"/>
      <c r="BU7" s="170"/>
      <c r="BV7" s="170"/>
      <c r="BW7" s="170"/>
      <c r="BX7" s="170"/>
      <c r="BY7" s="170"/>
      <c r="BZ7" s="170"/>
      <c r="DB7" s="66"/>
      <c r="DC7" s="67"/>
      <c r="DD7" s="69"/>
      <c r="DE7" s="69"/>
      <c r="DF7" s="69"/>
      <c r="DG7" s="69"/>
      <c r="DH7" s="69"/>
      <c r="DI7" s="69"/>
      <c r="DJ7" s="69"/>
      <c r="DK7" s="69"/>
      <c r="DL7" s="69"/>
      <c r="DM7" s="69"/>
      <c r="DS7" s="281"/>
      <c r="EF7" s="112" t="s">
        <v>31</v>
      </c>
    </row>
    <row r="8" spans="1:136" x14ac:dyDescent="0.4">
      <c r="A8" s="64" t="s">
        <v>23</v>
      </c>
      <c r="B8" s="276">
        <v>6362.9</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57.51</v>
      </c>
      <c r="BT8" s="58">
        <v>63.4</v>
      </c>
      <c r="BU8" s="58">
        <v>66.73</v>
      </c>
      <c r="BV8" s="58">
        <v>69.56</v>
      </c>
      <c r="BW8" s="58">
        <v>69.92</v>
      </c>
      <c r="BX8" s="58">
        <v>72.959999999999994</v>
      </c>
      <c r="BY8" s="58">
        <v>77.06</v>
      </c>
      <c r="BZ8" s="58">
        <v>79.34</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257.19</v>
      </c>
      <c r="DK8" s="67">
        <v>24.74</v>
      </c>
      <c r="DL8" s="67">
        <v>299.27999999999997</v>
      </c>
      <c r="DM8" s="67">
        <v>21.26</v>
      </c>
      <c r="DN8" s="67"/>
      <c r="DO8" s="67">
        <v>903.25492143355405</v>
      </c>
      <c r="DP8" s="67">
        <v>1115.10268063072</v>
      </c>
      <c r="DQ8" s="67">
        <v>1257.6400000000001</v>
      </c>
      <c r="DR8" s="276">
        <v>1257.5999999999999</v>
      </c>
      <c r="DS8" s="277">
        <v>1426.19</v>
      </c>
      <c r="DT8" s="276">
        <v>1848.36</v>
      </c>
      <c r="DU8" s="276">
        <v>2058.9</v>
      </c>
      <c r="DV8" s="276">
        <v>2043.94</v>
      </c>
      <c r="DW8" s="276">
        <v>2238.83</v>
      </c>
      <c r="DX8" s="276">
        <v>2673.61</v>
      </c>
      <c r="DY8" s="276">
        <v>2506.85</v>
      </c>
      <c r="DZ8" s="276">
        <v>3230.78</v>
      </c>
      <c r="EA8" s="276">
        <v>3756.07</v>
      </c>
      <c r="EB8" s="276">
        <v>4766.18</v>
      </c>
      <c r="EC8" s="276">
        <v>3839.5</v>
      </c>
      <c r="ED8" s="276">
        <v>4769.83</v>
      </c>
      <c r="EE8" s="276">
        <v>5881.63</v>
      </c>
      <c r="EF8" s="112" t="s">
        <v>23</v>
      </c>
    </row>
    <row r="9" spans="1:136" x14ac:dyDescent="0.4">
      <c r="A9" s="64" t="s">
        <v>63</v>
      </c>
      <c r="B9" s="276">
        <v>1806.62</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11.96</v>
      </c>
      <c r="BT9" s="58">
        <v>13.9</v>
      </c>
      <c r="BU9" s="58">
        <v>15.94</v>
      </c>
      <c r="BV9" s="58">
        <v>15.04</v>
      </c>
      <c r="BW9" s="58">
        <v>14.16</v>
      </c>
      <c r="BX9" s="58">
        <v>16.53</v>
      </c>
      <c r="BY9" s="58">
        <v>18.489999999999998</v>
      </c>
      <c r="BZ9" s="58">
        <v>17.52</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56.84</v>
      </c>
      <c r="DK9" s="67">
        <v>31.78</v>
      </c>
      <c r="DL9" s="67">
        <v>66.7</v>
      </c>
      <c r="DM9" s="67">
        <v>27.09</v>
      </c>
      <c r="DN9" s="67"/>
      <c r="DO9" s="67">
        <v>169.408411257941</v>
      </c>
      <c r="DP9" s="67">
        <v>235.072766173958</v>
      </c>
      <c r="DQ9" s="67">
        <v>295.54000000000002</v>
      </c>
      <c r="DR9" s="276">
        <v>308.58</v>
      </c>
      <c r="DS9" s="277">
        <v>376.06</v>
      </c>
      <c r="DT9" s="276">
        <v>530.1</v>
      </c>
      <c r="DU9" s="276">
        <v>572.75</v>
      </c>
      <c r="DV9" s="276">
        <v>621.02</v>
      </c>
      <c r="DW9" s="276">
        <v>647.82000000000005</v>
      </c>
      <c r="DX9" s="276">
        <v>785.33</v>
      </c>
      <c r="DY9" s="276">
        <v>781.5</v>
      </c>
      <c r="DZ9" s="276">
        <v>986.29</v>
      </c>
      <c r="EA9" s="276">
        <v>1302.56</v>
      </c>
      <c r="EB9" s="276">
        <v>1610.76</v>
      </c>
      <c r="EC9" s="276">
        <v>1005.48</v>
      </c>
      <c r="ED9" s="276">
        <v>1418.09</v>
      </c>
      <c r="EE9" s="276">
        <v>1831.16</v>
      </c>
      <c r="EF9" s="112" t="s">
        <v>63</v>
      </c>
    </row>
    <row r="10" spans="1:136" x14ac:dyDescent="0.4">
      <c r="A10" s="64" t="s">
        <v>64</v>
      </c>
      <c r="B10" s="276">
        <v>879.77</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8.92</v>
      </c>
      <c r="BT10" s="58">
        <v>9.61</v>
      </c>
      <c r="BU10" s="58">
        <v>10.26</v>
      </c>
      <c r="BV10" s="58">
        <v>10.18</v>
      </c>
      <c r="BW10" s="58">
        <v>9.6300000000000008</v>
      </c>
      <c r="BX10" s="58">
        <v>10.59</v>
      </c>
      <c r="BY10" s="58">
        <v>11.06</v>
      </c>
      <c r="BZ10" s="58">
        <v>10.86</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38.979999999999997</v>
      </c>
      <c r="DK10" s="67">
        <v>22.57</v>
      </c>
      <c r="DL10" s="67">
        <v>42.14</v>
      </c>
      <c r="DM10" s="67">
        <v>20.88</v>
      </c>
      <c r="DN10" s="67"/>
      <c r="DO10" s="67">
        <v>246.662508741848</v>
      </c>
      <c r="DP10" s="67">
        <v>274.300552266865</v>
      </c>
      <c r="DQ10" s="67">
        <v>303.58</v>
      </c>
      <c r="DR10" s="276">
        <v>335.54</v>
      </c>
      <c r="DS10" s="277">
        <v>360.78</v>
      </c>
      <c r="DT10" s="276">
        <v>442.62</v>
      </c>
      <c r="DU10" s="276">
        <v>499.58</v>
      </c>
      <c r="DV10" s="276">
        <v>518.41999999999996</v>
      </c>
      <c r="DW10" s="276">
        <v>531.79</v>
      </c>
      <c r="DX10" s="276">
        <v>587.39</v>
      </c>
      <c r="DY10" s="276">
        <v>521.88</v>
      </c>
      <c r="DZ10" s="276">
        <v>646.97</v>
      </c>
      <c r="EA10" s="276">
        <v>696.32</v>
      </c>
      <c r="EB10" s="276">
        <v>804.6</v>
      </c>
      <c r="EC10" s="276">
        <v>779.13</v>
      </c>
      <c r="ED10" s="276">
        <v>762.32</v>
      </c>
      <c r="EE10" s="276">
        <v>853.65</v>
      </c>
      <c r="EF10" s="112" t="s">
        <v>64</v>
      </c>
    </row>
    <row r="11" spans="1:136" x14ac:dyDescent="0.4">
      <c r="A11" s="64" t="s">
        <v>65</v>
      </c>
      <c r="B11" s="276">
        <v>670.93</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9.43</v>
      </c>
      <c r="BT11" s="58">
        <v>10.1</v>
      </c>
      <c r="BU11" s="58">
        <v>10.61</v>
      </c>
      <c r="BV11" s="58">
        <v>10.25</v>
      </c>
      <c r="BW11" s="58">
        <v>11.2</v>
      </c>
      <c r="BX11" s="58">
        <v>11.9</v>
      </c>
      <c r="BY11" s="58">
        <v>12.81</v>
      </c>
      <c r="BZ11" s="58">
        <v>12.56</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40.4</v>
      </c>
      <c r="DK11" s="67">
        <v>16.61</v>
      </c>
      <c r="DL11" s="67">
        <v>48.47</v>
      </c>
      <c r="DM11" s="67">
        <v>13.84</v>
      </c>
      <c r="DN11" s="67"/>
      <c r="DO11" s="67">
        <v>386.351033763217</v>
      </c>
      <c r="DP11" s="67">
        <v>429.95155640507198</v>
      </c>
      <c r="DQ11" s="67">
        <v>506.75</v>
      </c>
      <c r="DR11" s="276">
        <v>520.80999999999995</v>
      </c>
      <c r="DS11" s="277">
        <v>532.96</v>
      </c>
      <c r="DT11" s="276">
        <v>651.66999999999996</v>
      </c>
      <c r="DU11" s="276">
        <v>586.59</v>
      </c>
      <c r="DV11" s="276">
        <v>448.44</v>
      </c>
      <c r="DW11" s="276">
        <v>554.5</v>
      </c>
      <c r="DX11" s="276">
        <v>533.41</v>
      </c>
      <c r="DY11" s="276">
        <v>424.07</v>
      </c>
      <c r="DZ11" s="276">
        <v>456.46</v>
      </c>
      <c r="EA11" s="276">
        <v>286.14</v>
      </c>
      <c r="EB11" s="276">
        <v>422.74</v>
      </c>
      <c r="EC11" s="276">
        <v>672.34</v>
      </c>
      <c r="ED11" s="276">
        <v>640.04999999999995</v>
      </c>
      <c r="EE11" s="276">
        <v>654.85</v>
      </c>
      <c r="EF11" s="112" t="s">
        <v>65</v>
      </c>
    </row>
    <row r="12" spans="1:136" x14ac:dyDescent="0.4">
      <c r="A12" s="64" t="s">
        <v>304</v>
      </c>
      <c r="B12" s="276">
        <v>876.02</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10.54</v>
      </c>
      <c r="BT12" s="58">
        <v>12.64</v>
      </c>
      <c r="BU12" s="58">
        <v>12.21</v>
      </c>
      <c r="BV12" s="58">
        <v>12.8</v>
      </c>
      <c r="BW12" s="58">
        <v>13.44</v>
      </c>
      <c r="BX12" s="58">
        <v>13.64</v>
      </c>
      <c r="BY12" s="58">
        <v>13.97</v>
      </c>
      <c r="BZ12" s="58">
        <v>14.61</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48.19</v>
      </c>
      <c r="DK12" s="67">
        <v>18.18</v>
      </c>
      <c r="DL12" s="67">
        <v>55.66</v>
      </c>
      <c r="DM12" s="67">
        <v>15.74</v>
      </c>
      <c r="DN12" s="67"/>
      <c r="DO12" s="67">
        <v>168.79165229151201</v>
      </c>
      <c r="DP12" s="67">
        <v>193.77928611669799</v>
      </c>
      <c r="DQ12" s="67">
        <v>214.77</v>
      </c>
      <c r="DR12" s="276">
        <v>175.23</v>
      </c>
      <c r="DS12" s="277">
        <v>221.24</v>
      </c>
      <c r="DT12" s="276">
        <v>294.70999999999998</v>
      </c>
      <c r="DU12" s="276">
        <v>333.32</v>
      </c>
      <c r="DV12" s="276">
        <v>321.73</v>
      </c>
      <c r="DW12" s="276">
        <v>386.53</v>
      </c>
      <c r="DX12" s="276">
        <v>463.94</v>
      </c>
      <c r="DY12" s="276">
        <v>395.9</v>
      </c>
      <c r="DZ12" s="276">
        <v>511.39</v>
      </c>
      <c r="EA12" s="276">
        <v>490.43</v>
      </c>
      <c r="EB12" s="276">
        <v>650.04</v>
      </c>
      <c r="EC12" s="276">
        <v>569.74</v>
      </c>
      <c r="ED12" s="276">
        <v>626.35</v>
      </c>
      <c r="EE12" s="276">
        <v>804.44</v>
      </c>
      <c r="EF12" s="112" t="s">
        <v>66</v>
      </c>
    </row>
    <row r="13" spans="1:136" x14ac:dyDescent="0.4">
      <c r="A13" s="64" t="s">
        <v>67</v>
      </c>
      <c r="B13" s="276">
        <v>1562.05</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19.82</v>
      </c>
      <c r="BT13" s="58">
        <v>20.11</v>
      </c>
      <c r="BU13" s="58">
        <v>22.7</v>
      </c>
      <c r="BV13" s="58">
        <v>22.16</v>
      </c>
      <c r="BW13" s="58">
        <v>24.77</v>
      </c>
      <c r="BX13" s="58">
        <v>24.31</v>
      </c>
      <c r="BY13" s="58">
        <v>25.65</v>
      </c>
      <c r="BZ13" s="58">
        <v>24.96</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84.78</v>
      </c>
      <c r="DK13" s="67">
        <v>18.420000000000002</v>
      </c>
      <c r="DL13" s="67">
        <v>99.69</v>
      </c>
      <c r="DM13" s="67">
        <v>15.67</v>
      </c>
      <c r="DN13" s="67"/>
      <c r="DO13" s="67">
        <v>309.41269753717103</v>
      </c>
      <c r="DP13" s="67">
        <v>362.22076951876102</v>
      </c>
      <c r="DQ13" s="67">
        <v>364.78</v>
      </c>
      <c r="DR13" s="276">
        <v>401.9</v>
      </c>
      <c r="DS13" s="277">
        <v>462.95</v>
      </c>
      <c r="DT13" s="276">
        <v>642.29999999999995</v>
      </c>
      <c r="DU13" s="276">
        <v>791.97</v>
      </c>
      <c r="DV13" s="276">
        <v>833.23</v>
      </c>
      <c r="DW13" s="276">
        <v>796.91</v>
      </c>
      <c r="DX13" s="276">
        <v>956.32</v>
      </c>
      <c r="DY13" s="276">
        <v>1001.18</v>
      </c>
      <c r="DZ13" s="276">
        <v>1188.2</v>
      </c>
      <c r="EA13" s="276">
        <v>1324.01</v>
      </c>
      <c r="EB13" s="276">
        <v>1643.92</v>
      </c>
      <c r="EC13" s="276">
        <v>1585.54</v>
      </c>
      <c r="ED13" s="276">
        <v>1590.36</v>
      </c>
      <c r="EE13" s="276">
        <v>1604.75</v>
      </c>
      <c r="EF13" s="112" t="s">
        <v>67</v>
      </c>
    </row>
    <row r="14" spans="1:136" x14ac:dyDescent="0.4">
      <c r="A14" s="64" t="s">
        <v>68</v>
      </c>
      <c r="B14" s="276">
        <v>1285.96</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10.97</v>
      </c>
      <c r="BT14" s="58">
        <v>12.71</v>
      </c>
      <c r="BU14" s="58">
        <v>12.1</v>
      </c>
      <c r="BV14" s="58">
        <v>12.64</v>
      </c>
      <c r="BW14" s="58">
        <v>12.48</v>
      </c>
      <c r="BX14" s="58">
        <v>14.61</v>
      </c>
      <c r="BY14" s="58">
        <v>14.57</v>
      </c>
      <c r="BZ14" s="58">
        <v>14.77</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48.41</v>
      </c>
      <c r="DK14" s="67">
        <v>26.56</v>
      </c>
      <c r="DL14" s="67">
        <v>56.42</v>
      </c>
      <c r="DM14" s="67">
        <v>22.79</v>
      </c>
      <c r="DN14" s="67"/>
      <c r="DO14" s="67">
        <v>207.209458244704</v>
      </c>
      <c r="DP14" s="67">
        <v>242.991959108782</v>
      </c>
      <c r="DQ14" s="67">
        <v>301.12</v>
      </c>
      <c r="DR14" s="276">
        <v>292.32</v>
      </c>
      <c r="DS14" s="277">
        <v>328.75</v>
      </c>
      <c r="DT14" s="276">
        <v>452.46</v>
      </c>
      <c r="DU14" s="276">
        <v>486.47</v>
      </c>
      <c r="DV14" s="276">
        <v>463.53</v>
      </c>
      <c r="DW14" s="276">
        <v>538.07000000000005</v>
      </c>
      <c r="DX14" s="276">
        <v>637.80999999999995</v>
      </c>
      <c r="DY14" s="276">
        <v>542.16</v>
      </c>
      <c r="DZ14" s="276">
        <v>687.6</v>
      </c>
      <c r="EA14" s="276">
        <v>749.54</v>
      </c>
      <c r="EB14" s="276">
        <v>894.96</v>
      </c>
      <c r="EC14" s="276">
        <v>831.4</v>
      </c>
      <c r="ED14" s="276">
        <v>964.73</v>
      </c>
      <c r="EE14" s="276">
        <v>1115.6500000000001</v>
      </c>
      <c r="EF14" s="112" t="s">
        <v>68</v>
      </c>
    </row>
    <row r="15" spans="1:136" x14ac:dyDescent="0.4">
      <c r="A15" s="64" t="s">
        <v>69</v>
      </c>
      <c r="B15" s="276">
        <v>5236.76</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31.53</v>
      </c>
      <c r="BT15" s="58">
        <v>35.71</v>
      </c>
      <c r="BU15" s="58">
        <v>39.47</v>
      </c>
      <c r="BV15" s="58">
        <v>45.89</v>
      </c>
      <c r="BW15" s="58">
        <v>43.09</v>
      </c>
      <c r="BX15" s="58">
        <v>43.67</v>
      </c>
      <c r="BY15" s="58">
        <v>46.93</v>
      </c>
      <c r="BZ15" s="58">
        <v>52.19</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152.6</v>
      </c>
      <c r="DK15" s="67">
        <v>34.32</v>
      </c>
      <c r="DL15" s="67">
        <v>185.88</v>
      </c>
      <c r="DM15" s="67">
        <v>28.17</v>
      </c>
      <c r="DN15" s="67"/>
      <c r="DO15" s="67">
        <v>231.80951797071199</v>
      </c>
      <c r="DP15" s="67">
        <v>370.71108667205903</v>
      </c>
      <c r="DQ15" s="67">
        <v>404.55</v>
      </c>
      <c r="DR15" s="276">
        <v>409.93</v>
      </c>
      <c r="DS15" s="277">
        <v>463.82</v>
      </c>
      <c r="DT15" s="276">
        <v>585.48</v>
      </c>
      <c r="DU15" s="276">
        <v>691.95</v>
      </c>
      <c r="DV15" s="276">
        <v>721.48</v>
      </c>
      <c r="DW15" s="276">
        <v>807.95</v>
      </c>
      <c r="DX15" s="276">
        <v>1106.18</v>
      </c>
      <c r="DY15" s="276">
        <v>1088.31</v>
      </c>
      <c r="DZ15" s="276">
        <v>1611.17</v>
      </c>
      <c r="EA15" s="276">
        <v>2291.2800000000002</v>
      </c>
      <c r="EB15" s="276">
        <v>3055.45</v>
      </c>
      <c r="EC15" s="276">
        <v>2172.17</v>
      </c>
      <c r="ED15" s="276">
        <v>3397.16</v>
      </c>
      <c r="EE15" s="276">
        <v>4609.5200000000004</v>
      </c>
      <c r="EF15" s="112" t="s">
        <v>69</v>
      </c>
    </row>
    <row r="16" spans="1:136" x14ac:dyDescent="0.4">
      <c r="A16" s="64" t="s">
        <v>70</v>
      </c>
      <c r="B16" s="276">
        <v>558.83000000000004</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5.68</v>
      </c>
      <c r="BT16" s="58">
        <v>7.31</v>
      </c>
      <c r="BU16" s="58">
        <v>6.49</v>
      </c>
      <c r="BV16" s="58">
        <v>6.28</v>
      </c>
      <c r="BW16" s="58">
        <v>6.73</v>
      </c>
      <c r="BX16" s="58">
        <v>8.19</v>
      </c>
      <c r="BY16" s="58">
        <v>7.45</v>
      </c>
      <c r="BZ16" s="58">
        <v>7.17</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25.76</v>
      </c>
      <c r="DK16" s="67">
        <v>21.69</v>
      </c>
      <c r="DL16" s="67">
        <v>29.53</v>
      </c>
      <c r="DM16" s="67">
        <v>18.920000000000002</v>
      </c>
      <c r="DN16" s="67"/>
      <c r="DO16" s="67">
        <v>137.58654915328501</v>
      </c>
      <c r="DP16" s="67">
        <v>199.81024150392901</v>
      </c>
      <c r="DQ16" s="67">
        <v>239.61</v>
      </c>
      <c r="DR16" s="276">
        <v>211.71</v>
      </c>
      <c r="DS16" s="277">
        <v>237.62</v>
      </c>
      <c r="DT16" s="276">
        <v>291.64</v>
      </c>
      <c r="DU16" s="276">
        <v>305.27999999999997</v>
      </c>
      <c r="DV16" s="276">
        <v>273.64</v>
      </c>
      <c r="DW16" s="276">
        <v>312.16000000000003</v>
      </c>
      <c r="DX16" s="276">
        <v>378.94</v>
      </c>
      <c r="DY16" s="276">
        <v>316.62</v>
      </c>
      <c r="DZ16" s="276">
        <v>385.85</v>
      </c>
      <c r="EA16" s="276">
        <v>455.71</v>
      </c>
      <c r="EB16" s="276">
        <v>569.63</v>
      </c>
      <c r="EC16" s="276">
        <v>489.55</v>
      </c>
      <c r="ED16" s="276">
        <v>539.62</v>
      </c>
      <c r="EE16" s="276">
        <v>529.77</v>
      </c>
      <c r="EF16" s="112" t="s">
        <v>70</v>
      </c>
    </row>
    <row r="17" spans="1:136" x14ac:dyDescent="0.4">
      <c r="A17" s="64" t="s">
        <v>378</v>
      </c>
      <c r="B17" s="276">
        <v>378.76</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4.78</v>
      </c>
      <c r="BT17" s="58">
        <v>4.6900000000000004</v>
      </c>
      <c r="BU17" s="58">
        <v>4.5</v>
      </c>
      <c r="BV17" s="58">
        <v>4.82</v>
      </c>
      <c r="BW17" s="58">
        <v>4.67</v>
      </c>
      <c r="BX17" s="58">
        <v>4.9400000000000004</v>
      </c>
      <c r="BY17" s="58">
        <v>5.05</v>
      </c>
      <c r="BZ17" s="58">
        <v>5.51</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18.78</v>
      </c>
      <c r="DK17" s="67">
        <v>20.16</v>
      </c>
      <c r="DL17" s="67">
        <v>20.16</v>
      </c>
      <c r="DM17" s="67">
        <v>18.78</v>
      </c>
      <c r="DN17" s="67"/>
      <c r="DO17" s="67">
        <v>111.699218145443</v>
      </c>
      <c r="DP17" s="67">
        <v>114.638431778259</v>
      </c>
      <c r="DQ17" s="67">
        <v>128.74</v>
      </c>
      <c r="DR17" s="276">
        <v>129.82</v>
      </c>
      <c r="DS17" s="277">
        <v>146.04</v>
      </c>
      <c r="DT17" s="276">
        <v>155.52000000000001</v>
      </c>
      <c r="DU17" s="276">
        <v>152.55000000000001</v>
      </c>
      <c r="DV17" s="276">
        <v>149.91</v>
      </c>
      <c r="DW17" s="276">
        <v>176.61</v>
      </c>
      <c r="DX17" s="276">
        <v>166.07</v>
      </c>
      <c r="DY17" s="276">
        <v>138.78</v>
      </c>
      <c r="DZ17" s="276">
        <v>181.64</v>
      </c>
      <c r="EA17" s="276">
        <v>221.92</v>
      </c>
      <c r="EB17" s="276">
        <v>267.48</v>
      </c>
      <c r="EC17" s="276">
        <v>159.37</v>
      </c>
      <c r="ED17" s="276">
        <v>246</v>
      </c>
      <c r="EE17" s="276">
        <v>341.66</v>
      </c>
      <c r="EF17" s="112" t="s">
        <v>378</v>
      </c>
    </row>
    <row r="18" spans="1:136" x14ac:dyDescent="0.4">
      <c r="A18" s="64" t="s">
        <v>71</v>
      </c>
      <c r="B18" s="276">
        <v>432.51</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5.27</v>
      </c>
      <c r="BT18" s="58">
        <v>4.55</v>
      </c>
      <c r="BU18" s="58">
        <v>6.54</v>
      </c>
      <c r="BV18" s="58">
        <v>5.0199999999999996</v>
      </c>
      <c r="BW18" s="58">
        <v>6.12</v>
      </c>
      <c r="BX18" s="58">
        <v>5.15</v>
      </c>
      <c r="BY18" s="58">
        <v>7.28</v>
      </c>
      <c r="BZ18" s="58">
        <v>5.71</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21.38</v>
      </c>
      <c r="DK18" s="67">
        <v>20.23</v>
      </c>
      <c r="DL18" s="67">
        <v>24.26</v>
      </c>
      <c r="DM18" s="67">
        <v>17.829999999999998</v>
      </c>
      <c r="DN18" s="67"/>
      <c r="DO18" s="67">
        <v>147.93465290177599</v>
      </c>
      <c r="DP18" s="67">
        <v>157.98969503421301</v>
      </c>
      <c r="DQ18" s="67">
        <v>159.34</v>
      </c>
      <c r="DR18" s="276">
        <v>182.98</v>
      </c>
      <c r="DS18" s="277">
        <v>177.66</v>
      </c>
      <c r="DT18" s="276">
        <v>193.21</v>
      </c>
      <c r="DU18" s="276">
        <v>240.14</v>
      </c>
      <c r="DV18" s="276">
        <v>220</v>
      </c>
      <c r="DW18" s="276">
        <v>246.83</v>
      </c>
      <c r="DX18" s="276">
        <v>267.37</v>
      </c>
      <c r="DY18" s="276">
        <v>268.61</v>
      </c>
      <c r="DZ18" s="276">
        <v>328.36</v>
      </c>
      <c r="EA18" s="276">
        <v>319.07</v>
      </c>
      <c r="EB18" s="276">
        <v>363.71</v>
      </c>
      <c r="EC18" s="276">
        <v>358.48</v>
      </c>
      <c r="ED18" s="276">
        <v>321.92</v>
      </c>
      <c r="EE18" s="276">
        <v>384.95</v>
      </c>
      <c r="EF18" s="112" t="s">
        <v>71</v>
      </c>
    </row>
    <row r="19" spans="1:136" x14ac:dyDescent="0.4">
      <c r="A19" s="64" t="s">
        <v>305</v>
      </c>
      <c r="B19" s="276">
        <v>264.48</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1.51</v>
      </c>
      <c r="BT19" s="58">
        <v>1.8</v>
      </c>
      <c r="BU19" s="58">
        <v>1.88</v>
      </c>
      <c r="BV19" s="58">
        <v>2.08</v>
      </c>
      <c r="BW19" s="58">
        <v>2.0099999999999998</v>
      </c>
      <c r="BX19" s="58">
        <v>2.12</v>
      </c>
      <c r="BY19" s="58">
        <v>2.15</v>
      </c>
      <c r="BZ19" s="58">
        <v>2.34</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v>6.74</v>
      </c>
      <c r="DG19" s="67">
        <v>37.33</v>
      </c>
      <c r="DH19" s="67">
        <v>6.75</v>
      </c>
      <c r="DI19" s="67">
        <v>37.93</v>
      </c>
      <c r="DJ19" s="67">
        <v>7.27</v>
      </c>
      <c r="DK19" s="67">
        <v>36.369999999999997</v>
      </c>
      <c r="DL19" s="67">
        <v>8.6199999999999992</v>
      </c>
      <c r="DM19" s="67">
        <v>30.67</v>
      </c>
      <c r="DN19" s="67"/>
      <c r="DO19" s="67">
        <v>77.97</v>
      </c>
      <c r="DP19" s="67">
        <v>94.18</v>
      </c>
      <c r="DQ19" s="67">
        <v>120.58</v>
      </c>
      <c r="DR19" s="276">
        <v>130.15</v>
      </c>
      <c r="DS19" s="276">
        <v>151.26</v>
      </c>
      <c r="DT19" s="276">
        <v>148.94999999999999</v>
      </c>
      <c r="DU19" s="276">
        <v>187.89</v>
      </c>
      <c r="DV19" s="276">
        <v>190.22</v>
      </c>
      <c r="DW19" s="276">
        <v>190.23</v>
      </c>
      <c r="DX19" s="276">
        <v>203.86</v>
      </c>
      <c r="DY19" s="276">
        <v>192.36</v>
      </c>
      <c r="DZ19" s="276">
        <v>240.32</v>
      </c>
      <c r="EA19" s="276">
        <v>227.9</v>
      </c>
      <c r="EB19" s="276">
        <v>324.75</v>
      </c>
      <c r="EC19" s="276">
        <v>232.37</v>
      </c>
      <c r="ED19" s="276">
        <v>251.58</v>
      </c>
      <c r="EE19" s="276">
        <v>255.92</v>
      </c>
      <c r="EF19" s="112" t="str">
        <f>A19</f>
        <v>S&amp;P 500 Real Estate (proforma pre-9/19/16)</v>
      </c>
    </row>
    <row r="20" spans="1:136" x14ac:dyDescent="0.4">
      <c r="B20" s="276"/>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c r="DG20" s="67"/>
      <c r="DH20" s="67"/>
      <c r="DI20" s="67"/>
      <c r="DJ20" s="67"/>
      <c r="DK20" s="67"/>
      <c r="DL20" s="67"/>
      <c r="DM20" s="67"/>
      <c r="DN20" s="67"/>
      <c r="DT20" s="276"/>
      <c r="DU20" s="276"/>
      <c r="DV20" s="276"/>
      <c r="DW20" s="276"/>
      <c r="DX20" s="276"/>
      <c r="DY20" s="276"/>
      <c r="DZ20" s="276"/>
      <c r="EA20" s="276"/>
    </row>
    <row r="21" spans="1:136" x14ac:dyDescent="0.4">
      <c r="A21" s="64" t="s">
        <v>72</v>
      </c>
      <c r="B21" s="276">
        <v>3186.09</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37.56</v>
      </c>
      <c r="BS21" s="58">
        <v>33.020000000000003</v>
      </c>
      <c r="BT21" s="58">
        <v>42.64</v>
      </c>
      <c r="BU21" s="58">
        <v>44.96</v>
      </c>
      <c r="BV21" s="58">
        <v>48.19</v>
      </c>
      <c r="BW21" s="58">
        <v>47.24</v>
      </c>
      <c r="BX21" s="58">
        <v>51.3</v>
      </c>
      <c r="BY21" s="58">
        <v>53.56</v>
      </c>
      <c r="BZ21" s="58">
        <v>56.94</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148.36000000000001</v>
      </c>
      <c r="DI21" s="67">
        <v>21.04</v>
      </c>
      <c r="DJ21" s="67">
        <v>168.81</v>
      </c>
      <c r="DK21" s="67">
        <v>18.87</v>
      </c>
      <c r="DL21" s="67">
        <v>209.04</v>
      </c>
      <c r="DM21" s="67">
        <v>15.24</v>
      </c>
      <c r="DN21" s="67"/>
      <c r="DO21" s="282">
        <v>538.27930100000003</v>
      </c>
      <c r="DP21" s="282">
        <v>726.67478400000005</v>
      </c>
      <c r="DQ21" s="282">
        <v>907.24987321098399</v>
      </c>
      <c r="DR21" s="276">
        <v>879.16</v>
      </c>
      <c r="DS21" s="277">
        <v>1020.43</v>
      </c>
      <c r="DT21" s="276">
        <v>1342.53</v>
      </c>
      <c r="DU21" s="276">
        <v>1452.44</v>
      </c>
      <c r="DV21" s="276">
        <v>1398.58</v>
      </c>
      <c r="DW21" s="276">
        <v>1660.58</v>
      </c>
      <c r="DX21" s="276">
        <v>1900.57</v>
      </c>
      <c r="DY21" s="276">
        <v>1663.04</v>
      </c>
      <c r="DZ21" s="276">
        <v>2063.02</v>
      </c>
      <c r="EA21" s="276">
        <v>2306.62</v>
      </c>
      <c r="EB21" s="276">
        <v>2842</v>
      </c>
      <c r="EC21" s="276">
        <v>2430.38</v>
      </c>
      <c r="ED21" s="276">
        <v>2781.54</v>
      </c>
      <c r="EE21" s="276">
        <v>3120.94</v>
      </c>
      <c r="EF21" s="112" t="s">
        <v>72</v>
      </c>
    </row>
    <row r="22" spans="1:136" x14ac:dyDescent="0.4">
      <c r="A22" s="64" t="s">
        <v>73</v>
      </c>
      <c r="B22" s="276">
        <v>1314.33</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19.14</v>
      </c>
      <c r="BS22" s="58">
        <v>16.88</v>
      </c>
      <c r="BT22" s="58">
        <v>18.84</v>
      </c>
      <c r="BU22" s="58">
        <v>18.82</v>
      </c>
      <c r="BV22" s="58">
        <v>22.79</v>
      </c>
      <c r="BW22" s="58">
        <v>20.9</v>
      </c>
      <c r="BX22" s="58">
        <v>20.03</v>
      </c>
      <c r="BY22" s="58">
        <v>22.98</v>
      </c>
      <c r="BZ22" s="58">
        <v>27.96</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78.12</v>
      </c>
      <c r="DI22" s="67">
        <v>17.5</v>
      </c>
      <c r="DJ22" s="67">
        <v>77.33</v>
      </c>
      <c r="DK22" s="67">
        <v>17</v>
      </c>
      <c r="DL22" s="67">
        <v>91.86</v>
      </c>
      <c r="DM22" s="67">
        <v>14.31</v>
      </c>
      <c r="DN22" s="67"/>
      <c r="DO22" s="282">
        <v>179.63314700000001</v>
      </c>
      <c r="DP22" s="282">
        <v>275.42848900000001</v>
      </c>
      <c r="DQ22" s="282">
        <v>360.78854314944198</v>
      </c>
      <c r="DR22" s="276">
        <v>365.27</v>
      </c>
      <c r="DS22" s="277">
        <v>443.95</v>
      </c>
      <c r="DT22" s="276">
        <v>624.88</v>
      </c>
      <c r="DU22" s="276">
        <v>687.24</v>
      </c>
      <c r="DV22" s="276">
        <v>624.30999999999995</v>
      </c>
      <c r="DW22" s="276">
        <v>675.16</v>
      </c>
      <c r="DX22" s="276">
        <v>795.66</v>
      </c>
      <c r="DY22" s="276">
        <v>643.38</v>
      </c>
      <c r="DZ22" s="276">
        <v>802.99</v>
      </c>
      <c r="EA22" s="276">
        <v>1042.5999999999999</v>
      </c>
      <c r="EB22" s="276">
        <v>1321.37</v>
      </c>
      <c r="EC22" s="276">
        <v>1029.3800000000001</v>
      </c>
      <c r="ED22" s="276">
        <v>1263.05</v>
      </c>
      <c r="EE22" s="276">
        <v>1367.08</v>
      </c>
      <c r="EF22" s="112" t="s">
        <v>73</v>
      </c>
    </row>
    <row r="23" spans="1:136" x14ac:dyDescent="0.4">
      <c r="A23" s="64" t="s">
        <v>74</v>
      </c>
      <c r="B23" s="276">
        <v>3318.36</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29.03</v>
      </c>
      <c r="BT23" s="58">
        <v>41.88</v>
      </c>
      <c r="BU23" s="58">
        <v>41.4</v>
      </c>
      <c r="BV23" s="58">
        <v>40.56</v>
      </c>
      <c r="BW23" s="58">
        <v>40.99</v>
      </c>
      <c r="BX23" s="58">
        <v>48.72</v>
      </c>
      <c r="BY23" s="58">
        <v>48.05</v>
      </c>
      <c r="BZ23" s="58">
        <v>46.68</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152.87</v>
      </c>
      <c r="DK23" s="67">
        <v>21.71</v>
      </c>
      <c r="DL23" s="67">
        <v>184.43</v>
      </c>
      <c r="DM23" s="67">
        <v>17.989999999999998</v>
      </c>
      <c r="DN23" s="67"/>
      <c r="DO23" s="282">
        <v>417.55613299999999</v>
      </c>
      <c r="DP23" s="282">
        <v>495.715306</v>
      </c>
      <c r="DQ23" s="282">
        <v>619.58758692758499</v>
      </c>
      <c r="DR23" s="276">
        <v>751.72</v>
      </c>
      <c r="DS23" s="277">
        <v>862.71</v>
      </c>
      <c r="DT23" s="276">
        <v>1181.9000000000001</v>
      </c>
      <c r="DU23" s="276">
        <v>1577.72</v>
      </c>
      <c r="DV23" s="276">
        <v>1505.92</v>
      </c>
      <c r="DW23" s="276">
        <v>1690.47</v>
      </c>
      <c r="DX23" s="276">
        <v>1726.91</v>
      </c>
      <c r="DY23" s="276">
        <v>1584.38</v>
      </c>
      <c r="DZ23" s="276">
        <v>1734.59</v>
      </c>
      <c r="EA23" s="276">
        <v>2098.52</v>
      </c>
      <c r="EB23" s="276">
        <v>2291.71</v>
      </c>
      <c r="EC23" s="276">
        <v>2256.38</v>
      </c>
      <c r="ED23" s="276">
        <v>2595.15</v>
      </c>
      <c r="EE23" s="276">
        <v>3044.79</v>
      </c>
      <c r="EF23" s="112" t="s">
        <v>74</v>
      </c>
    </row>
    <row r="24" spans="1:136" x14ac:dyDescent="0.4">
      <c r="A24" s="64" t="s">
        <v>75</v>
      </c>
      <c r="B24" s="276">
        <v>369.38</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4.08</v>
      </c>
      <c r="BT24" s="58">
        <v>8.01</v>
      </c>
      <c r="BU24" s="58">
        <v>7.25</v>
      </c>
      <c r="BV24" s="58">
        <v>7.4</v>
      </c>
      <c r="BW24" s="58">
        <v>8.39</v>
      </c>
      <c r="BX24" s="58">
        <v>8.27</v>
      </c>
      <c r="BY24" s="58">
        <v>9.41</v>
      </c>
      <c r="BZ24" s="58">
        <v>9.4499999999999993</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26.74</v>
      </c>
      <c r="DK24" s="67">
        <v>13.82</v>
      </c>
      <c r="DL24" s="67">
        <v>35.520000000000003</v>
      </c>
      <c r="DM24" s="67">
        <v>10.4</v>
      </c>
      <c r="DN24" s="67"/>
      <c r="DO24" s="282">
        <v>361.64458400000001</v>
      </c>
      <c r="DP24" s="282">
        <v>604.81454900000006</v>
      </c>
      <c r="DQ24" s="282">
        <v>786.99419431210197</v>
      </c>
      <c r="DR24" s="276">
        <v>705.18</v>
      </c>
      <c r="DS24" s="277">
        <v>695.36</v>
      </c>
      <c r="DT24" s="276">
        <v>877.03</v>
      </c>
      <c r="DU24" s="276">
        <v>646.46</v>
      </c>
      <c r="DV24" s="276">
        <v>426.16</v>
      </c>
      <c r="DW24" s="276">
        <v>507.43</v>
      </c>
      <c r="DX24" s="276">
        <v>422.18</v>
      </c>
      <c r="DY24" s="276">
        <v>295.61</v>
      </c>
      <c r="DZ24" s="276">
        <v>253.5</v>
      </c>
      <c r="EA24" s="276">
        <v>150.81</v>
      </c>
      <c r="EB24" s="276">
        <v>245.43</v>
      </c>
      <c r="EC24" s="276">
        <v>328.13</v>
      </c>
      <c r="ED24" s="276">
        <v>344.02</v>
      </c>
      <c r="EE24" s="276">
        <v>379.12</v>
      </c>
      <c r="EF24" s="112" t="s">
        <v>75</v>
      </c>
    </row>
    <row r="25" spans="1:136" x14ac:dyDescent="0.4">
      <c r="A25" s="64" t="s">
        <v>76</v>
      </c>
      <c r="B25" s="276">
        <v>1574.45</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24.21</v>
      </c>
      <c r="BT25" s="58">
        <v>32.56</v>
      </c>
      <c r="BU25" s="58">
        <v>33.880000000000003</v>
      </c>
      <c r="BV25" s="58">
        <v>35.83</v>
      </c>
      <c r="BW25" s="58">
        <v>35.68</v>
      </c>
      <c r="BX25" s="58">
        <v>38.07</v>
      </c>
      <c r="BY25" s="58">
        <v>38.869999999999997</v>
      </c>
      <c r="BZ25" s="58">
        <v>41.08</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126.46</v>
      </c>
      <c r="DK25" s="67">
        <v>12.45</v>
      </c>
      <c r="DL25" s="67">
        <v>153.69</v>
      </c>
      <c r="DM25" s="67">
        <v>10.24</v>
      </c>
      <c r="DN25" s="67"/>
      <c r="DO25" s="282">
        <v>391.04396000000003</v>
      </c>
      <c r="DP25" s="282">
        <v>422.69019600000001</v>
      </c>
      <c r="DQ25" s="282">
        <v>489.730853141198</v>
      </c>
      <c r="DR25" s="276">
        <v>450.51</v>
      </c>
      <c r="DS25" s="277">
        <v>514.14</v>
      </c>
      <c r="DT25" s="276">
        <v>624.6</v>
      </c>
      <c r="DU25" s="276">
        <v>698.47</v>
      </c>
      <c r="DV25" s="276">
        <v>713.89</v>
      </c>
      <c r="DW25" s="276">
        <v>902.91</v>
      </c>
      <c r="DX25" s="276">
        <v>1010.74</v>
      </c>
      <c r="DY25" s="276">
        <v>832.55</v>
      </c>
      <c r="DZ25" s="276">
        <v>1028.1099999999999</v>
      </c>
      <c r="EA25" s="276">
        <v>983.43</v>
      </c>
      <c r="EB25" s="276">
        <v>1282.02</v>
      </c>
      <c r="EC25" s="276">
        <v>1205.18</v>
      </c>
      <c r="ED25" s="276">
        <v>1262.47</v>
      </c>
      <c r="EE25" s="276">
        <v>1540.11</v>
      </c>
      <c r="EF25" s="112" t="s">
        <v>76</v>
      </c>
    </row>
    <row r="26" spans="1:136" x14ac:dyDescent="0.4">
      <c r="A26" s="64" t="s">
        <v>77</v>
      </c>
      <c r="B26" s="276">
        <v>2339.88</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18.05</v>
      </c>
      <c r="BT26" s="58">
        <v>23.57</v>
      </c>
      <c r="BU26" s="58">
        <v>30.96</v>
      </c>
      <c r="BV26" s="58">
        <v>33.53</v>
      </c>
      <c r="BW26" s="58">
        <v>32.880000000000003</v>
      </c>
      <c r="BX26" s="58">
        <v>33.99</v>
      </c>
      <c r="BY26" s="58">
        <v>36.369999999999997</v>
      </c>
      <c r="BZ26" s="58">
        <v>39.75</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106.1</v>
      </c>
      <c r="DK26" s="67">
        <v>22.05</v>
      </c>
      <c r="DL26" s="67">
        <v>142.97999999999999</v>
      </c>
      <c r="DM26" s="67">
        <v>16.36</v>
      </c>
      <c r="DN26" s="67"/>
      <c r="DO26" s="282">
        <v>294.701729</v>
      </c>
      <c r="DP26" s="282">
        <v>396.845347</v>
      </c>
      <c r="DQ26" s="282">
        <v>486.41714820689998</v>
      </c>
      <c r="DR26" s="276">
        <v>489.76</v>
      </c>
      <c r="DS26" s="277">
        <v>618.70000000000005</v>
      </c>
      <c r="DT26" s="276">
        <v>899.75</v>
      </c>
      <c r="DU26" s="276">
        <v>1109.24</v>
      </c>
      <c r="DV26" s="276">
        <v>1207.49</v>
      </c>
      <c r="DW26" s="276">
        <v>1307.22</v>
      </c>
      <c r="DX26" s="276">
        <v>1597.71</v>
      </c>
      <c r="DY26" s="276">
        <v>1696.18</v>
      </c>
      <c r="DZ26" s="276">
        <v>2074.75</v>
      </c>
      <c r="EA26" s="276">
        <v>2697.45</v>
      </c>
      <c r="EB26" s="276">
        <v>2999.57</v>
      </c>
      <c r="EC26" s="276">
        <v>2393.9499999999998</v>
      </c>
      <c r="ED26" s="276">
        <v>2402.2399999999998</v>
      </c>
      <c r="EE26" s="276">
        <v>2525.16</v>
      </c>
      <c r="EF26" s="112" t="s">
        <v>77</v>
      </c>
    </row>
    <row r="27" spans="1:136" x14ac:dyDescent="0.4">
      <c r="A27" s="64" t="s">
        <v>78</v>
      </c>
      <c r="B27" s="276">
        <v>2331.71</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18.309999999999999</v>
      </c>
      <c r="BT27" s="58">
        <v>29.49</v>
      </c>
      <c r="BU27" s="58">
        <v>28.66</v>
      </c>
      <c r="BV27" s="58">
        <v>28.4</v>
      </c>
      <c r="BW27" s="58">
        <v>25.15</v>
      </c>
      <c r="BX27" s="58">
        <v>34.78</v>
      </c>
      <c r="BY27" s="58">
        <v>33.58</v>
      </c>
      <c r="BZ27" s="58">
        <v>33</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104.86</v>
      </c>
      <c r="DK27" s="67">
        <v>22.24</v>
      </c>
      <c r="DL27" s="67">
        <v>126.51</v>
      </c>
      <c r="DM27" s="67">
        <v>18.43</v>
      </c>
      <c r="DN27" s="67"/>
      <c r="DO27" s="282">
        <v>242.88265999999999</v>
      </c>
      <c r="DP27" s="282">
        <v>315.55561299999999</v>
      </c>
      <c r="DQ27" s="282">
        <v>409.05061502341601</v>
      </c>
      <c r="DR27" s="276">
        <v>400.42</v>
      </c>
      <c r="DS27" s="277">
        <v>482.54</v>
      </c>
      <c r="DT27" s="276">
        <v>687.4</v>
      </c>
      <c r="DU27" s="276">
        <v>689.46</v>
      </c>
      <c r="DV27" s="276">
        <v>659.95</v>
      </c>
      <c r="DW27" s="276">
        <v>838.63</v>
      </c>
      <c r="DX27" s="276">
        <v>1024.6099999999999</v>
      </c>
      <c r="DY27" s="276">
        <v>862.03</v>
      </c>
      <c r="DZ27" s="276">
        <v>1137.9000000000001</v>
      </c>
      <c r="EA27" s="276">
        <v>1310.5999999999999</v>
      </c>
      <c r="EB27" s="276">
        <v>1669.78</v>
      </c>
      <c r="EC27" s="276">
        <v>1463.04</v>
      </c>
      <c r="ED27" s="276">
        <v>1903.42</v>
      </c>
      <c r="EE27" s="276">
        <v>2141.64</v>
      </c>
      <c r="EF27" s="112" t="s">
        <v>78</v>
      </c>
    </row>
    <row r="28" spans="1:136" x14ac:dyDescent="0.4">
      <c r="A28" s="64" t="s">
        <v>79</v>
      </c>
      <c r="B28" s="276">
        <v>6027.48</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36.06</v>
      </c>
      <c r="BT28" s="58">
        <v>51.08</v>
      </c>
      <c r="BU28" s="58">
        <v>60.61</v>
      </c>
      <c r="BV28" s="58">
        <v>68.02</v>
      </c>
      <c r="BW28" s="58">
        <v>65.34</v>
      </c>
      <c r="BX28" s="58">
        <v>69.62</v>
      </c>
      <c r="BY28" s="58">
        <v>75.510000000000005</v>
      </c>
      <c r="BZ28" s="58">
        <v>82.29</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215.77</v>
      </c>
      <c r="DK28" s="67">
        <v>27.93</v>
      </c>
      <c r="DL28" s="67">
        <v>292.77</v>
      </c>
      <c r="DM28" s="67">
        <v>20.59</v>
      </c>
      <c r="DN28" s="67"/>
      <c r="DO28" s="282">
        <v>528.07611299999996</v>
      </c>
      <c r="DP28" s="282">
        <v>835.384862</v>
      </c>
      <c r="DQ28" s="282">
        <v>1105.3769852549799</v>
      </c>
      <c r="DR28" s="276">
        <v>974.98</v>
      </c>
      <c r="DS28" s="277">
        <v>1119.05</v>
      </c>
      <c r="DT28" s="276">
        <v>1435.18</v>
      </c>
      <c r="DU28" s="276">
        <v>1541.03</v>
      </c>
      <c r="DV28" s="276">
        <v>1540.74</v>
      </c>
      <c r="DW28" s="276">
        <v>1859.31</v>
      </c>
      <c r="DX28" s="276">
        <v>2312.38</v>
      </c>
      <c r="DY28" s="276">
        <v>2172.89</v>
      </c>
      <c r="DZ28" s="276">
        <v>3087.28</v>
      </c>
      <c r="EA28" s="276">
        <v>4187.95</v>
      </c>
      <c r="EB28" s="276">
        <v>4743.55</v>
      </c>
      <c r="EC28" s="276">
        <v>3752.91</v>
      </c>
      <c r="ED28" s="276">
        <v>4811.2</v>
      </c>
      <c r="EE28" s="276">
        <v>5967.94</v>
      </c>
      <c r="EF28" s="112" t="s">
        <v>79</v>
      </c>
    </row>
    <row r="29" spans="1:136" x14ac:dyDescent="0.4">
      <c r="A29" s="64" t="s">
        <v>80</v>
      </c>
      <c r="B29" s="276">
        <v>725.86</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7.37</v>
      </c>
      <c r="BT29" s="58">
        <v>8.69</v>
      </c>
      <c r="BU29" s="58">
        <v>10.89</v>
      </c>
      <c r="BV29" s="58">
        <v>9.08</v>
      </c>
      <c r="BW29" s="58">
        <v>10.24</v>
      </c>
      <c r="BX29" s="58">
        <v>13.76</v>
      </c>
      <c r="BY29" s="58">
        <v>13.9</v>
      </c>
      <c r="BZ29" s="58">
        <v>11.14</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36.03</v>
      </c>
      <c r="DK29" s="67">
        <v>20.149999999999999</v>
      </c>
      <c r="DL29" s="67">
        <v>49.04</v>
      </c>
      <c r="DM29" s="67">
        <v>14.8</v>
      </c>
      <c r="DN29" s="67"/>
      <c r="DO29" s="282">
        <v>128.06459000000001</v>
      </c>
      <c r="DP29" s="282">
        <v>194.888015</v>
      </c>
      <c r="DQ29" s="282">
        <v>245.231305321018</v>
      </c>
      <c r="DR29" s="276">
        <v>243.2</v>
      </c>
      <c r="DS29" s="277">
        <v>291.69</v>
      </c>
      <c r="DT29" s="276">
        <v>357.13</v>
      </c>
      <c r="DU29" s="276">
        <v>372.73</v>
      </c>
      <c r="DV29" s="276">
        <v>318.49</v>
      </c>
      <c r="DW29" s="276">
        <v>428.14</v>
      </c>
      <c r="DX29" s="276">
        <v>511.92</v>
      </c>
      <c r="DY29" s="276">
        <v>400.22</v>
      </c>
      <c r="DZ29" s="276">
        <v>473.6</v>
      </c>
      <c r="EA29" s="276">
        <v>512.58000000000004</v>
      </c>
      <c r="EB29" s="276">
        <v>667.76</v>
      </c>
      <c r="EC29" s="276">
        <v>639.82000000000005</v>
      </c>
      <c r="ED29" s="276">
        <v>734.6</v>
      </c>
      <c r="EE29" s="276">
        <v>706.99</v>
      </c>
      <c r="EF29" s="112" t="s">
        <v>80</v>
      </c>
    </row>
    <row r="30" spans="1:136" x14ac:dyDescent="0.4">
      <c r="A30" s="64" t="s">
        <v>379</v>
      </c>
      <c r="B30" s="276">
        <v>132.75</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0.28999999999999998</v>
      </c>
      <c r="BT30" s="58">
        <v>0.35</v>
      </c>
      <c r="BU30" s="58">
        <v>0.2</v>
      </c>
      <c r="BV30" s="58">
        <v>0.67</v>
      </c>
      <c r="BW30" s="58">
        <v>0.23</v>
      </c>
      <c r="BX30" s="58">
        <v>0.21</v>
      </c>
      <c r="BY30" s="58">
        <v>0.23</v>
      </c>
      <c r="BZ30" s="58"/>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1.5</v>
      </c>
      <c r="DK30" s="67">
        <v>88.46</v>
      </c>
      <c r="DL30" s="67"/>
      <c r="DM30" s="67"/>
      <c r="DN30" s="67"/>
      <c r="DO30" s="282">
        <v>143.15840499999999</v>
      </c>
      <c r="DP30" s="282">
        <v>161.645354</v>
      </c>
      <c r="DQ30" s="282">
        <v>183.360245492996</v>
      </c>
      <c r="DR30" s="276">
        <v>164.14</v>
      </c>
      <c r="DS30" s="277">
        <v>187.72</v>
      </c>
      <c r="DT30" s="276">
        <v>222.36</v>
      </c>
      <c r="DU30" s="276">
        <v>272.64999999999998</v>
      </c>
      <c r="DV30" s="276">
        <v>234.88</v>
      </c>
      <c r="DW30" s="276">
        <v>261.92</v>
      </c>
      <c r="DX30" s="276">
        <v>147.5</v>
      </c>
      <c r="DY30" s="276">
        <v>147.82</v>
      </c>
      <c r="DZ30" s="276">
        <v>169.82</v>
      </c>
      <c r="EA30" s="276">
        <v>176.88</v>
      </c>
      <c r="EB30" s="276">
        <v>170.07</v>
      </c>
      <c r="EC30" s="276">
        <v>134.36000000000001</v>
      </c>
      <c r="ED30" s="276">
        <v>122.85</v>
      </c>
      <c r="EE30" s="276">
        <v>125.9</v>
      </c>
      <c r="EF30" s="112" t="s">
        <v>379</v>
      </c>
    </row>
    <row r="31" spans="1:136" x14ac:dyDescent="0.4">
      <c r="A31" s="64" t="s">
        <v>81</v>
      </c>
      <c r="B31" s="276">
        <v>666.49</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16.690000000000001</v>
      </c>
      <c r="BT31" s="58">
        <v>5.34</v>
      </c>
      <c r="BU31" s="58">
        <v>7.12</v>
      </c>
      <c r="BV31" s="58">
        <v>11.68</v>
      </c>
      <c r="BW31" s="58">
        <v>17.3</v>
      </c>
      <c r="BX31" s="58">
        <v>6.18</v>
      </c>
      <c r="BY31" s="58">
        <v>8.25</v>
      </c>
      <c r="BZ31" s="58">
        <v>10.5</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40.840000000000003</v>
      </c>
      <c r="DK31" s="67">
        <v>16.32</v>
      </c>
      <c r="DL31" s="67">
        <v>42.24</v>
      </c>
      <c r="DM31" s="67">
        <v>15.78</v>
      </c>
      <c r="DN31" s="67"/>
      <c r="DO31" s="282">
        <v>209.869193</v>
      </c>
      <c r="DP31" s="282">
        <v>243.21781100000001</v>
      </c>
      <c r="DQ31" s="282">
        <v>267.44165166607797</v>
      </c>
      <c r="DR31" s="276">
        <v>300.99</v>
      </c>
      <c r="DS31" s="277">
        <v>306.13</v>
      </c>
      <c r="DT31" s="276">
        <v>376.37</v>
      </c>
      <c r="DU31" s="276">
        <v>433.87</v>
      </c>
      <c r="DV31" s="276">
        <v>395.09</v>
      </c>
      <c r="DW31" s="276">
        <v>488.45</v>
      </c>
      <c r="DX31" s="276">
        <v>527.86</v>
      </c>
      <c r="DY31" s="276">
        <v>548.16999999999996</v>
      </c>
      <c r="DZ31" s="276">
        <v>609.92999999999995</v>
      </c>
      <c r="EA31" s="276">
        <v>507.41</v>
      </c>
      <c r="EB31" s="276">
        <v>588.14</v>
      </c>
      <c r="EC31" s="276">
        <v>568.54</v>
      </c>
      <c r="ED31" s="276">
        <v>475.1</v>
      </c>
      <c r="EE31" s="276">
        <v>601.29</v>
      </c>
      <c r="EF31" s="112" t="s">
        <v>81</v>
      </c>
    </row>
    <row r="32" spans="1:136" x14ac:dyDescent="0.4">
      <c r="A32" s="164" t="s">
        <v>306</v>
      </c>
      <c r="B32" s="276">
        <v>193.52</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1.48</v>
      </c>
      <c r="BT32" s="58">
        <v>1.66</v>
      </c>
      <c r="BU32" s="58">
        <v>1.83</v>
      </c>
      <c r="BV32" s="58">
        <v>2.02</v>
      </c>
      <c r="BW32" s="58">
        <v>1.79</v>
      </c>
      <c r="BX32" s="58">
        <v>1.96</v>
      </c>
      <c r="BY32" s="58">
        <v>2.06</v>
      </c>
      <c r="BZ32" s="58">
        <v>2.23</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6.99</v>
      </c>
      <c r="DK32" s="67">
        <v>27.7</v>
      </c>
      <c r="DL32" s="67">
        <v>8.0299999999999994</v>
      </c>
      <c r="DM32" s="67">
        <v>24.09</v>
      </c>
      <c r="DN32" s="67"/>
      <c r="DO32" s="282"/>
      <c r="DP32" s="282"/>
      <c r="DQ32" s="282"/>
      <c r="DT32" s="276"/>
      <c r="DU32" s="276"/>
      <c r="DV32" s="276"/>
      <c r="DW32" s="276">
        <v>229.19</v>
      </c>
      <c r="DX32" s="276">
        <v>227.79</v>
      </c>
      <c r="DY32" s="276">
        <v>204.51</v>
      </c>
      <c r="DZ32" s="276">
        <v>243.17</v>
      </c>
      <c r="EA32" s="276">
        <v>204.86</v>
      </c>
      <c r="EB32" s="276">
        <v>268.74</v>
      </c>
      <c r="EC32" s="276">
        <v>189.77</v>
      </c>
      <c r="ED32" s="276">
        <v>195.99</v>
      </c>
      <c r="EE32" s="276">
        <v>197.13</v>
      </c>
      <c r="EF32" s="112" t="s">
        <v>492</v>
      </c>
    </row>
    <row r="33" spans="1:136" x14ac:dyDescent="0.4">
      <c r="B33" s="276"/>
      <c r="C33" s="66"/>
      <c r="D33" s="66"/>
      <c r="E33" s="66"/>
      <c r="F33" s="66"/>
      <c r="G33" s="66"/>
      <c r="H33" s="66"/>
      <c r="I33" s="66"/>
      <c r="J33" s="66"/>
      <c r="K33" s="66"/>
      <c r="L33" s="66"/>
      <c r="M33" s="66"/>
      <c r="N33" s="66"/>
      <c r="O33" s="66"/>
      <c r="P33" s="66"/>
      <c r="Q33" s="66"/>
      <c r="R33" s="66"/>
      <c r="S33" s="66"/>
      <c r="T33" s="66"/>
      <c r="U33" s="58"/>
      <c r="V33" s="58"/>
      <c r="W33" s="283"/>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c r="DG33" s="67"/>
      <c r="DH33" s="67"/>
      <c r="DI33" s="67"/>
      <c r="DJ33" s="67"/>
      <c r="DK33" s="67"/>
      <c r="DL33" s="67"/>
      <c r="DM33" s="67"/>
      <c r="DN33" s="67"/>
      <c r="DT33" s="276"/>
      <c r="DU33" s="276"/>
      <c r="DV33" s="276"/>
      <c r="DW33" s="276"/>
      <c r="DX33" s="276"/>
      <c r="DY33" s="276"/>
      <c r="DZ33" s="276"/>
      <c r="EA33" s="276"/>
    </row>
    <row r="34" spans="1:136" x14ac:dyDescent="0.4">
      <c r="A34" s="64" t="s">
        <v>82</v>
      </c>
      <c r="B34" s="276">
        <v>1360.96</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10.81</v>
      </c>
      <c r="BT34" s="58">
        <v>19.23</v>
      </c>
      <c r="BU34" s="58">
        <v>21.11</v>
      </c>
      <c r="BV34" s="58">
        <v>22.82</v>
      </c>
      <c r="BW34" s="58">
        <v>20.25</v>
      </c>
      <c r="BX34" s="58">
        <v>23.71</v>
      </c>
      <c r="BY34" s="58">
        <v>25.24</v>
      </c>
      <c r="BZ34" s="58">
        <v>27.22</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61.86</v>
      </c>
      <c r="DI34" s="67">
        <v>22.76</v>
      </c>
      <c r="DJ34" s="67">
        <v>73.97</v>
      </c>
      <c r="DK34" s="67">
        <v>18.399999999999999</v>
      </c>
      <c r="DL34" s="67">
        <v>96.42</v>
      </c>
      <c r="DM34" s="67">
        <v>14.11</v>
      </c>
      <c r="DN34" s="67"/>
      <c r="DO34" s="282">
        <v>268.73003299999999</v>
      </c>
      <c r="DP34" s="282">
        <v>332.63385699999998</v>
      </c>
      <c r="DQ34" s="282">
        <v>415.72857196557999</v>
      </c>
      <c r="DR34" s="276">
        <v>415.07</v>
      </c>
      <c r="DS34" s="277">
        <v>476.57</v>
      </c>
      <c r="DT34" s="276">
        <v>665.54</v>
      </c>
      <c r="DU34" s="276">
        <v>695.08</v>
      </c>
      <c r="DV34" s="276">
        <v>671.74</v>
      </c>
      <c r="DW34" s="276">
        <v>837.96</v>
      </c>
      <c r="DX34" s="276">
        <v>936.26</v>
      </c>
      <c r="DY34" s="276">
        <v>844.94</v>
      </c>
      <c r="DZ34" s="276">
        <v>1021.18</v>
      </c>
      <c r="EA34" s="276">
        <v>1118.93</v>
      </c>
      <c r="EB34" s="276">
        <v>1401.71</v>
      </c>
      <c r="EC34" s="276">
        <v>1157.53</v>
      </c>
      <c r="ED34" s="276">
        <v>1318.26</v>
      </c>
      <c r="EE34" s="276">
        <v>1408.17</v>
      </c>
      <c r="EF34" s="112" t="s">
        <v>82</v>
      </c>
    </row>
    <row r="35" spans="1:136" x14ac:dyDescent="0.4">
      <c r="A35" s="64" t="s">
        <v>83</v>
      </c>
      <c r="B35" s="276">
        <v>947.55</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20.47</v>
      </c>
      <c r="BS35" s="58">
        <v>11.85</v>
      </c>
      <c r="BT35" s="58">
        <v>17.48</v>
      </c>
      <c r="BU35" s="58">
        <v>17.649999999999999</v>
      </c>
      <c r="BV35" s="58">
        <v>21.58</v>
      </c>
      <c r="BW35" s="58">
        <v>14.4</v>
      </c>
      <c r="BX35" s="58">
        <v>20.99</v>
      </c>
      <c r="BY35" s="58">
        <v>21.71</v>
      </c>
      <c r="BZ35" s="58">
        <v>25.07</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68.58</v>
      </c>
      <c r="DI35" s="67">
        <v>14.71</v>
      </c>
      <c r="DJ35" s="67">
        <v>68.56</v>
      </c>
      <c r="DK35" s="67">
        <v>13.82</v>
      </c>
      <c r="DL35" s="67">
        <v>82.18</v>
      </c>
      <c r="DM35" s="67">
        <v>11.53</v>
      </c>
      <c r="DN35" s="67"/>
      <c r="DO35" s="282">
        <v>125.120938</v>
      </c>
      <c r="DP35" s="282">
        <v>188.551579</v>
      </c>
      <c r="DQ35" s="282">
        <v>254.457481513792</v>
      </c>
      <c r="DR35" s="276">
        <v>246.53</v>
      </c>
      <c r="DS35" s="277">
        <v>303.55</v>
      </c>
      <c r="DT35" s="276">
        <v>448.34</v>
      </c>
      <c r="DU35" s="276">
        <v>466.27</v>
      </c>
      <c r="DV35" s="276">
        <v>421.45</v>
      </c>
      <c r="DW35" s="276">
        <v>483.14</v>
      </c>
      <c r="DX35" s="276">
        <v>559.41</v>
      </c>
      <c r="DY35" s="276">
        <v>507.59</v>
      </c>
      <c r="DZ35" s="276">
        <v>589.79</v>
      </c>
      <c r="EA35" s="276">
        <v>752.12</v>
      </c>
      <c r="EB35" s="276">
        <v>1027.18</v>
      </c>
      <c r="EC35" s="276">
        <v>732.37</v>
      </c>
      <c r="ED35" s="276">
        <v>957.53</v>
      </c>
      <c r="EE35" s="276">
        <v>1008.84</v>
      </c>
      <c r="EF35" s="112" t="s">
        <v>83</v>
      </c>
    </row>
    <row r="36" spans="1:136" x14ac:dyDescent="0.4">
      <c r="A36" s="64" t="s">
        <v>84</v>
      </c>
      <c r="B36" s="276">
        <v>2493.84</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51.14</v>
      </c>
      <c r="BT36" s="58">
        <v>49.76</v>
      </c>
      <c r="BU36" s="58">
        <v>43.71</v>
      </c>
      <c r="BV36" s="58">
        <v>43.07</v>
      </c>
      <c r="BW36" s="58">
        <v>42.12</v>
      </c>
      <c r="BX36" s="58">
        <v>42.98</v>
      </c>
      <c r="BY36" s="58">
        <v>38.479999999999997</v>
      </c>
      <c r="BZ36" s="58"/>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187.68</v>
      </c>
      <c r="DK36" s="67">
        <v>13.29</v>
      </c>
      <c r="DL36" s="67"/>
      <c r="DM36" s="67"/>
      <c r="DN36" s="67"/>
      <c r="DO36" s="282">
        <v>411.18553700000001</v>
      </c>
      <c r="DP36" s="282">
        <v>566.97425799999996</v>
      </c>
      <c r="DQ36" s="282">
        <v>708.93524962621302</v>
      </c>
      <c r="DR36" s="276">
        <v>761.75</v>
      </c>
      <c r="DS36" s="277">
        <v>855.92</v>
      </c>
      <c r="DT36" s="276">
        <v>1227.1199999999999</v>
      </c>
      <c r="DU36" s="276">
        <v>1341.7</v>
      </c>
      <c r="DV36" s="276">
        <v>1327.38</v>
      </c>
      <c r="DW36" s="276">
        <v>1647.99</v>
      </c>
      <c r="DX36" s="276">
        <v>1773.17</v>
      </c>
      <c r="DY36" s="276">
        <v>1659.2</v>
      </c>
      <c r="DZ36" s="276">
        <v>1903.46</v>
      </c>
      <c r="EA36" s="276">
        <v>2068.36</v>
      </c>
      <c r="EB36" s="276">
        <v>2625.28</v>
      </c>
      <c r="EC36" s="276">
        <v>2416.58</v>
      </c>
      <c r="ED36" s="276">
        <v>2729.42</v>
      </c>
      <c r="EE36" s="276">
        <v>2710.03</v>
      </c>
      <c r="EF36" s="112" t="s">
        <v>84</v>
      </c>
    </row>
    <row r="37" spans="1:136" x14ac:dyDescent="0.4">
      <c r="A37" s="64" t="s">
        <v>85</v>
      </c>
      <c r="B37" s="276">
        <v>298.61</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4.2699999999999996</v>
      </c>
      <c r="BT37" s="58">
        <v>5.12</v>
      </c>
      <c r="BU37" s="58">
        <v>5.63</v>
      </c>
      <c r="BV37" s="58">
        <v>5.33</v>
      </c>
      <c r="BW37" s="58">
        <v>5.33</v>
      </c>
      <c r="BX37" s="58">
        <v>5.43</v>
      </c>
      <c r="BY37" s="58">
        <v>6.53</v>
      </c>
      <c r="BZ37" s="58">
        <v>6.77</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20.350000000000001</v>
      </c>
      <c r="DK37" s="67">
        <v>14.67</v>
      </c>
      <c r="DL37" s="67">
        <v>24.06</v>
      </c>
      <c r="DM37" s="67">
        <v>12.41</v>
      </c>
      <c r="DN37" s="67"/>
      <c r="DO37" s="282">
        <v>509.004437</v>
      </c>
      <c r="DP37" s="282">
        <v>824.31099900000004</v>
      </c>
      <c r="DQ37" s="282">
        <v>1189.83001928814</v>
      </c>
      <c r="DR37" s="276">
        <v>1216.75</v>
      </c>
      <c r="DS37" s="277">
        <v>1213.24</v>
      </c>
      <c r="DT37" s="276">
        <v>1675.39</v>
      </c>
      <c r="DU37" s="276">
        <v>1068.8599999999999</v>
      </c>
      <c r="DV37" s="276">
        <v>559.04</v>
      </c>
      <c r="DW37" s="276">
        <v>766.14</v>
      </c>
      <c r="DX37" s="276">
        <v>561.77</v>
      </c>
      <c r="DY37" s="276">
        <v>320.23</v>
      </c>
      <c r="DZ37" s="276">
        <v>271.61</v>
      </c>
      <c r="EA37" s="276">
        <v>162.15</v>
      </c>
      <c r="EB37" s="276">
        <v>258.19</v>
      </c>
      <c r="EC37" s="276">
        <v>375.08</v>
      </c>
      <c r="ED37" s="276">
        <v>382.64</v>
      </c>
      <c r="EE37" s="276">
        <v>356.52</v>
      </c>
      <c r="EF37" s="112" t="s">
        <v>85</v>
      </c>
    </row>
    <row r="38" spans="1:136" x14ac:dyDescent="0.4">
      <c r="A38" s="64" t="s">
        <v>86</v>
      </c>
      <c r="B38" s="276">
        <v>1197.04</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15.35</v>
      </c>
      <c r="BT38" s="58">
        <v>24.07</v>
      </c>
      <c r="BU38" s="58">
        <v>27.43</v>
      </c>
      <c r="BV38" s="58">
        <v>28.45</v>
      </c>
      <c r="BW38" s="58">
        <v>29.11</v>
      </c>
      <c r="BX38" s="58">
        <v>30.05</v>
      </c>
      <c r="BY38" s="58">
        <v>30.93</v>
      </c>
      <c r="BZ38" s="58">
        <v>32.200000000000003</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95.31</v>
      </c>
      <c r="DK38" s="67">
        <v>12.56</v>
      </c>
      <c r="DL38" s="67">
        <v>122.28</v>
      </c>
      <c r="DM38" s="67">
        <v>9.7899999999999991</v>
      </c>
      <c r="DN38" s="67"/>
      <c r="DO38" s="282">
        <v>455.79289599999998</v>
      </c>
      <c r="DP38" s="282">
        <v>417.94242200000002</v>
      </c>
      <c r="DQ38" s="282">
        <v>494.85522157515697</v>
      </c>
      <c r="DR38" s="276">
        <v>490.3</v>
      </c>
      <c r="DS38" s="277">
        <v>559.32000000000005</v>
      </c>
      <c r="DT38" s="276">
        <v>716.59</v>
      </c>
      <c r="DU38" s="276">
        <v>754.55</v>
      </c>
      <c r="DV38" s="276">
        <v>735.23</v>
      </c>
      <c r="DW38" s="276">
        <v>994.78</v>
      </c>
      <c r="DX38" s="276">
        <v>1037.6600000000001</v>
      </c>
      <c r="DY38" s="276">
        <v>949.01</v>
      </c>
      <c r="DZ38" s="276">
        <v>1110.22</v>
      </c>
      <c r="EA38" s="276">
        <v>984.47</v>
      </c>
      <c r="EB38" s="276">
        <v>1222.2</v>
      </c>
      <c r="EC38" s="276">
        <v>1019.68</v>
      </c>
      <c r="ED38" s="276">
        <v>1033.8699999999999</v>
      </c>
      <c r="EE38" s="276">
        <v>1189.75</v>
      </c>
      <c r="EF38" s="112" t="s">
        <v>86</v>
      </c>
    </row>
    <row r="39" spans="1:136" x14ac:dyDescent="0.4">
      <c r="A39" s="64" t="s">
        <v>87</v>
      </c>
      <c r="B39" s="276">
        <v>2795.22</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13.54</v>
      </c>
      <c r="BT39" s="58">
        <v>24.76</v>
      </c>
      <c r="BU39" s="58">
        <v>33.380000000000003</v>
      </c>
      <c r="BV39" s="58">
        <v>39.06</v>
      </c>
      <c r="BW39" s="58">
        <v>30.42</v>
      </c>
      <c r="BX39" s="58">
        <v>34.65</v>
      </c>
      <c r="BY39" s="58">
        <v>40.18</v>
      </c>
      <c r="BZ39" s="58">
        <v>49.63</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110.74</v>
      </c>
      <c r="DK39" s="67">
        <v>25.24</v>
      </c>
      <c r="DL39" s="67">
        <v>154.88</v>
      </c>
      <c r="DM39" s="67">
        <v>18.05</v>
      </c>
      <c r="DN39" s="67"/>
      <c r="DO39" s="282">
        <v>432.21943900000002</v>
      </c>
      <c r="DP39" s="282">
        <v>528.228252</v>
      </c>
      <c r="DQ39" s="282">
        <v>645.648413465369</v>
      </c>
      <c r="DR39" s="276">
        <v>732.64</v>
      </c>
      <c r="DS39" s="277">
        <v>828.04</v>
      </c>
      <c r="DT39" s="276">
        <v>1287.72</v>
      </c>
      <c r="DU39" s="276">
        <v>1428.29</v>
      </c>
      <c r="DV39" s="276">
        <v>1719.5</v>
      </c>
      <c r="DW39" s="276">
        <v>1752.93</v>
      </c>
      <c r="DX39" s="276">
        <v>2357.34</v>
      </c>
      <c r="DY39" s="276">
        <v>2587.64</v>
      </c>
      <c r="DZ39" s="276">
        <v>3108.72</v>
      </c>
      <c r="EA39" s="276">
        <v>4085.24</v>
      </c>
      <c r="EB39" s="276">
        <v>4320.55</v>
      </c>
      <c r="EC39" s="276">
        <v>3178.63</v>
      </c>
      <c r="ED39" s="276">
        <v>3094.14</v>
      </c>
      <c r="EE39" s="276">
        <v>3198.95</v>
      </c>
      <c r="EF39" s="112" t="s">
        <v>87</v>
      </c>
    </row>
    <row r="40" spans="1:136" x14ac:dyDescent="0.4">
      <c r="A40" s="64" t="s">
        <v>88</v>
      </c>
      <c r="B40" s="276">
        <v>2348.94</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17.149999999999999</v>
      </c>
      <c r="BT40" s="58">
        <v>27.52</v>
      </c>
      <c r="BU40" s="58">
        <v>30.1</v>
      </c>
      <c r="BV40" s="58">
        <v>27.37</v>
      </c>
      <c r="BW40" s="58">
        <v>25.66</v>
      </c>
      <c r="BX40" s="58">
        <v>34.619999999999997</v>
      </c>
      <c r="BY40" s="58">
        <v>35.36</v>
      </c>
      <c r="BZ40" s="58">
        <v>32.57</v>
      </c>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102.13</v>
      </c>
      <c r="DK40" s="67">
        <v>23</v>
      </c>
      <c r="DL40" s="67">
        <v>128.22</v>
      </c>
      <c r="DM40" s="67">
        <v>18.32</v>
      </c>
      <c r="DN40" s="67"/>
      <c r="DO40" s="282">
        <v>323.26309500000002</v>
      </c>
      <c r="DP40" s="282">
        <v>372.565789</v>
      </c>
      <c r="DQ40" s="282">
        <v>468.88068339173702</v>
      </c>
      <c r="DR40" s="276">
        <v>441.05</v>
      </c>
      <c r="DS40" s="277">
        <v>529.85</v>
      </c>
      <c r="DT40" s="276">
        <v>746.08</v>
      </c>
      <c r="DU40" s="276">
        <v>758.61</v>
      </c>
      <c r="DV40" s="276">
        <v>711.08</v>
      </c>
      <c r="DW40" s="276">
        <v>911.68</v>
      </c>
      <c r="DX40" s="276">
        <v>1058.76</v>
      </c>
      <c r="DY40" s="276">
        <v>922.44</v>
      </c>
      <c r="DZ40" s="276">
        <v>1184.56</v>
      </c>
      <c r="EA40" s="276">
        <v>1313.25</v>
      </c>
      <c r="EB40" s="276">
        <v>1640.49</v>
      </c>
      <c r="EC40" s="276">
        <v>1470.86</v>
      </c>
      <c r="ED40" s="276">
        <v>1917.48</v>
      </c>
      <c r="EE40" s="276">
        <v>2226.15</v>
      </c>
      <c r="EF40" s="112" t="s">
        <v>88</v>
      </c>
    </row>
    <row r="41" spans="1:136" x14ac:dyDescent="0.4">
      <c r="A41" s="64" t="s">
        <v>89</v>
      </c>
      <c r="B41" s="276">
        <v>1227.9000000000001</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-1.71</v>
      </c>
      <c r="BT41" s="58">
        <v>15.82</v>
      </c>
      <c r="BU41" s="58">
        <v>16.23</v>
      </c>
      <c r="BV41" s="58">
        <v>18.48</v>
      </c>
      <c r="BW41" s="58">
        <v>15.75</v>
      </c>
      <c r="BX41" s="58">
        <v>16.13</v>
      </c>
      <c r="BY41" s="58">
        <v>19.010000000000002</v>
      </c>
      <c r="BZ41" s="58">
        <v>20.47</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48.83</v>
      </c>
      <c r="DK41" s="67">
        <v>25.15</v>
      </c>
      <c r="DL41" s="67">
        <v>71.349999999999994</v>
      </c>
      <c r="DM41" s="67">
        <v>17.21</v>
      </c>
      <c r="DN41" s="67"/>
      <c r="DO41" s="282">
        <v>137.085894</v>
      </c>
      <c r="DP41" s="282">
        <v>202.58402699999999</v>
      </c>
      <c r="DQ41" s="282">
        <v>251.92909297019099</v>
      </c>
      <c r="DR41" s="276">
        <v>241.05</v>
      </c>
      <c r="DS41" s="277">
        <v>268.88</v>
      </c>
      <c r="DT41" s="276">
        <v>388.16</v>
      </c>
      <c r="DU41" s="276">
        <v>438.01</v>
      </c>
      <c r="DV41" s="276">
        <v>456.15</v>
      </c>
      <c r="DW41" s="276">
        <v>607.80999999999995</v>
      </c>
      <c r="DX41" s="276">
        <v>667.42</v>
      </c>
      <c r="DY41" s="276">
        <v>604.86</v>
      </c>
      <c r="DZ41" s="276">
        <v>840.51</v>
      </c>
      <c r="EA41" s="276">
        <v>1070.06</v>
      </c>
      <c r="EB41" s="276">
        <v>1353.92</v>
      </c>
      <c r="EC41" s="276">
        <v>1048.1199999999999</v>
      </c>
      <c r="ED41" s="276">
        <v>1264.3399999999999</v>
      </c>
      <c r="EE41" s="276">
        <v>1251.05</v>
      </c>
      <c r="EF41" s="112" t="s">
        <v>89</v>
      </c>
    </row>
    <row r="42" spans="1:136" x14ac:dyDescent="0.4">
      <c r="A42" s="64" t="s">
        <v>90</v>
      </c>
      <c r="B42" s="276">
        <v>750.49</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6.59</v>
      </c>
      <c r="BT42" s="58">
        <v>9.73</v>
      </c>
      <c r="BU42" s="58">
        <v>12.37</v>
      </c>
      <c r="BV42" s="58">
        <v>13.23</v>
      </c>
      <c r="BW42" s="58">
        <v>12.84</v>
      </c>
      <c r="BX42" s="58">
        <v>17.059999999999999</v>
      </c>
      <c r="BY42" s="58">
        <v>18.62</v>
      </c>
      <c r="BZ42" s="58">
        <v>18.04</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41.93</v>
      </c>
      <c r="DK42" s="67">
        <v>17.899999999999999</v>
      </c>
      <c r="DL42" s="67">
        <v>66.56</v>
      </c>
      <c r="DM42" s="67">
        <v>11.28</v>
      </c>
      <c r="DN42" s="67"/>
      <c r="DO42" s="282">
        <v>167.886177</v>
      </c>
      <c r="DP42" s="282">
        <v>245.56984800000001</v>
      </c>
      <c r="DQ42" s="282">
        <v>287.68724360763201</v>
      </c>
      <c r="DR42" s="276">
        <v>261.44</v>
      </c>
      <c r="DS42" s="277">
        <v>324.22000000000003</v>
      </c>
      <c r="DT42" s="276">
        <v>436.1</v>
      </c>
      <c r="DU42" s="276">
        <v>433.19</v>
      </c>
      <c r="DV42" s="276">
        <v>317.93</v>
      </c>
      <c r="DW42" s="276">
        <v>485.75</v>
      </c>
      <c r="DX42" s="276">
        <v>528.41</v>
      </c>
      <c r="DY42" s="276">
        <v>406.33</v>
      </c>
      <c r="DZ42" s="276">
        <v>483.58</v>
      </c>
      <c r="EA42" s="276">
        <v>583.08000000000004</v>
      </c>
      <c r="EB42" s="276">
        <v>684.55</v>
      </c>
      <c r="EC42" s="276">
        <v>635.96</v>
      </c>
      <c r="ED42" s="276">
        <v>754.48</v>
      </c>
      <c r="EE42" s="276">
        <v>754.26</v>
      </c>
      <c r="EF42" s="112" t="s">
        <v>90</v>
      </c>
    </row>
    <row r="43" spans="1:136" x14ac:dyDescent="0.4">
      <c r="A43" s="64" t="s">
        <v>380</v>
      </c>
      <c r="B43" s="276">
        <v>3.23</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-0.02</v>
      </c>
      <c r="BT43" s="58">
        <v>0.02</v>
      </c>
      <c r="BU43" s="58">
        <v>0.01</v>
      </c>
      <c r="BV43" s="58">
        <v>0.04</v>
      </c>
      <c r="BW43" s="58">
        <v>0.01</v>
      </c>
      <c r="BX43" s="58">
        <v>0.03</v>
      </c>
      <c r="BY43" s="58">
        <v>0.04</v>
      </c>
      <c r="BZ43" s="58">
        <v>0.06</v>
      </c>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0.05</v>
      </c>
      <c r="DK43" s="67">
        <v>62.63</v>
      </c>
      <c r="DL43" s="67">
        <v>0.14000000000000001</v>
      </c>
      <c r="DM43" s="67">
        <v>23.25</v>
      </c>
      <c r="DN43" s="67"/>
      <c r="DO43" s="282">
        <v>4.8689799999999996</v>
      </c>
      <c r="DP43" s="282">
        <v>2.733466</v>
      </c>
      <c r="DQ43" s="282">
        <v>2.78718630060018</v>
      </c>
      <c r="DR43" s="276">
        <v>2.35</v>
      </c>
      <c r="DS43" s="277">
        <v>2.42</v>
      </c>
      <c r="DT43" s="276">
        <v>2.54</v>
      </c>
      <c r="DU43" s="276">
        <v>2.46</v>
      </c>
      <c r="DV43" s="276">
        <v>2.4700000000000002</v>
      </c>
      <c r="DW43" s="276">
        <v>2.9</v>
      </c>
      <c r="DX43" s="276">
        <v>2.84</v>
      </c>
      <c r="DY43" s="276">
        <v>2.8</v>
      </c>
      <c r="DZ43" s="276">
        <v>2.88</v>
      </c>
      <c r="EA43" s="276">
        <v>3.42</v>
      </c>
      <c r="EB43" s="276">
        <v>4.3099999999999996</v>
      </c>
      <c r="EC43" s="276">
        <v>2.78</v>
      </c>
      <c r="ED43" s="276">
        <v>3.12</v>
      </c>
      <c r="EE43" s="276">
        <v>3.61</v>
      </c>
      <c r="EF43" s="112" t="s">
        <v>380</v>
      </c>
    </row>
    <row r="44" spans="1:136" x14ac:dyDescent="0.4">
      <c r="A44" s="64" t="s">
        <v>91</v>
      </c>
      <c r="B44" s="276">
        <v>1007</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17.21</v>
      </c>
      <c r="BT44" s="58">
        <v>10.63</v>
      </c>
      <c r="BU44" s="58">
        <v>12.56</v>
      </c>
      <c r="BV44" s="58">
        <v>16.510000000000002</v>
      </c>
      <c r="BW44" s="58">
        <v>20.37</v>
      </c>
      <c r="BX44" s="58">
        <v>11.25</v>
      </c>
      <c r="BY44" s="58">
        <v>13.29</v>
      </c>
      <c r="BZ44" s="58">
        <v>17.46</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56.91</v>
      </c>
      <c r="DK44" s="67">
        <v>17.690000000000001</v>
      </c>
      <c r="DL44" s="67">
        <v>62.36</v>
      </c>
      <c r="DM44" s="67">
        <v>16.149999999999999</v>
      </c>
      <c r="DN44" s="67"/>
      <c r="DO44" s="282">
        <v>376.25567999999998</v>
      </c>
      <c r="DP44" s="282">
        <v>382.95429799999999</v>
      </c>
      <c r="DQ44" s="282">
        <v>435.23831515996199</v>
      </c>
      <c r="DR44" s="276">
        <v>500.03</v>
      </c>
      <c r="DS44" s="277">
        <v>485.39</v>
      </c>
      <c r="DT44" s="276">
        <v>566.92999999999995</v>
      </c>
      <c r="DU44" s="276">
        <v>667.54</v>
      </c>
      <c r="DV44" s="276">
        <v>693.15</v>
      </c>
      <c r="DW44" s="276">
        <v>828.85</v>
      </c>
      <c r="DX44" s="276">
        <v>959.55</v>
      </c>
      <c r="DY44" s="276">
        <v>928.45</v>
      </c>
      <c r="DZ44" s="276">
        <v>1113.3599999999999</v>
      </c>
      <c r="EA44" s="276">
        <v>965</v>
      </c>
      <c r="EB44" s="276">
        <v>1183.1600000000001</v>
      </c>
      <c r="EC44" s="276">
        <v>1130.3800000000001</v>
      </c>
      <c r="ED44" s="276">
        <v>1015.78</v>
      </c>
      <c r="EE44" s="276">
        <v>1002.61</v>
      </c>
      <c r="EF44" s="112" t="s">
        <v>91</v>
      </c>
    </row>
    <row r="45" spans="1:136" s="102" customFormat="1" x14ac:dyDescent="0.4">
      <c r="A45" s="72" t="s">
        <v>307</v>
      </c>
      <c r="B45" s="276">
        <v>146.38999999999999</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v>0.37</v>
      </c>
      <c r="BT45" s="58">
        <v>0.99</v>
      </c>
      <c r="BU45" s="58">
        <v>0.94</v>
      </c>
      <c r="BV45" s="58">
        <v>1.1000000000000001</v>
      </c>
      <c r="BW45" s="58">
        <v>0.78</v>
      </c>
      <c r="BX45" s="58">
        <v>1.1599999999999999</v>
      </c>
      <c r="BY45" s="58">
        <v>1.07</v>
      </c>
      <c r="BZ45" s="58">
        <v>1.26</v>
      </c>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v>3.4</v>
      </c>
      <c r="DK45" s="67">
        <v>43.11</v>
      </c>
      <c r="DL45" s="67">
        <v>4.28</v>
      </c>
      <c r="DM45" s="67">
        <v>34.24</v>
      </c>
      <c r="DN45" s="67"/>
      <c r="DO45" s="101"/>
      <c r="DP45" s="101"/>
      <c r="DQ45" s="101"/>
      <c r="DR45" s="276"/>
      <c r="DS45" s="277"/>
      <c r="DT45" s="276"/>
      <c r="DU45" s="276"/>
      <c r="DV45" s="276"/>
      <c r="DW45" s="276">
        <v>201.01</v>
      </c>
      <c r="DX45" s="276">
        <v>203.41</v>
      </c>
      <c r="DY45" s="276">
        <v>171.09</v>
      </c>
      <c r="DZ45" s="276">
        <v>206.13</v>
      </c>
      <c r="EA45" s="276">
        <v>177.5</v>
      </c>
      <c r="EB45" s="276">
        <v>224.12</v>
      </c>
      <c r="EC45" s="276">
        <v>151.47</v>
      </c>
      <c r="ED45" s="276">
        <v>154.36000000000001</v>
      </c>
      <c r="EE45" s="276">
        <v>158.72</v>
      </c>
      <c r="EF45" s="112" t="s">
        <v>493</v>
      </c>
    </row>
    <row r="46" spans="1:136" s="102" customFormat="1" x14ac:dyDescent="0.4">
      <c r="A46" s="72"/>
      <c r="B46" s="276"/>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76"/>
      <c r="DS46" s="277"/>
      <c r="DT46" s="276"/>
      <c r="DU46" s="276"/>
      <c r="DV46" s="276"/>
      <c r="DW46" s="276"/>
      <c r="DX46" s="276"/>
      <c r="DY46" s="276"/>
      <c r="DZ46" s="276"/>
      <c r="EA46" s="276"/>
      <c r="EB46" s="276"/>
      <c r="EC46" s="276"/>
      <c r="ED46" s="276"/>
      <c r="EE46" s="276"/>
      <c r="EF46" s="112"/>
    </row>
    <row r="47" spans="1:136" s="102" customFormat="1" x14ac:dyDescent="0.4">
      <c r="A47" s="64" t="s">
        <v>157</v>
      </c>
      <c r="B47" s="276">
        <v>1425.8</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12.95</v>
      </c>
      <c r="BT47" s="58">
        <v>14.59</v>
      </c>
      <c r="BU47" s="58">
        <v>15.38</v>
      </c>
      <c r="BV47" s="58">
        <v>16.079999999999998</v>
      </c>
      <c r="BW47" s="58">
        <v>16.059999999999999</v>
      </c>
      <c r="BX47" s="58">
        <v>16.86</v>
      </c>
      <c r="BY47" s="58">
        <v>17.8</v>
      </c>
      <c r="BZ47" s="58">
        <v>18.38</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58.99</v>
      </c>
      <c r="DK47" s="101">
        <v>24.17</v>
      </c>
      <c r="DL47" s="101">
        <v>69.099999999999994</v>
      </c>
      <c r="DM47" s="101">
        <v>20.63</v>
      </c>
      <c r="DN47" s="67"/>
      <c r="DO47" s="101">
        <v>204.93180699999999</v>
      </c>
      <c r="DP47" s="101">
        <v>254.785774</v>
      </c>
      <c r="DQ47" s="101">
        <v>254.785774</v>
      </c>
      <c r="DR47" s="276">
        <v>290.12</v>
      </c>
      <c r="DS47" s="277">
        <v>329.78</v>
      </c>
      <c r="DT47" s="276">
        <v>429.1</v>
      </c>
      <c r="DU47" s="276">
        <v>475.8</v>
      </c>
      <c r="DV47" s="276">
        <v>470.91</v>
      </c>
      <c r="DW47" s="276">
        <v>521.04</v>
      </c>
      <c r="DX47" s="276">
        <v>618.99</v>
      </c>
      <c r="DY47" s="276">
        <v>577.11</v>
      </c>
      <c r="DZ47" s="276">
        <v>740.69</v>
      </c>
      <c r="EA47" s="276">
        <v>857.79</v>
      </c>
      <c r="EB47" s="276">
        <v>1086.44</v>
      </c>
      <c r="EC47" s="276">
        <v>878.75</v>
      </c>
      <c r="ED47" s="276">
        <v>1084.46</v>
      </c>
      <c r="EE47" s="276">
        <v>1325.59</v>
      </c>
      <c r="EF47" s="112" t="s">
        <v>157</v>
      </c>
    </row>
    <row r="48" spans="1:136" s="102" customFormat="1" x14ac:dyDescent="0.4">
      <c r="A48" s="64" t="s">
        <v>158</v>
      </c>
      <c r="B48" s="276">
        <v>1625.86</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16.02</v>
      </c>
      <c r="BS48" s="58">
        <v>11.68</v>
      </c>
      <c r="BT48" s="58">
        <v>13.69</v>
      </c>
      <c r="BU48" s="58">
        <v>15.37</v>
      </c>
      <c r="BV48" s="58">
        <v>15.14</v>
      </c>
      <c r="BW48" s="58">
        <v>13.91</v>
      </c>
      <c r="BX48" s="58">
        <v>16.079999999999998</v>
      </c>
      <c r="BY48" s="58">
        <v>17.920000000000002</v>
      </c>
      <c r="BZ48" s="58">
        <v>17.63</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58.78</v>
      </c>
      <c r="DI48" s="101">
        <v>28.12</v>
      </c>
      <c r="DJ48" s="101">
        <v>55.89</v>
      </c>
      <c r="DK48" s="101">
        <v>29.09</v>
      </c>
      <c r="DL48" s="101">
        <v>65.540000000000006</v>
      </c>
      <c r="DM48" s="101">
        <v>24.81</v>
      </c>
      <c r="DN48" s="67"/>
      <c r="DO48" s="101">
        <v>157.30288400000001</v>
      </c>
      <c r="DP48" s="101">
        <v>221.964673</v>
      </c>
      <c r="DQ48" s="101">
        <v>221.964673</v>
      </c>
      <c r="DR48" s="276">
        <v>291.89999999999998</v>
      </c>
      <c r="DS48" s="277">
        <v>355.82</v>
      </c>
      <c r="DT48" s="276">
        <v>502.69</v>
      </c>
      <c r="DU48" s="276">
        <v>543.08000000000004</v>
      </c>
      <c r="DV48" s="276">
        <v>576.91999999999996</v>
      </c>
      <c r="DW48" s="276">
        <v>605.63</v>
      </c>
      <c r="DX48" s="276">
        <v>731.48</v>
      </c>
      <c r="DY48" s="276">
        <v>714.82</v>
      </c>
      <c r="DZ48" s="276">
        <v>898.45</v>
      </c>
      <c r="EA48" s="276">
        <v>1182.83</v>
      </c>
      <c r="EB48" s="276">
        <v>1471.91</v>
      </c>
      <c r="EC48" s="276">
        <v>937.81</v>
      </c>
      <c r="ED48" s="276">
        <v>1305.1600000000001</v>
      </c>
      <c r="EE48" s="276">
        <v>1653.01</v>
      </c>
      <c r="EF48" s="112" t="s">
        <v>158</v>
      </c>
    </row>
    <row r="49" spans="1:136" s="102" customFormat="1" x14ac:dyDescent="0.4">
      <c r="A49" s="64" t="s">
        <v>159</v>
      </c>
      <c r="B49" s="276">
        <v>938.53</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9.58</v>
      </c>
      <c r="BT49" s="58">
        <v>10.45</v>
      </c>
      <c r="BU49" s="58">
        <v>11.05</v>
      </c>
      <c r="BV49" s="58">
        <v>10.95</v>
      </c>
      <c r="BW49" s="58">
        <v>10.4</v>
      </c>
      <c r="BX49" s="58">
        <v>11.48</v>
      </c>
      <c r="BY49" s="58">
        <v>11.91</v>
      </c>
      <c r="BZ49" s="58">
        <v>11.72</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42.04</v>
      </c>
      <c r="DK49" s="101">
        <v>22.33</v>
      </c>
      <c r="DL49" s="101">
        <v>45.51</v>
      </c>
      <c r="DM49" s="101">
        <v>20.62</v>
      </c>
      <c r="DN49" s="67"/>
      <c r="DO49" s="101">
        <v>253.99034599999999</v>
      </c>
      <c r="DP49" s="101">
        <v>283.697003</v>
      </c>
      <c r="DQ49" s="101">
        <v>283.697003</v>
      </c>
      <c r="DR49" s="276">
        <v>349.81</v>
      </c>
      <c r="DS49" s="277">
        <v>377.01</v>
      </c>
      <c r="DT49" s="276">
        <v>465.29</v>
      </c>
      <c r="DU49" s="276">
        <v>527.99</v>
      </c>
      <c r="DV49" s="276">
        <v>545.97</v>
      </c>
      <c r="DW49" s="276">
        <v>562.89</v>
      </c>
      <c r="DX49" s="276">
        <v>620.03</v>
      </c>
      <c r="DY49" s="276">
        <v>551.64</v>
      </c>
      <c r="DZ49" s="276">
        <v>680.96</v>
      </c>
      <c r="EA49" s="276">
        <v>735.68</v>
      </c>
      <c r="EB49" s="276">
        <v>849.7</v>
      </c>
      <c r="EC49" s="276">
        <v>822.51</v>
      </c>
      <c r="ED49" s="276">
        <v>811.77</v>
      </c>
      <c r="EE49" s="276">
        <v>909.25</v>
      </c>
      <c r="EF49" s="112" t="s">
        <v>159</v>
      </c>
    </row>
    <row r="50" spans="1:136" s="102" customFormat="1" x14ac:dyDescent="0.4">
      <c r="A50" s="64" t="s">
        <v>160</v>
      </c>
      <c r="B50" s="276">
        <v>666.56</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9.25</v>
      </c>
      <c r="BT50" s="58">
        <v>10.35</v>
      </c>
      <c r="BU50" s="58">
        <v>10.76</v>
      </c>
      <c r="BV50" s="58">
        <v>10.43</v>
      </c>
      <c r="BW50" s="58">
        <v>11.39</v>
      </c>
      <c r="BX50" s="58">
        <v>12.01</v>
      </c>
      <c r="BY50" s="58">
        <v>13.03</v>
      </c>
      <c r="BZ50" s="58">
        <v>12.82</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40.79</v>
      </c>
      <c r="DK50" s="101">
        <v>16.34</v>
      </c>
      <c r="DL50" s="101">
        <v>49.25</v>
      </c>
      <c r="DM50" s="101">
        <v>13.53</v>
      </c>
      <c r="DN50" s="67"/>
      <c r="DO50" s="101">
        <v>399.124324</v>
      </c>
      <c r="DP50" s="101">
        <v>454.72875099999999</v>
      </c>
      <c r="DQ50" s="101">
        <v>454.72875099999999</v>
      </c>
      <c r="DR50" s="276">
        <v>551.87</v>
      </c>
      <c r="DS50" s="277">
        <v>563.64</v>
      </c>
      <c r="DT50" s="276">
        <v>691.56</v>
      </c>
      <c r="DU50" s="276">
        <v>613.71</v>
      </c>
      <c r="DV50" s="276">
        <v>463.95</v>
      </c>
      <c r="DW50" s="276">
        <v>573.98</v>
      </c>
      <c r="DX50" s="276">
        <v>546.99</v>
      </c>
      <c r="DY50" s="276">
        <v>429.19</v>
      </c>
      <c r="DZ50" s="276">
        <v>455.33</v>
      </c>
      <c r="EA50" s="276">
        <v>285.42</v>
      </c>
      <c r="EB50" s="276">
        <v>424.09</v>
      </c>
      <c r="EC50" s="276">
        <v>667.7</v>
      </c>
      <c r="ED50" s="276">
        <v>640.67999999999995</v>
      </c>
      <c r="EE50" s="276">
        <v>657.72</v>
      </c>
      <c r="EF50" s="112" t="s">
        <v>160</v>
      </c>
    </row>
    <row r="51" spans="1:136" s="102" customFormat="1" x14ac:dyDescent="0.4">
      <c r="A51" s="64" t="s">
        <v>161</v>
      </c>
      <c r="B51" s="276">
        <v>933.39</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11.46</v>
      </c>
      <c r="BT51" s="58">
        <v>14.02</v>
      </c>
      <c r="BU51" s="58">
        <v>13.74</v>
      </c>
      <c r="BV51" s="58">
        <v>14.4</v>
      </c>
      <c r="BW51" s="58">
        <v>15.02</v>
      </c>
      <c r="BX51" s="58">
        <v>15.32</v>
      </c>
      <c r="BY51" s="58">
        <v>15.69</v>
      </c>
      <c r="BZ51" s="58">
        <v>16.43</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53.61</v>
      </c>
      <c r="DK51" s="101">
        <v>17.41</v>
      </c>
      <c r="DL51" s="101">
        <v>62.46</v>
      </c>
      <c r="DM51" s="101">
        <v>14.94</v>
      </c>
      <c r="DN51" s="67"/>
      <c r="DO51" s="101">
        <v>187.99776499999999</v>
      </c>
      <c r="DP51" s="101">
        <v>211.96466100000001</v>
      </c>
      <c r="DQ51" s="101">
        <v>211.96466100000001</v>
      </c>
      <c r="DR51" s="276">
        <v>197.47</v>
      </c>
      <c r="DS51" s="277">
        <v>245.32</v>
      </c>
      <c r="DT51" s="276">
        <v>322.92</v>
      </c>
      <c r="DU51" s="276">
        <v>363.69</v>
      </c>
      <c r="DV51" s="276">
        <v>353.45</v>
      </c>
      <c r="DW51" s="276">
        <v>429.46</v>
      </c>
      <c r="DX51" s="276">
        <v>509.92</v>
      </c>
      <c r="DY51" s="276">
        <v>435.01</v>
      </c>
      <c r="DZ51" s="276">
        <v>557.87</v>
      </c>
      <c r="EA51" s="276">
        <v>533.52</v>
      </c>
      <c r="EB51" s="276">
        <v>704.27</v>
      </c>
      <c r="EC51" s="276">
        <v>619.23</v>
      </c>
      <c r="ED51" s="276">
        <v>676.87</v>
      </c>
      <c r="EE51" s="276">
        <v>863.02</v>
      </c>
      <c r="EF51" s="112" t="s">
        <v>161</v>
      </c>
    </row>
    <row r="52" spans="1:136" s="102" customFormat="1" x14ac:dyDescent="0.4">
      <c r="A52" s="64" t="s">
        <v>162</v>
      </c>
      <c r="B52" s="276">
        <v>1622.58</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19.87</v>
      </c>
      <c r="BT52" s="58">
        <v>20.51</v>
      </c>
      <c r="BU52" s="58">
        <v>23.37</v>
      </c>
      <c r="BV52" s="58">
        <v>23.02</v>
      </c>
      <c r="BW52" s="58">
        <v>25.4</v>
      </c>
      <c r="BX52" s="58">
        <v>25.06</v>
      </c>
      <c r="BY52" s="58">
        <v>26.5</v>
      </c>
      <c r="BZ52" s="58">
        <v>26.07</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86.77</v>
      </c>
      <c r="DK52" s="101">
        <v>18.7</v>
      </c>
      <c r="DL52" s="101">
        <v>103.03</v>
      </c>
      <c r="DM52" s="101">
        <v>15.75</v>
      </c>
      <c r="DN52" s="67"/>
      <c r="DO52" s="101">
        <v>306.441464</v>
      </c>
      <c r="DP52" s="101">
        <v>362.62085500000001</v>
      </c>
      <c r="DQ52" s="101">
        <v>362.62085500000001</v>
      </c>
      <c r="DR52" s="276">
        <v>410.14</v>
      </c>
      <c r="DS52" s="277">
        <v>475.27</v>
      </c>
      <c r="DT52" s="276">
        <v>663.81</v>
      </c>
      <c r="DU52" s="276">
        <v>815.87</v>
      </c>
      <c r="DV52" s="276">
        <v>863.43</v>
      </c>
      <c r="DW52" s="276">
        <v>832.05</v>
      </c>
      <c r="DX52" s="276">
        <v>1002.7</v>
      </c>
      <c r="DY52" s="276">
        <v>1053.1600000000001</v>
      </c>
      <c r="DZ52" s="276">
        <v>1251.68</v>
      </c>
      <c r="EA52" s="276">
        <v>1409.79</v>
      </c>
      <c r="EB52" s="276">
        <v>1734.44</v>
      </c>
      <c r="EC52" s="276">
        <v>1651.14</v>
      </c>
      <c r="ED52" s="276">
        <v>1655.37</v>
      </c>
      <c r="EE52" s="276">
        <v>1675.62</v>
      </c>
      <c r="EF52" s="112" t="s">
        <v>162</v>
      </c>
    </row>
    <row r="53" spans="1:136" s="102" customFormat="1" x14ac:dyDescent="0.4">
      <c r="A53" s="64" t="s">
        <v>163</v>
      </c>
      <c r="B53" s="276">
        <v>1404.67</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11.78</v>
      </c>
      <c r="BT53" s="58">
        <v>14.49</v>
      </c>
      <c r="BU53" s="58">
        <v>13.96</v>
      </c>
      <c r="BV53" s="58">
        <v>14.34</v>
      </c>
      <c r="BW53" s="58">
        <v>13.89</v>
      </c>
      <c r="BX53" s="58">
        <v>16.78</v>
      </c>
      <c r="BY53" s="58">
        <v>16.670000000000002</v>
      </c>
      <c r="BZ53" s="58">
        <v>16.73</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54.57</v>
      </c>
      <c r="DK53" s="101">
        <v>25.74</v>
      </c>
      <c r="DL53" s="101">
        <v>64.069999999999993</v>
      </c>
      <c r="DM53" s="101">
        <v>21.92</v>
      </c>
      <c r="DN53" s="67"/>
      <c r="DO53" s="101">
        <v>213.73174499999999</v>
      </c>
      <c r="DP53" s="101">
        <v>252.96700100000001</v>
      </c>
      <c r="DQ53" s="101">
        <v>252.96700100000001</v>
      </c>
      <c r="DR53" s="276">
        <v>306.02999999999997</v>
      </c>
      <c r="DS53" s="277">
        <v>348.35</v>
      </c>
      <c r="DT53" s="276">
        <v>482.23</v>
      </c>
      <c r="DU53" s="276">
        <v>513.05999999999995</v>
      </c>
      <c r="DV53" s="276">
        <v>488.83</v>
      </c>
      <c r="DW53" s="276">
        <v>575.83000000000004</v>
      </c>
      <c r="DX53" s="276">
        <v>683.83</v>
      </c>
      <c r="DY53" s="276">
        <v>581.53</v>
      </c>
      <c r="DZ53" s="276">
        <v>741</v>
      </c>
      <c r="EA53" s="276">
        <v>813.28</v>
      </c>
      <c r="EB53" s="276">
        <v>980.62</v>
      </c>
      <c r="EC53" s="276">
        <v>902.92</v>
      </c>
      <c r="ED53" s="276">
        <v>1069.02</v>
      </c>
      <c r="EE53" s="276">
        <v>1232.21</v>
      </c>
      <c r="EF53" s="112" t="s">
        <v>163</v>
      </c>
    </row>
    <row r="54" spans="1:136" s="102" customFormat="1" x14ac:dyDescent="0.4">
      <c r="A54" s="64" t="s">
        <v>164</v>
      </c>
      <c r="B54" s="276">
        <v>5217.6400000000003</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31.07</v>
      </c>
      <c r="BT54" s="58">
        <v>36.03</v>
      </c>
      <c r="BU54" s="58">
        <v>39.85</v>
      </c>
      <c r="BV54" s="58">
        <v>46.26</v>
      </c>
      <c r="BW54" s="58">
        <v>43.4</v>
      </c>
      <c r="BX54" s="58">
        <v>44.05</v>
      </c>
      <c r="BY54" s="58">
        <v>47.4</v>
      </c>
      <c r="BZ54" s="58">
        <v>52.66</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153.19999999999999</v>
      </c>
      <c r="DK54" s="101">
        <v>34.06</v>
      </c>
      <c r="DL54" s="101">
        <v>187.51</v>
      </c>
      <c r="DM54" s="101">
        <v>27.83</v>
      </c>
      <c r="DN54" s="67"/>
      <c r="DO54" s="101">
        <v>238.53137599999999</v>
      </c>
      <c r="DP54" s="101">
        <v>380.15106400000002</v>
      </c>
      <c r="DQ54" s="101">
        <v>380.15106400000002</v>
      </c>
      <c r="DR54" s="276">
        <v>423.04</v>
      </c>
      <c r="DS54" s="277">
        <v>478.87</v>
      </c>
      <c r="DT54" s="276">
        <v>608</v>
      </c>
      <c r="DU54" s="276">
        <v>712.45</v>
      </c>
      <c r="DV54" s="276">
        <v>741.27</v>
      </c>
      <c r="DW54" s="276">
        <v>837.68</v>
      </c>
      <c r="DX54" s="276">
        <v>1134.95</v>
      </c>
      <c r="DY54" s="276">
        <v>1112.03</v>
      </c>
      <c r="DZ54" s="276">
        <v>1641.41</v>
      </c>
      <c r="EA54" s="276">
        <v>2324.4699999999998</v>
      </c>
      <c r="EB54" s="276">
        <v>3082.94</v>
      </c>
      <c r="EC54" s="276">
        <v>2200.73</v>
      </c>
      <c r="ED54" s="276">
        <v>3413.94</v>
      </c>
      <c r="EE54" s="276">
        <v>4609.83</v>
      </c>
      <c r="EF54" s="112" t="s">
        <v>164</v>
      </c>
    </row>
    <row r="55" spans="1:136" s="102" customFormat="1" x14ac:dyDescent="0.4">
      <c r="A55" s="64" t="s">
        <v>165</v>
      </c>
      <c r="B55" s="276">
        <v>600.70000000000005</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6.06</v>
      </c>
      <c r="BT55" s="58">
        <v>7.77</v>
      </c>
      <c r="BU55" s="58">
        <v>7.4</v>
      </c>
      <c r="BV55" s="58">
        <v>7.07</v>
      </c>
      <c r="BW55" s="58">
        <v>7.56</v>
      </c>
      <c r="BX55" s="58">
        <v>9.39</v>
      </c>
      <c r="BY55" s="58">
        <v>8.82</v>
      </c>
      <c r="BZ55" s="58">
        <v>8.2899999999999991</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28.29</v>
      </c>
      <c r="DK55" s="101">
        <v>21.24</v>
      </c>
      <c r="DL55" s="101">
        <v>34.06</v>
      </c>
      <c r="DM55" s="101">
        <v>17.64</v>
      </c>
      <c r="DN55" s="67"/>
      <c r="DO55" s="101">
        <v>139.32307499999999</v>
      </c>
      <c r="DP55" s="101">
        <v>203.96750700000001</v>
      </c>
      <c r="DQ55" s="101">
        <v>203.96750700000001</v>
      </c>
      <c r="DR55" s="276">
        <v>221.24</v>
      </c>
      <c r="DS55" s="277">
        <v>252.11</v>
      </c>
      <c r="DT55" s="276">
        <v>310.94</v>
      </c>
      <c r="DU55" s="276">
        <v>324.39</v>
      </c>
      <c r="DV55" s="276">
        <v>285.8</v>
      </c>
      <c r="DW55" s="276">
        <v>340.34</v>
      </c>
      <c r="DX55" s="276">
        <v>409.64</v>
      </c>
      <c r="DY55" s="276">
        <v>337.8</v>
      </c>
      <c r="DZ55" s="276">
        <v>409.54</v>
      </c>
      <c r="EA55" s="276">
        <v>479.26</v>
      </c>
      <c r="EB55" s="276">
        <v>600.55999999999995</v>
      </c>
      <c r="EC55" s="276">
        <v>525.51</v>
      </c>
      <c r="ED55" s="276">
        <v>584.92999999999995</v>
      </c>
      <c r="EE55" s="276">
        <v>573.21</v>
      </c>
      <c r="EF55" s="112" t="s">
        <v>165</v>
      </c>
    </row>
    <row r="56" spans="1:136" s="102" customFormat="1" x14ac:dyDescent="0.4">
      <c r="A56" s="64" t="s">
        <v>381</v>
      </c>
      <c r="B56" s="276">
        <v>370.85</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4.5999999999999996</v>
      </c>
      <c r="BT56" s="58">
        <v>4.55</v>
      </c>
      <c r="BU56" s="58">
        <v>4.3600000000000003</v>
      </c>
      <c r="BV56" s="58">
        <v>4.6900000000000004</v>
      </c>
      <c r="BW56" s="58">
        <v>4.5199999999999996</v>
      </c>
      <c r="BX56" s="58">
        <v>4.8</v>
      </c>
      <c r="BY56" s="58">
        <v>4.91</v>
      </c>
      <c r="BZ56" s="58">
        <v>5.4</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18.2</v>
      </c>
      <c r="DK56" s="101">
        <v>20.37</v>
      </c>
      <c r="DL56" s="101">
        <v>19.62</v>
      </c>
      <c r="DM56" s="101">
        <v>18.899999999999999</v>
      </c>
      <c r="DN56" s="67"/>
      <c r="DO56" s="101">
        <v>111.414979</v>
      </c>
      <c r="DP56" s="101">
        <v>114.226088</v>
      </c>
      <c r="DQ56" s="101">
        <v>114.226088</v>
      </c>
      <c r="DR56" s="276">
        <v>128.91</v>
      </c>
      <c r="DS56" s="277">
        <v>144.97999999999999</v>
      </c>
      <c r="DT56" s="276">
        <v>154.66999999999999</v>
      </c>
      <c r="DU56" s="276">
        <v>152.32</v>
      </c>
      <c r="DV56" s="276">
        <v>149.56</v>
      </c>
      <c r="DW56" s="276">
        <v>176.17</v>
      </c>
      <c r="DX56" s="276">
        <v>165.04</v>
      </c>
      <c r="DY56" s="276">
        <v>138.68</v>
      </c>
      <c r="DZ56" s="276">
        <v>180.87</v>
      </c>
      <c r="EA56" s="276">
        <v>220.54</v>
      </c>
      <c r="EB56" s="276">
        <v>265.27999999999997</v>
      </c>
      <c r="EC56" s="276">
        <v>158.63999999999999</v>
      </c>
      <c r="ED56" s="276">
        <v>242.49</v>
      </c>
      <c r="EE56" s="276">
        <v>335.21</v>
      </c>
      <c r="EF56" s="112" t="s">
        <v>381</v>
      </c>
    </row>
    <row r="57" spans="1:136" s="102" customFormat="1" x14ac:dyDescent="0.4">
      <c r="A57" s="64" t="s">
        <v>166</v>
      </c>
      <c r="B57" s="276">
        <v>487.26</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6.36</v>
      </c>
      <c r="BT57" s="58">
        <v>5.05</v>
      </c>
      <c r="BU57" s="58">
        <v>7.22</v>
      </c>
      <c r="BV57" s="58">
        <v>5.87</v>
      </c>
      <c r="BW57" s="58">
        <v>7.3</v>
      </c>
      <c r="BX57" s="58">
        <v>5.72</v>
      </c>
      <c r="BY57" s="58">
        <v>8.0399999999999991</v>
      </c>
      <c r="BZ57" s="58">
        <v>6.53</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24.5</v>
      </c>
      <c r="DK57" s="101">
        <v>19.89</v>
      </c>
      <c r="DL57" s="101">
        <v>27.59</v>
      </c>
      <c r="DM57" s="101">
        <v>17.66</v>
      </c>
      <c r="DN57" s="67"/>
      <c r="DO57" s="101">
        <v>162.06434999999999</v>
      </c>
      <c r="DP57" s="101">
        <v>174.496937</v>
      </c>
      <c r="DQ57" s="101">
        <v>174.496937</v>
      </c>
      <c r="DR57" s="276">
        <v>204.99</v>
      </c>
      <c r="DS57" s="277">
        <v>200.04</v>
      </c>
      <c r="DT57" s="276">
        <v>221.38</v>
      </c>
      <c r="DU57" s="276">
        <v>272.12</v>
      </c>
      <c r="DV57" s="276">
        <v>250.42</v>
      </c>
      <c r="DW57" s="276">
        <v>284.70999999999998</v>
      </c>
      <c r="DX57" s="276">
        <v>308.86</v>
      </c>
      <c r="DY57" s="276">
        <v>311.5</v>
      </c>
      <c r="DZ57" s="276">
        <v>377.57</v>
      </c>
      <c r="EA57" s="276">
        <v>361.82</v>
      </c>
      <c r="EB57" s="276">
        <v>413.43</v>
      </c>
      <c r="EC57" s="276">
        <v>406.64</v>
      </c>
      <c r="ED57" s="276">
        <v>363.4</v>
      </c>
      <c r="EE57" s="276">
        <v>435.1</v>
      </c>
      <c r="EF57" s="112" t="s">
        <v>166</v>
      </c>
    </row>
    <row r="58" spans="1:136" s="102" customFormat="1" x14ac:dyDescent="0.4">
      <c r="A58" s="64" t="s">
        <v>308</v>
      </c>
      <c r="B58" s="276">
        <v>233.52</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1.35</v>
      </c>
      <c r="BT58" s="58">
        <v>1.64</v>
      </c>
      <c r="BU58" s="58">
        <v>1.73</v>
      </c>
      <c r="BV58" s="58">
        <v>1.92</v>
      </c>
      <c r="BW58" s="58">
        <v>1.8</v>
      </c>
      <c r="BX58" s="58">
        <v>1.94</v>
      </c>
      <c r="BY58" s="58">
        <v>1.97</v>
      </c>
      <c r="BZ58" s="58">
        <v>2.15</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6.64</v>
      </c>
      <c r="DK58" s="101">
        <v>35.159999999999997</v>
      </c>
      <c r="DL58" s="101">
        <v>7.87</v>
      </c>
      <c r="DM58" s="101">
        <v>29.68</v>
      </c>
      <c r="DN58" s="67"/>
      <c r="DO58" s="101"/>
      <c r="DP58" s="101"/>
      <c r="DQ58" s="101"/>
      <c r="DR58" s="276"/>
      <c r="DS58" s="277"/>
      <c r="DT58" s="276"/>
      <c r="DU58" s="276"/>
      <c r="DV58" s="276"/>
      <c r="DW58" s="276">
        <v>189.91</v>
      </c>
      <c r="DX58" s="276">
        <v>199.89</v>
      </c>
      <c r="DY58" s="276">
        <v>185.8</v>
      </c>
      <c r="DZ58" s="276">
        <v>229.67</v>
      </c>
      <c r="EA58" s="276">
        <v>212.56</v>
      </c>
      <c r="EB58" s="276">
        <v>296.05</v>
      </c>
      <c r="EC58" s="276">
        <v>210.8</v>
      </c>
      <c r="ED58" s="276">
        <v>225.9</v>
      </c>
      <c r="EE58" s="276">
        <v>229.61</v>
      </c>
      <c r="EF58" s="112" t="s">
        <v>494</v>
      </c>
    </row>
    <row r="59" spans="1:136" x14ac:dyDescent="0.4">
      <c r="B59" s="276"/>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76"/>
      <c r="DU59" s="276"/>
      <c r="DV59" s="276"/>
      <c r="DW59" s="276"/>
      <c r="DX59" s="276"/>
      <c r="DY59" s="276"/>
      <c r="DZ59" s="276"/>
      <c r="EA59" s="276"/>
    </row>
    <row r="60" spans="1:136" x14ac:dyDescent="0.4">
      <c r="B60" s="276"/>
      <c r="CT60" s="66"/>
      <c r="CV60" s="66"/>
      <c r="CW60" s="67"/>
      <c r="CX60" s="66"/>
      <c r="CZ60" s="66"/>
      <c r="DB60" s="66"/>
      <c r="DD60" s="66"/>
      <c r="DE60" s="67"/>
      <c r="DF60" s="66"/>
      <c r="DG60" s="67"/>
      <c r="DH60" s="67"/>
      <c r="DI60" s="67"/>
      <c r="DJ60" s="67"/>
      <c r="DK60" s="67"/>
      <c r="DL60" s="67"/>
      <c r="DM60" s="67"/>
      <c r="DN60" s="67"/>
      <c r="DT60" s="276"/>
      <c r="DU60" s="276"/>
      <c r="DV60" s="276"/>
      <c r="DW60" s="276"/>
      <c r="DX60" s="276"/>
      <c r="DY60" s="276"/>
      <c r="DZ60" s="276"/>
      <c r="EA60" s="276"/>
    </row>
    <row r="61" spans="1:136" x14ac:dyDescent="0.4">
      <c r="A61" s="64" t="s">
        <v>92</v>
      </c>
      <c r="B61" s="276"/>
      <c r="CT61" s="66"/>
      <c r="CV61" s="66"/>
      <c r="CW61" s="67"/>
      <c r="CX61" s="66"/>
      <c r="CZ61" s="66"/>
      <c r="DB61" s="66"/>
      <c r="DD61" s="66"/>
      <c r="DF61" s="66"/>
      <c r="DN61" s="67"/>
      <c r="DT61" s="276"/>
      <c r="DU61" s="276"/>
      <c r="DV61" s="276"/>
      <c r="DW61" s="276"/>
      <c r="DX61" s="276"/>
      <c r="DY61" s="276"/>
      <c r="DZ61" s="276"/>
      <c r="EA61" s="276"/>
      <c r="EF61" s="112" t="s">
        <v>92</v>
      </c>
    </row>
    <row r="62" spans="1:136" s="64" customFormat="1" x14ac:dyDescent="0.4">
      <c r="A62" s="64" t="s">
        <v>32</v>
      </c>
      <c r="B62" s="74" t="s">
        <v>669</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P62" si="3">BK6</f>
        <v>2023 Q1</v>
      </c>
      <c r="BL62" s="69" t="str">
        <f t="shared" si="3"/>
        <v>2023 Q2</v>
      </c>
      <c r="BM62" s="69" t="str">
        <f t="shared" si="3"/>
        <v>2023 Q3</v>
      </c>
      <c r="BN62" s="69" t="str">
        <f t="shared" si="3"/>
        <v>2023 Q4</v>
      </c>
      <c r="BO62" s="69" t="str">
        <f t="shared" si="3"/>
        <v>2024 Q1</v>
      </c>
      <c r="BP62" s="69" t="str">
        <f t="shared" si="3"/>
        <v>2024 Q2</v>
      </c>
      <c r="BQ62" s="69" t="s">
        <v>714</v>
      </c>
      <c r="BR62" s="69" t="s">
        <v>715</v>
      </c>
      <c r="BS62" s="69" t="s">
        <v>716</v>
      </c>
      <c r="BT62" s="69" t="s">
        <v>717</v>
      </c>
      <c r="BU62" s="69" t="s">
        <v>718</v>
      </c>
      <c r="BV62" s="69" t="s">
        <v>719</v>
      </c>
      <c r="BW62" s="69" t="s">
        <v>716</v>
      </c>
      <c r="BX62" s="69" t="s">
        <v>717</v>
      </c>
      <c r="BY62" s="69" t="s">
        <v>718</v>
      </c>
      <c r="BZ62" s="69" t="s">
        <v>719</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4">CN6</f>
        <v>2014 EPS</v>
      </c>
      <c r="CO62" s="69" t="str">
        <f t="shared" si="4"/>
        <v>2014 P/E</v>
      </c>
      <c r="CP62" s="69" t="str">
        <f t="shared" si="4"/>
        <v>2015 EPS</v>
      </c>
      <c r="CQ62" s="69" t="str">
        <f t="shared" si="4"/>
        <v>2015 P/E</v>
      </c>
      <c r="CR62" s="69" t="str">
        <f t="shared" si="4"/>
        <v>2016 EPS</v>
      </c>
      <c r="CS62" s="69" t="str">
        <f t="shared" si="4"/>
        <v>2016 P/E</v>
      </c>
      <c r="CT62" s="69" t="str">
        <f t="shared" si="4"/>
        <v>2017 EPS</v>
      </c>
      <c r="CU62" s="69" t="str">
        <f t="shared" si="4"/>
        <v>2017 P/E</v>
      </c>
      <c r="CV62" s="69" t="str">
        <f t="shared" si="4"/>
        <v>2018  EPS</v>
      </c>
      <c r="CW62" s="69" t="str">
        <f t="shared" si="4"/>
        <v>2018  P/E</v>
      </c>
      <c r="CX62" s="69" t="str">
        <f t="shared" si="4"/>
        <v>2019 EPS</v>
      </c>
      <c r="CY62" s="69" t="str">
        <f t="shared" si="4"/>
        <v>2019  P/E</v>
      </c>
      <c r="CZ62" s="69" t="str">
        <f t="shared" si="4"/>
        <v>2020 EPS</v>
      </c>
      <c r="DA62" s="69" t="str">
        <f t="shared" si="4"/>
        <v>2020 P/E</v>
      </c>
      <c r="DB62" s="69" t="str">
        <f t="shared" ref="DB62" si="5">DB6</f>
        <v>2021 EPS</v>
      </c>
      <c r="DC62" s="69" t="str">
        <f>DC6</f>
        <v>2021 P/E</v>
      </c>
      <c r="DD62" s="69" t="str">
        <f>DD6</f>
        <v>2022 EPS</v>
      </c>
      <c r="DE62" s="69" t="str">
        <f>DE6</f>
        <v>2022 P/E</v>
      </c>
      <c r="DF62" s="69" t="str">
        <f t="shared" ref="DF62:DH62" si="6">DF6</f>
        <v>2023 EPS</v>
      </c>
      <c r="DG62" s="69" t="str">
        <f>DG6</f>
        <v>2023 P/E</v>
      </c>
      <c r="DH62" s="69" t="str">
        <f t="shared" si="6"/>
        <v>2024 EPS</v>
      </c>
      <c r="DI62" s="69" t="str">
        <f>DI6</f>
        <v>2024 P/E</v>
      </c>
      <c r="DJ62" s="69" t="str">
        <f t="shared" ref="DJ62:DL62" si="7">DJ6</f>
        <v>2025EPS</v>
      </c>
      <c r="DK62" s="69" t="str">
        <f>DK6</f>
        <v>2025 P/E</v>
      </c>
      <c r="DL62" s="69" t="str">
        <f t="shared" si="7"/>
        <v>2026EPS</v>
      </c>
      <c r="DM62" s="69" t="str">
        <f>DM6</f>
        <v>2026 P/E</v>
      </c>
      <c r="DN62" s="69"/>
      <c r="DO62" s="69" t="str">
        <f t="shared" si="4"/>
        <v>PRICE 12/08</v>
      </c>
      <c r="DP62" s="69" t="str">
        <f t="shared" si="4"/>
        <v>PRICE 12/09</v>
      </c>
      <c r="DQ62" s="69" t="str">
        <f t="shared" si="4"/>
        <v>PRICE 12/10</v>
      </c>
      <c r="DR62" s="69" t="str">
        <f t="shared" si="4"/>
        <v>PRICE 12/11</v>
      </c>
      <c r="DS62" s="69" t="str">
        <f t="shared" si="4"/>
        <v>PRICE 12/12</v>
      </c>
      <c r="DT62" s="69" t="str">
        <f t="shared" si="4"/>
        <v>PRICE 12/13</v>
      </c>
      <c r="DU62" s="69" t="str">
        <f t="shared" si="4"/>
        <v>PRICE 12/14</v>
      </c>
      <c r="DV62" s="69" t="str">
        <f t="shared" si="4"/>
        <v>PRICE 12/15</v>
      </c>
      <c r="DW62" s="69" t="str">
        <f t="shared" si="4"/>
        <v>PRICE 12/16</v>
      </c>
      <c r="DX62" s="69" t="str">
        <f t="shared" si="4"/>
        <v>PRICE 12/17</v>
      </c>
      <c r="DY62" s="69" t="str">
        <f t="shared" si="4"/>
        <v>PRICE 12/18</v>
      </c>
      <c r="DZ62" s="69" t="str">
        <f t="shared" si="4"/>
        <v>PRICE 12/19</v>
      </c>
      <c r="EA62" s="69" t="str">
        <f t="shared" si="4"/>
        <v>PRICE 12/20</v>
      </c>
      <c r="EB62" s="69" t="str">
        <f t="shared" si="4"/>
        <v>PRICE 12/21</v>
      </c>
      <c r="EC62" s="69" t="str">
        <f t="shared" si="4"/>
        <v>PRICE 12/22</v>
      </c>
      <c r="ED62" s="69" t="s">
        <v>626</v>
      </c>
      <c r="EE62" s="69" t="s">
        <v>732</v>
      </c>
      <c r="EF62" s="112" t="s">
        <v>32</v>
      </c>
    </row>
    <row r="63" spans="1:136" x14ac:dyDescent="0.4">
      <c r="A63" s="64" t="s">
        <v>23</v>
      </c>
      <c r="B63" s="276">
        <v>6362.9</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v>53.89</v>
      </c>
      <c r="BT63" s="66"/>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76">
        <v>1257.5999999999999</v>
      </c>
      <c r="DS63" s="277">
        <v>1426.19</v>
      </c>
      <c r="DT63" s="276">
        <v>1848.36</v>
      </c>
      <c r="DU63" s="276">
        <v>2058.9</v>
      </c>
      <c r="DV63" s="276">
        <v>2043.94</v>
      </c>
      <c r="DW63" s="276">
        <v>2238.83</v>
      </c>
      <c r="DX63" s="276">
        <v>2673.61</v>
      </c>
      <c r="DY63" s="276">
        <v>2506.85</v>
      </c>
      <c r="DZ63" s="276">
        <v>3230.78</v>
      </c>
      <c r="EA63" s="276">
        <v>3756.07</v>
      </c>
      <c r="EB63" s="276">
        <v>4766.18</v>
      </c>
      <c r="EC63" s="276">
        <v>3839.5</v>
      </c>
      <c r="ED63" s="276">
        <v>4769.83</v>
      </c>
      <c r="EE63" s="276">
        <v>5881.63</v>
      </c>
      <c r="EF63" s="112" t="s">
        <v>23</v>
      </c>
    </row>
    <row r="64" spans="1:136" x14ac:dyDescent="0.4">
      <c r="A64" s="64" t="s">
        <v>63</v>
      </c>
      <c r="B64" s="276">
        <v>1806.62</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v>12.15</v>
      </c>
      <c r="BT64" s="66"/>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76">
        <v>308.58</v>
      </c>
      <c r="DS64" s="277">
        <v>376.06</v>
      </c>
      <c r="DT64" s="276">
        <v>530.1</v>
      </c>
      <c r="DU64" s="276">
        <v>572.75</v>
      </c>
      <c r="DV64" s="276">
        <v>621.02</v>
      </c>
      <c r="DW64" s="276">
        <v>647.82000000000005</v>
      </c>
      <c r="DX64" s="276">
        <v>785.33</v>
      </c>
      <c r="DY64" s="276">
        <v>781.5</v>
      </c>
      <c r="DZ64" s="276">
        <v>986.29</v>
      </c>
      <c r="EA64" s="276">
        <v>1302.56</v>
      </c>
      <c r="EB64" s="276">
        <v>1610.76</v>
      </c>
      <c r="EC64" s="276">
        <v>1005.48</v>
      </c>
      <c r="ED64" s="276">
        <v>1418.09</v>
      </c>
      <c r="EE64" s="276">
        <v>1831.16</v>
      </c>
      <c r="EF64" s="112" t="s">
        <v>63</v>
      </c>
    </row>
    <row r="65" spans="1:136" x14ac:dyDescent="0.4">
      <c r="A65" s="64" t="s">
        <v>64</v>
      </c>
      <c r="B65" s="276">
        <v>879.77</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v>6.81</v>
      </c>
      <c r="BT65" s="66"/>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76">
        <v>335.54</v>
      </c>
      <c r="DS65" s="277">
        <v>360.78</v>
      </c>
      <c r="DT65" s="276">
        <v>442.62</v>
      </c>
      <c r="DU65" s="276">
        <v>499.58</v>
      </c>
      <c r="DV65" s="276">
        <v>518.41999999999996</v>
      </c>
      <c r="DW65" s="276">
        <v>531.79</v>
      </c>
      <c r="DX65" s="276">
        <v>587.39</v>
      </c>
      <c r="DY65" s="276">
        <v>521.88</v>
      </c>
      <c r="DZ65" s="276">
        <v>646.97</v>
      </c>
      <c r="EA65" s="276">
        <v>696.32</v>
      </c>
      <c r="EB65" s="276">
        <v>804.6</v>
      </c>
      <c r="EC65" s="276">
        <v>779.13</v>
      </c>
      <c r="ED65" s="276">
        <v>762.32</v>
      </c>
      <c r="EE65" s="276">
        <v>853.65</v>
      </c>
      <c r="EF65" s="112" t="s">
        <v>64</v>
      </c>
    </row>
    <row r="66" spans="1:136" x14ac:dyDescent="0.4">
      <c r="A66" s="64" t="s">
        <v>65</v>
      </c>
      <c r="B66" s="276">
        <v>670.93</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v>9.0399999999999991</v>
      </c>
      <c r="BT66" s="66"/>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76">
        <v>520.80999999999995</v>
      </c>
      <c r="DS66" s="277">
        <v>532.96</v>
      </c>
      <c r="DT66" s="276">
        <v>651.66999999999996</v>
      </c>
      <c r="DU66" s="276">
        <v>586.59</v>
      </c>
      <c r="DV66" s="276">
        <v>448.44</v>
      </c>
      <c r="DW66" s="276">
        <v>554.5</v>
      </c>
      <c r="DX66" s="276">
        <v>533.41</v>
      </c>
      <c r="DY66" s="276">
        <v>424.07</v>
      </c>
      <c r="DZ66" s="276">
        <v>456.46</v>
      </c>
      <c r="EA66" s="276">
        <v>286.14</v>
      </c>
      <c r="EB66" s="276">
        <v>422.74</v>
      </c>
      <c r="EC66" s="276">
        <v>672.34</v>
      </c>
      <c r="ED66" s="276">
        <v>640.04999999999995</v>
      </c>
      <c r="EE66" s="276">
        <v>654.85</v>
      </c>
      <c r="EF66" s="112" t="s">
        <v>65</v>
      </c>
    </row>
    <row r="67" spans="1:136" x14ac:dyDescent="0.4">
      <c r="A67" s="64" t="s">
        <v>66</v>
      </c>
      <c r="B67" s="276">
        <v>876.02</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v>10.27</v>
      </c>
      <c r="BT67" s="66"/>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76">
        <v>175.23</v>
      </c>
      <c r="DS67" s="277">
        <v>221.24</v>
      </c>
      <c r="DT67" s="276">
        <v>294.70999999999998</v>
      </c>
      <c r="DU67" s="276">
        <v>333.32</v>
      </c>
      <c r="DV67" s="276">
        <v>321.73</v>
      </c>
      <c r="DW67" s="276">
        <v>386.53</v>
      </c>
      <c r="DX67" s="276">
        <v>463.94</v>
      </c>
      <c r="DY67" s="276">
        <v>395.9</v>
      </c>
      <c r="DZ67" s="276">
        <v>511.39</v>
      </c>
      <c r="EA67" s="276">
        <v>490.43</v>
      </c>
      <c r="EB67" s="276">
        <v>650.04</v>
      </c>
      <c r="EC67" s="276">
        <v>569.74</v>
      </c>
      <c r="ED67" s="276">
        <v>626.35</v>
      </c>
      <c r="EE67" s="276">
        <v>804.44</v>
      </c>
      <c r="EF67" s="112" t="s">
        <v>66</v>
      </c>
    </row>
    <row r="68" spans="1:136" x14ac:dyDescent="0.4">
      <c r="A68" s="64" t="s">
        <v>67</v>
      </c>
      <c r="B68" s="276">
        <v>1562.05</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v>17.86</v>
      </c>
      <c r="BT68" s="66"/>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76">
        <v>401.9</v>
      </c>
      <c r="DS68" s="277">
        <v>462.95</v>
      </c>
      <c r="DT68" s="276">
        <v>642.29999999999995</v>
      </c>
      <c r="DU68" s="276">
        <v>791.97</v>
      </c>
      <c r="DV68" s="276">
        <v>833.23</v>
      </c>
      <c r="DW68" s="276">
        <v>796.91</v>
      </c>
      <c r="DX68" s="276">
        <v>956.32</v>
      </c>
      <c r="DY68" s="276">
        <v>1001.18</v>
      </c>
      <c r="DZ68" s="276">
        <v>1188.2</v>
      </c>
      <c r="EA68" s="276">
        <v>1324.01</v>
      </c>
      <c r="EB68" s="276">
        <v>1643.92</v>
      </c>
      <c r="EC68" s="276">
        <v>1585.54</v>
      </c>
      <c r="ED68" s="276">
        <v>1590.36</v>
      </c>
      <c r="EE68" s="276">
        <v>1604.75</v>
      </c>
      <c r="EF68" s="112" t="s">
        <v>67</v>
      </c>
    </row>
    <row r="69" spans="1:136" x14ac:dyDescent="0.4">
      <c r="A69" s="64" t="s">
        <v>68</v>
      </c>
      <c r="B69" s="276">
        <v>1285.96</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v>10.35</v>
      </c>
      <c r="BT69" s="66"/>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76">
        <v>292.32</v>
      </c>
      <c r="DS69" s="277">
        <v>328.75</v>
      </c>
      <c r="DT69" s="276">
        <v>452.46</v>
      </c>
      <c r="DU69" s="276">
        <v>486.47</v>
      </c>
      <c r="DV69" s="276">
        <v>463.53</v>
      </c>
      <c r="DW69" s="276">
        <v>538.07000000000005</v>
      </c>
      <c r="DX69" s="276">
        <v>637.80999999999995</v>
      </c>
      <c r="DY69" s="276">
        <v>542.16</v>
      </c>
      <c r="DZ69" s="276">
        <v>687.6</v>
      </c>
      <c r="EA69" s="276">
        <v>749.54</v>
      </c>
      <c r="EB69" s="276">
        <v>894.96</v>
      </c>
      <c r="EC69" s="276">
        <v>831.4</v>
      </c>
      <c r="ED69" s="276">
        <v>964.73</v>
      </c>
      <c r="EE69" s="276">
        <v>1115.6500000000001</v>
      </c>
      <c r="EF69" s="112" t="s">
        <v>68</v>
      </c>
    </row>
    <row r="70" spans="1:136" x14ac:dyDescent="0.4">
      <c r="A70" s="64" t="s">
        <v>69</v>
      </c>
      <c r="B70" s="276">
        <v>5236.76</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v>30.41</v>
      </c>
      <c r="BT70" s="66"/>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76">
        <v>409.93</v>
      </c>
      <c r="DS70" s="277">
        <v>463.82</v>
      </c>
      <c r="DT70" s="276">
        <v>585.48</v>
      </c>
      <c r="DU70" s="276">
        <v>691.95</v>
      </c>
      <c r="DV70" s="276">
        <v>721.48</v>
      </c>
      <c r="DW70" s="276">
        <v>807.95</v>
      </c>
      <c r="DX70" s="276">
        <v>1106.18</v>
      </c>
      <c r="DY70" s="276">
        <v>1088.31</v>
      </c>
      <c r="DZ70" s="276">
        <v>1611.17</v>
      </c>
      <c r="EA70" s="276">
        <v>2291.2800000000002</v>
      </c>
      <c r="EB70" s="276">
        <v>3055.45</v>
      </c>
      <c r="EC70" s="276">
        <v>2172.17</v>
      </c>
      <c r="ED70" s="276">
        <v>3397.16</v>
      </c>
      <c r="EE70" s="276">
        <v>4609.5200000000004</v>
      </c>
      <c r="EF70" s="112" t="s">
        <v>69</v>
      </c>
    </row>
    <row r="71" spans="1:136" x14ac:dyDescent="0.4">
      <c r="A71" s="64" t="s">
        <v>70</v>
      </c>
      <c r="B71" s="276">
        <v>558.83000000000004</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v>2.56</v>
      </c>
      <c r="BT71" s="66"/>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76">
        <v>211.71</v>
      </c>
      <c r="DS71" s="277">
        <v>237.62</v>
      </c>
      <c r="DT71" s="276">
        <v>291.64</v>
      </c>
      <c r="DU71" s="276">
        <v>305.27999999999997</v>
      </c>
      <c r="DV71" s="276">
        <v>273.64</v>
      </c>
      <c r="DW71" s="276">
        <v>312.16000000000003</v>
      </c>
      <c r="DX71" s="276">
        <v>378.94</v>
      </c>
      <c r="DY71" s="276">
        <v>316.62</v>
      </c>
      <c r="DZ71" s="276">
        <v>385.85</v>
      </c>
      <c r="EA71" s="276">
        <v>455.71</v>
      </c>
      <c r="EB71" s="276">
        <v>569.63</v>
      </c>
      <c r="EC71" s="276">
        <v>489.55</v>
      </c>
      <c r="ED71" s="276">
        <v>539.62</v>
      </c>
      <c r="EE71" s="276">
        <v>529.77</v>
      </c>
      <c r="EF71" s="112" t="s">
        <v>70</v>
      </c>
    </row>
    <row r="72" spans="1:136" x14ac:dyDescent="0.4">
      <c r="A72" s="64" t="s">
        <v>378</v>
      </c>
      <c r="B72" s="276">
        <v>378.76</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v>4.5</v>
      </c>
      <c r="BT72" s="66"/>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76">
        <v>129.82</v>
      </c>
      <c r="DS72" s="277">
        <v>146.04</v>
      </c>
      <c r="DT72" s="276">
        <v>155.52000000000001</v>
      </c>
      <c r="DU72" s="276">
        <v>152.55000000000001</v>
      </c>
      <c r="DV72" s="276">
        <v>149.91</v>
      </c>
      <c r="DW72" s="276">
        <v>176.61</v>
      </c>
      <c r="DX72" s="276">
        <v>166.07</v>
      </c>
      <c r="DY72" s="276">
        <v>138.78</v>
      </c>
      <c r="DZ72" s="276">
        <v>181.64</v>
      </c>
      <c r="EA72" s="276">
        <v>221.92</v>
      </c>
      <c r="EB72" s="276">
        <v>267.48</v>
      </c>
      <c r="EC72" s="276">
        <v>159.37</v>
      </c>
      <c r="ED72" s="276">
        <v>246</v>
      </c>
      <c r="EE72" s="276">
        <v>341.66</v>
      </c>
      <c r="EF72" s="112" t="s">
        <v>378</v>
      </c>
    </row>
    <row r="73" spans="1:136" x14ac:dyDescent="0.4">
      <c r="A73" s="64" t="s">
        <v>71</v>
      </c>
      <c r="B73" s="276">
        <v>432.51</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v>5.44</v>
      </c>
      <c r="BT73" s="66"/>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76">
        <v>182.98</v>
      </c>
      <c r="DS73" s="277">
        <v>177.66</v>
      </c>
      <c r="DT73" s="276">
        <v>193.21</v>
      </c>
      <c r="DU73" s="276">
        <v>240.14</v>
      </c>
      <c r="DV73" s="276">
        <v>220</v>
      </c>
      <c r="DW73" s="276">
        <v>246.83</v>
      </c>
      <c r="DX73" s="276">
        <v>267.37</v>
      </c>
      <c r="DY73" s="276">
        <v>268.61</v>
      </c>
      <c r="DZ73" s="276">
        <v>328.36</v>
      </c>
      <c r="EA73" s="276">
        <v>319.07</v>
      </c>
      <c r="EB73" s="276">
        <v>363.71</v>
      </c>
      <c r="EC73" s="276">
        <v>358.48</v>
      </c>
      <c r="ED73" s="276">
        <v>321.92</v>
      </c>
      <c r="EE73" s="276">
        <v>384.95</v>
      </c>
      <c r="EF73" s="112" t="s">
        <v>71</v>
      </c>
    </row>
    <row r="74" spans="1:136" x14ac:dyDescent="0.4">
      <c r="A74" s="64" t="s">
        <v>305</v>
      </c>
      <c r="B74" s="276">
        <v>264.48</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v>1.46</v>
      </c>
      <c r="BT74" s="66"/>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76">
        <v>130.15</v>
      </c>
      <c r="DS74" s="277">
        <v>151.26</v>
      </c>
      <c r="DT74" s="276">
        <v>148.94999999999999</v>
      </c>
      <c r="DU74" s="276">
        <v>187.89</v>
      </c>
      <c r="DV74" s="276">
        <v>190.22</v>
      </c>
      <c r="DW74" s="276">
        <v>190.23</v>
      </c>
      <c r="DX74" s="276">
        <v>203.86</v>
      </c>
      <c r="DY74" s="276">
        <v>192.36</v>
      </c>
      <c r="DZ74" s="276">
        <v>240.32</v>
      </c>
      <c r="EA74" s="276">
        <v>227.9</v>
      </c>
      <c r="EB74" s="276">
        <v>324.75</v>
      </c>
      <c r="EC74" s="276">
        <v>232.37</v>
      </c>
      <c r="ED74" s="276">
        <v>251.58</v>
      </c>
      <c r="EE74" s="276">
        <v>255.92</v>
      </c>
      <c r="EF74" s="112" t="s">
        <v>305</v>
      </c>
    </row>
    <row r="75" spans="1:136" x14ac:dyDescent="0.4">
      <c r="B75" s="276"/>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76"/>
      <c r="DU75" s="276"/>
      <c r="DV75" s="276"/>
      <c r="DW75" s="276"/>
      <c r="DX75" s="276"/>
      <c r="DY75" s="276"/>
      <c r="DZ75" s="276"/>
      <c r="EA75" s="276"/>
    </row>
    <row r="76" spans="1:136" x14ac:dyDescent="0.4">
      <c r="A76" s="64" t="s">
        <v>72</v>
      </c>
      <c r="B76" s="276">
        <v>3186.09</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32.49</v>
      </c>
      <c r="BS76" s="66">
        <v>28.64</v>
      </c>
      <c r="BT76" s="66"/>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127.3</v>
      </c>
      <c r="DI76" s="67">
        <v>24.52</v>
      </c>
      <c r="DJ76" s="67"/>
      <c r="DK76" s="67"/>
      <c r="DL76" s="67"/>
      <c r="DM76" s="67"/>
      <c r="DN76" s="67"/>
      <c r="DO76" s="282">
        <v>538.27930100000003</v>
      </c>
      <c r="DP76" s="282">
        <v>726.67478400000005</v>
      </c>
      <c r="DQ76" s="282">
        <v>907.24987321098399</v>
      </c>
      <c r="DR76" s="276">
        <v>879.16</v>
      </c>
      <c r="DS76" s="277">
        <v>1020.43</v>
      </c>
      <c r="DT76" s="276">
        <v>1342.53</v>
      </c>
      <c r="DU76" s="276">
        <v>1452.44</v>
      </c>
      <c r="DV76" s="276">
        <v>1398.58</v>
      </c>
      <c r="DW76" s="276">
        <v>1660.58</v>
      </c>
      <c r="DX76" s="276">
        <v>1900.57</v>
      </c>
      <c r="DY76" s="276">
        <v>1663.04</v>
      </c>
      <c r="DZ76" s="276">
        <v>2063.02</v>
      </c>
      <c r="EA76" s="276">
        <v>2306.62</v>
      </c>
      <c r="EB76" s="276">
        <v>2842</v>
      </c>
      <c r="EC76" s="276">
        <v>2430.38</v>
      </c>
      <c r="ED76" s="276">
        <v>2781.54</v>
      </c>
      <c r="EE76" s="276">
        <v>3120.94</v>
      </c>
      <c r="EF76" s="112" t="s">
        <v>72</v>
      </c>
    </row>
    <row r="77" spans="1:136" x14ac:dyDescent="0.4">
      <c r="A77" s="64" t="s">
        <v>73</v>
      </c>
      <c r="B77" s="276">
        <v>1314.33</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18.28</v>
      </c>
      <c r="BS77" s="66">
        <v>14.99</v>
      </c>
      <c r="BT77" s="66"/>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70.540000000000006</v>
      </c>
      <c r="DI77" s="67">
        <v>19.38</v>
      </c>
      <c r="DJ77" s="67"/>
      <c r="DK77" s="67"/>
      <c r="DL77" s="67"/>
      <c r="DM77" s="67"/>
      <c r="DN77" s="67"/>
      <c r="DO77" s="282">
        <v>179.63314700000001</v>
      </c>
      <c r="DP77" s="282">
        <v>275.42848900000001</v>
      </c>
      <c r="DQ77" s="282">
        <v>360.78854314944198</v>
      </c>
      <c r="DR77" s="276">
        <v>365.27</v>
      </c>
      <c r="DS77" s="277">
        <v>443.95</v>
      </c>
      <c r="DT77" s="276">
        <v>624.88</v>
      </c>
      <c r="DU77" s="276">
        <v>687.24</v>
      </c>
      <c r="DV77" s="276">
        <v>624.30999999999995</v>
      </c>
      <c r="DW77" s="276">
        <v>675.16</v>
      </c>
      <c r="DX77" s="276">
        <v>795.66</v>
      </c>
      <c r="DY77" s="276">
        <v>643.38</v>
      </c>
      <c r="DZ77" s="276">
        <v>802.99</v>
      </c>
      <c r="EA77" s="276">
        <v>1042.5999999999999</v>
      </c>
      <c r="EB77" s="276">
        <v>1321.37</v>
      </c>
      <c r="EC77" s="276">
        <v>1029.3800000000001</v>
      </c>
      <c r="ED77" s="276">
        <v>1263.05</v>
      </c>
      <c r="EE77" s="276">
        <v>1367.08</v>
      </c>
      <c r="EF77" s="112" t="s">
        <v>73</v>
      </c>
    </row>
    <row r="78" spans="1:136" x14ac:dyDescent="0.4">
      <c r="A78" s="64" t="s">
        <v>74</v>
      </c>
      <c r="B78" s="276">
        <v>3318.36</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v>23.84</v>
      </c>
      <c r="BT78" s="66"/>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82">
        <v>417.55613299999999</v>
      </c>
      <c r="DP78" s="282">
        <v>495.715306</v>
      </c>
      <c r="DQ78" s="282">
        <v>619.58758692758499</v>
      </c>
      <c r="DR78" s="276">
        <v>751.72</v>
      </c>
      <c r="DS78" s="277">
        <v>862.71</v>
      </c>
      <c r="DT78" s="276">
        <v>1181.9000000000001</v>
      </c>
      <c r="DU78" s="276">
        <v>1577.72</v>
      </c>
      <c r="DV78" s="276">
        <v>1505.92</v>
      </c>
      <c r="DW78" s="276">
        <v>1690.47</v>
      </c>
      <c r="DX78" s="276">
        <v>1726.91</v>
      </c>
      <c r="DY78" s="276">
        <v>1584.38</v>
      </c>
      <c r="DZ78" s="276">
        <v>1734.59</v>
      </c>
      <c r="EA78" s="276">
        <v>2098.52</v>
      </c>
      <c r="EB78" s="276">
        <v>2291.71</v>
      </c>
      <c r="EC78" s="276">
        <v>2256.38</v>
      </c>
      <c r="ED78" s="276">
        <v>2595.15</v>
      </c>
      <c r="EE78" s="276">
        <v>3044.79</v>
      </c>
      <c r="EF78" s="112" t="s">
        <v>74</v>
      </c>
    </row>
    <row r="79" spans="1:136" x14ac:dyDescent="0.4">
      <c r="A79" s="64" t="s">
        <v>75</v>
      </c>
      <c r="B79" s="276">
        <v>369.38</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v>3.44</v>
      </c>
      <c r="BT79" s="66"/>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82">
        <v>361.64458400000001</v>
      </c>
      <c r="DP79" s="282">
        <v>604.81454900000006</v>
      </c>
      <c r="DQ79" s="282">
        <v>786.99419431210197</v>
      </c>
      <c r="DR79" s="276">
        <v>705.18</v>
      </c>
      <c r="DS79" s="277">
        <v>695.36</v>
      </c>
      <c r="DT79" s="276">
        <v>877.03</v>
      </c>
      <c r="DU79" s="276">
        <v>646.46</v>
      </c>
      <c r="DV79" s="276">
        <v>426.16</v>
      </c>
      <c r="DW79" s="276">
        <v>507.43</v>
      </c>
      <c r="DX79" s="276">
        <v>422.18</v>
      </c>
      <c r="DY79" s="276">
        <v>295.61</v>
      </c>
      <c r="DZ79" s="276">
        <v>253.5</v>
      </c>
      <c r="EA79" s="276">
        <v>150.81</v>
      </c>
      <c r="EB79" s="276">
        <v>245.43</v>
      </c>
      <c r="EC79" s="276">
        <v>328.13</v>
      </c>
      <c r="ED79" s="276">
        <v>344.02</v>
      </c>
      <c r="EE79" s="276">
        <v>379.12</v>
      </c>
      <c r="EF79" s="112" t="s">
        <v>75</v>
      </c>
    </row>
    <row r="80" spans="1:136" x14ac:dyDescent="0.4">
      <c r="A80" s="64" t="s">
        <v>76</v>
      </c>
      <c r="B80" s="276">
        <v>1574.45</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v>21.2</v>
      </c>
      <c r="BT80" s="66"/>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82">
        <v>391.04396000000003</v>
      </c>
      <c r="DP80" s="282">
        <v>422.69019600000001</v>
      </c>
      <c r="DQ80" s="282">
        <v>489.730853141198</v>
      </c>
      <c r="DR80" s="276">
        <v>450.51</v>
      </c>
      <c r="DS80" s="277">
        <v>514.14</v>
      </c>
      <c r="DT80" s="276">
        <v>624.6</v>
      </c>
      <c r="DU80" s="276">
        <v>698.47</v>
      </c>
      <c r="DV80" s="276">
        <v>713.89</v>
      </c>
      <c r="DW80" s="276">
        <v>902.91</v>
      </c>
      <c r="DX80" s="276">
        <v>1010.74</v>
      </c>
      <c r="DY80" s="276">
        <v>832.55</v>
      </c>
      <c r="DZ80" s="276">
        <v>1028.1099999999999</v>
      </c>
      <c r="EA80" s="276">
        <v>983.43</v>
      </c>
      <c r="EB80" s="276">
        <v>1282.02</v>
      </c>
      <c r="EC80" s="276">
        <v>1205.18</v>
      </c>
      <c r="ED80" s="276">
        <v>1262.47</v>
      </c>
      <c r="EE80" s="276">
        <v>1540.11</v>
      </c>
      <c r="EF80" s="112" t="s">
        <v>76</v>
      </c>
    </row>
    <row r="81" spans="1:136" x14ac:dyDescent="0.4">
      <c r="A81" s="64" t="s">
        <v>77</v>
      </c>
      <c r="B81" s="276">
        <v>2339.88</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v>11.24</v>
      </c>
      <c r="BT81" s="66"/>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82">
        <v>294.701729</v>
      </c>
      <c r="DP81" s="282">
        <v>396.845347</v>
      </c>
      <c r="DQ81" s="282">
        <v>486.41714820689998</v>
      </c>
      <c r="DR81" s="276">
        <v>489.76</v>
      </c>
      <c r="DS81" s="277">
        <v>618.70000000000005</v>
      </c>
      <c r="DT81" s="276">
        <v>899.75</v>
      </c>
      <c r="DU81" s="276">
        <v>1109.24</v>
      </c>
      <c r="DV81" s="276">
        <v>1207.49</v>
      </c>
      <c r="DW81" s="276">
        <v>1307.22</v>
      </c>
      <c r="DX81" s="276">
        <v>1597.71</v>
      </c>
      <c r="DY81" s="276">
        <v>1696.18</v>
      </c>
      <c r="DZ81" s="276">
        <v>2074.75</v>
      </c>
      <c r="EA81" s="276">
        <v>2697.45</v>
      </c>
      <c r="EB81" s="276">
        <v>2999.57</v>
      </c>
      <c r="EC81" s="276">
        <v>2393.9499999999998</v>
      </c>
      <c r="ED81" s="276">
        <v>2402.2399999999998</v>
      </c>
      <c r="EE81" s="276">
        <v>2525.16</v>
      </c>
      <c r="EF81" s="112" t="s">
        <v>77</v>
      </c>
    </row>
    <row r="82" spans="1:136" x14ac:dyDescent="0.4">
      <c r="A82" s="64" t="s">
        <v>78</v>
      </c>
      <c r="B82" s="276">
        <v>2331.71</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v>15.19</v>
      </c>
      <c r="BT82" s="66"/>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82">
        <v>242.88265999999999</v>
      </c>
      <c r="DP82" s="282">
        <v>315.55561299999999</v>
      </c>
      <c r="DQ82" s="282">
        <v>409.05061502341601</v>
      </c>
      <c r="DR82" s="276">
        <v>400.42</v>
      </c>
      <c r="DS82" s="277">
        <v>482.54</v>
      </c>
      <c r="DT82" s="276">
        <v>687.4</v>
      </c>
      <c r="DU82" s="276">
        <v>689.46</v>
      </c>
      <c r="DV82" s="276">
        <v>659.95</v>
      </c>
      <c r="DW82" s="276">
        <v>838.63</v>
      </c>
      <c r="DX82" s="276">
        <v>1024.6099999999999</v>
      </c>
      <c r="DY82" s="276">
        <v>862.03</v>
      </c>
      <c r="DZ82" s="276">
        <v>1137.9000000000001</v>
      </c>
      <c r="EA82" s="276">
        <v>1310.5999999999999</v>
      </c>
      <c r="EB82" s="276">
        <v>1669.78</v>
      </c>
      <c r="EC82" s="276">
        <v>1463.04</v>
      </c>
      <c r="ED82" s="276">
        <v>1903.42</v>
      </c>
      <c r="EE82" s="276">
        <v>2141.64</v>
      </c>
      <c r="EF82" s="112" t="s">
        <v>78</v>
      </c>
    </row>
    <row r="83" spans="1:136" x14ac:dyDescent="0.4">
      <c r="A83" s="64" t="s">
        <v>79</v>
      </c>
      <c r="B83" s="276">
        <v>6027.48</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v>31.45</v>
      </c>
      <c r="BT83" s="66"/>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82">
        <v>528.07611299999996</v>
      </c>
      <c r="DP83" s="282">
        <v>835.384862</v>
      </c>
      <c r="DQ83" s="282">
        <v>1105.3769852549799</v>
      </c>
      <c r="DR83" s="276">
        <v>974.98</v>
      </c>
      <c r="DS83" s="277">
        <v>1119.05</v>
      </c>
      <c r="DT83" s="276">
        <v>1435.18</v>
      </c>
      <c r="DU83" s="276">
        <v>1541.03</v>
      </c>
      <c r="DV83" s="276">
        <v>1540.74</v>
      </c>
      <c r="DW83" s="276">
        <v>1859.31</v>
      </c>
      <c r="DX83" s="276">
        <v>2312.38</v>
      </c>
      <c r="DY83" s="276">
        <v>2172.89</v>
      </c>
      <c r="DZ83" s="276">
        <v>3087.28</v>
      </c>
      <c r="EA83" s="276">
        <v>4187.95</v>
      </c>
      <c r="EB83" s="276">
        <v>4743.55</v>
      </c>
      <c r="EC83" s="276">
        <v>3752.91</v>
      </c>
      <c r="ED83" s="276">
        <v>4811.2</v>
      </c>
      <c r="EE83" s="276">
        <v>5967.94</v>
      </c>
      <c r="EF83" s="112" t="s">
        <v>79</v>
      </c>
    </row>
    <row r="84" spans="1:136" x14ac:dyDescent="0.4">
      <c r="A84" s="64" t="s">
        <v>80</v>
      </c>
      <c r="B84" s="276">
        <v>725.86</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v>6.78</v>
      </c>
      <c r="BT84" s="66"/>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82">
        <v>128.06459000000001</v>
      </c>
      <c r="DP84" s="282">
        <v>194.888015</v>
      </c>
      <c r="DQ84" s="282">
        <v>245.231305321018</v>
      </c>
      <c r="DR84" s="276">
        <v>243.2</v>
      </c>
      <c r="DS84" s="277">
        <v>291.69</v>
      </c>
      <c r="DT84" s="276">
        <v>357.13</v>
      </c>
      <c r="DU84" s="276">
        <v>372.73</v>
      </c>
      <c r="DV84" s="276">
        <v>318.49</v>
      </c>
      <c r="DW84" s="276">
        <v>428.14</v>
      </c>
      <c r="DX84" s="276">
        <v>511.92</v>
      </c>
      <c r="DY84" s="276">
        <v>400.22</v>
      </c>
      <c r="DZ84" s="276">
        <v>473.6</v>
      </c>
      <c r="EA84" s="276">
        <v>512.58000000000004</v>
      </c>
      <c r="EB84" s="276">
        <v>667.76</v>
      </c>
      <c r="EC84" s="276">
        <v>639.82000000000005</v>
      </c>
      <c r="ED84" s="276">
        <v>734.6</v>
      </c>
      <c r="EE84" s="276">
        <v>706.99</v>
      </c>
      <c r="EF84" s="112" t="s">
        <v>80</v>
      </c>
    </row>
    <row r="85" spans="1:136" x14ac:dyDescent="0.4">
      <c r="A85" s="64" t="s">
        <v>379</v>
      </c>
      <c r="B85" s="276">
        <v>132.75</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v>0.24</v>
      </c>
      <c r="BT85" s="66"/>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82">
        <v>143.15840499999999</v>
      </c>
      <c r="DP85" s="282">
        <v>161.645354</v>
      </c>
      <c r="DQ85" s="282">
        <v>183.360245492996</v>
      </c>
      <c r="DR85" s="276">
        <v>164.14</v>
      </c>
      <c r="DS85" s="277">
        <v>187.72</v>
      </c>
      <c r="DT85" s="276">
        <v>222.36</v>
      </c>
      <c r="DU85" s="276">
        <v>272.64999999999998</v>
      </c>
      <c r="DV85" s="276">
        <v>234.88</v>
      </c>
      <c r="DW85" s="276">
        <v>261.92</v>
      </c>
      <c r="DX85" s="276">
        <v>147.5</v>
      </c>
      <c r="DY85" s="276">
        <v>147.82</v>
      </c>
      <c r="DZ85" s="276">
        <v>169.82</v>
      </c>
      <c r="EA85" s="276">
        <v>176.88</v>
      </c>
      <c r="EB85" s="276">
        <v>170.07</v>
      </c>
      <c r="EC85" s="276">
        <v>134.36000000000001</v>
      </c>
      <c r="ED85" s="276">
        <v>122.85</v>
      </c>
      <c r="EE85" s="276">
        <v>125.9</v>
      </c>
      <c r="EF85" s="112" t="s">
        <v>379</v>
      </c>
    </row>
    <row r="86" spans="1:136" x14ac:dyDescent="0.4">
      <c r="A86" s="64" t="s">
        <v>81</v>
      </c>
      <c r="B86" s="276">
        <v>666.49</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v>16.579999999999998</v>
      </c>
      <c r="BT86" s="66"/>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82">
        <v>209.869193</v>
      </c>
      <c r="DP86" s="282">
        <v>243.21781100000001</v>
      </c>
      <c r="DQ86" s="282">
        <v>267.44165166607797</v>
      </c>
      <c r="DR86" s="276">
        <v>300.99</v>
      </c>
      <c r="DS86" s="277">
        <v>306.13</v>
      </c>
      <c r="DT86" s="276">
        <v>376.37</v>
      </c>
      <c r="DU86" s="276">
        <v>433.87</v>
      </c>
      <c r="DV86" s="276">
        <v>395.09</v>
      </c>
      <c r="DW86" s="276">
        <v>488.45</v>
      </c>
      <c r="DX86" s="276">
        <v>527.86</v>
      </c>
      <c r="DY86" s="276">
        <v>548.16999999999996</v>
      </c>
      <c r="DZ86" s="276">
        <v>609.92999999999995</v>
      </c>
      <c r="EA86" s="276">
        <v>507.41</v>
      </c>
      <c r="EB86" s="276">
        <v>588.14</v>
      </c>
      <c r="EC86" s="276">
        <v>568.54</v>
      </c>
      <c r="ED86" s="276">
        <v>475.1</v>
      </c>
      <c r="EE86" s="276">
        <v>601.29</v>
      </c>
      <c r="EF86" s="112" t="s">
        <v>81</v>
      </c>
    </row>
    <row r="87" spans="1:136" x14ac:dyDescent="0.4">
      <c r="A87" s="64" t="s">
        <v>306</v>
      </c>
      <c r="B87" s="276">
        <v>193.52</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v>1.5</v>
      </c>
      <c r="BT87" s="66"/>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82"/>
      <c r="DP87" s="282"/>
      <c r="DQ87" s="282"/>
      <c r="DT87" s="276"/>
      <c r="DU87" s="276"/>
      <c r="DV87" s="276"/>
      <c r="DW87" s="276">
        <v>229.19</v>
      </c>
      <c r="DX87" s="276">
        <v>227.79</v>
      </c>
      <c r="DY87" s="276">
        <v>204.51</v>
      </c>
      <c r="DZ87" s="276">
        <v>243.17</v>
      </c>
      <c r="EA87" s="276">
        <v>204.86</v>
      </c>
      <c r="EB87" s="276">
        <v>268.74</v>
      </c>
      <c r="EC87" s="276">
        <v>189.77</v>
      </c>
      <c r="ED87" s="276">
        <v>195.99</v>
      </c>
      <c r="EE87" s="276">
        <v>197.13</v>
      </c>
      <c r="EF87" s="112" t="s">
        <v>495</v>
      </c>
    </row>
    <row r="88" spans="1:136" x14ac:dyDescent="0.4">
      <c r="B88" s="276"/>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76"/>
      <c r="DU88" s="276"/>
      <c r="DV88" s="276"/>
      <c r="DW88" s="276"/>
      <c r="DX88" s="276"/>
      <c r="DY88" s="276"/>
      <c r="DZ88" s="276"/>
      <c r="EA88" s="276"/>
    </row>
    <row r="89" spans="1:136" x14ac:dyDescent="0.4">
      <c r="A89" s="64" t="s">
        <v>82</v>
      </c>
      <c r="B89" s="276">
        <v>1360.96</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v>5.62</v>
      </c>
      <c r="BT89" s="66"/>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82">
        <v>268.73003299999999</v>
      </c>
      <c r="DP89" s="282">
        <v>332.63385699999998</v>
      </c>
      <c r="DQ89" s="282">
        <v>415.72857196557999</v>
      </c>
      <c r="DR89" s="276">
        <v>415.07</v>
      </c>
      <c r="DS89" s="277">
        <v>476.57</v>
      </c>
      <c r="DT89" s="276">
        <v>665.54</v>
      </c>
      <c r="DU89" s="276">
        <v>695.08</v>
      </c>
      <c r="DV89" s="276">
        <v>671.74</v>
      </c>
      <c r="DW89" s="276">
        <v>837.96</v>
      </c>
      <c r="DX89" s="276">
        <v>936.26</v>
      </c>
      <c r="DY89" s="276">
        <v>844.94</v>
      </c>
      <c r="DZ89" s="276">
        <v>1021.18</v>
      </c>
      <c r="EA89" s="276">
        <v>1118.93</v>
      </c>
      <c r="EB89" s="276">
        <v>1401.71</v>
      </c>
      <c r="EC89" s="276">
        <v>1157.53</v>
      </c>
      <c r="ED89" s="276">
        <v>1318.26</v>
      </c>
      <c r="EE89" s="276">
        <v>1408.17</v>
      </c>
      <c r="EF89" s="112" t="s">
        <v>82</v>
      </c>
    </row>
    <row r="90" spans="1:136" x14ac:dyDescent="0.4">
      <c r="A90" s="64" t="s">
        <v>83</v>
      </c>
      <c r="B90" s="276">
        <v>947.55</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v>4.6399999999999997</v>
      </c>
      <c r="BT90" s="66"/>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82">
        <v>125.120938</v>
      </c>
      <c r="DP90" s="282">
        <v>188.551579</v>
      </c>
      <c r="DQ90" s="282">
        <v>254.457481513792</v>
      </c>
      <c r="DR90" s="276">
        <v>246.53</v>
      </c>
      <c r="DS90" s="277">
        <v>303.55</v>
      </c>
      <c r="DT90" s="276">
        <v>448.34</v>
      </c>
      <c r="DU90" s="276">
        <v>466.27</v>
      </c>
      <c r="DV90" s="276">
        <v>421.45</v>
      </c>
      <c r="DW90" s="276">
        <v>483.14</v>
      </c>
      <c r="DX90" s="276">
        <v>559.41</v>
      </c>
      <c r="DY90" s="276">
        <v>507.59</v>
      </c>
      <c r="DZ90" s="276">
        <v>589.79</v>
      </c>
      <c r="EA90" s="276">
        <v>752.12</v>
      </c>
      <c r="EB90" s="276">
        <v>1027.18</v>
      </c>
      <c r="EC90" s="276">
        <v>732.37</v>
      </c>
      <c r="ED90" s="276">
        <v>957.53</v>
      </c>
      <c r="EE90" s="276">
        <v>1008.84</v>
      </c>
      <c r="EF90" s="112" t="s">
        <v>83</v>
      </c>
    </row>
    <row r="91" spans="1:136" x14ac:dyDescent="0.4">
      <c r="A91" s="64" t="s">
        <v>84</v>
      </c>
      <c r="B91" s="276">
        <v>2493.84</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v>41.47</v>
      </c>
      <c r="BT91" s="66"/>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82">
        <v>411.18553700000001</v>
      </c>
      <c r="DP91" s="282">
        <v>566.97425799999996</v>
      </c>
      <c r="DQ91" s="282">
        <v>708.93524962621302</v>
      </c>
      <c r="DR91" s="276">
        <v>761.75</v>
      </c>
      <c r="DS91" s="277">
        <v>855.92</v>
      </c>
      <c r="DT91" s="276">
        <v>1227.1199999999999</v>
      </c>
      <c r="DU91" s="276">
        <v>1341.7</v>
      </c>
      <c r="DV91" s="276">
        <v>1327.38</v>
      </c>
      <c r="DW91" s="276">
        <v>1647.99</v>
      </c>
      <c r="DX91" s="276">
        <v>1773.17</v>
      </c>
      <c r="DY91" s="276">
        <v>1659.2</v>
      </c>
      <c r="DZ91" s="276">
        <v>1903.46</v>
      </c>
      <c r="EA91" s="276">
        <v>2068.36</v>
      </c>
      <c r="EB91" s="276">
        <v>2625.28</v>
      </c>
      <c r="EC91" s="276">
        <v>2416.58</v>
      </c>
      <c r="ED91" s="276">
        <v>2729.42</v>
      </c>
      <c r="EE91" s="276">
        <v>2710.03</v>
      </c>
      <c r="EF91" s="112" t="s">
        <v>84</v>
      </c>
    </row>
    <row r="92" spans="1:136" x14ac:dyDescent="0.4">
      <c r="A92" s="64" t="s">
        <v>85</v>
      </c>
      <c r="B92" s="276">
        <v>298.61</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v>3.49</v>
      </c>
      <c r="BT92" s="66"/>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82">
        <v>509.004437</v>
      </c>
      <c r="DP92" s="282">
        <v>824.31099900000004</v>
      </c>
      <c r="DQ92" s="282">
        <v>1189.83001928814</v>
      </c>
      <c r="DR92" s="276">
        <v>1216.75</v>
      </c>
      <c r="DS92" s="277">
        <v>1213.24</v>
      </c>
      <c r="DT92" s="276">
        <v>1675.39</v>
      </c>
      <c r="DU92" s="276">
        <v>1068.8599999999999</v>
      </c>
      <c r="DV92" s="276">
        <v>559.04</v>
      </c>
      <c r="DW92" s="276">
        <v>766.14</v>
      </c>
      <c r="DX92" s="276">
        <v>561.77</v>
      </c>
      <c r="DY92" s="276">
        <v>320.23</v>
      </c>
      <c r="DZ92" s="276">
        <v>271.61</v>
      </c>
      <c r="EA92" s="276">
        <v>162.15</v>
      </c>
      <c r="EB92" s="276">
        <v>258.19</v>
      </c>
      <c r="EC92" s="276">
        <v>375.08</v>
      </c>
      <c r="ED92" s="276">
        <v>382.64</v>
      </c>
      <c r="EE92" s="276">
        <v>356.52</v>
      </c>
      <c r="EF92" s="112" t="s">
        <v>85</v>
      </c>
    </row>
    <row r="93" spans="1:136" x14ac:dyDescent="0.4">
      <c r="A93" s="64" t="s">
        <v>86</v>
      </c>
      <c r="B93" s="276">
        <v>1197.04</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v>15.55</v>
      </c>
      <c r="BT93" s="66"/>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82">
        <v>455.79289599999998</v>
      </c>
      <c r="DP93" s="282">
        <v>417.94242200000002</v>
      </c>
      <c r="DQ93" s="282">
        <v>494.85522157515697</v>
      </c>
      <c r="DR93" s="276">
        <v>490.3</v>
      </c>
      <c r="DS93" s="277">
        <v>559.32000000000005</v>
      </c>
      <c r="DT93" s="276">
        <v>716.59</v>
      </c>
      <c r="DU93" s="276">
        <v>754.55</v>
      </c>
      <c r="DV93" s="276">
        <v>735.23</v>
      </c>
      <c r="DW93" s="276">
        <v>994.78</v>
      </c>
      <c r="DX93" s="276">
        <v>1037.6600000000001</v>
      </c>
      <c r="DY93" s="276">
        <v>949.01</v>
      </c>
      <c r="DZ93" s="276">
        <v>1110.22</v>
      </c>
      <c r="EA93" s="276">
        <v>984.47</v>
      </c>
      <c r="EB93" s="276">
        <v>1222.2</v>
      </c>
      <c r="EC93" s="276">
        <v>1019.68</v>
      </c>
      <c r="ED93" s="276">
        <v>1033.8699999999999</v>
      </c>
      <c r="EE93" s="276">
        <v>1189.75</v>
      </c>
      <c r="EF93" s="112" t="s">
        <v>86</v>
      </c>
    </row>
    <row r="94" spans="1:136" x14ac:dyDescent="0.4">
      <c r="A94" s="64" t="s">
        <v>87</v>
      </c>
      <c r="B94" s="276">
        <v>2795.22</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v>-6.81</v>
      </c>
      <c r="BT94" s="66"/>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82">
        <v>432.21943900000002</v>
      </c>
      <c r="DP94" s="282">
        <v>528.228252</v>
      </c>
      <c r="DQ94" s="282">
        <v>645.648413465369</v>
      </c>
      <c r="DR94" s="276">
        <v>732.64</v>
      </c>
      <c r="DS94" s="277">
        <v>828.04</v>
      </c>
      <c r="DT94" s="276">
        <v>1287.72</v>
      </c>
      <c r="DU94" s="276">
        <v>1428.29</v>
      </c>
      <c r="DV94" s="276">
        <v>1719.5</v>
      </c>
      <c r="DW94" s="276">
        <v>1752.93</v>
      </c>
      <c r="DX94" s="276">
        <v>2357.34</v>
      </c>
      <c r="DY94" s="276">
        <v>2587.64</v>
      </c>
      <c r="DZ94" s="276">
        <v>3108.72</v>
      </c>
      <c r="EA94" s="276">
        <v>4085.24</v>
      </c>
      <c r="EB94" s="276">
        <v>4320.55</v>
      </c>
      <c r="EC94" s="276">
        <v>3178.63</v>
      </c>
      <c r="ED94" s="276">
        <v>3094.14</v>
      </c>
      <c r="EE94" s="276">
        <v>3198.95</v>
      </c>
      <c r="EF94" s="112" t="s">
        <v>87</v>
      </c>
    </row>
    <row r="95" spans="1:136" x14ac:dyDescent="0.4">
      <c r="A95" s="64" t="s">
        <v>88</v>
      </c>
      <c r="B95" s="276">
        <v>2348.94</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v>14.46</v>
      </c>
      <c r="BT95" s="66"/>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82">
        <v>323.26309500000002</v>
      </c>
      <c r="DP95" s="282">
        <v>372.565789</v>
      </c>
      <c r="DQ95" s="282">
        <v>468.88068339173702</v>
      </c>
      <c r="DR95" s="276">
        <v>441.05</v>
      </c>
      <c r="DS95" s="277">
        <v>529.85</v>
      </c>
      <c r="DT95" s="276">
        <v>746.08</v>
      </c>
      <c r="DU95" s="276">
        <v>758.61</v>
      </c>
      <c r="DV95" s="276">
        <v>711.08</v>
      </c>
      <c r="DW95" s="276">
        <v>911.68</v>
      </c>
      <c r="DX95" s="276">
        <v>1058.76</v>
      </c>
      <c r="DY95" s="276">
        <v>922.44</v>
      </c>
      <c r="DZ95" s="276">
        <v>1184.56</v>
      </c>
      <c r="EA95" s="276">
        <v>1313.25</v>
      </c>
      <c r="EB95" s="276">
        <v>1640.49</v>
      </c>
      <c r="EC95" s="276">
        <v>1470.86</v>
      </c>
      <c r="ED95" s="276">
        <v>1917.48</v>
      </c>
      <c r="EE95" s="276">
        <v>2226.15</v>
      </c>
      <c r="EF95" s="112" t="s">
        <v>88</v>
      </c>
    </row>
    <row r="96" spans="1:136" x14ac:dyDescent="0.4">
      <c r="A96" s="64" t="s">
        <v>89</v>
      </c>
      <c r="B96" s="276">
        <v>1227.9000000000001</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v>-14.23</v>
      </c>
      <c r="BT96" s="66"/>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82">
        <v>137.085894</v>
      </c>
      <c r="DP96" s="282">
        <v>202.58402699999999</v>
      </c>
      <c r="DQ96" s="282">
        <v>251.92909297019099</v>
      </c>
      <c r="DR96" s="276">
        <v>241.05</v>
      </c>
      <c r="DS96" s="277">
        <v>268.88</v>
      </c>
      <c r="DT96" s="276">
        <v>388.16</v>
      </c>
      <c r="DU96" s="276">
        <v>438.01</v>
      </c>
      <c r="DV96" s="276">
        <v>456.15</v>
      </c>
      <c r="DW96" s="276">
        <v>607.80999999999995</v>
      </c>
      <c r="DX96" s="276">
        <v>667.42</v>
      </c>
      <c r="DY96" s="276">
        <v>604.86</v>
      </c>
      <c r="DZ96" s="276">
        <v>840.51</v>
      </c>
      <c r="EA96" s="276">
        <v>1070.06</v>
      </c>
      <c r="EB96" s="276">
        <v>1353.92</v>
      </c>
      <c r="EC96" s="276">
        <v>1048.1199999999999</v>
      </c>
      <c r="ED96" s="276">
        <v>1264.3399999999999</v>
      </c>
      <c r="EE96" s="276">
        <v>1251.05</v>
      </c>
      <c r="EF96" s="112" t="s">
        <v>89</v>
      </c>
    </row>
    <row r="97" spans="1:136" x14ac:dyDescent="0.4">
      <c r="A97" s="64" t="s">
        <v>90</v>
      </c>
      <c r="B97" s="276">
        <v>750.49</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v>2.77</v>
      </c>
      <c r="BT97" s="66"/>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82">
        <v>167.886177</v>
      </c>
      <c r="DP97" s="282">
        <v>245.56984800000001</v>
      </c>
      <c r="DQ97" s="282">
        <v>287.68724360763201</v>
      </c>
      <c r="DR97" s="276">
        <v>261.44</v>
      </c>
      <c r="DS97" s="277">
        <v>324.22000000000003</v>
      </c>
      <c r="DT97" s="276">
        <v>436.1</v>
      </c>
      <c r="DU97" s="276">
        <v>433.19</v>
      </c>
      <c r="DV97" s="276">
        <v>317.93</v>
      </c>
      <c r="DW97" s="276">
        <v>485.75</v>
      </c>
      <c r="DX97" s="276">
        <v>528.41</v>
      </c>
      <c r="DY97" s="276">
        <v>406.33</v>
      </c>
      <c r="DZ97" s="276">
        <v>483.58</v>
      </c>
      <c r="EA97" s="276">
        <v>583.08000000000004</v>
      </c>
      <c r="EB97" s="276">
        <v>684.55</v>
      </c>
      <c r="EC97" s="276">
        <v>635.96</v>
      </c>
      <c r="ED97" s="276">
        <v>754.48</v>
      </c>
      <c r="EE97" s="276">
        <v>754.26</v>
      </c>
      <c r="EF97" s="112" t="s">
        <v>90</v>
      </c>
    </row>
    <row r="98" spans="1:136" x14ac:dyDescent="0.4">
      <c r="A98" s="64" t="s">
        <v>380</v>
      </c>
      <c r="B98" s="276">
        <v>3.23</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v>-0.03</v>
      </c>
      <c r="BT98" s="66"/>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82">
        <v>4.8689799999999996</v>
      </c>
      <c r="DP98" s="282">
        <v>2.733466</v>
      </c>
      <c r="DQ98" s="282">
        <v>2.78718630060018</v>
      </c>
      <c r="DR98" s="276">
        <v>2.35</v>
      </c>
      <c r="DS98" s="277">
        <v>2.42</v>
      </c>
      <c r="DT98" s="276">
        <v>2.54</v>
      </c>
      <c r="DU98" s="276">
        <v>2.46</v>
      </c>
      <c r="DV98" s="276">
        <v>2.4700000000000002</v>
      </c>
      <c r="DW98" s="276">
        <v>2.9</v>
      </c>
      <c r="DX98" s="276">
        <v>2.84</v>
      </c>
      <c r="DY98" s="276">
        <v>2.8</v>
      </c>
      <c r="DZ98" s="276">
        <v>2.88</v>
      </c>
      <c r="EA98" s="276">
        <v>3.42</v>
      </c>
      <c r="EB98" s="276">
        <v>4.3099999999999996</v>
      </c>
      <c r="EC98" s="276">
        <v>2.78</v>
      </c>
      <c r="ED98" s="276">
        <v>3.12</v>
      </c>
      <c r="EE98" s="276">
        <v>3.61</v>
      </c>
      <c r="EF98" s="112" t="s">
        <v>380</v>
      </c>
    </row>
    <row r="99" spans="1:136" x14ac:dyDescent="0.4">
      <c r="A99" s="64" t="s">
        <v>91</v>
      </c>
      <c r="B99" s="276">
        <v>1007</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v>17.100000000000001</v>
      </c>
      <c r="BT99" s="66"/>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82">
        <v>376.25567999999998</v>
      </c>
      <c r="DP99" s="282">
        <v>382.95429799999999</v>
      </c>
      <c r="DQ99" s="282">
        <v>435.23831515996199</v>
      </c>
      <c r="DR99" s="276">
        <v>500.03</v>
      </c>
      <c r="DS99" s="277">
        <v>485.39</v>
      </c>
      <c r="DT99" s="276">
        <v>566.92999999999995</v>
      </c>
      <c r="DU99" s="276">
        <v>667.54</v>
      </c>
      <c r="DV99" s="276">
        <v>693.15</v>
      </c>
      <c r="DW99" s="276">
        <v>828.85</v>
      </c>
      <c r="DX99" s="276">
        <v>959.55</v>
      </c>
      <c r="DY99" s="276">
        <v>928.45</v>
      </c>
      <c r="DZ99" s="276">
        <v>1113.3599999999999</v>
      </c>
      <c r="EA99" s="276">
        <v>965</v>
      </c>
      <c r="EB99" s="276">
        <v>1183.1600000000001</v>
      </c>
      <c r="EC99" s="276">
        <v>1130.3800000000001</v>
      </c>
      <c r="ED99" s="276">
        <v>1015.78</v>
      </c>
      <c r="EE99" s="276">
        <v>1002.61</v>
      </c>
      <c r="EF99" s="112" t="s">
        <v>91</v>
      </c>
    </row>
    <row r="100" spans="1:136" x14ac:dyDescent="0.4">
      <c r="A100" s="64" t="s">
        <v>307</v>
      </c>
      <c r="B100" s="276">
        <v>146.38999999999999</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v>0.38</v>
      </c>
      <c r="BT100" s="66"/>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82"/>
      <c r="DP100" s="282"/>
      <c r="DQ100" s="282"/>
      <c r="DT100" s="276"/>
      <c r="DU100" s="276"/>
      <c r="DV100" s="276"/>
      <c r="DW100" s="276">
        <v>201.01</v>
      </c>
      <c r="DX100" s="276">
        <v>203.41</v>
      </c>
      <c r="DY100" s="276">
        <v>171.09</v>
      </c>
      <c r="DZ100" s="276">
        <v>206.13</v>
      </c>
      <c r="EA100" s="276">
        <v>177.5</v>
      </c>
      <c r="EB100" s="276">
        <v>224.12</v>
      </c>
      <c r="EC100" s="276">
        <v>151.47</v>
      </c>
      <c r="ED100" s="276">
        <v>154.36000000000001</v>
      </c>
      <c r="EE100" s="276">
        <v>158.72</v>
      </c>
      <c r="EF100" s="112" t="s">
        <v>496</v>
      </c>
    </row>
    <row r="101" spans="1:136" s="102" customFormat="1" x14ac:dyDescent="0.4">
      <c r="A101" s="64"/>
      <c r="B101" s="276"/>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76"/>
      <c r="DS101" s="277"/>
      <c r="DT101" s="276"/>
      <c r="DU101" s="276"/>
      <c r="DV101" s="276"/>
      <c r="DW101" s="276"/>
      <c r="DX101" s="276"/>
      <c r="DY101" s="276"/>
      <c r="DZ101" s="276"/>
      <c r="EA101" s="276"/>
      <c r="EB101" s="276"/>
      <c r="EC101" s="276"/>
      <c r="ED101" s="276"/>
      <c r="EE101" s="276"/>
      <c r="EF101" s="112"/>
    </row>
    <row r="102" spans="1:136" s="102" customFormat="1" x14ac:dyDescent="0.4">
      <c r="A102" s="64" t="s">
        <v>157</v>
      </c>
      <c r="B102" s="276">
        <v>1425.8</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v>11.97</v>
      </c>
      <c r="BT102" s="100"/>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47.37</v>
      </c>
      <c r="DI102" s="101">
        <v>27.99</v>
      </c>
      <c r="DJ102" s="101"/>
      <c r="DK102" s="101"/>
      <c r="DL102" s="101"/>
      <c r="DM102" s="101"/>
      <c r="DN102" s="67"/>
      <c r="DO102" s="101">
        <v>204.93180699999999</v>
      </c>
      <c r="DP102" s="101">
        <v>254.78577403963399</v>
      </c>
      <c r="DQ102" s="101">
        <v>290.88647527357602</v>
      </c>
      <c r="DR102" s="276">
        <v>290.12</v>
      </c>
      <c r="DS102" s="277">
        <v>329.78</v>
      </c>
      <c r="DT102" s="276">
        <v>429.1</v>
      </c>
      <c r="DU102" s="276">
        <v>475.8</v>
      </c>
      <c r="DV102" s="276">
        <v>470.91</v>
      </c>
      <c r="DW102" s="276">
        <v>521.04</v>
      </c>
      <c r="DX102" s="276">
        <v>618.99</v>
      </c>
      <c r="DY102" s="276">
        <v>577.11</v>
      </c>
      <c r="DZ102" s="276">
        <v>740.69</v>
      </c>
      <c r="EA102" s="276">
        <v>857.79</v>
      </c>
      <c r="EB102" s="276">
        <v>1086.44</v>
      </c>
      <c r="EC102" s="276">
        <v>878.75</v>
      </c>
      <c r="ED102" s="276">
        <v>1084.46</v>
      </c>
      <c r="EE102" s="276">
        <v>1325.59</v>
      </c>
      <c r="EF102" s="112" t="s">
        <v>157</v>
      </c>
    </row>
    <row r="103" spans="1:136" s="102" customFormat="1" x14ac:dyDescent="0.4">
      <c r="A103" s="64" t="s">
        <v>158</v>
      </c>
      <c r="B103" s="276">
        <v>1625.86</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12.99</v>
      </c>
      <c r="BS103" s="100">
        <v>11.33</v>
      </c>
      <c r="BT103" s="100"/>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52.87</v>
      </c>
      <c r="DI103" s="101">
        <v>31.27</v>
      </c>
      <c r="DJ103" s="101"/>
      <c r="DK103" s="101"/>
      <c r="DL103" s="101"/>
      <c r="DM103" s="101"/>
      <c r="DN103" s="67"/>
      <c r="DO103" s="101">
        <v>157.30288400000001</v>
      </c>
      <c r="DP103" s="101">
        <v>221.96467321973699</v>
      </c>
      <c r="DQ103" s="101">
        <v>281.44054270377598</v>
      </c>
      <c r="DR103" s="276">
        <v>291.89999999999998</v>
      </c>
      <c r="DS103" s="277">
        <v>355.82</v>
      </c>
      <c r="DT103" s="276">
        <v>502.69</v>
      </c>
      <c r="DU103" s="276">
        <v>543.08000000000004</v>
      </c>
      <c r="DV103" s="276">
        <v>576.91999999999996</v>
      </c>
      <c r="DW103" s="276">
        <v>605.63</v>
      </c>
      <c r="DX103" s="276">
        <v>731.48</v>
      </c>
      <c r="DY103" s="276">
        <v>714.82</v>
      </c>
      <c r="DZ103" s="276">
        <v>898.45</v>
      </c>
      <c r="EA103" s="276">
        <v>1182.83</v>
      </c>
      <c r="EB103" s="276">
        <v>1471.91</v>
      </c>
      <c r="EC103" s="276">
        <v>937.81</v>
      </c>
      <c r="ED103" s="276">
        <v>1305.1600000000001</v>
      </c>
      <c r="EE103" s="276">
        <v>1653.01</v>
      </c>
      <c r="EF103" s="112" t="s">
        <v>158</v>
      </c>
    </row>
    <row r="104" spans="1:136" s="102" customFormat="1" x14ac:dyDescent="0.4">
      <c r="A104" s="64" t="s">
        <v>159</v>
      </c>
      <c r="B104" s="276">
        <v>938.53</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v>7.35</v>
      </c>
      <c r="BT104" s="100"/>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76">
        <v>349.81</v>
      </c>
      <c r="DS104" s="277">
        <v>377.01</v>
      </c>
      <c r="DT104" s="276">
        <v>465.29</v>
      </c>
      <c r="DU104" s="276">
        <v>527.99</v>
      </c>
      <c r="DV104" s="276">
        <v>545.97</v>
      </c>
      <c r="DW104" s="276">
        <v>562.89</v>
      </c>
      <c r="DX104" s="276">
        <v>620.03</v>
      </c>
      <c r="DY104" s="276">
        <v>551.64</v>
      </c>
      <c r="DZ104" s="276">
        <v>680.96</v>
      </c>
      <c r="EA104" s="276">
        <v>735.68</v>
      </c>
      <c r="EB104" s="276">
        <v>849.7</v>
      </c>
      <c r="EC104" s="276">
        <v>822.51</v>
      </c>
      <c r="ED104" s="276">
        <v>811.77</v>
      </c>
      <c r="EE104" s="276">
        <v>909.25</v>
      </c>
      <c r="EF104" s="112" t="s">
        <v>159</v>
      </c>
    </row>
    <row r="105" spans="1:136" s="102" customFormat="1" x14ac:dyDescent="0.4">
      <c r="A105" s="64" t="s">
        <v>160</v>
      </c>
      <c r="B105" s="276">
        <v>666.56</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v>8.7799999999999994</v>
      </c>
      <c r="BT105" s="100"/>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76">
        <v>551.87</v>
      </c>
      <c r="DS105" s="277">
        <v>563.64</v>
      </c>
      <c r="DT105" s="276">
        <v>691.56</v>
      </c>
      <c r="DU105" s="276">
        <v>613.71</v>
      </c>
      <c r="DV105" s="276">
        <v>463.95</v>
      </c>
      <c r="DW105" s="276">
        <v>573.98</v>
      </c>
      <c r="DX105" s="276">
        <v>546.99</v>
      </c>
      <c r="DY105" s="276">
        <v>429.19</v>
      </c>
      <c r="DZ105" s="276">
        <v>455.33</v>
      </c>
      <c r="EA105" s="276">
        <v>285.42</v>
      </c>
      <c r="EB105" s="276">
        <v>424.09</v>
      </c>
      <c r="EC105" s="276">
        <v>667.7</v>
      </c>
      <c r="ED105" s="276">
        <v>640.67999999999995</v>
      </c>
      <c r="EE105" s="276">
        <v>657.72</v>
      </c>
      <c r="EF105" s="112" t="s">
        <v>160</v>
      </c>
    </row>
    <row r="106" spans="1:136" s="102" customFormat="1" x14ac:dyDescent="0.4">
      <c r="A106" s="64" t="s">
        <v>161</v>
      </c>
      <c r="B106" s="276">
        <v>933.39</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v>11.09</v>
      </c>
      <c r="BT106" s="100"/>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76">
        <v>197.47</v>
      </c>
      <c r="DS106" s="277">
        <v>245.32</v>
      </c>
      <c r="DT106" s="276">
        <v>322.92</v>
      </c>
      <c r="DU106" s="276">
        <v>363.69</v>
      </c>
      <c r="DV106" s="276">
        <v>353.45</v>
      </c>
      <c r="DW106" s="276">
        <v>429.46</v>
      </c>
      <c r="DX106" s="276">
        <v>509.92</v>
      </c>
      <c r="DY106" s="276">
        <v>435.01</v>
      </c>
      <c r="DZ106" s="276">
        <v>557.87</v>
      </c>
      <c r="EA106" s="276">
        <v>533.52</v>
      </c>
      <c r="EB106" s="276">
        <v>704.27</v>
      </c>
      <c r="EC106" s="276">
        <v>619.23</v>
      </c>
      <c r="ED106" s="276">
        <v>676.87</v>
      </c>
      <c r="EE106" s="276">
        <v>863.02</v>
      </c>
      <c r="EF106" s="112" t="s">
        <v>161</v>
      </c>
    </row>
    <row r="107" spans="1:136" s="102" customFormat="1" x14ac:dyDescent="0.4">
      <c r="A107" s="64" t="s">
        <v>162</v>
      </c>
      <c r="B107" s="276">
        <v>1622.58</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v>17.46</v>
      </c>
      <c r="BT107" s="100"/>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76">
        <v>410.14</v>
      </c>
      <c r="DS107" s="277">
        <v>475.27</v>
      </c>
      <c r="DT107" s="276">
        <v>663.81</v>
      </c>
      <c r="DU107" s="276">
        <v>815.87</v>
      </c>
      <c r="DV107" s="276">
        <v>863.43</v>
      </c>
      <c r="DW107" s="276">
        <v>832.05</v>
      </c>
      <c r="DX107" s="276">
        <v>1002.7</v>
      </c>
      <c r="DY107" s="276">
        <v>1053.1600000000001</v>
      </c>
      <c r="DZ107" s="276">
        <v>1251.68</v>
      </c>
      <c r="EA107" s="276">
        <v>1409.79</v>
      </c>
      <c r="EB107" s="276">
        <v>1734.44</v>
      </c>
      <c r="EC107" s="276">
        <v>1651.14</v>
      </c>
      <c r="ED107" s="276">
        <v>1655.37</v>
      </c>
      <c r="EE107" s="276">
        <v>1675.62</v>
      </c>
      <c r="EF107" s="112" t="s">
        <v>162</v>
      </c>
    </row>
    <row r="108" spans="1:136" s="102" customFormat="1" x14ac:dyDescent="0.4">
      <c r="A108" s="64" t="s">
        <v>163</v>
      </c>
      <c r="B108" s="276">
        <v>1404.67</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v>10.92</v>
      </c>
      <c r="BT108" s="100"/>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76">
        <v>306.02999999999997</v>
      </c>
      <c r="DS108" s="277">
        <v>348.35</v>
      </c>
      <c r="DT108" s="276">
        <v>482.23</v>
      </c>
      <c r="DU108" s="276">
        <v>513.05999999999995</v>
      </c>
      <c r="DV108" s="276">
        <v>488.83</v>
      </c>
      <c r="DW108" s="276">
        <v>575.83000000000004</v>
      </c>
      <c r="DX108" s="276">
        <v>683.83</v>
      </c>
      <c r="DY108" s="276">
        <v>581.53</v>
      </c>
      <c r="DZ108" s="276">
        <v>741</v>
      </c>
      <c r="EA108" s="276">
        <v>813.28</v>
      </c>
      <c r="EB108" s="276">
        <v>980.62</v>
      </c>
      <c r="EC108" s="276">
        <v>902.92</v>
      </c>
      <c r="ED108" s="276">
        <v>1069.02</v>
      </c>
      <c r="EE108" s="276">
        <v>1232.21</v>
      </c>
      <c r="EF108" s="112" t="s">
        <v>163</v>
      </c>
    </row>
    <row r="109" spans="1:136" s="102" customFormat="1" x14ac:dyDescent="0.4">
      <c r="A109" s="64" t="s">
        <v>164</v>
      </c>
      <c r="B109" s="276">
        <v>5217.6400000000003</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v>29.42</v>
      </c>
      <c r="BT109" s="100"/>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76">
        <v>423.04</v>
      </c>
      <c r="DS109" s="277">
        <v>478.87</v>
      </c>
      <c r="DT109" s="276">
        <v>608</v>
      </c>
      <c r="DU109" s="276">
        <v>712.45</v>
      </c>
      <c r="DV109" s="276">
        <v>741.27</v>
      </c>
      <c r="DW109" s="276">
        <v>837.68</v>
      </c>
      <c r="DX109" s="276">
        <v>1134.95</v>
      </c>
      <c r="DY109" s="276">
        <v>1112.03</v>
      </c>
      <c r="DZ109" s="276">
        <v>1641.41</v>
      </c>
      <c r="EA109" s="276">
        <v>2324.4699999999998</v>
      </c>
      <c r="EB109" s="276">
        <v>3082.94</v>
      </c>
      <c r="EC109" s="276">
        <v>2200.73</v>
      </c>
      <c r="ED109" s="276">
        <v>3413.94</v>
      </c>
      <c r="EE109" s="276">
        <v>4609.83</v>
      </c>
      <c r="EF109" s="112" t="s">
        <v>164</v>
      </c>
    </row>
    <row r="110" spans="1:136" s="102" customFormat="1" x14ac:dyDescent="0.4">
      <c r="A110" s="64" t="s">
        <v>165</v>
      </c>
      <c r="B110" s="276">
        <v>600.70000000000005</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v>3.15</v>
      </c>
      <c r="BT110" s="100"/>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76">
        <v>221.24</v>
      </c>
      <c r="DS110" s="277">
        <v>252.11</v>
      </c>
      <c r="DT110" s="276">
        <v>310.94</v>
      </c>
      <c r="DU110" s="276">
        <v>324.39</v>
      </c>
      <c r="DV110" s="276">
        <v>285.8</v>
      </c>
      <c r="DW110" s="276">
        <v>340.34</v>
      </c>
      <c r="DX110" s="276">
        <v>409.64</v>
      </c>
      <c r="DY110" s="276">
        <v>337.8</v>
      </c>
      <c r="DZ110" s="276">
        <v>409.54</v>
      </c>
      <c r="EA110" s="276">
        <v>479.26</v>
      </c>
      <c r="EB110" s="276">
        <v>600.55999999999995</v>
      </c>
      <c r="EC110" s="276">
        <v>525.51</v>
      </c>
      <c r="ED110" s="276">
        <v>584.92999999999995</v>
      </c>
      <c r="EE110" s="276">
        <v>573.21</v>
      </c>
      <c r="EF110" s="112" t="s">
        <v>165</v>
      </c>
    </row>
    <row r="111" spans="1:136" s="102" customFormat="1" x14ac:dyDescent="0.4">
      <c r="A111" s="64" t="s">
        <v>381</v>
      </c>
      <c r="B111" s="276">
        <v>370.85</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v>4.33</v>
      </c>
      <c r="BT111" s="100"/>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76">
        <v>128.91</v>
      </c>
      <c r="DS111" s="277">
        <v>144.97999999999999</v>
      </c>
      <c r="DT111" s="276">
        <v>154.66999999999999</v>
      </c>
      <c r="DU111" s="276">
        <v>152.32</v>
      </c>
      <c r="DV111" s="276">
        <v>149.56</v>
      </c>
      <c r="DW111" s="276">
        <v>176.17</v>
      </c>
      <c r="DX111" s="276">
        <v>165.04</v>
      </c>
      <c r="DY111" s="276">
        <v>138.68</v>
      </c>
      <c r="DZ111" s="276">
        <v>180.87</v>
      </c>
      <c r="EA111" s="276">
        <v>220.54</v>
      </c>
      <c r="EB111" s="276">
        <v>265.27999999999997</v>
      </c>
      <c r="EC111" s="276">
        <v>158.63999999999999</v>
      </c>
      <c r="ED111" s="276">
        <v>242.49</v>
      </c>
      <c r="EE111" s="276">
        <v>335.21</v>
      </c>
      <c r="EF111" s="112" t="s">
        <v>381</v>
      </c>
    </row>
    <row r="112" spans="1:136" s="102" customFormat="1" x14ac:dyDescent="0.4">
      <c r="A112" s="64" t="s">
        <v>166</v>
      </c>
      <c r="B112" s="276">
        <v>487.26</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v>6.52</v>
      </c>
      <c r="BT112" s="100"/>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76">
        <v>204.99</v>
      </c>
      <c r="DS112" s="277">
        <v>200.04</v>
      </c>
      <c r="DT112" s="276">
        <v>221.38</v>
      </c>
      <c r="DU112" s="276">
        <v>272.12</v>
      </c>
      <c r="DV112" s="276">
        <v>250.42</v>
      </c>
      <c r="DW112" s="276">
        <v>284.70999999999998</v>
      </c>
      <c r="DX112" s="276">
        <v>308.86</v>
      </c>
      <c r="DY112" s="276">
        <v>311.5</v>
      </c>
      <c r="DZ112" s="276">
        <v>377.57</v>
      </c>
      <c r="EA112" s="276">
        <v>361.82</v>
      </c>
      <c r="EB112" s="276">
        <v>413.43</v>
      </c>
      <c r="EC112" s="276">
        <v>406.64</v>
      </c>
      <c r="ED112" s="276">
        <v>363.4</v>
      </c>
      <c r="EE112" s="276">
        <v>435.1</v>
      </c>
      <c r="EF112" s="112" t="s">
        <v>166</v>
      </c>
    </row>
    <row r="113" spans="1:136" s="102" customFormat="1" x14ac:dyDescent="0.4">
      <c r="A113" s="64" t="s">
        <v>308</v>
      </c>
      <c r="B113" s="276">
        <v>233.52</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v>1.32</v>
      </c>
      <c r="BT113" s="100"/>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76"/>
      <c r="DS113" s="277"/>
      <c r="DT113" s="276"/>
      <c r="DU113" s="276"/>
      <c r="DV113" s="276"/>
      <c r="DW113" s="276">
        <v>189.91</v>
      </c>
      <c r="DX113" s="276">
        <v>199.89</v>
      </c>
      <c r="DY113" s="276">
        <v>185.8</v>
      </c>
      <c r="DZ113" s="276">
        <v>229.67</v>
      </c>
      <c r="EA113" s="276">
        <v>212.56</v>
      </c>
      <c r="EB113" s="276">
        <v>296.05</v>
      </c>
      <c r="EC113" s="276">
        <v>210.8</v>
      </c>
      <c r="ED113" s="276">
        <v>225.9</v>
      </c>
      <c r="EE113" s="276">
        <v>229.61</v>
      </c>
      <c r="EF113" s="112" t="s">
        <v>494</v>
      </c>
    </row>
    <row r="115" spans="1:136" x14ac:dyDescent="0.4">
      <c r="A115" s="64" t="s">
        <v>93</v>
      </c>
    </row>
    <row r="116" spans="1:136" x14ac:dyDescent="0.4">
      <c r="A116" s="64" t="s">
        <v>94</v>
      </c>
    </row>
    <row r="117" spans="1:136" x14ac:dyDescent="0.4">
      <c r="A117" s="64" t="s">
        <v>95</v>
      </c>
    </row>
    <row r="118" spans="1:136" x14ac:dyDescent="0.4">
      <c r="A118" s="64" t="s">
        <v>96</v>
      </c>
    </row>
    <row r="119" spans="1:136" x14ac:dyDescent="0.4">
      <c r="A119" s="64" t="s">
        <v>97</v>
      </c>
    </row>
    <row r="120" spans="1:136" x14ac:dyDescent="0.4">
      <c r="A120" s="64" t="s">
        <v>107</v>
      </c>
    </row>
    <row r="121" spans="1:136" x14ac:dyDescent="0.4">
      <c r="A121" s="64" t="s">
        <v>98</v>
      </c>
    </row>
    <row r="123" spans="1:136" x14ac:dyDescent="0.4">
      <c r="A123" s="64" t="s">
        <v>99</v>
      </c>
    </row>
    <row r="124" spans="1:136" x14ac:dyDescent="0.4">
      <c r="A124" s="64" t="s">
        <v>100</v>
      </c>
    </row>
    <row r="125" spans="1:136" x14ac:dyDescent="0.4">
      <c r="A125" s="64" t="s">
        <v>101</v>
      </c>
    </row>
    <row r="126" spans="1:136" x14ac:dyDescent="0.4">
      <c r="A126" s="64" t="s">
        <v>102</v>
      </c>
    </row>
    <row r="127" spans="1:136" x14ac:dyDescent="0.4">
      <c r="A127" s="64" t="s">
        <v>365</v>
      </c>
    </row>
    <row r="128" spans="1:136" x14ac:dyDescent="0.4">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9"/>
  <sheetViews>
    <sheetView workbookViewId="0">
      <pane ySplit="6" topLeftCell="A7" activePane="bottomLeft" state="frozen"/>
      <selection pane="bottomLeft" activeCell="C1" sqref="C1"/>
    </sheetView>
  </sheetViews>
  <sheetFormatPr defaultRowHeight="13.15" x14ac:dyDescent="0.4"/>
  <cols>
    <col min="1" max="1" width="16.3984375" style="99"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273" bestFit="1" customWidth="1"/>
    <col min="11" max="11" width="13.3984375" style="1" customWidth="1"/>
  </cols>
  <sheetData>
    <row r="1" spans="1:13" s="7" customFormat="1" x14ac:dyDescent="0.4">
      <c r="A1" s="201" t="s">
        <v>147</v>
      </c>
      <c r="B1" s="54"/>
      <c r="C1" s="54"/>
      <c r="D1" s="54"/>
      <c r="E1" s="41"/>
      <c r="F1" s="41"/>
      <c r="G1" s="54"/>
      <c r="H1" s="59"/>
      <c r="I1" s="54"/>
      <c r="J1" s="6"/>
      <c r="K1" s="6"/>
      <c r="L1" s="6"/>
      <c r="M1" s="6"/>
    </row>
    <row r="2" spans="1:13" s="72" customFormat="1" x14ac:dyDescent="0.4">
      <c r="A2" s="201" t="s">
        <v>106</v>
      </c>
      <c r="B2" s="54"/>
      <c r="C2" s="54"/>
      <c r="D2" s="54"/>
      <c r="E2" s="41"/>
      <c r="F2" s="41"/>
      <c r="G2" s="54"/>
      <c r="H2" s="59"/>
      <c r="I2" s="54"/>
      <c r="J2" s="6"/>
      <c r="K2" s="6"/>
      <c r="L2" s="6"/>
      <c r="M2" s="6"/>
    </row>
    <row r="3" spans="1:13" s="72" customFormat="1" x14ac:dyDescent="0.4">
      <c r="A3" s="202"/>
      <c r="B3" s="54"/>
      <c r="C3" s="54"/>
      <c r="D3" s="54"/>
      <c r="E3" s="41"/>
      <c r="F3" s="41"/>
      <c r="G3" s="54"/>
      <c r="H3" s="59"/>
      <c r="I3" s="54"/>
      <c r="J3" s="6"/>
      <c r="K3" s="6"/>
      <c r="L3" s="6"/>
      <c r="M3" s="6"/>
    </row>
    <row r="4" spans="1:13" s="93" customFormat="1" x14ac:dyDescent="0.4">
      <c r="A4" s="201"/>
      <c r="B4" s="54" t="s">
        <v>14</v>
      </c>
      <c r="C4" s="54" t="s">
        <v>9</v>
      </c>
      <c r="D4" s="54" t="s">
        <v>7</v>
      </c>
      <c r="E4" s="41" t="s">
        <v>20</v>
      </c>
      <c r="F4" s="41" t="s">
        <v>26</v>
      </c>
      <c r="G4" s="54" t="s">
        <v>272</v>
      </c>
      <c r="H4" s="59"/>
      <c r="I4" s="54"/>
      <c r="J4" s="54"/>
      <c r="K4" s="54"/>
    </row>
    <row r="5" spans="1:13" s="93" customFormat="1" x14ac:dyDescent="0.4">
      <c r="A5" s="201" t="s">
        <v>0</v>
      </c>
      <c r="B5" s="54" t="s">
        <v>15</v>
      </c>
      <c r="C5" s="54" t="s">
        <v>15</v>
      </c>
      <c r="D5" s="54" t="s">
        <v>4</v>
      </c>
      <c r="E5" s="41" t="s">
        <v>24</v>
      </c>
      <c r="F5" s="41" t="s">
        <v>24</v>
      </c>
      <c r="G5" s="54" t="s">
        <v>273</v>
      </c>
      <c r="H5" s="59"/>
      <c r="I5" s="54"/>
      <c r="J5" s="54"/>
      <c r="K5" s="54"/>
    </row>
    <row r="6" spans="1:13" s="93" customFormat="1" x14ac:dyDescent="0.4">
      <c r="A6" s="201" t="s">
        <v>10</v>
      </c>
      <c r="B6" s="54" t="s">
        <v>13</v>
      </c>
      <c r="C6" s="54" t="s">
        <v>13</v>
      </c>
      <c r="D6" s="54" t="s">
        <v>13</v>
      </c>
      <c r="E6" s="41" t="s">
        <v>25</v>
      </c>
      <c r="F6" s="41" t="s">
        <v>25</v>
      </c>
      <c r="G6" s="54" t="s">
        <v>116</v>
      </c>
      <c r="H6" s="59" t="s">
        <v>1</v>
      </c>
      <c r="I6" s="54" t="s">
        <v>2</v>
      </c>
      <c r="J6" s="97"/>
      <c r="K6" s="54"/>
    </row>
    <row r="7" spans="1:13" s="33" customFormat="1" ht="12.75" x14ac:dyDescent="0.35">
      <c r="A7" s="43">
        <v>45838</v>
      </c>
      <c r="B7" s="58"/>
      <c r="C7" s="28"/>
      <c r="D7" s="28">
        <v>19.484934831291397</v>
      </c>
      <c r="E7" s="28"/>
      <c r="F7" s="28"/>
      <c r="G7" s="28"/>
      <c r="H7" s="60">
        <v>6204.9539523896101</v>
      </c>
      <c r="I7" s="32">
        <v>8461.0810573336203</v>
      </c>
      <c r="J7" s="284"/>
      <c r="K7" s="32"/>
    </row>
    <row r="8" spans="1:13" s="33" customFormat="1" ht="12.75" x14ac:dyDescent="0.35">
      <c r="A8" s="43">
        <v>45747</v>
      </c>
      <c r="B8" s="58">
        <v>57.51</v>
      </c>
      <c r="C8" s="28">
        <v>53.89</v>
      </c>
      <c r="D8" s="28">
        <v>19.372895060090599</v>
      </c>
      <c r="E8" s="28">
        <v>488.42000283806902</v>
      </c>
      <c r="F8" s="28">
        <v>1197.1102000000001</v>
      </c>
      <c r="G8" s="28">
        <v>30.9117</v>
      </c>
      <c r="H8" s="60">
        <v>5611.8526068176197</v>
      </c>
      <c r="I8" s="32">
        <v>8473.8315556234556</v>
      </c>
      <c r="J8" s="284"/>
      <c r="K8" s="32"/>
    </row>
    <row r="9" spans="1:13" s="33" customFormat="1" ht="12.75" x14ac:dyDescent="0.35">
      <c r="A9" s="43">
        <v>45657</v>
      </c>
      <c r="B9" s="58">
        <v>61.21</v>
      </c>
      <c r="C9" s="28">
        <v>57.69</v>
      </c>
      <c r="D9" s="28">
        <v>19.810500000000001</v>
      </c>
      <c r="E9" s="28">
        <v>508.588989105895</v>
      </c>
      <c r="F9" s="28">
        <v>1178.5678</v>
      </c>
      <c r="G9" s="28">
        <v>34.471600000000002</v>
      </c>
      <c r="H9" s="60">
        <v>5881.6276482140802</v>
      </c>
      <c r="I9" s="32">
        <v>8467.8945183214855</v>
      </c>
      <c r="J9" s="284"/>
      <c r="K9" s="32"/>
    </row>
    <row r="10" spans="1:13" s="33" customFormat="1" ht="12.75" x14ac:dyDescent="0.35">
      <c r="A10" s="43">
        <v>45565</v>
      </c>
      <c r="B10" s="58">
        <v>59.16</v>
      </c>
      <c r="C10" s="28">
        <v>51.99</v>
      </c>
      <c r="D10" s="28">
        <v>18.680399999999999</v>
      </c>
      <c r="E10" s="28">
        <v>501.35399999999998</v>
      </c>
      <c r="F10" s="28">
        <v>1166.3461</v>
      </c>
      <c r="G10" s="28">
        <v>30.8917</v>
      </c>
      <c r="H10" s="60">
        <v>5762.4848833691203</v>
      </c>
      <c r="I10" s="32">
        <v>8451.34215357621</v>
      </c>
      <c r="J10" s="284"/>
      <c r="K10" s="32"/>
    </row>
    <row r="11" spans="1:13" s="33" customFormat="1" ht="12.75" x14ac:dyDescent="0.35">
      <c r="A11" s="43">
        <v>45471</v>
      </c>
      <c r="B11" s="58">
        <v>58.36</v>
      </c>
      <c r="C11" s="28">
        <v>53.12</v>
      </c>
      <c r="D11" s="28">
        <v>18.281505934951767</v>
      </c>
      <c r="E11" s="28">
        <v>488.70539889816598</v>
      </c>
      <c r="F11" s="28">
        <v>1139.3140000000001</v>
      </c>
      <c r="G11" s="28">
        <v>28.457100000000001</v>
      </c>
      <c r="H11" s="60">
        <v>5460.4826211495101</v>
      </c>
      <c r="I11" s="32">
        <v>8395.3883758246702</v>
      </c>
      <c r="J11" s="284"/>
      <c r="K11" s="32"/>
    </row>
    <row r="12" spans="1:13" s="93" customFormat="1" x14ac:dyDescent="0.4">
      <c r="A12" s="43">
        <v>45379</v>
      </c>
      <c r="B12" s="58">
        <v>54.63</v>
      </c>
      <c r="C12" s="28">
        <v>47.37</v>
      </c>
      <c r="D12" s="28">
        <v>18.05984865480896</v>
      </c>
      <c r="E12" s="28">
        <v>471.949168549604</v>
      </c>
      <c r="F12" s="28">
        <v>1116.7279000000001</v>
      </c>
      <c r="G12" s="28">
        <v>27.060700000000001</v>
      </c>
      <c r="H12" s="60">
        <v>5254.3544012623997</v>
      </c>
      <c r="I12" s="32">
        <v>8388.7721322418911</v>
      </c>
      <c r="J12" s="41"/>
      <c r="K12" s="32"/>
      <c r="L12" s="59"/>
    </row>
    <row r="13" spans="1:13" s="93" customFormat="1" x14ac:dyDescent="0.4">
      <c r="A13" s="43">
        <v>45289</v>
      </c>
      <c r="B13" s="58">
        <v>53.9</v>
      </c>
      <c r="C13" s="28">
        <v>47.79</v>
      </c>
      <c r="D13" s="28">
        <v>18.37854501494974</v>
      </c>
      <c r="E13" s="28">
        <v>490.20150622628699</v>
      </c>
      <c r="F13" s="28">
        <v>1106.2147121371499</v>
      </c>
      <c r="G13" s="28">
        <v>30.133460571403401</v>
      </c>
      <c r="H13" s="60">
        <v>4769.8294107906704</v>
      </c>
      <c r="I13" s="32">
        <v>8394.1287472578297</v>
      </c>
      <c r="J13" s="41"/>
      <c r="K13" s="32"/>
    </row>
    <row r="14" spans="1:13" s="93" customFormat="1" x14ac:dyDescent="0.4">
      <c r="A14" s="43">
        <v>45198</v>
      </c>
      <c r="B14" s="58">
        <v>52.25</v>
      </c>
      <c r="C14" s="28">
        <v>47.65</v>
      </c>
      <c r="D14" s="28">
        <v>17.2559</v>
      </c>
      <c r="E14" s="28">
        <v>468.52408163076501</v>
      </c>
      <c r="F14" s="28">
        <v>1076.23754170957</v>
      </c>
      <c r="G14" s="28">
        <v>27.013050014230299</v>
      </c>
      <c r="H14" s="60">
        <v>4288.05412263991</v>
      </c>
      <c r="I14" s="32">
        <v>8380.8480658675817</v>
      </c>
      <c r="J14" s="41"/>
      <c r="K14" s="54"/>
      <c r="L14" s="59"/>
    </row>
    <row r="15" spans="1:13" s="93" customFormat="1" x14ac:dyDescent="0.4">
      <c r="A15" s="43">
        <v>45107</v>
      </c>
      <c r="B15" s="28">
        <v>54.84</v>
      </c>
      <c r="C15" s="28">
        <v>48.58</v>
      </c>
      <c r="D15" s="28">
        <v>17.13053206271158</v>
      </c>
      <c r="E15" s="28">
        <v>462.13267936665397</v>
      </c>
      <c r="F15" s="28">
        <v>1061.9131</v>
      </c>
      <c r="G15" s="28">
        <v>25.9619</v>
      </c>
      <c r="H15" s="60">
        <v>4450.3813118092003</v>
      </c>
      <c r="I15" s="32">
        <v>8350.3696198790294</v>
      </c>
      <c r="J15" s="41"/>
      <c r="K15" s="54"/>
      <c r="L15" s="59"/>
    </row>
    <row r="16" spans="1:13" s="93" customFormat="1" x14ac:dyDescent="0.4">
      <c r="A16" s="43">
        <v>45016</v>
      </c>
      <c r="B16" s="28">
        <v>52.54</v>
      </c>
      <c r="C16" s="28">
        <v>48.41</v>
      </c>
      <c r="D16" s="28">
        <v>17.538714866076422</v>
      </c>
      <c r="E16" s="28">
        <v>451.437952452888</v>
      </c>
      <c r="F16" s="28">
        <v>1045.2664</v>
      </c>
      <c r="G16" s="28">
        <v>25.460100000000001</v>
      </c>
      <c r="H16" s="60">
        <v>4109.3124446214597</v>
      </c>
      <c r="I16" s="32">
        <v>8357.127040348194</v>
      </c>
      <c r="J16" s="41"/>
      <c r="K16" s="54"/>
      <c r="L16" s="59"/>
    </row>
    <row r="17" spans="1:12" s="93" customFormat="1" x14ac:dyDescent="0.4">
      <c r="A17" s="43">
        <v>44926</v>
      </c>
      <c r="B17" s="28">
        <v>50.37</v>
      </c>
      <c r="C17" s="28">
        <v>39.61</v>
      </c>
      <c r="D17" s="28">
        <v>17.387989161834149</v>
      </c>
      <c r="E17" s="28">
        <v>461.44351250434801</v>
      </c>
      <c r="F17" s="28">
        <v>1024.5568000000001</v>
      </c>
      <c r="G17" s="28">
        <v>29.162299999999998</v>
      </c>
      <c r="H17" s="60">
        <v>3839.4965866768098</v>
      </c>
      <c r="I17" s="32">
        <v>8369.0414876313098</v>
      </c>
      <c r="J17" s="41"/>
      <c r="K17" s="54"/>
      <c r="L17" s="59"/>
    </row>
    <row r="18" spans="1:12" s="33" customFormat="1" x14ac:dyDescent="0.4">
      <c r="A18" s="43">
        <v>44834</v>
      </c>
      <c r="B18" s="28">
        <v>50.35</v>
      </c>
      <c r="C18" s="28">
        <v>44.41</v>
      </c>
      <c r="D18" s="28">
        <v>16.657699999999998</v>
      </c>
      <c r="E18" s="28">
        <v>446.333358766782</v>
      </c>
      <c r="F18" s="28">
        <v>996.29290000000003</v>
      </c>
      <c r="G18" s="28">
        <v>26.029900000000001</v>
      </c>
      <c r="H18" s="60">
        <v>3585.6241035486701</v>
      </c>
      <c r="I18" s="32">
        <v>8399.9524263174299</v>
      </c>
      <c r="J18" s="41"/>
      <c r="K18" s="54"/>
      <c r="L18" s="60"/>
    </row>
    <row r="19" spans="1:12" s="93" customFormat="1" x14ac:dyDescent="0.4">
      <c r="A19" s="43">
        <v>44742</v>
      </c>
      <c r="B19" s="28">
        <v>46.87</v>
      </c>
      <c r="C19" s="28">
        <v>42.74</v>
      </c>
      <c r="D19" s="28">
        <v>16.627038249907311</v>
      </c>
      <c r="E19" s="28">
        <v>431.38913901600301</v>
      </c>
      <c r="F19" s="28">
        <v>1001.4726000000001</v>
      </c>
      <c r="G19" s="28">
        <v>23.341000000000001</v>
      </c>
      <c r="H19" s="60">
        <v>3785.3848459311298</v>
      </c>
      <c r="I19" s="32">
        <v>8427.9920608644607</v>
      </c>
      <c r="J19" s="41"/>
      <c r="K19" s="54"/>
      <c r="L19" s="59"/>
    </row>
    <row r="20" spans="1:12" s="33" customFormat="1" x14ac:dyDescent="0.4">
      <c r="A20" s="43">
        <v>44651</v>
      </c>
      <c r="B20" s="28">
        <v>49.36</v>
      </c>
      <c r="C20" s="28">
        <v>45.99</v>
      </c>
      <c r="D20" s="28">
        <v>16.25010093695899</v>
      </c>
      <c r="E20" s="28">
        <v>413.731947494422</v>
      </c>
      <c r="F20" s="28">
        <v>1005.6278</v>
      </c>
      <c r="G20" s="28">
        <v>21.777899999999999</v>
      </c>
      <c r="H20" s="60">
        <v>4530.4134516834702</v>
      </c>
      <c r="I20" s="32">
        <v>8451.3251981430185</v>
      </c>
      <c r="J20" s="41"/>
      <c r="K20" s="54"/>
      <c r="L20" s="60"/>
    </row>
    <row r="21" spans="1:12" s="93" customFormat="1" x14ac:dyDescent="0.4">
      <c r="A21" s="43">
        <v>44561</v>
      </c>
      <c r="B21" s="28">
        <v>56.73</v>
      </c>
      <c r="C21" s="28">
        <v>53.94</v>
      </c>
      <c r="D21" s="28">
        <v>15.783466156640799</v>
      </c>
      <c r="E21" s="28">
        <v>423.17418038972301</v>
      </c>
      <c r="F21" s="28">
        <v>1008.0234</v>
      </c>
      <c r="G21" s="28">
        <v>24.046600000000002</v>
      </c>
      <c r="H21" s="60">
        <v>4766.1829724282998</v>
      </c>
      <c r="I21" s="32">
        <v>8467.2568053590385</v>
      </c>
      <c r="J21" s="41"/>
      <c r="K21" s="54"/>
      <c r="L21" s="59"/>
    </row>
    <row r="22" spans="1:12" s="33" customFormat="1" x14ac:dyDescent="0.4">
      <c r="A22" s="43">
        <v>44469</v>
      </c>
      <c r="B22" s="28">
        <v>52.02</v>
      </c>
      <c r="C22" s="28">
        <v>49.59</v>
      </c>
      <c r="D22" s="28">
        <v>15.359</v>
      </c>
      <c r="E22" s="28">
        <v>395.06714915593102</v>
      </c>
      <c r="F22" s="28">
        <v>983.04240000000004</v>
      </c>
      <c r="G22" s="28">
        <v>20.7683</v>
      </c>
      <c r="H22" s="60">
        <v>4307.5387507897103</v>
      </c>
      <c r="I22" s="32">
        <v>8482.4281916565105</v>
      </c>
      <c r="J22" s="41"/>
      <c r="K22" s="54"/>
      <c r="L22" s="60"/>
    </row>
    <row r="23" spans="1:12" s="93" customFormat="1" x14ac:dyDescent="0.4">
      <c r="A23" s="43">
        <v>44377</v>
      </c>
      <c r="B23" s="28">
        <v>52.05</v>
      </c>
      <c r="C23" s="28">
        <v>48.39</v>
      </c>
      <c r="D23" s="28">
        <v>14.577407230474947</v>
      </c>
      <c r="E23" s="28">
        <v>384.50522159944802</v>
      </c>
      <c r="F23" s="28">
        <v>969.73299999999995</v>
      </c>
      <c r="G23" s="28">
        <v>19.357399999999998</v>
      </c>
      <c r="H23" s="60">
        <v>4297.4966318818697</v>
      </c>
      <c r="I23" s="32">
        <v>8452.5341237910507</v>
      </c>
      <c r="J23" s="41"/>
      <c r="K23" s="54"/>
      <c r="L23" s="59"/>
    </row>
    <row r="24" spans="1:12" s="93" customFormat="1" x14ac:dyDescent="0.4">
      <c r="A24" s="43">
        <v>44286</v>
      </c>
      <c r="B24" s="28">
        <v>47.41</v>
      </c>
      <c r="C24" s="28">
        <v>45.95</v>
      </c>
      <c r="D24" s="28">
        <v>14.67724389527684</v>
      </c>
      <c r="E24" s="28">
        <v>364.05324016730901</v>
      </c>
      <c r="F24" s="28">
        <v>938.53150000000005</v>
      </c>
      <c r="G24" s="28">
        <v>18.038499999999999</v>
      </c>
      <c r="H24" s="60">
        <v>3972.8922084302499</v>
      </c>
      <c r="I24" s="32">
        <v>8462.1873828658699</v>
      </c>
      <c r="J24" s="41"/>
      <c r="K24" s="54"/>
      <c r="L24" s="59"/>
    </row>
    <row r="25" spans="1:12" s="33" customFormat="1" x14ac:dyDescent="0.4">
      <c r="A25" s="43">
        <v>44196</v>
      </c>
      <c r="B25" s="28">
        <v>38.18</v>
      </c>
      <c r="C25" s="28">
        <v>31.44</v>
      </c>
      <c r="D25" s="28">
        <v>14.640831622792422</v>
      </c>
      <c r="E25" s="28">
        <v>367.47827342610799</v>
      </c>
      <c r="F25" s="28">
        <v>927.51750000000004</v>
      </c>
      <c r="G25" s="28">
        <v>20.909700000000001</v>
      </c>
      <c r="H25" s="60">
        <v>3756.0714689572001</v>
      </c>
      <c r="I25" s="32">
        <v>8428.67362836559</v>
      </c>
      <c r="J25" s="41"/>
      <c r="K25" s="54"/>
      <c r="L25" s="60"/>
    </row>
    <row r="26" spans="1:12" s="33" customFormat="1" x14ac:dyDescent="0.4">
      <c r="A26" s="43">
        <v>44104</v>
      </c>
      <c r="B26" s="28">
        <v>37.9</v>
      </c>
      <c r="C26" s="52">
        <v>32.979999999999997</v>
      </c>
      <c r="D26" s="28">
        <v>13.969559385871939</v>
      </c>
      <c r="E26" s="28">
        <v>346.71021912748</v>
      </c>
      <c r="F26" s="28">
        <v>920.33609999999999</v>
      </c>
      <c r="G26" s="28">
        <v>17.938300000000002</v>
      </c>
      <c r="H26" s="60">
        <v>3362.9989876496502</v>
      </c>
      <c r="I26" s="32">
        <v>8286.6732987839478</v>
      </c>
      <c r="J26" s="41"/>
      <c r="K26" s="54"/>
      <c r="L26" s="60"/>
    </row>
    <row r="27" spans="1:12" s="93" customFormat="1" x14ac:dyDescent="0.4">
      <c r="A27" s="43">
        <v>44012</v>
      </c>
      <c r="B27" s="28">
        <v>26.79</v>
      </c>
      <c r="C27" s="52">
        <v>17.829999999999998</v>
      </c>
      <c r="D27" s="28">
        <v>14.345752160961448</v>
      </c>
      <c r="E27" s="28">
        <v>315.60950948375</v>
      </c>
      <c r="F27" s="28">
        <v>901.97220000000004</v>
      </c>
      <c r="G27" s="28">
        <v>17.1724</v>
      </c>
      <c r="H27" s="60">
        <v>3100.2851286595301</v>
      </c>
      <c r="I27" s="32">
        <v>8269.1130566765696</v>
      </c>
      <c r="J27" s="41"/>
      <c r="K27" s="54"/>
      <c r="L27" s="59"/>
    </row>
    <row r="28" spans="1:12" s="93" customFormat="1" x14ac:dyDescent="0.4">
      <c r="A28" s="43">
        <v>43921</v>
      </c>
      <c r="B28" s="28">
        <v>19.5</v>
      </c>
      <c r="C28" s="52">
        <v>11.88</v>
      </c>
      <c r="D28" s="28">
        <v>15.322702966384359</v>
      </c>
      <c r="E28" s="28">
        <v>332.58706948894502</v>
      </c>
      <c r="F28" s="28">
        <v>885.59439999999995</v>
      </c>
      <c r="G28" s="28">
        <v>19.819099999999999</v>
      </c>
      <c r="H28" s="60">
        <v>2584.5907599343</v>
      </c>
      <c r="I28" s="32">
        <v>8289.2748413449008</v>
      </c>
      <c r="J28" s="41"/>
      <c r="K28" s="54"/>
    </row>
    <row r="29" spans="1:12" s="93" customFormat="1" x14ac:dyDescent="0.4">
      <c r="A29" s="43">
        <v>43830</v>
      </c>
      <c r="B29" s="28">
        <v>39.18</v>
      </c>
      <c r="C29" s="52">
        <v>35.53</v>
      </c>
      <c r="D29" s="28">
        <v>15.213222200892581</v>
      </c>
      <c r="E29" s="28">
        <v>369.22785839068501</v>
      </c>
      <c r="F29" s="28">
        <v>914.49069999999995</v>
      </c>
      <c r="G29" s="28">
        <v>23.229600000000001</v>
      </c>
      <c r="H29" s="60">
        <v>3230.7819500904302</v>
      </c>
      <c r="I29" s="32">
        <v>8282.7275873988601</v>
      </c>
      <c r="J29" s="41"/>
      <c r="K29" s="54"/>
    </row>
    <row r="30" spans="1:12" s="93" customFormat="1" x14ac:dyDescent="0.4">
      <c r="A30" s="43">
        <v>43738</v>
      </c>
      <c r="B30" s="28">
        <v>39.81</v>
      </c>
      <c r="C30" s="52">
        <v>33.99</v>
      </c>
      <c r="D30" s="28">
        <v>14.801734274295193</v>
      </c>
      <c r="E30" s="28">
        <v>355.01641754705003</v>
      </c>
      <c r="F30" s="28">
        <v>902.94090000000006</v>
      </c>
      <c r="G30" s="28">
        <v>21.032299999999999</v>
      </c>
      <c r="H30" s="60">
        <v>2976.73727174433</v>
      </c>
      <c r="I30" s="32">
        <v>8299.9994118209033</v>
      </c>
      <c r="J30" s="41"/>
      <c r="K30" s="54"/>
    </row>
    <row r="31" spans="1:12" s="93" customFormat="1" x14ac:dyDescent="0.4">
      <c r="A31" s="43">
        <v>43644</v>
      </c>
      <c r="B31" s="28">
        <v>40.14</v>
      </c>
      <c r="C31" s="52">
        <v>34.93</v>
      </c>
      <c r="D31" s="28">
        <v>14.242944144807993</v>
      </c>
      <c r="E31" s="28">
        <v>351.91174482776103</v>
      </c>
      <c r="F31" s="28">
        <v>884.74091429322095</v>
      </c>
      <c r="G31" s="28">
        <v>20.656704765818201</v>
      </c>
      <c r="H31" s="60">
        <v>2941.76</v>
      </c>
      <c r="I31" s="32">
        <v>8302.3379796843001</v>
      </c>
      <c r="J31" s="41"/>
      <c r="K31" s="54"/>
    </row>
    <row r="32" spans="1:12" s="93" customFormat="1" x14ac:dyDescent="0.4">
      <c r="A32" s="43">
        <v>43553</v>
      </c>
      <c r="B32" s="28">
        <v>37.99</v>
      </c>
      <c r="C32" s="52">
        <v>35.020000000000003</v>
      </c>
      <c r="D32" s="28">
        <v>13.982721935746159</v>
      </c>
      <c r="E32" s="28">
        <v>338.85041002731901</v>
      </c>
      <c r="F32" s="28">
        <v>868.42129999999997</v>
      </c>
      <c r="G32" s="28">
        <v>17.878399999999999</v>
      </c>
      <c r="H32" s="60">
        <v>2834.4</v>
      </c>
      <c r="I32" s="32">
        <v>8332.8377390670303</v>
      </c>
      <c r="J32" s="41"/>
      <c r="K32" s="54"/>
    </row>
    <row r="33" spans="1:13" s="93" customFormat="1" x14ac:dyDescent="0.4">
      <c r="A33" s="43">
        <v>43465</v>
      </c>
      <c r="B33" s="28">
        <v>35.03</v>
      </c>
      <c r="C33" s="28">
        <v>28.96</v>
      </c>
      <c r="D33" s="28">
        <v>14.192106539138369</v>
      </c>
      <c r="E33" s="28">
        <v>346.70545462087</v>
      </c>
      <c r="F33" s="28">
        <v>851.62022431205105</v>
      </c>
      <c r="G33" s="28">
        <v>21.119499999999999</v>
      </c>
      <c r="H33" s="60">
        <v>2506.8471826272198</v>
      </c>
      <c r="I33" s="32">
        <v>8387.7875682931499</v>
      </c>
      <c r="J33" s="41"/>
      <c r="K33" s="54"/>
    </row>
    <row r="34" spans="1:13" s="93" customFormat="1" x14ac:dyDescent="0.4">
      <c r="A34" s="43">
        <v>43371</v>
      </c>
      <c r="B34" s="28">
        <v>41.38</v>
      </c>
      <c r="C34" s="28">
        <v>36.36</v>
      </c>
      <c r="D34" s="28">
        <v>13.6595021220856</v>
      </c>
      <c r="E34" s="28">
        <v>341.27368750750799</v>
      </c>
      <c r="F34" s="28">
        <v>843.57510000000002</v>
      </c>
      <c r="G34" s="28">
        <v>18.593599999999999</v>
      </c>
      <c r="H34" s="60">
        <v>2913.97813988603</v>
      </c>
      <c r="I34" s="32">
        <v>8434.9562335351893</v>
      </c>
      <c r="J34" s="41"/>
      <c r="K34" s="54"/>
    </row>
    <row r="35" spans="1:13" s="93" customFormat="1" x14ac:dyDescent="0.4">
      <c r="A35" s="43">
        <v>43280</v>
      </c>
      <c r="B35" s="28">
        <v>38.65</v>
      </c>
      <c r="C35" s="28">
        <v>34.049999999999997</v>
      </c>
      <c r="D35" s="28">
        <v>13.102582854438491</v>
      </c>
      <c r="E35" s="28">
        <v>334.63780255154398</v>
      </c>
      <c r="F35" s="28">
        <v>836.39139999999998</v>
      </c>
      <c r="G35" s="28">
        <v>18.595099999999999</v>
      </c>
      <c r="H35" s="60">
        <v>2718.37</v>
      </c>
      <c r="I35" s="32">
        <v>8474.3125401985908</v>
      </c>
      <c r="J35" s="41"/>
      <c r="K35" s="54"/>
    </row>
    <row r="36" spans="1:13" s="93" customFormat="1" x14ac:dyDescent="0.4">
      <c r="A36" s="43">
        <v>43188</v>
      </c>
      <c r="B36" s="28">
        <v>36.54</v>
      </c>
      <c r="C36" s="28">
        <v>33.020000000000003</v>
      </c>
      <c r="D36" s="28">
        <v>12.793986568954411</v>
      </c>
      <c r="E36" s="28">
        <v>320.388020623241</v>
      </c>
      <c r="F36" s="28">
        <v>833.44100000000003</v>
      </c>
      <c r="G36" s="28">
        <v>17.234999999999999</v>
      </c>
      <c r="H36" s="60">
        <v>2640.8659903292901</v>
      </c>
      <c r="I36" s="32">
        <v>8518.4082381580502</v>
      </c>
      <c r="J36" s="41"/>
      <c r="K36" s="54"/>
    </row>
    <row r="37" spans="1:13" s="93" customFormat="1" x14ac:dyDescent="0.4">
      <c r="A37" s="43">
        <v>43098</v>
      </c>
      <c r="B37" s="28">
        <v>33.85</v>
      </c>
      <c r="C37" s="28">
        <v>26.96</v>
      </c>
      <c r="D37" s="28">
        <v>12.782923979362749</v>
      </c>
      <c r="E37" s="28">
        <v>329.593203077623</v>
      </c>
      <c r="F37" s="28">
        <v>826.52099999999996</v>
      </c>
      <c r="G37" s="28">
        <v>18.617000000000001</v>
      </c>
      <c r="H37" s="60">
        <v>2673.6105231517399</v>
      </c>
      <c r="I37" s="32">
        <v>8535.7385215509803</v>
      </c>
      <c r="J37" s="41"/>
      <c r="K37" s="54"/>
    </row>
    <row r="38" spans="1:13" s="93" customFormat="1" x14ac:dyDescent="0.4">
      <c r="A38" s="43">
        <v>43008</v>
      </c>
      <c r="B38" s="28">
        <v>31.33</v>
      </c>
      <c r="C38" s="28">
        <v>28.45</v>
      </c>
      <c r="D38" s="28">
        <v>12.310796746221648</v>
      </c>
      <c r="E38" s="28">
        <v>308.22206192952501</v>
      </c>
      <c r="F38" s="28">
        <v>817.822</v>
      </c>
      <c r="G38" s="28">
        <v>16.326000000000001</v>
      </c>
      <c r="H38" s="60">
        <v>2519.3596719060702</v>
      </c>
      <c r="I38" s="32">
        <v>8565.2620982500011</v>
      </c>
      <c r="J38" s="41"/>
      <c r="K38" s="54"/>
    </row>
    <row r="39" spans="1:13" s="93" customFormat="1" x14ac:dyDescent="0.4">
      <c r="A39" s="43">
        <v>42916</v>
      </c>
      <c r="B39" s="28">
        <v>30.51</v>
      </c>
      <c r="C39" s="28">
        <v>27.01</v>
      </c>
      <c r="D39" s="28">
        <v>12.115322294034428</v>
      </c>
      <c r="E39" s="28">
        <v>300.98034948898999</v>
      </c>
      <c r="F39" s="28">
        <v>798.64400000000001</v>
      </c>
      <c r="G39" s="28">
        <v>15.231999999999999</v>
      </c>
      <c r="H39" s="60">
        <v>2423.4088910629698</v>
      </c>
      <c r="I39" s="32">
        <v>8567.296206939207</v>
      </c>
      <c r="J39" s="41"/>
      <c r="K39" s="54"/>
    </row>
    <row r="40" spans="1:13" s="93" customFormat="1" x14ac:dyDescent="0.4">
      <c r="A40" s="43">
        <v>42825</v>
      </c>
      <c r="B40" s="28">
        <v>28.82</v>
      </c>
      <c r="C40" s="28">
        <v>27.46</v>
      </c>
      <c r="D40" s="28">
        <v>11.722976315988888</v>
      </c>
      <c r="E40" s="28">
        <v>292.77906197216203</v>
      </c>
      <c r="F40" s="28">
        <v>785.17899999999997</v>
      </c>
      <c r="G40" s="28">
        <v>13.923</v>
      </c>
      <c r="H40" s="60">
        <v>2362.7182203972902</v>
      </c>
      <c r="I40" s="32">
        <v>8581.6303408986005</v>
      </c>
      <c r="J40" s="41"/>
      <c r="K40" s="54"/>
    </row>
    <row r="41" spans="1:13" s="93" customFormat="1" x14ac:dyDescent="0.4">
      <c r="A41" s="43">
        <v>42735</v>
      </c>
      <c r="B41" s="28">
        <v>27.9</v>
      </c>
      <c r="C41" s="28">
        <v>24.16</v>
      </c>
      <c r="D41" s="28">
        <v>12.024007621816583</v>
      </c>
      <c r="E41" s="28">
        <v>301.11551213454698</v>
      </c>
      <c r="F41" s="28">
        <v>768.98500000000001</v>
      </c>
      <c r="G41" s="28">
        <v>20.151</v>
      </c>
      <c r="H41" s="60">
        <v>2238.82668170754</v>
      </c>
      <c r="I41" s="32">
        <v>8606.2637598811798</v>
      </c>
      <c r="J41" s="41"/>
      <c r="K41" s="54"/>
    </row>
    <row r="42" spans="1:13" s="93" customFormat="1" x14ac:dyDescent="0.4">
      <c r="A42" s="43">
        <v>42643</v>
      </c>
      <c r="B42" s="28">
        <v>28.69</v>
      </c>
      <c r="C42" s="28">
        <v>25.39</v>
      </c>
      <c r="D42" s="28">
        <v>11.356713187797851</v>
      </c>
      <c r="E42" s="28">
        <v>290.93683358716402</v>
      </c>
      <c r="F42" s="28">
        <v>779.61400000000003</v>
      </c>
      <c r="G42" s="28">
        <v>15.146000000000001</v>
      </c>
      <c r="H42" s="60">
        <v>2168.2720896372798</v>
      </c>
      <c r="I42" s="32">
        <v>8643.5862699972895</v>
      </c>
      <c r="J42" s="41"/>
      <c r="K42" s="54"/>
    </row>
    <row r="43" spans="1:13" s="93" customFormat="1" x14ac:dyDescent="0.4">
      <c r="A43" s="43">
        <v>42551</v>
      </c>
      <c r="B43" s="28">
        <v>25.7</v>
      </c>
      <c r="C43" s="28">
        <v>23.28</v>
      </c>
      <c r="D43" s="28">
        <v>11.278726726038828</v>
      </c>
      <c r="E43" s="28">
        <v>284.59270983317998</v>
      </c>
      <c r="F43" s="28">
        <v>765.12300000000005</v>
      </c>
      <c r="G43" s="28">
        <v>15.311</v>
      </c>
      <c r="H43" s="60">
        <v>2098.8552265056101</v>
      </c>
      <c r="I43" s="32">
        <v>8667.9402527180337</v>
      </c>
      <c r="J43" s="41"/>
      <c r="K43" s="54"/>
    </row>
    <row r="44" spans="1:13" s="93" customFormat="1" x14ac:dyDescent="0.4">
      <c r="A44" s="43">
        <v>42460</v>
      </c>
      <c r="B44" s="28">
        <v>23.97</v>
      </c>
      <c r="C44" s="28">
        <v>21.72</v>
      </c>
      <c r="D44" s="28">
        <v>11.041155949644605</v>
      </c>
      <c r="E44" s="28">
        <v>274.03042801957099</v>
      </c>
      <c r="F44" s="28">
        <v>752.77099999999996</v>
      </c>
      <c r="G44" s="28">
        <v>14.475</v>
      </c>
      <c r="H44" s="60">
        <v>2059.7411766011501</v>
      </c>
      <c r="I44" s="32">
        <v>8718.7153627667958</v>
      </c>
      <c r="J44" s="41"/>
      <c r="K44" s="54"/>
    </row>
    <row r="45" spans="1:13" s="33" customFormat="1" x14ac:dyDescent="0.4">
      <c r="A45" s="43">
        <v>42369</v>
      </c>
      <c r="B45" s="28">
        <v>23.06</v>
      </c>
      <c r="C45" s="28">
        <v>18.7</v>
      </c>
      <c r="D45" s="28">
        <v>11.34909544426143</v>
      </c>
      <c r="E45" s="28">
        <v>288.87468018814099</v>
      </c>
      <c r="F45" s="28">
        <v>740.28700000000003</v>
      </c>
      <c r="G45" s="28">
        <v>18.097000000000001</v>
      </c>
      <c r="H45" s="60">
        <v>2043.9368626607099</v>
      </c>
      <c r="I45" s="32">
        <v>8757.3919584841387</v>
      </c>
      <c r="J45" s="41"/>
      <c r="K45" s="54"/>
    </row>
    <row r="46" spans="1:13" s="27" customFormat="1" x14ac:dyDescent="0.4">
      <c r="A46" s="43">
        <v>42277</v>
      </c>
      <c r="B46" s="28">
        <v>25.44</v>
      </c>
      <c r="C46" s="28">
        <v>23.22</v>
      </c>
      <c r="D46" s="28">
        <v>10.7908992578251</v>
      </c>
      <c r="E46" s="28">
        <v>283.717152096576</v>
      </c>
      <c r="F46" s="28">
        <v>744.68</v>
      </c>
      <c r="G46" s="28">
        <v>16.494</v>
      </c>
      <c r="H46" s="60">
        <v>1920.0265516397001</v>
      </c>
      <c r="I46" s="32">
        <v>8810.5737632553573</v>
      </c>
      <c r="J46" s="41"/>
      <c r="K46" s="54"/>
      <c r="M46" s="33"/>
    </row>
    <row r="47" spans="1:13" s="27" customFormat="1" x14ac:dyDescent="0.4">
      <c r="A47" s="43">
        <v>42185</v>
      </c>
      <c r="B47" s="28">
        <v>26.14</v>
      </c>
      <c r="C47" s="28">
        <v>22.8</v>
      </c>
      <c r="D47" s="28">
        <v>10.694788941567241</v>
      </c>
      <c r="E47" s="28">
        <v>281.348521023773</v>
      </c>
      <c r="F47" s="28">
        <v>735.9</v>
      </c>
      <c r="G47" s="28">
        <v>16.11</v>
      </c>
      <c r="H47" s="60">
        <v>2063.1118322236698</v>
      </c>
      <c r="I47" s="32">
        <v>8830.9881238439229</v>
      </c>
      <c r="J47" s="41"/>
      <c r="K47" s="54"/>
      <c r="M47" s="33"/>
    </row>
    <row r="48" spans="1:13" s="27" customFormat="1" x14ac:dyDescent="0.4">
      <c r="A48" s="43">
        <v>42094</v>
      </c>
      <c r="B48" s="28">
        <v>25.81</v>
      </c>
      <c r="C48" s="28">
        <v>21.81</v>
      </c>
      <c r="D48" s="28">
        <v>10.55310371727637</v>
      </c>
      <c r="E48" s="28">
        <v>273.18781634784602</v>
      </c>
      <c r="F48" s="28">
        <v>729.29100000000005</v>
      </c>
      <c r="G48" s="28">
        <v>15.942</v>
      </c>
      <c r="H48" s="60">
        <v>2067.88724075851</v>
      </c>
      <c r="I48" s="32">
        <v>8851.2460232117392</v>
      </c>
      <c r="J48" s="41"/>
      <c r="K48" s="54"/>
      <c r="M48" s="33"/>
    </row>
    <row r="49" spans="1:13" s="27" customFormat="1" x14ac:dyDescent="0.4">
      <c r="A49" s="43">
        <v>42004</v>
      </c>
      <c r="B49" s="28">
        <v>26.76</v>
      </c>
      <c r="C49" s="28">
        <v>22.83</v>
      </c>
      <c r="D49" s="28">
        <v>10.471604592804113</v>
      </c>
      <c r="E49" s="28">
        <v>297.91000000000003</v>
      </c>
      <c r="F49" s="28">
        <v>726.95600000000002</v>
      </c>
      <c r="G49" s="28">
        <v>19.837</v>
      </c>
      <c r="H49" s="60">
        <v>2058.9023788568802</v>
      </c>
      <c r="I49" s="32">
        <v>8861.5968892373949</v>
      </c>
      <c r="J49" s="41"/>
      <c r="K49" s="54"/>
      <c r="M49" s="33"/>
    </row>
    <row r="50" spans="1:13" s="27" customFormat="1" x14ac:dyDescent="0.4">
      <c r="A50" s="43">
        <v>41912</v>
      </c>
      <c r="B50" s="28">
        <v>29.6</v>
      </c>
      <c r="C50" s="28">
        <v>27.47</v>
      </c>
      <c r="D50" s="28">
        <v>10.022504558286219</v>
      </c>
      <c r="E50" s="28">
        <v>293.08999999999997</v>
      </c>
      <c r="F50" s="28">
        <v>736.78</v>
      </c>
      <c r="G50" s="28">
        <v>17.847999999999999</v>
      </c>
      <c r="H50" s="60">
        <v>1972.28514504996</v>
      </c>
      <c r="I50" s="32">
        <v>8882.3475999999991</v>
      </c>
      <c r="J50" s="41"/>
      <c r="K50" s="54"/>
      <c r="M50" s="33"/>
    </row>
    <row r="51" spans="1:13" s="27" customFormat="1" x14ac:dyDescent="0.4">
      <c r="A51" s="43">
        <v>41820</v>
      </c>
      <c r="B51" s="28">
        <v>29.34</v>
      </c>
      <c r="C51" s="28">
        <v>27.14</v>
      </c>
      <c r="D51" s="28">
        <v>9.7593969785702033</v>
      </c>
      <c r="E51" s="28">
        <v>292.35472100317702</v>
      </c>
      <c r="F51" s="28">
        <v>733.83600000000001</v>
      </c>
      <c r="G51" s="28">
        <v>18.013000000000002</v>
      </c>
      <c r="H51" s="60">
        <v>1960.23124036383</v>
      </c>
      <c r="I51" s="32">
        <v>8878.5441630212063</v>
      </c>
      <c r="J51" s="41"/>
      <c r="K51" s="54"/>
    </row>
    <row r="52" spans="1:13" s="27" customFormat="1" x14ac:dyDescent="0.4">
      <c r="A52" s="43">
        <v>41729</v>
      </c>
      <c r="B52" s="28">
        <v>27.32</v>
      </c>
      <c r="C52" s="28">
        <v>24.87</v>
      </c>
      <c r="D52" s="28">
        <v>9.1896349630694125</v>
      </c>
      <c r="E52" s="28">
        <v>279.96134939466799</v>
      </c>
      <c r="F52" s="28">
        <v>717.80899999999997</v>
      </c>
      <c r="G52" s="28">
        <v>16.411000000000001</v>
      </c>
      <c r="H52" s="60">
        <v>1872.33517921728</v>
      </c>
      <c r="I52" s="32">
        <v>8919.2166627820607</v>
      </c>
      <c r="J52" s="41"/>
      <c r="K52" s="54"/>
    </row>
    <row r="53" spans="1:13" s="27" customFormat="1" x14ac:dyDescent="0.4">
      <c r="A53" s="43">
        <v>41639</v>
      </c>
      <c r="B53" s="28">
        <v>28.25</v>
      </c>
      <c r="C53" s="28">
        <v>26.48</v>
      </c>
      <c r="D53" s="28">
        <v>9.5230747966072222</v>
      </c>
      <c r="E53" s="28">
        <v>289.458286214927</v>
      </c>
      <c r="F53" s="28">
        <v>715.83617158315599</v>
      </c>
      <c r="G53" s="28">
        <v>18.456</v>
      </c>
      <c r="H53" s="60">
        <v>1848.3565209419301</v>
      </c>
      <c r="I53" s="32">
        <v>8924.0267757337151</v>
      </c>
      <c r="J53" s="41"/>
      <c r="K53" s="54"/>
    </row>
    <row r="54" spans="1:13" s="27" customFormat="1" x14ac:dyDescent="0.4">
      <c r="A54" s="43">
        <v>41547</v>
      </c>
      <c r="B54" s="28">
        <v>26.92</v>
      </c>
      <c r="C54" s="28">
        <v>24.63</v>
      </c>
      <c r="D54" s="28">
        <v>8.9085700586745507</v>
      </c>
      <c r="E54" s="28">
        <v>279.41131033663498</v>
      </c>
      <c r="F54" s="28">
        <v>693.21969999999999</v>
      </c>
      <c r="G54" s="28">
        <v>16.643000000000001</v>
      </c>
      <c r="H54" s="60">
        <v>1681.54666211214</v>
      </c>
      <c r="I54" s="32">
        <v>8896.8576688014055</v>
      </c>
      <c r="J54" s="41"/>
      <c r="K54" s="54"/>
    </row>
    <row r="55" spans="1:13" s="27" customFormat="1" x14ac:dyDescent="0.4">
      <c r="A55" s="43">
        <v>41455</v>
      </c>
      <c r="B55" s="28">
        <v>26.36</v>
      </c>
      <c r="C55" s="28">
        <v>24.87</v>
      </c>
      <c r="D55" s="28">
        <v>8.6063992544553507</v>
      </c>
      <c r="E55" s="28">
        <v>277.16721895853601</v>
      </c>
      <c r="F55" s="28">
        <v>679.15099999999995</v>
      </c>
      <c r="G55" s="28">
        <v>16.253</v>
      </c>
      <c r="H55" s="60">
        <v>1606.27760773726</v>
      </c>
      <c r="I55" s="32">
        <v>8908.7683839313977</v>
      </c>
      <c r="J55" s="41"/>
      <c r="K55" s="54"/>
    </row>
    <row r="56" spans="1:13" s="27" customFormat="1" x14ac:dyDescent="0.4">
      <c r="A56" s="43">
        <v>41364</v>
      </c>
      <c r="B56" s="28">
        <v>25.77</v>
      </c>
      <c r="C56" s="28">
        <v>24.22</v>
      </c>
      <c r="D56" s="28">
        <v>7.9539999999999997</v>
      </c>
      <c r="E56" s="28">
        <v>270.77348697590099</v>
      </c>
      <c r="F56" s="28">
        <v>679.08799999999997</v>
      </c>
      <c r="G56" s="28">
        <v>14.369</v>
      </c>
      <c r="H56" s="60">
        <v>1569.18587246845</v>
      </c>
      <c r="I56" s="32">
        <v>8908.3277121393021</v>
      </c>
      <c r="J56" s="41"/>
      <c r="K56" s="54"/>
    </row>
    <row r="57" spans="1:13" s="27" customFormat="1" x14ac:dyDescent="0.4">
      <c r="A57" s="43">
        <v>41274</v>
      </c>
      <c r="B57" s="28">
        <v>23.15</v>
      </c>
      <c r="C57" s="37">
        <v>20.65</v>
      </c>
      <c r="D57" s="28">
        <v>8.9349420680692422</v>
      </c>
      <c r="E57" s="28">
        <v>288.02527242203701</v>
      </c>
      <c r="F57" s="28">
        <v>666.96554487355195</v>
      </c>
      <c r="G57" s="28">
        <v>17.491</v>
      </c>
      <c r="H57" s="60">
        <v>1426.18797808055</v>
      </c>
      <c r="I57" s="32">
        <v>8934.6120189386565</v>
      </c>
      <c r="J57" s="41"/>
      <c r="K57" s="54"/>
    </row>
    <row r="58" spans="1:13" s="27" customFormat="1" x14ac:dyDescent="0.4">
      <c r="A58" s="43">
        <v>41182</v>
      </c>
      <c r="B58" s="28">
        <v>24</v>
      </c>
      <c r="C58" s="37">
        <v>21.21</v>
      </c>
      <c r="D58" s="28">
        <v>7.7709999999999999</v>
      </c>
      <c r="E58" s="28">
        <v>268.990078023313</v>
      </c>
      <c r="F58" s="28">
        <v>661.92600000000004</v>
      </c>
      <c r="G58" s="28">
        <v>16.222000000000001</v>
      </c>
      <c r="H58" s="60">
        <v>1440.67450263613</v>
      </c>
      <c r="I58" s="32">
        <v>8940.9645026443904</v>
      </c>
      <c r="J58" s="41"/>
      <c r="K58" s="54"/>
    </row>
    <row r="59" spans="1:13" s="27" customFormat="1" x14ac:dyDescent="0.4">
      <c r="A59" s="43">
        <v>41090</v>
      </c>
      <c r="B59" s="28">
        <v>25.43</v>
      </c>
      <c r="C59" s="37">
        <v>21.62</v>
      </c>
      <c r="D59" s="28">
        <v>7.4520000000000008</v>
      </c>
      <c r="E59" s="28">
        <v>268.02612885919899</v>
      </c>
      <c r="F59" s="28">
        <v>639.44500000000005</v>
      </c>
      <c r="G59" s="28">
        <v>15.685</v>
      </c>
      <c r="H59" s="60">
        <v>1362.1587454406599</v>
      </c>
      <c r="I59" s="32">
        <v>9032.0668731581882</v>
      </c>
      <c r="J59" s="41"/>
      <c r="K59" s="54"/>
    </row>
    <row r="60" spans="1:13" s="33" customFormat="1" x14ac:dyDescent="0.4">
      <c r="A60" s="43">
        <v>40999</v>
      </c>
      <c r="B60" s="26">
        <v>24.24</v>
      </c>
      <c r="C60" s="37">
        <v>23.03</v>
      </c>
      <c r="D60" s="28">
        <v>7.0889999999999995</v>
      </c>
      <c r="E60" s="83">
        <v>267.32911421688101</v>
      </c>
      <c r="F60" s="28">
        <v>633.04399999999998</v>
      </c>
      <c r="G60" s="28">
        <v>14.33</v>
      </c>
      <c r="H60" s="60">
        <v>1408.46786041941</v>
      </c>
      <c r="I60" s="32">
        <v>9038.3664138794684</v>
      </c>
      <c r="J60" s="41"/>
      <c r="K60" s="54"/>
    </row>
    <row r="61" spans="1:13" s="79" customFormat="1" x14ac:dyDescent="0.4">
      <c r="A61" s="43">
        <v>40908</v>
      </c>
      <c r="B61" s="26">
        <v>23.73</v>
      </c>
      <c r="C61" s="26">
        <v>20.64</v>
      </c>
      <c r="D61" s="26">
        <v>7.2779999999999996</v>
      </c>
      <c r="E61" s="81">
        <v>272.64031390908002</v>
      </c>
      <c r="F61" s="26">
        <v>613.14099999999996</v>
      </c>
      <c r="G61" s="26">
        <v>16.018999999999998</v>
      </c>
      <c r="H61" s="78">
        <v>1257.60480453436</v>
      </c>
      <c r="I61" s="10">
        <v>9052.9295525719863</v>
      </c>
      <c r="J61" s="41"/>
      <c r="K61" s="54"/>
    </row>
    <row r="62" spans="1:13" s="27" customFormat="1" x14ac:dyDescent="0.4">
      <c r="A62" s="43">
        <v>40816</v>
      </c>
      <c r="B62" s="26">
        <v>25.29</v>
      </c>
      <c r="C62" s="26">
        <v>22.63</v>
      </c>
      <c r="D62" s="26">
        <v>6.5010000000000003</v>
      </c>
      <c r="E62" s="26">
        <v>265.98951123115501</v>
      </c>
      <c r="F62" s="26">
        <v>613.1832917151894</v>
      </c>
      <c r="G62" s="26">
        <v>15.07</v>
      </c>
      <c r="H62" s="60">
        <v>1131.42036008329</v>
      </c>
      <c r="I62" s="32">
        <v>9106.3778823031171</v>
      </c>
      <c r="J62" s="41"/>
      <c r="K62" s="54"/>
    </row>
    <row r="63" spans="1:13" s="27" customFormat="1" x14ac:dyDescent="0.4">
      <c r="A63" s="43">
        <v>40724</v>
      </c>
      <c r="B63" s="26">
        <v>24.86</v>
      </c>
      <c r="C63" s="26">
        <v>22.24</v>
      </c>
      <c r="D63" s="26">
        <v>6.4849999999999994</v>
      </c>
      <c r="E63" s="26">
        <v>263.31438175987398</v>
      </c>
      <c r="F63" s="28">
        <v>613.08012017590318</v>
      </c>
      <c r="G63" s="26">
        <v>14.367000000000001</v>
      </c>
      <c r="H63" s="60">
        <v>1320.63904926284</v>
      </c>
      <c r="I63" s="32">
        <v>9102.5309256209111</v>
      </c>
      <c r="J63" s="41"/>
      <c r="K63" s="54"/>
    </row>
    <row r="64" spans="1:13" s="27" customFormat="1" x14ac:dyDescent="0.4">
      <c r="A64" s="43">
        <v>40633</v>
      </c>
      <c r="B64" s="28">
        <v>22.56</v>
      </c>
      <c r="C64" s="28">
        <v>21.44</v>
      </c>
      <c r="D64" s="28">
        <v>6.1609999999999996</v>
      </c>
      <c r="E64" s="28">
        <v>250.89030199550999</v>
      </c>
      <c r="F64" s="28">
        <v>594.04829271969299</v>
      </c>
      <c r="G64" s="28">
        <v>12.379</v>
      </c>
      <c r="H64" s="60">
        <v>1325.82671751112</v>
      </c>
      <c r="I64" s="32">
        <v>9102.0463785836964</v>
      </c>
      <c r="J64" s="41"/>
      <c r="K64" s="54"/>
    </row>
    <row r="65" spans="1:11" s="33" customFormat="1" x14ac:dyDescent="0.4">
      <c r="A65" s="43">
        <v>40543</v>
      </c>
      <c r="B65" s="28">
        <v>21.93</v>
      </c>
      <c r="C65" s="28">
        <v>20.67</v>
      </c>
      <c r="D65" s="28">
        <v>6.0340000000000007</v>
      </c>
      <c r="E65" s="28">
        <v>252.73245271247052</v>
      </c>
      <c r="F65" s="28">
        <v>579.14031982866686</v>
      </c>
      <c r="G65" s="28">
        <v>15.988</v>
      </c>
      <c r="H65" s="60">
        <v>1257.63598797798</v>
      </c>
      <c r="I65" s="32">
        <v>9088.3485396189699</v>
      </c>
      <c r="J65" s="41"/>
      <c r="K65" s="54"/>
    </row>
    <row r="66" spans="1:11" s="33" customFormat="1" x14ac:dyDescent="0.4">
      <c r="A66" s="43">
        <v>40451</v>
      </c>
      <c r="B66" s="28">
        <v>21.56</v>
      </c>
      <c r="C66" s="28">
        <v>19.52</v>
      </c>
      <c r="D66" s="28">
        <v>5.6609999999999996</v>
      </c>
      <c r="E66" s="28">
        <v>240.83775488503525</v>
      </c>
      <c r="F66" s="17">
        <v>567.94647979018941</v>
      </c>
      <c r="G66" s="28"/>
      <c r="H66" s="45">
        <v>1141.20115690593</v>
      </c>
      <c r="I66" s="32">
        <v>9057.378058469867</v>
      </c>
      <c r="J66" s="41"/>
      <c r="K66" s="54"/>
    </row>
    <row r="67" spans="1:11" s="33" customFormat="1" x14ac:dyDescent="0.4">
      <c r="A67" s="43">
        <v>40359</v>
      </c>
      <c r="B67" s="28">
        <v>20.9</v>
      </c>
      <c r="C67" s="28">
        <v>19.68</v>
      </c>
      <c r="D67" s="28">
        <v>5.5750000000000002</v>
      </c>
      <c r="E67" s="28">
        <v>236.75355514653191</v>
      </c>
      <c r="F67" s="28">
        <v>541.60259896188109</v>
      </c>
      <c r="G67" s="28"/>
      <c r="H67" s="60">
        <v>1030.71008330308</v>
      </c>
      <c r="I67" s="32">
        <v>9044.8147006774816</v>
      </c>
      <c r="J67" s="41"/>
      <c r="K67" s="54"/>
    </row>
    <row r="68" spans="1:11" s="33" customFormat="1" x14ac:dyDescent="0.4">
      <c r="A68" s="43">
        <v>40268</v>
      </c>
      <c r="B68" s="28">
        <v>19.38</v>
      </c>
      <c r="C68" s="28">
        <v>17.48</v>
      </c>
      <c r="D68" s="28">
        <v>5.4589999999999996</v>
      </c>
      <c r="E68" s="28">
        <v>232.38219753036418</v>
      </c>
      <c r="F68" s="28">
        <v>530.94691410645248</v>
      </c>
      <c r="G68" s="28"/>
      <c r="H68" s="60">
        <v>1169.43119269817</v>
      </c>
      <c r="I68" s="32">
        <v>9030.0347000000002</v>
      </c>
      <c r="J68" s="41"/>
      <c r="K68" s="54"/>
    </row>
    <row r="69" spans="1:11" s="27" customFormat="1" x14ac:dyDescent="0.4">
      <c r="A69" s="43">
        <v>40178</v>
      </c>
      <c r="B69" s="23">
        <v>17.16</v>
      </c>
      <c r="C69" s="23">
        <v>15.18</v>
      </c>
      <c r="D69" s="28">
        <v>5.6579999999999995</v>
      </c>
      <c r="E69" s="28">
        <v>236.01673819999999</v>
      </c>
      <c r="F69" s="56">
        <v>513.57730084661841</v>
      </c>
      <c r="G69" s="28"/>
      <c r="H69" s="61">
        <v>1115.0999999999999</v>
      </c>
      <c r="I69" s="32">
        <v>8902.8253557231092</v>
      </c>
      <c r="J69" s="41"/>
      <c r="K69" s="54"/>
    </row>
    <row r="70" spans="1:11" s="33" customFormat="1" x14ac:dyDescent="0.4">
      <c r="A70" s="43">
        <v>40086</v>
      </c>
      <c r="B70" s="55">
        <v>15.78</v>
      </c>
      <c r="C70" s="55">
        <v>14.76</v>
      </c>
      <c r="D70" s="28">
        <v>5.3449999999999998</v>
      </c>
      <c r="E70" s="28">
        <v>227.34055003206151</v>
      </c>
      <c r="F70" s="28">
        <v>498.42921196649672</v>
      </c>
      <c r="G70" s="28"/>
      <c r="H70" s="60">
        <v>1057.0786000000001</v>
      </c>
      <c r="I70" s="32">
        <v>8832.3742000000002</v>
      </c>
      <c r="J70" s="41"/>
      <c r="K70" s="54"/>
    </row>
    <row r="71" spans="1:11" s="33" customFormat="1" x14ac:dyDescent="0.4">
      <c r="A71" s="43">
        <v>39994</v>
      </c>
      <c r="B71" s="28">
        <v>13.81</v>
      </c>
      <c r="C71" s="28">
        <v>13.51</v>
      </c>
      <c r="D71" s="28">
        <v>5.4420000000000002</v>
      </c>
      <c r="E71" s="28">
        <v>223.24161849502852</v>
      </c>
      <c r="F71" s="28">
        <v>487.68598366842139</v>
      </c>
      <c r="G71" s="28"/>
      <c r="H71" s="60">
        <v>919.32</v>
      </c>
      <c r="I71" s="32">
        <v>8750.8333000000002</v>
      </c>
      <c r="J71" s="41"/>
      <c r="K71" s="54"/>
    </row>
    <row r="72" spans="1:11" s="33" customFormat="1" x14ac:dyDescent="0.4">
      <c r="A72" s="43">
        <v>39903</v>
      </c>
      <c r="B72" s="28">
        <v>10.11</v>
      </c>
      <c r="C72" s="28">
        <v>7.52</v>
      </c>
      <c r="D72" s="28">
        <v>5.96</v>
      </c>
      <c r="E72" s="17">
        <v>221.79686295628164</v>
      </c>
      <c r="F72" s="28">
        <v>449.42648592524574</v>
      </c>
      <c r="G72" s="28"/>
      <c r="H72" s="60">
        <v>797.86699999999996</v>
      </c>
      <c r="I72" s="32">
        <v>8682.6355000000003</v>
      </c>
      <c r="J72" s="41"/>
      <c r="K72" s="54"/>
    </row>
    <row r="73" spans="1:11" s="2" customFormat="1" x14ac:dyDescent="0.4">
      <c r="A73" s="43">
        <v>39813</v>
      </c>
      <c r="B73" s="23">
        <v>-0.09</v>
      </c>
      <c r="C73" s="25">
        <v>-23.25</v>
      </c>
      <c r="D73" s="17">
        <v>7.1540000000000008</v>
      </c>
      <c r="E73" s="17">
        <v>230.21</v>
      </c>
      <c r="F73" s="17">
        <v>451.37291648250073</v>
      </c>
      <c r="G73" s="17"/>
      <c r="H73" s="45">
        <v>903.25</v>
      </c>
      <c r="I73" s="10">
        <v>8692.8475999999991</v>
      </c>
      <c r="J73" s="41"/>
      <c r="K73" s="54"/>
    </row>
    <row r="74" spans="1:11" s="2" customFormat="1" x14ac:dyDescent="0.4">
      <c r="A74" s="43">
        <v>39721</v>
      </c>
      <c r="B74" s="24">
        <v>15.96</v>
      </c>
      <c r="C74" s="24">
        <v>9.73</v>
      </c>
      <c r="D74" s="17">
        <v>7.0380000000000003</v>
      </c>
      <c r="E74" s="17">
        <v>268</v>
      </c>
      <c r="F74" s="17">
        <v>514.60126886877242</v>
      </c>
      <c r="G74" s="17"/>
      <c r="H74" s="45">
        <v>1166.361418</v>
      </c>
      <c r="I74" s="4">
        <v>8729.2458999999999</v>
      </c>
      <c r="J74" s="41"/>
      <c r="K74" s="54"/>
    </row>
    <row r="75" spans="1:11" s="2" customFormat="1" x14ac:dyDescent="0.4">
      <c r="A75" s="43">
        <v>39629</v>
      </c>
      <c r="B75" s="24">
        <v>17.02</v>
      </c>
      <c r="C75" s="24">
        <v>12.86</v>
      </c>
      <c r="D75" s="17">
        <v>7.1029999999999998</v>
      </c>
      <c r="E75" s="17">
        <v>278.52999999999997</v>
      </c>
      <c r="F75" s="17">
        <v>530.69654458236732</v>
      </c>
      <c r="G75" s="17"/>
      <c r="H75" s="45">
        <v>1280.001</v>
      </c>
      <c r="I75" s="4">
        <v>8720.7541000000001</v>
      </c>
      <c r="J75" s="41"/>
      <c r="K75" s="54"/>
    </row>
    <row r="76" spans="1:11" s="2" customFormat="1" x14ac:dyDescent="0.4">
      <c r="A76" s="43">
        <v>39538</v>
      </c>
      <c r="B76" s="17">
        <v>16.62</v>
      </c>
      <c r="C76" s="25">
        <v>15.54</v>
      </c>
      <c r="D76" s="17">
        <v>7.0920000000000005</v>
      </c>
      <c r="E76" s="17">
        <v>265.72000000000003</v>
      </c>
      <c r="F76" s="17">
        <v>530.94319319221881</v>
      </c>
      <c r="G76" s="17"/>
      <c r="H76" s="45">
        <v>1322.703</v>
      </c>
      <c r="I76" s="4">
        <v>8702.3924999999999</v>
      </c>
      <c r="J76" s="41"/>
      <c r="K76" s="54"/>
    </row>
    <row r="77" spans="1:11" s="2" customFormat="1" x14ac:dyDescent="0.4">
      <c r="A77" s="43">
        <v>39447</v>
      </c>
      <c r="B77" s="23">
        <v>15.22</v>
      </c>
      <c r="C77" s="17">
        <v>7.82</v>
      </c>
      <c r="D77" s="17">
        <v>7.6209999999999996</v>
      </c>
      <c r="E77" s="17">
        <v>268.16000000000003</v>
      </c>
      <c r="F77" s="17">
        <v>529.59494130262988</v>
      </c>
      <c r="G77" s="17"/>
      <c r="H77" s="45">
        <v>1468.3552</v>
      </c>
      <c r="I77" s="4">
        <v>8763.4436999999998</v>
      </c>
      <c r="J77" s="41"/>
      <c r="K77" s="54"/>
    </row>
    <row r="78" spans="1:11" s="2" customFormat="1" x14ac:dyDescent="0.4">
      <c r="A78" s="43">
        <v>39355</v>
      </c>
      <c r="B78" s="23">
        <v>20.87</v>
      </c>
      <c r="C78" s="17">
        <v>15.15</v>
      </c>
      <c r="D78" s="17">
        <v>6.8960000000000008</v>
      </c>
      <c r="E78" s="17">
        <v>258.81</v>
      </c>
      <c r="F78" s="17">
        <v>524.00041600880786</v>
      </c>
      <c r="G78" s="17"/>
      <c r="H78" s="45">
        <v>1526.7470000000001</v>
      </c>
      <c r="I78" s="4">
        <v>8822.4987000000001</v>
      </c>
      <c r="J78" s="41"/>
      <c r="K78" s="54"/>
    </row>
    <row r="79" spans="1:11" s="2" customFormat="1" x14ac:dyDescent="0.4">
      <c r="A79" s="43">
        <v>39263</v>
      </c>
      <c r="B79" s="17">
        <v>24.06</v>
      </c>
      <c r="C79" s="17">
        <v>21.880744314722936</v>
      </c>
      <c r="D79" s="17">
        <v>6.6930000000000005</v>
      </c>
      <c r="E79" s="17">
        <v>255.63</v>
      </c>
      <c r="F79" s="17">
        <v>516.91282982492737</v>
      </c>
      <c r="G79" s="17"/>
      <c r="H79" s="45">
        <v>1503.3486</v>
      </c>
      <c r="I79" s="4">
        <v>8879.9933999999994</v>
      </c>
      <c r="J79" s="41"/>
      <c r="K79" s="54"/>
    </row>
    <row r="80" spans="1:11" s="2" customFormat="1" x14ac:dyDescent="0.4">
      <c r="A80" s="43">
        <v>39172</v>
      </c>
      <c r="B80" s="23">
        <v>22.39</v>
      </c>
      <c r="C80" s="17">
        <v>21.33</v>
      </c>
      <c r="D80" s="17">
        <v>6.5220000000000002</v>
      </c>
      <c r="E80" s="17">
        <v>242.48</v>
      </c>
      <c r="F80" s="17">
        <v>508.99357409777878</v>
      </c>
      <c r="G80" s="17"/>
      <c r="H80" s="45">
        <v>1420.864</v>
      </c>
      <c r="I80" s="4">
        <v>8942.6689999999999</v>
      </c>
      <c r="J80" s="41"/>
      <c r="K80" s="54"/>
    </row>
    <row r="81" spans="1:11" s="2" customFormat="1" x14ac:dyDescent="0.4">
      <c r="A81" s="43">
        <v>39082</v>
      </c>
      <c r="B81" s="23">
        <v>21.99</v>
      </c>
      <c r="C81" s="17">
        <v>20.239999999999998</v>
      </c>
      <c r="D81" s="17">
        <v>6.867</v>
      </c>
      <c r="E81" s="17">
        <v>248.2</v>
      </c>
      <c r="F81" s="17">
        <v>504.39474860000001</v>
      </c>
      <c r="G81" s="17"/>
      <c r="H81" s="45">
        <v>1418.3005000000001</v>
      </c>
      <c r="I81" s="4">
        <v>8974.7255000000005</v>
      </c>
      <c r="J81" s="41"/>
      <c r="K81" s="54"/>
    </row>
    <row r="82" spans="1:11" s="2" customFormat="1" x14ac:dyDescent="0.4">
      <c r="A82" s="43">
        <v>38990</v>
      </c>
      <c r="B82" s="17">
        <v>23.03</v>
      </c>
      <c r="C82" s="17">
        <v>21.47</v>
      </c>
      <c r="D82" s="17">
        <v>6.0879999999999992</v>
      </c>
      <c r="E82" s="17">
        <v>239.8</v>
      </c>
      <c r="F82" s="17">
        <v>491.9583404</v>
      </c>
      <c r="G82" s="17"/>
      <c r="H82" s="45">
        <v>1335.847</v>
      </c>
      <c r="I82" s="4">
        <v>8997.9269999999997</v>
      </c>
      <c r="J82" s="41"/>
      <c r="K82" s="54"/>
    </row>
    <row r="83" spans="1:11" s="2" customFormat="1" x14ac:dyDescent="0.4">
      <c r="A83" s="43">
        <v>38898</v>
      </c>
      <c r="B83" s="17">
        <v>21.95</v>
      </c>
      <c r="C83" s="17">
        <v>20.11</v>
      </c>
      <c r="D83" s="17">
        <v>6.0170000000000003</v>
      </c>
      <c r="E83" s="17">
        <v>234.71</v>
      </c>
      <c r="F83" s="57">
        <v>474.91132299999998</v>
      </c>
      <c r="G83" s="17"/>
      <c r="H83" s="62">
        <v>1270.2</v>
      </c>
      <c r="I83" s="4">
        <v>9051.2029000000002</v>
      </c>
      <c r="J83" s="41"/>
      <c r="K83" s="54"/>
    </row>
    <row r="84" spans="1:11" s="2" customFormat="1" x14ac:dyDescent="0.4">
      <c r="A84" s="43">
        <v>38807</v>
      </c>
      <c r="B84" s="17">
        <v>20.75</v>
      </c>
      <c r="C84" s="17">
        <v>19.690000000000001</v>
      </c>
      <c r="D84" s="17">
        <v>5.9119999999999999</v>
      </c>
      <c r="E84" s="17">
        <v>229.8</v>
      </c>
      <c r="F84" s="17">
        <v>468.62847649999998</v>
      </c>
      <c r="G84" s="17"/>
      <c r="H84" s="45">
        <v>1294.83</v>
      </c>
      <c r="I84" s="4">
        <v>9004.8040999999994</v>
      </c>
      <c r="J84" s="41"/>
      <c r="K84" s="54"/>
    </row>
    <row r="85" spans="1:11" s="2" customFormat="1" x14ac:dyDescent="0.4">
      <c r="A85" s="43">
        <v>38717</v>
      </c>
      <c r="B85" s="17">
        <v>20.190000000000001</v>
      </c>
      <c r="C85" s="17">
        <v>17.3</v>
      </c>
      <c r="D85" s="17">
        <v>6.0790000000000006</v>
      </c>
      <c r="E85" s="17">
        <v>232.52</v>
      </c>
      <c r="F85" s="17">
        <v>453.06040000000002</v>
      </c>
      <c r="G85" s="17"/>
      <c r="H85" s="45">
        <v>1248.29</v>
      </c>
      <c r="I85" s="4">
        <v>9015.9647999999997</v>
      </c>
      <c r="J85" s="41"/>
      <c r="K85" s="54"/>
    </row>
    <row r="86" spans="1:11" s="2" customFormat="1" x14ac:dyDescent="0.4">
      <c r="A86" s="43">
        <v>38625</v>
      </c>
      <c r="B86" s="17">
        <v>18.84</v>
      </c>
      <c r="C86" s="17">
        <v>17.39</v>
      </c>
      <c r="D86" s="17">
        <v>5.4290000000000003</v>
      </c>
      <c r="E86" s="17">
        <v>220.9</v>
      </c>
      <c r="F86" s="17">
        <v>441.76600000000002</v>
      </c>
      <c r="G86" s="17"/>
      <c r="H86" s="45">
        <v>1228.81</v>
      </c>
      <c r="I86" s="4">
        <v>9018.9580000000005</v>
      </c>
      <c r="J86" s="41"/>
      <c r="K86" s="54"/>
    </row>
    <row r="87" spans="1:11" s="2" customFormat="1" x14ac:dyDescent="0.4">
      <c r="A87" s="43">
        <v>38533</v>
      </c>
      <c r="B87" s="17">
        <v>19.420000000000002</v>
      </c>
      <c r="C87" s="17">
        <v>18.29</v>
      </c>
      <c r="D87" s="17">
        <v>5.3639999999999999</v>
      </c>
      <c r="E87" s="17">
        <v>214.8</v>
      </c>
      <c r="F87" s="17">
        <v>436.89609999999999</v>
      </c>
      <c r="G87" s="17"/>
      <c r="H87" s="45">
        <v>1191.33</v>
      </c>
      <c r="I87" s="4">
        <v>9141.0503000000008</v>
      </c>
      <c r="J87" s="41"/>
      <c r="K87" s="54"/>
    </row>
    <row r="88" spans="1:11" s="2" customFormat="1" x14ac:dyDescent="0.4">
      <c r="A88" s="43">
        <v>38442</v>
      </c>
      <c r="B88" s="17">
        <v>18</v>
      </c>
      <c r="C88" s="17">
        <v>16.850000000000001</v>
      </c>
      <c r="D88" s="17">
        <v>5.3440000000000003</v>
      </c>
      <c r="E88" s="17">
        <v>206.1</v>
      </c>
      <c r="F88" s="17">
        <v>426.7921</v>
      </c>
      <c r="G88" s="17"/>
      <c r="H88" s="45">
        <v>1180.5899999999999</v>
      </c>
      <c r="I88" s="4">
        <v>9164.7469000000001</v>
      </c>
      <c r="J88" s="41"/>
      <c r="K88" s="54"/>
    </row>
    <row r="89" spans="1:11" s="2" customFormat="1" x14ac:dyDescent="0.4">
      <c r="A89" s="43">
        <v>38352</v>
      </c>
      <c r="B89" s="17">
        <v>17.95</v>
      </c>
      <c r="C89" s="17">
        <v>13.94</v>
      </c>
      <c r="D89" s="17">
        <v>5.3339999999999996</v>
      </c>
      <c r="E89" s="17">
        <v>210.14</v>
      </c>
      <c r="F89" s="17">
        <v>414.74900000000002</v>
      </c>
      <c r="G89" s="17"/>
      <c r="H89" s="45">
        <v>1211.92</v>
      </c>
      <c r="I89" s="4">
        <v>9314.6450000000004</v>
      </c>
      <c r="J89" s="41"/>
      <c r="K89" s="54"/>
    </row>
    <row r="90" spans="1:11" s="2" customFormat="1" x14ac:dyDescent="0.4">
      <c r="A90" s="43">
        <v>38260</v>
      </c>
      <c r="B90" s="17">
        <v>16.88</v>
      </c>
      <c r="C90" s="17">
        <v>14.18</v>
      </c>
      <c r="D90" s="17">
        <v>4.8830000000000009</v>
      </c>
      <c r="E90" s="17">
        <v>197.06</v>
      </c>
      <c r="F90" s="17">
        <v>402.51560000000001</v>
      </c>
      <c r="G90" s="17"/>
      <c r="H90" s="45">
        <v>1114.58</v>
      </c>
      <c r="I90" s="4">
        <v>9328.8960999999999</v>
      </c>
      <c r="J90" s="41"/>
      <c r="K90" s="54"/>
    </row>
    <row r="91" spans="1:11" s="2" customFormat="1" x14ac:dyDescent="0.4">
      <c r="A91" s="43">
        <v>38168</v>
      </c>
      <c r="B91" s="17">
        <v>16.98</v>
      </c>
      <c r="C91" s="17">
        <v>15.25</v>
      </c>
      <c r="D91" s="17">
        <v>4.6639999999999997</v>
      </c>
      <c r="E91" s="17">
        <v>193.64</v>
      </c>
      <c r="F91" s="17">
        <v>386.22980000000001</v>
      </c>
      <c r="G91" s="17"/>
      <c r="H91" s="45">
        <v>1140.8399999999999</v>
      </c>
      <c r="I91" s="4">
        <v>9311.9321999999993</v>
      </c>
      <c r="J91" s="41"/>
      <c r="K91" s="54"/>
    </row>
    <row r="92" spans="1:11" s="2" customFormat="1" x14ac:dyDescent="0.4">
      <c r="A92" s="43">
        <v>38077</v>
      </c>
      <c r="B92" s="17">
        <v>15.87</v>
      </c>
      <c r="C92" s="17">
        <v>15.18</v>
      </c>
      <c r="D92" s="17">
        <v>4.5609999999999999</v>
      </c>
      <c r="E92" s="17">
        <v>187.33</v>
      </c>
      <c r="F92" s="17">
        <v>376.47480000000002</v>
      </c>
      <c r="G92" s="17"/>
      <c r="H92" s="45">
        <v>1126.21</v>
      </c>
      <c r="I92" s="4">
        <v>9288.9621999999999</v>
      </c>
      <c r="J92" s="41"/>
      <c r="K92" s="54"/>
    </row>
    <row r="93" spans="1:11" s="2" customFormat="1" x14ac:dyDescent="0.4">
      <c r="A93" s="43">
        <v>37986</v>
      </c>
      <c r="B93" s="17">
        <v>14.88</v>
      </c>
      <c r="C93" s="17">
        <v>13.16</v>
      </c>
      <c r="D93" s="17">
        <v>5.0549999999999997</v>
      </c>
      <c r="E93" s="17">
        <v>178.85</v>
      </c>
      <c r="F93" s="17">
        <v>367.1737</v>
      </c>
      <c r="G93" s="17"/>
      <c r="H93" s="45">
        <v>1111.92</v>
      </c>
      <c r="I93" s="4">
        <v>9250.5098999999991</v>
      </c>
      <c r="J93" s="41"/>
      <c r="K93" s="54"/>
    </row>
    <row r="94" spans="1:11" s="2" customFormat="1" x14ac:dyDescent="0.4">
      <c r="A94" s="43">
        <v>37894</v>
      </c>
      <c r="B94" s="17">
        <v>14.41</v>
      </c>
      <c r="C94" s="17">
        <v>12.56</v>
      </c>
      <c r="D94" s="17">
        <v>4.3220000000000001</v>
      </c>
      <c r="E94" s="17">
        <v>179.6</v>
      </c>
      <c r="F94" s="17">
        <v>351.89240000000001</v>
      </c>
      <c r="G94" s="17"/>
      <c r="H94" s="45">
        <v>995.97</v>
      </c>
      <c r="I94" s="4">
        <v>9244.9465999999993</v>
      </c>
      <c r="J94" s="41"/>
      <c r="K94" s="54"/>
    </row>
    <row r="95" spans="1:11" s="2" customFormat="1" x14ac:dyDescent="0.4">
      <c r="A95" s="43">
        <v>37802</v>
      </c>
      <c r="B95" s="17">
        <v>12.92</v>
      </c>
      <c r="C95" s="17">
        <v>11.1</v>
      </c>
      <c r="D95" s="17">
        <v>4.0860000000000003</v>
      </c>
      <c r="E95" s="17">
        <v>181.15</v>
      </c>
      <c r="F95" s="17">
        <v>346.3186</v>
      </c>
      <c r="G95" s="17"/>
      <c r="H95" s="45">
        <v>974.5</v>
      </c>
      <c r="I95" s="4">
        <v>9236.5445</v>
      </c>
      <c r="J95" s="41"/>
      <c r="K95" s="54"/>
    </row>
    <row r="96" spans="1:11" x14ac:dyDescent="0.4">
      <c r="A96" s="43">
        <v>37711</v>
      </c>
      <c r="B96" s="17">
        <v>12.48</v>
      </c>
      <c r="C96" s="17">
        <v>11.92</v>
      </c>
      <c r="D96" s="17">
        <v>3.9220000000000002</v>
      </c>
      <c r="E96" s="17">
        <v>171.21</v>
      </c>
      <c r="F96" s="17">
        <v>328.72280000000001</v>
      </c>
      <c r="G96" s="17"/>
      <c r="H96" s="45">
        <v>848.18</v>
      </c>
      <c r="I96" s="4">
        <v>9227.6358</v>
      </c>
      <c r="J96" s="41"/>
      <c r="K96" s="54"/>
    </row>
    <row r="97" spans="1:11" x14ac:dyDescent="0.4">
      <c r="A97" s="43">
        <v>37621</v>
      </c>
      <c r="B97" s="17">
        <v>11.94</v>
      </c>
      <c r="C97" s="17">
        <v>3</v>
      </c>
      <c r="D97" s="17">
        <v>4.2560000000000002</v>
      </c>
      <c r="E97" s="17">
        <v>165.94</v>
      </c>
      <c r="F97" s="17">
        <v>321.71940000000001</v>
      </c>
      <c r="G97" s="17"/>
      <c r="H97" s="45">
        <v>879.82</v>
      </c>
      <c r="I97" s="4">
        <v>9214.8461000000007</v>
      </c>
      <c r="J97" s="41"/>
      <c r="K97" s="54"/>
    </row>
    <row r="98" spans="1:11" x14ac:dyDescent="0.4">
      <c r="A98" s="43">
        <v>37529</v>
      </c>
      <c r="B98" s="17">
        <v>11.61</v>
      </c>
      <c r="C98" s="17">
        <v>8.5299999999999994</v>
      </c>
      <c r="D98" s="17">
        <v>3.9009999999999998</v>
      </c>
      <c r="E98" s="17">
        <v>166.12</v>
      </c>
      <c r="F98" s="17">
        <v>334.91730000000001</v>
      </c>
      <c r="G98" s="17"/>
      <c r="H98" s="45">
        <v>815.28</v>
      </c>
      <c r="I98" s="4">
        <v>9221.83</v>
      </c>
      <c r="J98" s="41"/>
      <c r="K98" s="54"/>
    </row>
    <row r="99" spans="1:11" x14ac:dyDescent="0.4">
      <c r="A99" s="43">
        <v>37437</v>
      </c>
      <c r="B99" s="17">
        <v>11.64</v>
      </c>
      <c r="C99" s="17">
        <v>6.87</v>
      </c>
      <c r="D99" s="17">
        <v>4.1449999999999996</v>
      </c>
      <c r="E99" s="17">
        <v>175.33</v>
      </c>
      <c r="F99" s="17">
        <v>329.5215</v>
      </c>
      <c r="G99" s="17"/>
      <c r="H99" s="45">
        <v>989.81</v>
      </c>
      <c r="I99" s="4">
        <v>9184.1200000000008</v>
      </c>
      <c r="J99" s="41"/>
      <c r="K99" s="54"/>
    </row>
    <row r="100" spans="1:11" x14ac:dyDescent="0.4">
      <c r="A100" s="43">
        <v>37346</v>
      </c>
      <c r="B100" s="17">
        <v>10.85</v>
      </c>
      <c r="C100" s="17">
        <v>9.19</v>
      </c>
      <c r="D100" s="17">
        <v>3.7720000000000002</v>
      </c>
      <c r="E100" s="17">
        <v>167.2</v>
      </c>
      <c r="F100" s="17">
        <v>332.74009999999998</v>
      </c>
      <c r="G100" s="17"/>
      <c r="H100" s="45">
        <v>1147.3900000000001</v>
      </c>
      <c r="I100" s="4">
        <v>9152.85</v>
      </c>
      <c r="J100" s="41"/>
      <c r="K100" s="54"/>
    </row>
    <row r="101" spans="1:11" x14ac:dyDescent="0.4">
      <c r="A101" s="43">
        <v>37256</v>
      </c>
      <c r="B101" s="17">
        <v>9.94</v>
      </c>
      <c r="C101" s="17">
        <v>5.45</v>
      </c>
      <c r="D101" s="17">
        <v>3.9809999999999999</v>
      </c>
      <c r="E101" s="17">
        <v>189.1</v>
      </c>
      <c r="F101" s="17">
        <v>338.37380000000002</v>
      </c>
      <c r="G101" s="17"/>
      <c r="H101" s="45">
        <v>1148.08</v>
      </c>
      <c r="I101" s="4">
        <v>9113.82</v>
      </c>
      <c r="J101" s="41"/>
      <c r="K101" s="54"/>
    </row>
    <row r="102" spans="1:11" x14ac:dyDescent="0.4">
      <c r="A102" s="43">
        <v>37164</v>
      </c>
      <c r="B102" s="17">
        <v>9.16</v>
      </c>
      <c r="C102" s="17">
        <v>5.23</v>
      </c>
      <c r="D102" s="17">
        <v>4.141</v>
      </c>
      <c r="E102" s="17">
        <v>178.68</v>
      </c>
      <c r="F102" s="17">
        <v>339.3972</v>
      </c>
      <c r="G102" s="17"/>
      <c r="H102" s="45">
        <v>1040.94</v>
      </c>
      <c r="I102" s="4">
        <v>9065.58</v>
      </c>
      <c r="J102" s="41"/>
      <c r="K102" s="54"/>
    </row>
    <row r="103" spans="1:11" x14ac:dyDescent="0.4">
      <c r="A103" s="43">
        <v>37072</v>
      </c>
      <c r="B103" s="17">
        <v>9.02</v>
      </c>
      <c r="C103" s="17">
        <v>4.83</v>
      </c>
      <c r="D103" s="17">
        <v>3.8359999999999999</v>
      </c>
      <c r="E103" s="17">
        <v>183.03</v>
      </c>
      <c r="F103" s="17">
        <v>345.87369999999999</v>
      </c>
      <c r="G103" s="17"/>
      <c r="H103" s="45">
        <v>1224.3800000000001</v>
      </c>
      <c r="I103" s="4">
        <v>9006.43</v>
      </c>
      <c r="J103" s="41"/>
      <c r="K103" s="54"/>
    </row>
    <row r="104" spans="1:11" x14ac:dyDescent="0.4">
      <c r="A104" s="43">
        <v>36981</v>
      </c>
      <c r="B104" s="17">
        <v>10.73</v>
      </c>
      <c r="C104" s="17">
        <v>9.18</v>
      </c>
      <c r="D104" s="17">
        <v>3.782</v>
      </c>
      <c r="E104" s="17">
        <v>186.07</v>
      </c>
      <c r="F104" s="17">
        <v>347.25170000000003</v>
      </c>
      <c r="G104" s="17"/>
      <c r="H104" s="45">
        <v>1160.33</v>
      </c>
      <c r="I104" s="4">
        <v>8949.76</v>
      </c>
      <c r="J104" s="41"/>
      <c r="K104" s="54"/>
    </row>
    <row r="105" spans="1:11" x14ac:dyDescent="0.4">
      <c r="A105" s="43">
        <v>36891</v>
      </c>
      <c r="B105" s="17">
        <v>13.11</v>
      </c>
      <c r="C105" s="17">
        <v>9.07</v>
      </c>
      <c r="D105" s="17">
        <v>3.9769999999999999</v>
      </c>
      <c r="E105" s="17">
        <v>191.03</v>
      </c>
      <c r="F105" s="17">
        <v>325.79849999999999</v>
      </c>
      <c r="G105" s="17"/>
      <c r="H105" s="45">
        <v>1320.28</v>
      </c>
      <c r="I105" s="4">
        <v>8872.7800000000007</v>
      </c>
      <c r="J105" s="41"/>
      <c r="K105" s="54"/>
    </row>
    <row r="106" spans="1:11" x14ac:dyDescent="0.4">
      <c r="A106" s="43">
        <v>36799</v>
      </c>
      <c r="B106" s="17">
        <v>14.17</v>
      </c>
      <c r="C106" s="17">
        <v>13.71</v>
      </c>
      <c r="D106" s="17">
        <v>4.0909999999999993</v>
      </c>
      <c r="E106" s="17">
        <v>188.1</v>
      </c>
      <c r="F106" s="17">
        <v>319.59530000000001</v>
      </c>
      <c r="G106" s="17"/>
      <c r="H106" s="45">
        <v>1436.51</v>
      </c>
      <c r="I106" s="4">
        <v>8770.4</v>
      </c>
      <c r="J106" s="41"/>
      <c r="K106" s="54"/>
    </row>
    <row r="107" spans="1:11" x14ac:dyDescent="0.4">
      <c r="A107" s="43">
        <v>36707</v>
      </c>
      <c r="B107" s="17">
        <v>14.88</v>
      </c>
      <c r="C107" s="17">
        <v>13.48</v>
      </c>
      <c r="D107" s="17">
        <v>4.1230000000000002</v>
      </c>
      <c r="E107" s="17">
        <v>186.07</v>
      </c>
      <c r="F107" s="17">
        <v>312.93709999999999</v>
      </c>
      <c r="G107" s="17"/>
      <c r="H107" s="45">
        <v>1454.6</v>
      </c>
      <c r="I107" s="4">
        <v>8582.7099999999991</v>
      </c>
      <c r="J107" s="41"/>
      <c r="K107" s="54"/>
    </row>
    <row r="108" spans="1:11" x14ac:dyDescent="0.4">
      <c r="A108" s="43">
        <v>36616</v>
      </c>
      <c r="B108" s="17">
        <v>13.97</v>
      </c>
      <c r="C108" s="17">
        <v>13.74</v>
      </c>
      <c r="D108" s="17">
        <v>4.08</v>
      </c>
      <c r="E108" s="17">
        <v>180.5</v>
      </c>
      <c r="F108" s="17">
        <v>295.93579999999997</v>
      </c>
      <c r="G108" s="17"/>
      <c r="H108" s="45">
        <v>1498.58</v>
      </c>
      <c r="I108" s="4">
        <v>8465.4599999999991</v>
      </c>
      <c r="J108" s="41"/>
      <c r="K108" s="54"/>
    </row>
    <row r="109" spans="1:11" x14ac:dyDescent="0.4">
      <c r="A109" s="43">
        <v>36525</v>
      </c>
      <c r="B109" s="17">
        <v>13.77</v>
      </c>
      <c r="C109" s="17">
        <v>12.77</v>
      </c>
      <c r="D109" s="17">
        <v>4.0529999999999999</v>
      </c>
      <c r="F109" s="17">
        <v>290.68329999999997</v>
      </c>
      <c r="G109" s="17"/>
      <c r="H109" s="45">
        <v>1469.25</v>
      </c>
      <c r="I109" s="4">
        <v>8381.82</v>
      </c>
      <c r="J109" s="41"/>
      <c r="K109" s="54"/>
    </row>
    <row r="110" spans="1:11" x14ac:dyDescent="0.4">
      <c r="A110" s="43">
        <v>36433</v>
      </c>
      <c r="B110" s="17">
        <v>12.97</v>
      </c>
      <c r="C110" s="17">
        <v>11.93</v>
      </c>
      <c r="D110" s="17">
        <v>4.4480000000000004</v>
      </c>
      <c r="F110" s="17"/>
      <c r="G110" s="17"/>
      <c r="H110" s="45">
        <v>1282.71</v>
      </c>
      <c r="I110" s="4">
        <v>8227.74</v>
      </c>
      <c r="J110" s="41"/>
      <c r="K110" s="54"/>
    </row>
    <row r="111" spans="1:11" x14ac:dyDescent="0.4">
      <c r="A111" s="43">
        <v>36341</v>
      </c>
      <c r="B111" s="17">
        <v>13.21</v>
      </c>
      <c r="C111" s="17">
        <v>12.51</v>
      </c>
      <c r="D111" s="17">
        <v>4.181</v>
      </c>
      <c r="F111" s="17"/>
      <c r="G111" s="17"/>
      <c r="H111" s="45">
        <v>1372.71</v>
      </c>
      <c r="I111" s="4">
        <v>8182</v>
      </c>
      <c r="J111" s="41"/>
      <c r="K111" s="54"/>
    </row>
    <row r="112" spans="1:11" x14ac:dyDescent="0.4">
      <c r="A112" s="43">
        <v>36250</v>
      </c>
      <c r="B112" s="17">
        <v>11.73</v>
      </c>
      <c r="C112" s="17">
        <v>10.96</v>
      </c>
      <c r="D112" s="17">
        <v>4.01</v>
      </c>
      <c r="F112" s="17"/>
      <c r="G112" s="17"/>
      <c r="H112" s="45">
        <v>1286.3699999999999</v>
      </c>
      <c r="I112" s="4">
        <v>8172.68</v>
      </c>
      <c r="J112" s="41"/>
      <c r="K112" s="54"/>
    </row>
    <row r="113" spans="1:11" x14ac:dyDescent="0.4">
      <c r="A113" s="43">
        <v>36160</v>
      </c>
      <c r="B113" s="17">
        <v>11.47</v>
      </c>
      <c r="C113" s="17">
        <v>8.56</v>
      </c>
      <c r="D113" s="17">
        <v>4.0019999999999998</v>
      </c>
      <c r="F113" s="17"/>
      <c r="G113" s="17"/>
      <c r="H113" s="45">
        <v>1229.23</v>
      </c>
      <c r="I113" s="4">
        <v>8088.29</v>
      </c>
      <c r="J113" s="41"/>
      <c r="K113" s="54"/>
    </row>
    <row r="114" spans="1:11" x14ac:dyDescent="0.4">
      <c r="A114" s="43">
        <v>36068</v>
      </c>
      <c r="B114" s="17">
        <v>10.45</v>
      </c>
      <c r="C114" s="17">
        <v>8.99</v>
      </c>
      <c r="D114" s="17">
        <v>4.2549999999999999</v>
      </c>
      <c r="F114" s="17"/>
      <c r="G114" s="17"/>
      <c r="H114" s="45">
        <v>1017.01</v>
      </c>
      <c r="I114" s="4">
        <v>7989.24</v>
      </c>
      <c r="J114" s="41"/>
      <c r="K114" s="54"/>
    </row>
    <row r="115" spans="1:11" x14ac:dyDescent="0.4">
      <c r="A115" s="43">
        <v>35976</v>
      </c>
      <c r="B115" s="17">
        <v>11.43</v>
      </c>
      <c r="C115" s="17">
        <v>9.8699999999999992</v>
      </c>
      <c r="D115" s="17">
        <v>4.1819999999999995</v>
      </c>
      <c r="F115" s="17"/>
      <c r="G115" s="17"/>
      <c r="H115" s="45">
        <v>1133.8399999999999</v>
      </c>
      <c r="I115" s="4">
        <v>7898.5</v>
      </c>
      <c r="J115" s="41"/>
      <c r="K115" s="54"/>
    </row>
    <row r="116" spans="1:11" x14ac:dyDescent="0.4">
      <c r="A116" s="43">
        <v>35885</v>
      </c>
      <c r="B116" s="17">
        <v>10.92</v>
      </c>
      <c r="C116" s="17">
        <v>10.29</v>
      </c>
      <c r="D116" s="17">
        <v>3.7560000000000002</v>
      </c>
      <c r="F116" s="17"/>
      <c r="G116" s="17"/>
      <c r="H116" s="45">
        <v>1101.75</v>
      </c>
      <c r="I116" s="4">
        <v>7829.71</v>
      </c>
      <c r="J116" s="41"/>
      <c r="K116" s="54"/>
    </row>
    <row r="117" spans="1:11" x14ac:dyDescent="0.4">
      <c r="A117" s="43">
        <v>35795</v>
      </c>
      <c r="B117" s="17">
        <v>11.29</v>
      </c>
      <c r="C117" s="17">
        <v>8.94</v>
      </c>
      <c r="D117" s="17">
        <v>3.95</v>
      </c>
      <c r="F117" s="17"/>
      <c r="G117" s="17"/>
      <c r="H117" s="45">
        <v>970.43</v>
      </c>
      <c r="I117" s="4">
        <v>7784.88</v>
      </c>
      <c r="J117" s="41"/>
      <c r="K117" s="54"/>
    </row>
    <row r="118" spans="1:11" x14ac:dyDescent="0.4">
      <c r="A118" s="43">
        <v>35703</v>
      </c>
      <c r="B118" s="17">
        <v>11.03</v>
      </c>
      <c r="C118" s="17">
        <v>9.8699999999999992</v>
      </c>
      <c r="D118" s="17">
        <v>4.0620000000000003</v>
      </c>
      <c r="F118" s="17"/>
      <c r="G118" s="17"/>
      <c r="H118" s="45">
        <v>947.28</v>
      </c>
      <c r="I118" s="4">
        <v>7741.54</v>
      </c>
      <c r="J118" s="41"/>
      <c r="K118" s="54"/>
    </row>
    <row r="119" spans="1:11" x14ac:dyDescent="0.4">
      <c r="A119" s="43">
        <v>35611</v>
      </c>
      <c r="B119" s="17">
        <v>11.13</v>
      </c>
      <c r="C119" s="17">
        <v>10.44</v>
      </c>
      <c r="D119" s="17">
        <v>3.8730000000000002</v>
      </c>
      <c r="F119" s="17"/>
      <c r="G119" s="17"/>
      <c r="H119" s="45">
        <v>885.14</v>
      </c>
      <c r="I119" s="4">
        <v>7673.57</v>
      </c>
      <c r="J119" s="41"/>
      <c r="K119" s="54"/>
    </row>
    <row r="120" spans="1:11" x14ac:dyDescent="0.4">
      <c r="A120" s="43">
        <v>35520</v>
      </c>
      <c r="B120" s="17">
        <v>10.56</v>
      </c>
      <c r="C120" s="17">
        <v>10.47</v>
      </c>
      <c r="D120" s="17">
        <v>3.6120000000000001</v>
      </c>
      <c r="F120" s="17"/>
      <c r="G120" s="17"/>
      <c r="H120" s="45">
        <v>757.12</v>
      </c>
      <c r="I120" s="4">
        <v>7655.79</v>
      </c>
      <c r="J120" s="41"/>
      <c r="K120" s="54"/>
    </row>
    <row r="121" spans="1:11" x14ac:dyDescent="0.4">
      <c r="A121" s="43">
        <v>35430</v>
      </c>
      <c r="B121" s="17">
        <v>11.01</v>
      </c>
      <c r="C121" s="17">
        <v>9.86</v>
      </c>
      <c r="D121" s="17">
        <v>3.7859999999999996</v>
      </c>
      <c r="F121" s="17"/>
      <c r="G121" s="17"/>
      <c r="H121" s="45">
        <v>740.74</v>
      </c>
      <c r="I121" s="4">
        <v>7594.79</v>
      </c>
      <c r="J121" s="41"/>
      <c r="K121" s="54"/>
    </row>
    <row r="122" spans="1:11" x14ac:dyDescent="0.4">
      <c r="A122" s="43">
        <v>35338</v>
      </c>
      <c r="B122" s="17">
        <v>9.92</v>
      </c>
      <c r="C122" s="17">
        <v>9.7799999999999994</v>
      </c>
      <c r="D122" s="17">
        <v>3.89</v>
      </c>
      <c r="F122" s="17"/>
      <c r="G122" s="17"/>
      <c r="H122" s="45">
        <v>687.33</v>
      </c>
      <c r="I122" s="4">
        <v>7573.12</v>
      </c>
      <c r="J122" s="41"/>
      <c r="K122" s="54"/>
    </row>
    <row r="123" spans="1:11" x14ac:dyDescent="0.4">
      <c r="A123" s="43">
        <v>35246</v>
      </c>
      <c r="B123" s="17">
        <v>10.31</v>
      </c>
      <c r="C123" s="17">
        <v>10.130000000000001</v>
      </c>
      <c r="D123" s="17">
        <v>3.7709999999999999</v>
      </c>
      <c r="F123" s="17"/>
      <c r="G123" s="17"/>
      <c r="H123" s="45">
        <v>670.63</v>
      </c>
      <c r="I123" s="4">
        <v>7550.72</v>
      </c>
      <c r="J123" s="41"/>
      <c r="K123" s="54"/>
    </row>
    <row r="124" spans="1:11" x14ac:dyDescent="0.4">
      <c r="A124" s="43">
        <v>35155</v>
      </c>
      <c r="B124" s="17">
        <v>9.39</v>
      </c>
      <c r="C124" s="17">
        <v>8.9600000000000009</v>
      </c>
      <c r="D124" s="17">
        <v>3.452</v>
      </c>
      <c r="F124" s="17"/>
      <c r="G124" s="17"/>
      <c r="H124" s="45">
        <v>645.5</v>
      </c>
      <c r="I124" s="4">
        <v>7511.21</v>
      </c>
      <c r="J124" s="41"/>
      <c r="K124" s="54"/>
    </row>
    <row r="125" spans="1:11" x14ac:dyDescent="0.4">
      <c r="A125" s="43">
        <v>35064</v>
      </c>
      <c r="B125" s="17">
        <v>9.7799999999999994</v>
      </c>
      <c r="C125" s="17">
        <v>7.13</v>
      </c>
      <c r="D125" s="17">
        <v>3.5510000000000002</v>
      </c>
      <c r="F125" s="17"/>
      <c r="G125" s="17"/>
      <c r="H125" s="45">
        <v>615.92999999999995</v>
      </c>
      <c r="I125" s="4">
        <v>7449.38</v>
      </c>
      <c r="J125" s="41"/>
      <c r="K125" s="54"/>
    </row>
    <row r="126" spans="1:11" x14ac:dyDescent="0.4">
      <c r="A126" s="43">
        <v>34972</v>
      </c>
      <c r="B126" s="17">
        <v>9.7799999999999994</v>
      </c>
      <c r="C126" s="17">
        <v>8.69</v>
      </c>
      <c r="D126" s="17">
        <v>3.4989999999999997</v>
      </c>
      <c r="F126" s="17"/>
      <c r="G126" s="17"/>
      <c r="H126" s="45">
        <v>584.41</v>
      </c>
      <c r="I126" s="4">
        <v>7373.75</v>
      </c>
      <c r="J126" s="41"/>
      <c r="K126" s="54"/>
    </row>
    <row r="127" spans="1:11" x14ac:dyDescent="0.4">
      <c r="A127" s="43">
        <v>34880</v>
      </c>
      <c r="B127" s="17">
        <v>9.5</v>
      </c>
      <c r="C127" s="17">
        <v>9.26</v>
      </c>
      <c r="D127" s="17">
        <v>3.6019999999999999</v>
      </c>
      <c r="F127" s="17"/>
      <c r="G127" s="17"/>
      <c r="H127" s="45">
        <v>544.75</v>
      </c>
      <c r="I127" s="4">
        <v>7340.26</v>
      </c>
      <c r="J127" s="41"/>
      <c r="K127" s="54"/>
    </row>
    <row r="128" spans="1:11" x14ac:dyDescent="0.4">
      <c r="A128" s="43">
        <v>34789</v>
      </c>
      <c r="B128" s="17">
        <v>8.64</v>
      </c>
      <c r="C128" s="17">
        <v>8.8800000000000008</v>
      </c>
      <c r="D128" s="17">
        <v>3.1360000000000001</v>
      </c>
      <c r="F128" s="17"/>
      <c r="G128" s="17"/>
      <c r="H128" s="45">
        <v>500.71</v>
      </c>
      <c r="I128" s="4">
        <v>7331.51</v>
      </c>
      <c r="J128" s="41"/>
      <c r="K128" s="54"/>
    </row>
    <row r="129" spans="1:11" x14ac:dyDescent="0.4">
      <c r="A129" s="43">
        <v>34699</v>
      </c>
      <c r="B129" s="17">
        <v>8.8000000000000007</v>
      </c>
      <c r="C129" s="17">
        <v>8.35</v>
      </c>
      <c r="D129" s="17">
        <v>3.3380000000000001</v>
      </c>
      <c r="F129" s="17"/>
      <c r="G129" s="17"/>
      <c r="H129" s="45">
        <v>459.27</v>
      </c>
      <c r="I129" s="4">
        <v>7285.82</v>
      </c>
      <c r="J129" s="41"/>
      <c r="K129" s="54"/>
    </row>
    <row r="130" spans="1:11" x14ac:dyDescent="0.4">
      <c r="A130" s="43">
        <v>34607</v>
      </c>
      <c r="B130" s="17">
        <v>8.0299999999999994</v>
      </c>
      <c r="C130" s="17">
        <v>7.94</v>
      </c>
      <c r="D130" s="17">
        <v>3.2850000000000001</v>
      </c>
      <c r="F130" s="17"/>
      <c r="G130" s="17"/>
      <c r="H130" s="45">
        <v>462.71</v>
      </c>
      <c r="I130" s="4">
        <v>7265.69</v>
      </c>
      <c r="J130" s="41"/>
      <c r="K130" s="54"/>
    </row>
    <row r="131" spans="1:11" x14ac:dyDescent="0.4">
      <c r="A131" s="43">
        <v>34515</v>
      </c>
      <c r="B131" s="17">
        <v>7.75</v>
      </c>
      <c r="C131" s="17">
        <v>7.38</v>
      </c>
      <c r="D131" s="17">
        <v>3.4109999999999996</v>
      </c>
      <c r="F131" s="17"/>
      <c r="G131" s="17"/>
      <c r="H131" s="45">
        <v>444.27</v>
      </c>
      <c r="I131" s="4">
        <v>7211.87</v>
      </c>
      <c r="J131" s="41"/>
      <c r="K131" s="54"/>
    </row>
    <row r="132" spans="1:11" x14ac:dyDescent="0.4">
      <c r="A132" s="43">
        <v>34424</v>
      </c>
      <c r="B132" s="17">
        <v>7.17</v>
      </c>
      <c r="C132" s="17">
        <v>6.93</v>
      </c>
      <c r="D132" s="17">
        <v>3.1360000000000001</v>
      </c>
      <c r="F132" s="17"/>
      <c r="G132" s="17"/>
      <c r="H132" s="45">
        <v>445.77</v>
      </c>
      <c r="I132" s="4">
        <v>7127.98</v>
      </c>
      <c r="J132" s="41"/>
      <c r="K132" s="54"/>
    </row>
    <row r="133" spans="1:11" x14ac:dyDescent="0.4">
      <c r="A133" s="43">
        <v>34334</v>
      </c>
      <c r="B133" s="17">
        <v>7.16</v>
      </c>
      <c r="C133" s="17">
        <v>5.08</v>
      </c>
      <c r="D133" s="17">
        <v>3.0910000000000002</v>
      </c>
      <c r="F133" s="17"/>
      <c r="G133" s="17"/>
      <c r="H133" s="45">
        <v>466.45</v>
      </c>
      <c r="I133" s="4">
        <v>7086.53</v>
      </c>
      <c r="J133" s="41"/>
      <c r="K133" s="54"/>
    </row>
    <row r="134" spans="1:11" x14ac:dyDescent="0.4">
      <c r="A134" s="43">
        <v>34242</v>
      </c>
      <c r="B134" s="17">
        <v>6.92</v>
      </c>
      <c r="C134" s="17">
        <v>5.81</v>
      </c>
      <c r="D134" s="17">
        <v>3.1969999999999996</v>
      </c>
      <c r="F134" s="17"/>
      <c r="G134" s="17"/>
      <c r="H134" s="45">
        <v>458.93</v>
      </c>
      <c r="I134" s="4">
        <v>7011.06</v>
      </c>
      <c r="J134" s="41"/>
      <c r="K134" s="54"/>
    </row>
    <row r="135" spans="1:11" x14ac:dyDescent="0.4">
      <c r="A135" s="43">
        <v>34150</v>
      </c>
      <c r="B135" s="17">
        <v>6.57</v>
      </c>
      <c r="C135" s="17">
        <v>4.8899999999999997</v>
      </c>
      <c r="D135" s="17">
        <v>3.2829999999999995</v>
      </c>
      <c r="F135" s="17"/>
      <c r="G135" s="17"/>
      <c r="H135" s="45">
        <v>450.53</v>
      </c>
      <c r="I135" s="4">
        <v>6974.55</v>
      </c>
      <c r="J135" s="41"/>
      <c r="K135" s="54"/>
    </row>
    <row r="136" spans="1:11" x14ac:dyDescent="0.4">
      <c r="A136" s="43">
        <v>34059</v>
      </c>
      <c r="B136" s="17">
        <v>6.25</v>
      </c>
      <c r="C136" s="17">
        <v>6.11</v>
      </c>
      <c r="D136" s="17">
        <v>3.0059999999999998</v>
      </c>
      <c r="F136" s="17"/>
      <c r="G136" s="17"/>
      <c r="H136" s="45">
        <v>451.67</v>
      </c>
      <c r="I136" s="4">
        <v>6947.24</v>
      </c>
      <c r="J136" s="41"/>
      <c r="K136" s="54"/>
    </row>
    <row r="137" spans="1:11" x14ac:dyDescent="0.4">
      <c r="A137" s="43">
        <v>33969</v>
      </c>
      <c r="B137" s="17">
        <v>5.61</v>
      </c>
      <c r="C137" s="17">
        <v>3.6</v>
      </c>
      <c r="D137" s="17">
        <v>3.0330000000000004</v>
      </c>
      <c r="F137" s="17"/>
      <c r="G137" s="17"/>
      <c r="H137" s="45">
        <v>435.71</v>
      </c>
      <c r="I137" s="4">
        <v>6918.99</v>
      </c>
      <c r="J137" s="41"/>
      <c r="K137" s="54"/>
    </row>
    <row r="138" spans="1:11" x14ac:dyDescent="0.4">
      <c r="A138" s="43">
        <v>33877</v>
      </c>
      <c r="B138" s="17">
        <v>5.12</v>
      </c>
      <c r="C138" s="17">
        <v>4.7300000000000004</v>
      </c>
      <c r="D138" s="17">
        <v>3.2009999999999996</v>
      </c>
      <c r="F138" s="17"/>
      <c r="G138" s="17"/>
      <c r="H138" s="45">
        <v>417.8</v>
      </c>
      <c r="I138" s="4">
        <v>6900.48</v>
      </c>
      <c r="J138" s="41"/>
      <c r="K138" s="54"/>
    </row>
    <row r="139" spans="1:11" x14ac:dyDescent="0.4">
      <c r="A139" s="43">
        <v>33785</v>
      </c>
      <c r="B139" s="17">
        <v>5.21</v>
      </c>
      <c r="C139" s="17">
        <v>5.4</v>
      </c>
      <c r="D139" s="17">
        <v>3.2389999999999999</v>
      </c>
      <c r="E139" s="26"/>
      <c r="F139" s="17"/>
      <c r="G139" s="17"/>
      <c r="H139" s="45">
        <v>408.14</v>
      </c>
      <c r="I139" s="4">
        <v>6867.07</v>
      </c>
      <c r="J139" s="41"/>
      <c r="K139" s="54"/>
    </row>
    <row r="140" spans="1:11" x14ac:dyDescent="0.4">
      <c r="A140" s="43">
        <v>33694</v>
      </c>
      <c r="B140" s="17">
        <v>4.93</v>
      </c>
      <c r="C140" s="17">
        <v>5.36</v>
      </c>
      <c r="D140" s="17">
        <v>2.9119999999999999</v>
      </c>
      <c r="F140" s="17"/>
      <c r="G140" s="17"/>
      <c r="H140" s="45">
        <v>403.69</v>
      </c>
      <c r="I140" s="4">
        <v>6833.95</v>
      </c>
      <c r="J140" s="41"/>
      <c r="K140" s="54"/>
    </row>
    <row r="141" spans="1:11" x14ac:dyDescent="0.4">
      <c r="A141" s="43">
        <v>33603</v>
      </c>
      <c r="B141" s="17">
        <v>4.63</v>
      </c>
      <c r="C141" s="17">
        <v>2.5499999999999998</v>
      </c>
      <c r="D141" s="17">
        <v>3.0430000000000001</v>
      </c>
      <c r="F141" s="17"/>
      <c r="G141" s="17"/>
      <c r="H141" s="45">
        <v>417.09</v>
      </c>
      <c r="I141" s="4">
        <v>6812.5168999999996</v>
      </c>
      <c r="J141" s="41"/>
      <c r="K141" s="54"/>
    </row>
    <row r="142" spans="1:11" x14ac:dyDescent="0.4">
      <c r="A142" s="43">
        <v>33511</v>
      </c>
      <c r="B142" s="17">
        <v>5.1100000000000003</v>
      </c>
      <c r="C142" s="17">
        <v>3.74</v>
      </c>
      <c r="D142" s="17">
        <v>3.1259999999999994</v>
      </c>
      <c r="F142" s="17"/>
      <c r="G142" s="17"/>
      <c r="H142" s="45">
        <v>387.86</v>
      </c>
      <c r="I142" s="4">
        <v>6723.09</v>
      </c>
      <c r="J142" s="41"/>
      <c r="K142" s="54"/>
    </row>
    <row r="143" spans="1:11" x14ac:dyDescent="0.4">
      <c r="A143" s="43">
        <v>33419</v>
      </c>
      <c r="B143" s="17">
        <v>4.79</v>
      </c>
      <c r="C143" s="17">
        <v>4.54</v>
      </c>
      <c r="D143" s="17">
        <v>3.2429999999999999</v>
      </c>
      <c r="F143" s="17"/>
      <c r="G143" s="17"/>
      <c r="H143" s="45">
        <v>371.16</v>
      </c>
      <c r="I143" s="4">
        <v>6685.13</v>
      </c>
      <c r="J143" s="41"/>
      <c r="K143" s="54"/>
    </row>
    <row r="144" spans="1:11" x14ac:dyDescent="0.4">
      <c r="A144" s="43">
        <v>33328</v>
      </c>
      <c r="B144" s="17">
        <v>4.7699999999999996</v>
      </c>
      <c r="C144" s="17">
        <v>5.14</v>
      </c>
      <c r="D144" s="17">
        <v>2.7909999999999995</v>
      </c>
      <c r="F144" s="17"/>
      <c r="G144" s="17"/>
      <c r="H144" s="45">
        <v>375.22</v>
      </c>
      <c r="I144" s="4">
        <v>6666.67</v>
      </c>
      <c r="J144" s="41"/>
      <c r="K144" s="54"/>
    </row>
    <row r="145" spans="1:13" x14ac:dyDescent="0.4">
      <c r="A145" s="43">
        <v>33238</v>
      </c>
      <c r="B145" s="17">
        <v>5.01</v>
      </c>
      <c r="C145" s="17">
        <v>4.4000000000000004</v>
      </c>
      <c r="D145" s="17">
        <v>3.1150000000000002</v>
      </c>
      <c r="F145" s="17"/>
      <c r="G145" s="17"/>
      <c r="H145" s="45">
        <v>330.22</v>
      </c>
      <c r="I145" s="4">
        <v>6647.01</v>
      </c>
      <c r="J145" s="41"/>
      <c r="K145" s="54"/>
    </row>
    <row r="146" spans="1:13" x14ac:dyDescent="0.4">
      <c r="A146" s="43">
        <v>33146</v>
      </c>
      <c r="B146" s="17">
        <v>5.97</v>
      </c>
      <c r="C146" s="17">
        <v>5.33</v>
      </c>
      <c r="D146" s="17">
        <v>2.9980000000000002</v>
      </c>
      <c r="F146" s="17"/>
      <c r="G146" s="17"/>
      <c r="H146" s="45">
        <v>306.05</v>
      </c>
      <c r="I146" s="4">
        <v>6653.1</v>
      </c>
      <c r="J146" s="41"/>
      <c r="K146" s="54"/>
    </row>
    <row r="147" spans="1:13" x14ac:dyDescent="0.4">
      <c r="A147" s="43">
        <v>33054</v>
      </c>
      <c r="B147" s="17">
        <v>6.06</v>
      </c>
      <c r="C147" s="17">
        <v>6.07</v>
      </c>
      <c r="D147" s="17">
        <v>3.206</v>
      </c>
      <c r="F147" s="17"/>
      <c r="G147" s="17"/>
      <c r="H147" s="45">
        <v>358.02</v>
      </c>
      <c r="I147" s="4">
        <v>6656.02</v>
      </c>
      <c r="J147" s="41"/>
      <c r="K147" s="54"/>
    </row>
    <row r="148" spans="1:13" x14ac:dyDescent="0.4">
      <c r="A148" s="43">
        <v>32963</v>
      </c>
      <c r="B148" s="17">
        <v>5.61</v>
      </c>
      <c r="C148" s="17">
        <v>5.54</v>
      </c>
      <c r="D148" s="17">
        <v>2.7669999999999999</v>
      </c>
      <c r="F148" s="17"/>
      <c r="G148" s="17"/>
      <c r="H148" s="45">
        <v>339.94</v>
      </c>
      <c r="I148" s="4">
        <v>6669.89</v>
      </c>
      <c r="J148" s="41"/>
      <c r="K148" s="54"/>
    </row>
    <row r="149" spans="1:13" x14ac:dyDescent="0.4">
      <c r="A149" s="43">
        <v>32873</v>
      </c>
      <c r="B149" s="17">
        <v>5.84</v>
      </c>
      <c r="C149" s="17">
        <v>4.8</v>
      </c>
      <c r="D149" s="17">
        <v>2.863</v>
      </c>
      <c r="F149" s="17"/>
      <c r="G149" s="17"/>
      <c r="H149" s="45">
        <v>353.4</v>
      </c>
      <c r="I149" s="4">
        <v>6697.81</v>
      </c>
      <c r="J149" s="41"/>
      <c r="K149" s="54"/>
    </row>
    <row r="150" spans="1:13" x14ac:dyDescent="0.4">
      <c r="A150" s="43">
        <v>32781</v>
      </c>
      <c r="B150" s="17">
        <v>5.54</v>
      </c>
      <c r="C150" s="17">
        <v>4.8499999999999996</v>
      </c>
      <c r="D150" s="17">
        <v>2.827</v>
      </c>
      <c r="F150" s="17"/>
      <c r="G150" s="17"/>
      <c r="H150" s="45">
        <v>349.15</v>
      </c>
      <c r="I150" s="4">
        <v>6684.33</v>
      </c>
      <c r="J150" s="41"/>
      <c r="K150" s="54"/>
    </row>
    <row r="151" spans="1:13" x14ac:dyDescent="0.4">
      <c r="A151" s="43">
        <v>32689</v>
      </c>
      <c r="B151" s="17">
        <v>6.53</v>
      </c>
      <c r="C151" s="17">
        <v>6.48</v>
      </c>
      <c r="D151" s="17">
        <v>2.8609999999999998</v>
      </c>
      <c r="F151" s="17"/>
      <c r="G151" s="17"/>
      <c r="H151" s="45">
        <v>317.98</v>
      </c>
      <c r="I151" s="4">
        <v>6723.45</v>
      </c>
      <c r="J151" s="41"/>
      <c r="K151" s="54"/>
    </row>
    <row r="152" spans="1:13" x14ac:dyDescent="0.4">
      <c r="A152" s="43">
        <v>32598</v>
      </c>
      <c r="B152" s="17">
        <v>6.41</v>
      </c>
      <c r="C152" s="17">
        <v>6.74</v>
      </c>
      <c r="D152" s="17">
        <v>2.5039999999999996</v>
      </c>
      <c r="F152" s="17"/>
      <c r="G152" s="17"/>
      <c r="H152" s="45">
        <v>294.87</v>
      </c>
      <c r="I152" s="4">
        <v>6731.88</v>
      </c>
      <c r="J152" s="41"/>
      <c r="K152" s="54"/>
    </row>
    <row r="153" spans="1:13" x14ac:dyDescent="0.4">
      <c r="A153" s="43">
        <v>32508</v>
      </c>
      <c r="B153" s="17">
        <v>6.37</v>
      </c>
      <c r="C153" s="17">
        <v>5.62</v>
      </c>
      <c r="D153" s="17">
        <v>2.5419999999999998</v>
      </c>
      <c r="F153" s="17"/>
      <c r="G153" s="17"/>
      <c r="H153" s="45">
        <v>277.72000000000003</v>
      </c>
      <c r="I153" s="4">
        <v>6829.56</v>
      </c>
      <c r="J153" s="41"/>
      <c r="K153" s="54"/>
    </row>
    <row r="154" spans="1:13" x14ac:dyDescent="0.4">
      <c r="A154" s="43">
        <v>32416</v>
      </c>
      <c r="B154" s="17">
        <v>6.22</v>
      </c>
      <c r="C154" s="17">
        <v>6.38</v>
      </c>
      <c r="D154" s="17">
        <v>2.4609999999999999</v>
      </c>
      <c r="F154" s="17"/>
      <c r="G154" s="17"/>
      <c r="H154" s="45">
        <v>271.91000000000003</v>
      </c>
      <c r="I154" s="4">
        <v>6930.89</v>
      </c>
      <c r="J154" s="41"/>
      <c r="K154" s="54"/>
    </row>
    <row r="155" spans="1:13" x14ac:dyDescent="0.4">
      <c r="A155" s="43">
        <v>32324</v>
      </c>
      <c r="B155" s="17">
        <v>6.05</v>
      </c>
      <c r="C155" s="17">
        <v>6.22</v>
      </c>
      <c r="D155" s="17">
        <v>2.504</v>
      </c>
      <c r="F155" s="17"/>
      <c r="G155" s="17"/>
      <c r="H155" s="45">
        <v>273.5</v>
      </c>
      <c r="I155" s="4">
        <v>6956.73</v>
      </c>
      <c r="J155" s="41"/>
      <c r="K155" s="54"/>
    </row>
    <row r="156" spans="1:13" x14ac:dyDescent="0.4">
      <c r="A156" s="43">
        <v>32233</v>
      </c>
      <c r="B156" s="17">
        <v>5.48</v>
      </c>
      <c r="C156" s="17">
        <v>5.53</v>
      </c>
      <c r="D156" s="17">
        <v>2.2430000000000003</v>
      </c>
      <c r="F156" s="17"/>
      <c r="G156" s="17"/>
      <c r="H156" s="45">
        <v>258.89</v>
      </c>
      <c r="I156" s="4">
        <v>6977.4</v>
      </c>
      <c r="J156" s="41"/>
      <c r="K156" s="54"/>
    </row>
    <row r="159" spans="1:13" s="82" customFormat="1" x14ac:dyDescent="0.4">
      <c r="A159" s="203"/>
      <c r="B159" s="158"/>
      <c r="C159" s="158"/>
      <c r="D159" s="158"/>
      <c r="E159" s="28"/>
      <c r="F159" s="137"/>
      <c r="G159" s="158"/>
      <c r="H159" s="159"/>
      <c r="I159" s="158"/>
      <c r="J159" s="273"/>
      <c r="K159" s="14"/>
    </row>
    <row r="160" spans="1:13" s="82" customFormat="1" x14ac:dyDescent="0.4">
      <c r="A160" s="35"/>
      <c r="B160" s="14"/>
      <c r="C160" s="14"/>
      <c r="D160" s="15"/>
      <c r="E160" s="14"/>
      <c r="F160" s="14"/>
      <c r="G160" s="15"/>
      <c r="H160" s="14"/>
      <c r="I160" s="14"/>
      <c r="J160" s="6"/>
      <c r="K160" s="16"/>
      <c r="L160" s="16"/>
      <c r="M160" s="16"/>
    </row>
    <row r="161" spans="2:11" ht="12.75" customHeight="1" x14ac:dyDescent="0.4">
      <c r="B161"/>
      <c r="C161"/>
      <c r="D161"/>
      <c r="E161"/>
      <c r="F161"/>
      <c r="G161"/>
      <c r="H161"/>
      <c r="I161"/>
      <c r="K161"/>
    </row>
    <row r="162" spans="2:11" x14ac:dyDescent="0.4">
      <c r="B162"/>
      <c r="C162"/>
      <c r="D162"/>
      <c r="E162"/>
      <c r="F162"/>
      <c r="G162"/>
      <c r="H162"/>
      <c r="I162"/>
      <c r="K162"/>
    </row>
    <row r="163" spans="2:11" x14ac:dyDescent="0.4">
      <c r="B163"/>
      <c r="C163"/>
      <c r="D163"/>
      <c r="E163"/>
      <c r="F163"/>
      <c r="G163"/>
      <c r="H163"/>
      <c r="I163"/>
      <c r="K163"/>
    </row>
    <row r="164" spans="2:11" x14ac:dyDescent="0.4">
      <c r="B164"/>
      <c r="C164"/>
      <c r="D164"/>
      <c r="E164"/>
      <c r="F164"/>
      <c r="G164"/>
      <c r="H164"/>
      <c r="I164"/>
      <c r="K164"/>
    </row>
    <row r="165" spans="2:11" x14ac:dyDescent="0.4">
      <c r="B165"/>
      <c r="C165"/>
      <c r="D165"/>
      <c r="E165"/>
      <c r="F165"/>
      <c r="G165"/>
      <c r="H165"/>
      <c r="I165"/>
      <c r="K165"/>
    </row>
    <row r="166" spans="2:11" x14ac:dyDescent="0.4">
      <c r="B166"/>
      <c r="C166"/>
      <c r="D166"/>
      <c r="E166"/>
      <c r="F166"/>
      <c r="G166"/>
      <c r="H166"/>
      <c r="I166"/>
      <c r="K166"/>
    </row>
    <row r="167" spans="2:11" x14ac:dyDescent="0.4">
      <c r="B167"/>
      <c r="C167"/>
      <c r="D167"/>
      <c r="E167"/>
      <c r="F167"/>
      <c r="G167"/>
      <c r="H167"/>
      <c r="I167"/>
      <c r="K167"/>
    </row>
    <row r="168" spans="2:11" x14ac:dyDescent="0.4">
      <c r="B168"/>
      <c r="C168"/>
      <c r="D168"/>
      <c r="E168"/>
      <c r="F168"/>
      <c r="G168"/>
      <c r="H168"/>
      <c r="I168"/>
      <c r="K168"/>
    </row>
    <row r="169" spans="2:11" x14ac:dyDescent="0.4">
      <c r="B169"/>
      <c r="C169"/>
      <c r="D169"/>
      <c r="E169"/>
      <c r="F169"/>
      <c r="G169"/>
      <c r="H169"/>
      <c r="I169"/>
      <c r="K169"/>
    </row>
    <row r="170" spans="2:11" x14ac:dyDescent="0.4">
      <c r="B170"/>
      <c r="C170"/>
      <c r="D170"/>
      <c r="E170"/>
      <c r="F170"/>
      <c r="G170"/>
      <c r="H170"/>
      <c r="I170"/>
      <c r="K170"/>
    </row>
    <row r="171" spans="2:11" x14ac:dyDescent="0.4">
      <c r="B171"/>
      <c r="C171"/>
      <c r="D171"/>
      <c r="E171"/>
      <c r="F171"/>
      <c r="G171"/>
      <c r="H171"/>
      <c r="I171"/>
      <c r="K171"/>
    </row>
    <row r="172" spans="2:11" x14ac:dyDescent="0.4">
      <c r="B172"/>
      <c r="C172"/>
      <c r="D172"/>
      <c r="E172"/>
      <c r="F172"/>
      <c r="G172"/>
      <c r="H172"/>
      <c r="I172"/>
      <c r="K172"/>
    </row>
    <row r="173" spans="2:11" x14ac:dyDescent="0.4">
      <c r="B173"/>
      <c r="C173"/>
      <c r="D173"/>
      <c r="E173"/>
      <c r="F173"/>
      <c r="G173"/>
      <c r="H173"/>
      <c r="I173"/>
      <c r="K173"/>
    </row>
    <row r="174" spans="2:11" x14ac:dyDescent="0.4">
      <c r="B174"/>
      <c r="C174"/>
      <c r="D174"/>
      <c r="E174"/>
      <c r="F174"/>
      <c r="G174"/>
      <c r="H174"/>
      <c r="I174"/>
      <c r="K174"/>
    </row>
    <row r="175" spans="2:11" x14ac:dyDescent="0.4">
      <c r="B175"/>
      <c r="C175"/>
      <c r="D175"/>
      <c r="E175"/>
      <c r="F175"/>
      <c r="G175"/>
      <c r="H175"/>
      <c r="I175"/>
      <c r="K175"/>
    </row>
    <row r="176" spans="2:11" x14ac:dyDescent="0.4">
      <c r="B176"/>
      <c r="C176"/>
      <c r="D176"/>
      <c r="E176"/>
      <c r="F176"/>
      <c r="G176"/>
      <c r="H176"/>
      <c r="I176"/>
      <c r="K176"/>
    </row>
    <row r="177" spans="2:11" x14ac:dyDescent="0.4">
      <c r="B177"/>
      <c r="C177"/>
      <c r="D177"/>
      <c r="E177"/>
      <c r="F177"/>
      <c r="G177"/>
      <c r="H177"/>
      <c r="I177"/>
      <c r="K177"/>
    </row>
    <row r="178" spans="2:11" x14ac:dyDescent="0.4">
      <c r="B178"/>
      <c r="C178"/>
      <c r="D178"/>
      <c r="E178"/>
      <c r="F178"/>
      <c r="G178"/>
      <c r="H178"/>
      <c r="I178"/>
      <c r="K178"/>
    </row>
    <row r="179" spans="2:11" x14ac:dyDescent="0.4">
      <c r="B179"/>
      <c r="C179"/>
      <c r="D179"/>
      <c r="E179"/>
      <c r="F179"/>
      <c r="G179"/>
      <c r="H179"/>
      <c r="I179"/>
      <c r="K17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80"/>
  <sheetViews>
    <sheetView zoomScaleNormal="100" workbookViewId="0">
      <selection activeCell="B1" sqref="B1"/>
    </sheetView>
  </sheetViews>
  <sheetFormatPr defaultColWidth="9.1328125" defaultRowHeight="15" x14ac:dyDescent="0.4"/>
  <cols>
    <col min="1" max="1" width="45.73046875" style="177" customWidth="1"/>
    <col min="2" max="3" width="16.59765625" style="226" bestFit="1" customWidth="1"/>
    <col min="4" max="6" width="11.3984375" style="226" bestFit="1" customWidth="1"/>
    <col min="7" max="31" width="10.59765625" style="226" bestFit="1" customWidth="1"/>
    <col min="32" max="59" width="10.59765625" style="177" bestFit="1" customWidth="1"/>
    <col min="60" max="62" width="10.59765625" style="178" bestFit="1" customWidth="1"/>
    <col min="63" max="16384" width="9.1328125" style="178"/>
  </cols>
  <sheetData>
    <row r="1" spans="1:65" s="176" customFormat="1" x14ac:dyDescent="0.4">
      <c r="A1" s="291" t="s">
        <v>147</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4"/>
      <c r="AD1" s="224"/>
      <c r="AE1" s="224"/>
      <c r="AF1" s="175"/>
      <c r="AG1" s="175"/>
      <c r="AH1" s="175"/>
      <c r="AI1" s="175"/>
      <c r="AJ1" s="175"/>
      <c r="AK1" s="175"/>
      <c r="AL1" s="175"/>
      <c r="AM1" s="175"/>
      <c r="AN1" s="175"/>
      <c r="AO1" s="175"/>
      <c r="AP1" s="175"/>
      <c r="AQ1" s="175"/>
      <c r="AR1" s="175"/>
      <c r="AS1" s="175"/>
      <c r="AT1" s="175"/>
      <c r="AU1" s="175"/>
      <c r="AV1" s="175"/>
      <c r="AW1" s="175"/>
      <c r="AX1" s="175"/>
      <c r="AY1" s="175"/>
      <c r="BF1" s="177"/>
      <c r="BG1" s="177"/>
      <c r="BH1" s="177"/>
      <c r="BI1" s="177"/>
      <c r="BJ1" s="177"/>
      <c r="BK1" s="178"/>
    </row>
    <row r="2" spans="1:65" s="176" customFormat="1" x14ac:dyDescent="0.4">
      <c r="A2" s="175" t="s">
        <v>148</v>
      </c>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175"/>
      <c r="AG2" s="175"/>
      <c r="AH2" s="175"/>
      <c r="AI2" s="175"/>
      <c r="AJ2" s="175"/>
      <c r="AK2" s="175"/>
      <c r="AL2" s="175"/>
      <c r="AM2" s="175"/>
      <c r="AN2" s="175"/>
      <c r="AO2" s="175"/>
      <c r="AP2" s="175"/>
      <c r="AQ2" s="175"/>
      <c r="AR2" s="175"/>
      <c r="AS2" s="175"/>
      <c r="AT2" s="175"/>
      <c r="AU2" s="175"/>
      <c r="AV2" s="175"/>
      <c r="AW2" s="175"/>
      <c r="AX2" s="175"/>
      <c r="AY2" s="175"/>
      <c r="BF2" s="177"/>
      <c r="BG2" s="177"/>
      <c r="BH2" s="177"/>
      <c r="BI2" s="177"/>
      <c r="BJ2" s="177"/>
      <c r="BK2" s="178"/>
    </row>
    <row r="3" spans="1:65" s="176" customFormat="1" ht="16.5" customHeight="1" x14ac:dyDescent="0.4">
      <c r="A3" s="176" t="s">
        <v>769</v>
      </c>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c r="AE3" s="225"/>
      <c r="BF3" s="177"/>
      <c r="BG3" s="177"/>
      <c r="BH3" s="177"/>
      <c r="BI3" s="177"/>
      <c r="BJ3" s="177"/>
      <c r="BK3" s="178"/>
    </row>
    <row r="4" spans="1:65" s="206" customFormat="1" x14ac:dyDescent="0.4">
      <c r="A4" s="177"/>
      <c r="B4" s="226"/>
      <c r="C4" s="226"/>
      <c r="D4" s="189" t="s">
        <v>775</v>
      </c>
      <c r="E4" s="183"/>
      <c r="F4" s="183"/>
      <c r="G4" s="183"/>
      <c r="H4" s="183"/>
      <c r="I4" s="183"/>
      <c r="J4" s="183"/>
      <c r="K4" s="183"/>
      <c r="L4" s="183"/>
      <c r="M4" s="226"/>
      <c r="N4" s="226"/>
      <c r="O4" s="226"/>
      <c r="P4" s="226"/>
      <c r="Q4" s="226"/>
      <c r="R4" s="226"/>
      <c r="S4" s="226"/>
      <c r="T4" s="226"/>
      <c r="U4" s="226"/>
      <c r="V4" s="226"/>
      <c r="W4" s="226"/>
      <c r="X4" s="226"/>
      <c r="Y4" s="226"/>
      <c r="Z4" s="226"/>
      <c r="AA4" s="179"/>
      <c r="AB4" s="226"/>
      <c r="AC4" s="226"/>
      <c r="AD4" s="226"/>
      <c r="AE4" s="226"/>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205"/>
    </row>
    <row r="5" spans="1:65" s="206" customFormat="1" x14ac:dyDescent="0.4">
      <c r="A5" s="200" t="s">
        <v>196</v>
      </c>
      <c r="B5" s="179" t="s">
        <v>781</v>
      </c>
      <c r="C5" s="179" t="s">
        <v>782</v>
      </c>
      <c r="D5" s="179">
        <v>45838</v>
      </c>
      <c r="E5" s="179">
        <v>45747</v>
      </c>
      <c r="F5" s="179">
        <v>45657</v>
      </c>
      <c r="G5" s="179">
        <v>45565</v>
      </c>
      <c r="H5" s="179">
        <v>45471</v>
      </c>
      <c r="I5" s="179">
        <v>45379</v>
      </c>
      <c r="J5" s="179">
        <v>45289</v>
      </c>
      <c r="K5" s="179">
        <v>45198</v>
      </c>
      <c r="L5" s="179">
        <v>45107</v>
      </c>
      <c r="M5" s="179">
        <v>45016</v>
      </c>
      <c r="N5" s="179">
        <v>44926</v>
      </c>
      <c r="O5" s="179">
        <v>44805</v>
      </c>
      <c r="P5" s="179">
        <v>44713</v>
      </c>
      <c r="Q5" s="179">
        <v>44621</v>
      </c>
      <c r="R5" s="179">
        <v>44531</v>
      </c>
      <c r="S5" s="179">
        <v>44440</v>
      </c>
      <c r="T5" s="179">
        <v>44348</v>
      </c>
      <c r="U5" s="179">
        <v>44286</v>
      </c>
      <c r="V5" s="179">
        <v>44196</v>
      </c>
      <c r="W5" s="179">
        <v>44104</v>
      </c>
      <c r="X5" s="179">
        <v>43999</v>
      </c>
      <c r="Y5" s="179">
        <v>43907</v>
      </c>
      <c r="Z5" s="179">
        <v>43816</v>
      </c>
      <c r="AA5" s="179">
        <v>43725</v>
      </c>
      <c r="AB5" s="179">
        <v>43634</v>
      </c>
      <c r="AC5" s="179">
        <v>43543</v>
      </c>
      <c r="AD5" s="179">
        <v>43452</v>
      </c>
      <c r="AE5" s="179">
        <v>43361</v>
      </c>
      <c r="AF5" s="200">
        <v>43269</v>
      </c>
      <c r="AG5" s="200">
        <v>43160</v>
      </c>
      <c r="AH5" s="200">
        <v>43070</v>
      </c>
      <c r="AI5" s="200">
        <v>42979</v>
      </c>
      <c r="AJ5" s="200">
        <v>42887</v>
      </c>
      <c r="AK5" s="200">
        <v>42795</v>
      </c>
      <c r="AL5" s="200">
        <v>42705</v>
      </c>
      <c r="AM5" s="200">
        <v>42614</v>
      </c>
      <c r="AN5" s="200">
        <v>42522</v>
      </c>
      <c r="AO5" s="200">
        <v>42430</v>
      </c>
      <c r="AP5" s="200">
        <v>42339</v>
      </c>
      <c r="AQ5" s="200">
        <v>42248</v>
      </c>
      <c r="AR5" s="200">
        <v>42156</v>
      </c>
      <c r="AS5" s="200">
        <v>42064</v>
      </c>
      <c r="AT5" s="200">
        <v>41974</v>
      </c>
      <c r="AU5" s="200">
        <v>41883</v>
      </c>
      <c r="AV5" s="200">
        <v>41791</v>
      </c>
      <c r="AW5" s="200">
        <v>41699</v>
      </c>
      <c r="AX5" s="200">
        <v>41609</v>
      </c>
      <c r="AY5" s="200">
        <v>41518</v>
      </c>
      <c r="AZ5" s="200">
        <v>41426</v>
      </c>
      <c r="BA5" s="200">
        <v>41334</v>
      </c>
      <c r="BB5" s="200">
        <v>41244</v>
      </c>
      <c r="BC5" s="200">
        <v>41153</v>
      </c>
      <c r="BD5" s="200">
        <v>41061</v>
      </c>
      <c r="BE5" s="200">
        <v>40969</v>
      </c>
      <c r="BF5" s="200">
        <v>40878</v>
      </c>
      <c r="BG5" s="200">
        <v>40787</v>
      </c>
      <c r="BH5" s="200">
        <v>40695</v>
      </c>
      <c r="BI5" s="200">
        <v>40603</v>
      </c>
      <c r="BJ5" s="200">
        <v>40513</v>
      </c>
    </row>
    <row r="6" spans="1:65" x14ac:dyDescent="0.4">
      <c r="A6" s="182" t="s">
        <v>117</v>
      </c>
      <c r="B6" s="183">
        <f>D6/E6-1</f>
        <v>3.9271116097527425E-2</v>
      </c>
      <c r="C6" s="183">
        <f>D6/H6-1</f>
        <v>-4.6548144426844851E-2</v>
      </c>
      <c r="D6" s="184">
        <v>127.951660787596</v>
      </c>
      <c r="E6" s="184">
        <v>123.11672941326</v>
      </c>
      <c r="F6" s="184">
        <v>125.56531369176101</v>
      </c>
      <c r="G6" s="184">
        <v>130.54694322256901</v>
      </c>
      <c r="H6" s="184">
        <v>134.19834471944</v>
      </c>
      <c r="I6" s="184">
        <v>125.704711505687</v>
      </c>
      <c r="J6" s="184">
        <v>132.01917630507501</v>
      </c>
      <c r="K6" s="184">
        <v>137.24139720127701</v>
      </c>
      <c r="L6" s="184">
        <v>123.428138824162</v>
      </c>
      <c r="M6" s="184">
        <v>126.239004529952</v>
      </c>
      <c r="N6" s="184">
        <v>142.336019551866</v>
      </c>
      <c r="O6" s="184">
        <v>157.67484098699501</v>
      </c>
      <c r="P6" s="184">
        <v>166.02488368656699</v>
      </c>
      <c r="Q6" s="184">
        <v>128.357164623416</v>
      </c>
      <c r="R6" s="184">
        <v>119.893114086811</v>
      </c>
      <c r="S6" s="184">
        <v>105.45360067275701</v>
      </c>
      <c r="T6" s="184">
        <v>94.334591952815401</v>
      </c>
      <c r="U6" s="184">
        <v>82.252400931008694</v>
      </c>
      <c r="V6" s="184">
        <v>68.103035828590507</v>
      </c>
      <c r="W6" s="184">
        <v>64.892831715026304</v>
      </c>
      <c r="X6" s="184">
        <v>47.889237987548903</v>
      </c>
      <c r="Y6" s="184">
        <v>83.886840354310706</v>
      </c>
      <c r="Z6" s="184">
        <v>99.371718893190803</v>
      </c>
      <c r="AA6" s="184">
        <v>97.544327505671504</v>
      </c>
      <c r="AB6" s="184">
        <v>100.022109080899</v>
      </c>
      <c r="AC6" s="184">
        <v>90.306393076127307</v>
      </c>
      <c r="AD6" s="184">
        <v>103.194111670289</v>
      </c>
      <c r="AE6" s="184">
        <v>104.885739258917</v>
      </c>
      <c r="AF6" s="184">
        <v>105.128593769465</v>
      </c>
      <c r="AG6" s="184">
        <v>94.707212103943306</v>
      </c>
      <c r="AH6" s="184">
        <v>94.697051918106197</v>
      </c>
      <c r="AI6" s="184">
        <v>84.488649869875502</v>
      </c>
      <c r="AJ6" s="184">
        <v>79.173322844944494</v>
      </c>
      <c r="AK6" s="184">
        <v>78.522233167826499</v>
      </c>
      <c r="AL6" s="184">
        <v>74.172185163956797</v>
      </c>
      <c r="AM6" s="184">
        <v>70.965468536305494</v>
      </c>
      <c r="AN6" s="184">
        <v>69.285013313122505</v>
      </c>
      <c r="AO6" s="184">
        <v>59.056575266402</v>
      </c>
      <c r="AP6" s="184">
        <v>75.088711295293194</v>
      </c>
      <c r="AQ6" s="184">
        <v>86.470322787455103</v>
      </c>
      <c r="AR6" s="184">
        <v>96.044884402133206</v>
      </c>
      <c r="AS6" s="184">
        <v>87.587172383939702</v>
      </c>
      <c r="AT6" s="184">
        <v>117.741631896813</v>
      </c>
      <c r="AU6" s="181">
        <v>140.54682157668901</v>
      </c>
      <c r="AV6" s="181">
        <v>144.23028213520001</v>
      </c>
      <c r="AW6" s="181">
        <v>137.38053003420799</v>
      </c>
      <c r="AX6" s="181">
        <v>139.27352892401501</v>
      </c>
      <c r="AY6" s="181">
        <v>142.88599656396701</v>
      </c>
      <c r="AZ6" s="181">
        <v>138.058581465895</v>
      </c>
      <c r="BA6" s="184">
        <v>134.07322586672601</v>
      </c>
      <c r="BB6" s="184">
        <v>140.72494032489499</v>
      </c>
      <c r="BC6" s="184">
        <v>140.92669980590901</v>
      </c>
      <c r="BD6" s="184">
        <v>145.38977254168799</v>
      </c>
      <c r="BE6" s="184">
        <v>145.19728893641499</v>
      </c>
      <c r="BF6" s="185">
        <v>143.47080570745899</v>
      </c>
      <c r="BG6" s="185">
        <v>145.57753138512899</v>
      </c>
      <c r="BH6" s="185">
        <v>139.32923769057501</v>
      </c>
      <c r="BI6" s="185">
        <v>128.523320336946</v>
      </c>
      <c r="BJ6" s="186">
        <v>117.58509680908894</v>
      </c>
      <c r="BK6" s="186"/>
      <c r="BL6" s="187"/>
      <c r="BM6" s="181"/>
    </row>
    <row r="7" spans="1:65" x14ac:dyDescent="0.4">
      <c r="A7" s="182" t="s">
        <v>118</v>
      </c>
      <c r="B7" s="183">
        <f>D7/E7-1</f>
        <v>0.10862988630639503</v>
      </c>
      <c r="C7" s="183">
        <f t="shared" ref="C7:C16" si="0">D7/H7-1</f>
        <v>2.0762500200381506E-2</v>
      </c>
      <c r="D7" s="184">
        <v>66.7530465810229</v>
      </c>
      <c r="E7" s="184">
        <v>60.2122019310006</v>
      </c>
      <c r="F7" s="184">
        <v>61.999032935926003</v>
      </c>
      <c r="G7" s="184">
        <v>63.838371295495698</v>
      </c>
      <c r="H7" s="184">
        <v>65.395277126578307</v>
      </c>
      <c r="I7" s="184">
        <v>61.119262984426598</v>
      </c>
      <c r="J7" s="184">
        <v>61.283666593317399</v>
      </c>
      <c r="K7" s="184">
        <v>63.648430220725402</v>
      </c>
      <c r="L7" s="184">
        <v>67.010192137814101</v>
      </c>
      <c r="M7" s="184">
        <v>65.191355298966499</v>
      </c>
      <c r="N7" s="184">
        <v>65.1076121792984</v>
      </c>
      <c r="O7" s="184">
        <v>68.2350246343903</v>
      </c>
      <c r="P7" s="184">
        <v>73.218335139848094</v>
      </c>
      <c r="Q7" s="184">
        <v>66.894066511571296</v>
      </c>
      <c r="R7" s="184">
        <v>64.819111167559498</v>
      </c>
      <c r="S7" s="184">
        <v>62.584839167805903</v>
      </c>
      <c r="T7" s="184">
        <v>61.159176054104499</v>
      </c>
      <c r="U7" s="184">
        <v>53.0894873974974</v>
      </c>
      <c r="V7" s="184">
        <v>50.497234392481403</v>
      </c>
      <c r="W7" s="184">
        <v>47.454819461944503</v>
      </c>
      <c r="X7" s="184">
        <v>44.675839741583701</v>
      </c>
      <c r="Y7" s="184">
        <v>47.176077921873102</v>
      </c>
      <c r="Z7" s="184">
        <v>48.623787205487801</v>
      </c>
      <c r="AA7" s="184">
        <v>49.589462266215399</v>
      </c>
      <c r="AB7" s="184">
        <v>52.948135795092</v>
      </c>
      <c r="AC7" s="184">
        <v>48.842071600237901</v>
      </c>
      <c r="AD7" s="184">
        <v>48.877769237742001</v>
      </c>
      <c r="AE7" s="184">
        <v>53.404253970969897</v>
      </c>
      <c r="AF7" s="184">
        <v>55.615434041495298</v>
      </c>
      <c r="AG7" s="184">
        <v>49.322130976870199</v>
      </c>
      <c r="AH7" s="184">
        <v>46.993305549469</v>
      </c>
      <c r="AI7" s="184">
        <v>43.912873758259899</v>
      </c>
      <c r="AJ7" s="184">
        <v>46.533504494551302</v>
      </c>
      <c r="AK7" s="184">
        <v>44.521801692501199</v>
      </c>
      <c r="AL7" s="184">
        <v>42.3616616126153</v>
      </c>
      <c r="AM7" s="184">
        <v>44.982439801970401</v>
      </c>
      <c r="AN7" s="184">
        <v>47.181408587525802</v>
      </c>
      <c r="AO7" s="184">
        <v>44.343465968179103</v>
      </c>
      <c r="AP7" s="184">
        <v>43.378620448108599</v>
      </c>
      <c r="AQ7" s="184">
        <v>44.027386860275001</v>
      </c>
      <c r="AR7" s="184">
        <v>49.1224642337774</v>
      </c>
      <c r="AS7" s="184">
        <v>46.216385007361801</v>
      </c>
      <c r="AT7" s="184">
        <v>48.4734291441317</v>
      </c>
      <c r="AU7" s="181">
        <v>49.894905487995501</v>
      </c>
      <c r="AV7" s="181">
        <v>54.411441421561101</v>
      </c>
      <c r="AW7" s="181">
        <v>52.300938588412599</v>
      </c>
      <c r="AX7" s="181">
        <v>50.895264215852698</v>
      </c>
      <c r="AY7" s="181">
        <v>50.361637036806101</v>
      </c>
      <c r="AZ7" s="181">
        <v>52.116842280278803</v>
      </c>
      <c r="BA7" s="184">
        <v>51.016637747551897</v>
      </c>
      <c r="BB7" s="184">
        <v>48.6287293251699</v>
      </c>
      <c r="BC7" s="184">
        <v>48.382563750107998</v>
      </c>
      <c r="BD7" s="184">
        <v>50.7345735161582</v>
      </c>
      <c r="BE7" s="184">
        <v>50.2553092610204</v>
      </c>
      <c r="BF7" s="185">
        <v>46.475864514264401</v>
      </c>
      <c r="BG7" s="185">
        <v>50.090198234893897</v>
      </c>
      <c r="BH7" s="185">
        <v>53.5032420603047</v>
      </c>
      <c r="BI7" s="185">
        <v>49.875023451608499</v>
      </c>
      <c r="BJ7" s="186">
        <v>45.417926797732484</v>
      </c>
      <c r="BK7" s="186"/>
      <c r="BL7" s="187"/>
      <c r="BM7" s="181"/>
    </row>
    <row r="8" spans="1:65" x14ac:dyDescent="0.4">
      <c r="A8" s="182" t="s">
        <v>119</v>
      </c>
      <c r="B8" s="183">
        <f t="shared" ref="B8:B17" si="1">D8/E8-1</f>
        <v>6.9271100069059344E-2</v>
      </c>
      <c r="C8" s="183">
        <f t="shared" si="0"/>
        <v>5.4509160945008794E-3</v>
      </c>
      <c r="D8" s="184">
        <v>115.20174823924501</v>
      </c>
      <c r="E8" s="184">
        <v>107.73857839401499</v>
      </c>
      <c r="F8" s="184">
        <v>110.39518674311201</v>
      </c>
      <c r="G8" s="184">
        <v>112.05662002351799</v>
      </c>
      <c r="H8" s="184">
        <v>114.57719754906201</v>
      </c>
      <c r="I8" s="184">
        <v>109.336117130693</v>
      </c>
      <c r="J8" s="184">
        <v>113.088156048679</v>
      </c>
      <c r="K8" s="184">
        <v>112.44051236650699</v>
      </c>
      <c r="L8" s="184">
        <v>112.86775910666</v>
      </c>
      <c r="M8" s="184">
        <v>106.415521777813</v>
      </c>
      <c r="N8" s="184">
        <v>113.990464686636</v>
      </c>
      <c r="O8" s="184">
        <v>111.240707548667</v>
      </c>
      <c r="P8" s="184">
        <v>110.095165361921</v>
      </c>
      <c r="Q8" s="184">
        <v>98.282389975165202</v>
      </c>
      <c r="R8" s="184">
        <v>99.563501488398302</v>
      </c>
      <c r="S8" s="184">
        <v>94.423692722311799</v>
      </c>
      <c r="T8" s="184">
        <v>92.497281697217204</v>
      </c>
      <c r="U8" s="184">
        <v>84.738606465630497</v>
      </c>
      <c r="V8" s="184">
        <v>86.61016026371</v>
      </c>
      <c r="W8" s="184">
        <v>80.304819361109196</v>
      </c>
      <c r="X8" s="184">
        <v>71.932085034156202</v>
      </c>
      <c r="Y8" s="184">
        <v>84.140461116482598</v>
      </c>
      <c r="Z8" s="184">
        <v>94.380281744320101</v>
      </c>
      <c r="AA8" s="184">
        <v>93.347291527314596</v>
      </c>
      <c r="AB8" s="184">
        <v>96.387472685975496</v>
      </c>
      <c r="AC8" s="184">
        <v>91.962983710078106</v>
      </c>
      <c r="AD8" s="184">
        <v>96.3163925184123</v>
      </c>
      <c r="AE8" s="184">
        <v>94.000030644744399</v>
      </c>
      <c r="AF8" s="184">
        <v>93.743081878254003</v>
      </c>
      <c r="AG8" s="184">
        <v>86.880080623265997</v>
      </c>
      <c r="AH8" s="184">
        <v>88.914747579979604</v>
      </c>
      <c r="AI8" s="184">
        <v>86.365782739767496</v>
      </c>
      <c r="AJ8" s="184">
        <v>84.999197934081096</v>
      </c>
      <c r="AK8" s="184">
        <v>79.061283269753005</v>
      </c>
      <c r="AL8" s="184">
        <v>81.943973467306506</v>
      </c>
      <c r="AM8" s="184">
        <v>79.654084150377898</v>
      </c>
      <c r="AN8" s="184">
        <v>78.635676132900699</v>
      </c>
      <c r="AO8" s="184">
        <v>74.561695185475003</v>
      </c>
      <c r="AP8" s="184">
        <v>77.197389327710397</v>
      </c>
      <c r="AQ8" s="184">
        <v>77.045091567613298</v>
      </c>
      <c r="AR8" s="184">
        <v>75.015805924561704</v>
      </c>
      <c r="AS8" s="184">
        <v>71.058684755455005</v>
      </c>
      <c r="AT8" s="184">
        <v>76.951451467075103</v>
      </c>
      <c r="AU8" s="181">
        <v>74.932017994875295</v>
      </c>
      <c r="AV8" s="181">
        <v>74.165583680227797</v>
      </c>
      <c r="AW8" s="181">
        <v>69.188550154859897</v>
      </c>
      <c r="AX8" s="181">
        <v>72.820429914635298</v>
      </c>
      <c r="AY8" s="181">
        <v>70.820088458887398</v>
      </c>
      <c r="AZ8" s="181">
        <v>70.0882125602824</v>
      </c>
      <c r="BA8" s="184">
        <v>66.596117353328296</v>
      </c>
      <c r="BB8" s="184">
        <v>69.750700452733895</v>
      </c>
      <c r="BC8" s="184">
        <v>68.181925025530305</v>
      </c>
      <c r="BD8" s="184">
        <v>68.888686294677697</v>
      </c>
      <c r="BE8" s="184">
        <v>66.161771738247097</v>
      </c>
      <c r="BF8" s="185">
        <v>68.046780188167105</v>
      </c>
      <c r="BG8" s="185">
        <v>66.589854085708495</v>
      </c>
      <c r="BH8" s="185">
        <v>64.868512336473103</v>
      </c>
      <c r="BI8" s="185">
        <v>60.499241549248303</v>
      </c>
      <c r="BJ8" s="186">
        <v>63.911389481222194</v>
      </c>
      <c r="BK8" s="186"/>
      <c r="BL8" s="187"/>
      <c r="BM8" s="181"/>
    </row>
    <row r="9" spans="1:65" x14ac:dyDescent="0.4">
      <c r="A9" s="182" t="s">
        <v>120</v>
      </c>
      <c r="B9" s="183">
        <f t="shared" si="1"/>
        <v>0.1041186929929947</v>
      </c>
      <c r="C9" s="183">
        <f t="shared" si="0"/>
        <v>2.2894199239073876E-2</v>
      </c>
      <c r="D9" s="184">
        <v>166.58804499563499</v>
      </c>
      <c r="E9" s="184">
        <v>150.878747052145</v>
      </c>
      <c r="F9" s="184">
        <v>173.79912725997301</v>
      </c>
      <c r="G9" s="184">
        <v>165.94490066305701</v>
      </c>
      <c r="H9" s="184">
        <v>162.85950699452499</v>
      </c>
      <c r="I9" s="184">
        <v>149.40739120427401</v>
      </c>
      <c r="J9" s="184">
        <v>166.08881241978401</v>
      </c>
      <c r="K9" s="184">
        <v>158.96962946055601</v>
      </c>
      <c r="L9" s="184">
        <v>160.99250931044901</v>
      </c>
      <c r="M9" s="184">
        <v>146.685505135379</v>
      </c>
      <c r="N9" s="184">
        <v>168.84576329347701</v>
      </c>
      <c r="O9" s="184">
        <v>156.81010460875601</v>
      </c>
      <c r="P9" s="184">
        <v>154.210069504053</v>
      </c>
      <c r="Q9" s="184">
        <v>142.04082234976701</v>
      </c>
      <c r="R9" s="184">
        <v>154.681543021723</v>
      </c>
      <c r="S9" s="184">
        <v>139.52557269832499</v>
      </c>
      <c r="T9" s="184">
        <v>139.172680129984</v>
      </c>
      <c r="U9" s="184">
        <v>130.817518483893</v>
      </c>
      <c r="V9" s="184">
        <v>139.725236689441</v>
      </c>
      <c r="W9" s="184">
        <v>143.18337003129599</v>
      </c>
      <c r="X9" s="184">
        <v>120.731587949394</v>
      </c>
      <c r="Y9" s="184">
        <v>129.316838920468</v>
      </c>
      <c r="Z9" s="184">
        <v>151.72105104321099</v>
      </c>
      <c r="AA9" s="184">
        <v>142.02358720911599</v>
      </c>
      <c r="AB9" s="184">
        <v>141.26409094151001</v>
      </c>
      <c r="AC9" s="184">
        <v>132.21126628229001</v>
      </c>
      <c r="AD9" s="184">
        <v>148.34287589896201</v>
      </c>
      <c r="AE9" s="184">
        <v>133.97286907351</v>
      </c>
      <c r="AF9" s="184">
        <v>126.131370369354</v>
      </c>
      <c r="AG9" s="184">
        <v>119.07496844516299</v>
      </c>
      <c r="AH9" s="184">
        <v>129.019932187183</v>
      </c>
      <c r="AI9" s="184">
        <v>114.119351222635</v>
      </c>
      <c r="AJ9" s="184">
        <v>116.070035023362</v>
      </c>
      <c r="AK9" s="184">
        <v>111.842922394181</v>
      </c>
      <c r="AL9" s="184">
        <v>121.608105915433</v>
      </c>
      <c r="AM9" s="184">
        <v>112.227270449918</v>
      </c>
      <c r="AN9" s="184">
        <v>112.089612123129</v>
      </c>
      <c r="AO9" s="184">
        <v>105.24907095903001</v>
      </c>
      <c r="AP9" s="184">
        <v>113.767739784515</v>
      </c>
      <c r="AQ9" s="184">
        <v>104.682497124058</v>
      </c>
      <c r="AR9" s="184">
        <v>101.611497373728</v>
      </c>
      <c r="AS9" s="184">
        <v>95.114282287360695</v>
      </c>
      <c r="AT9" s="184">
        <v>106.38300021166501</v>
      </c>
      <c r="AU9" s="181">
        <v>98.292401938630704</v>
      </c>
      <c r="AV9" s="181">
        <v>96.786701999504601</v>
      </c>
      <c r="AW9" s="181">
        <v>91.430566381922503</v>
      </c>
      <c r="AX9" s="181">
        <v>99.917355999993802</v>
      </c>
      <c r="AY9" s="181">
        <v>91.9367294708033</v>
      </c>
      <c r="AZ9" s="181">
        <v>89.553920683305904</v>
      </c>
      <c r="BA9" s="184">
        <v>81.202704034317094</v>
      </c>
      <c r="BB9" s="184">
        <v>89.7931522076438</v>
      </c>
      <c r="BC9" s="184">
        <v>79.095963347905695</v>
      </c>
      <c r="BD9" s="184">
        <v>78.2154831506775</v>
      </c>
      <c r="BE9" s="184">
        <v>76.236453695092095</v>
      </c>
      <c r="BF9" s="185">
        <v>82.926230670206806</v>
      </c>
      <c r="BG9" s="185">
        <v>74.694049806457997</v>
      </c>
      <c r="BH9" s="185">
        <v>74.6071173630787</v>
      </c>
      <c r="BI9" s="185">
        <v>70.263555046704198</v>
      </c>
      <c r="BJ9" s="186">
        <v>74.53942758984482</v>
      </c>
      <c r="BK9" s="186"/>
      <c r="BL9" s="187"/>
      <c r="BM9" s="181"/>
    </row>
    <row r="10" spans="1:65" x14ac:dyDescent="0.4">
      <c r="A10" s="182" t="s">
        <v>121</v>
      </c>
      <c r="B10" s="183">
        <f t="shared" si="1"/>
        <v>2.3774259821530253E-2</v>
      </c>
      <c r="C10" s="183">
        <f t="shared" si="0"/>
        <v>2.5635198850737506E-2</v>
      </c>
      <c r="D10" s="184">
        <v>143.11503192396401</v>
      </c>
      <c r="E10" s="184">
        <v>139.79159033448701</v>
      </c>
      <c r="F10" s="184">
        <v>147.34065654267201</v>
      </c>
      <c r="G10" s="184">
        <v>147.30530224288401</v>
      </c>
      <c r="H10" s="184">
        <v>139.537948857771</v>
      </c>
      <c r="I10" s="184">
        <v>138.65750051846001</v>
      </c>
      <c r="J10" s="184">
        <v>145.003551202067</v>
      </c>
      <c r="K10" s="184">
        <v>143.77883782608501</v>
      </c>
      <c r="L10" s="184">
        <v>137.08270001897199</v>
      </c>
      <c r="M10" s="184">
        <v>136.088038728832</v>
      </c>
      <c r="N10" s="184">
        <v>129.39786880595301</v>
      </c>
      <c r="O10" s="184">
        <v>129.90727561233501</v>
      </c>
      <c r="P10" s="184">
        <v>122.18260279990101</v>
      </c>
      <c r="Q10" s="184">
        <v>120.024685322979</v>
      </c>
      <c r="R10" s="184">
        <v>121.307530383507</v>
      </c>
      <c r="S10" s="184">
        <v>119.751061941782</v>
      </c>
      <c r="T10" s="184">
        <v>112.983606737036</v>
      </c>
      <c r="U10" s="184">
        <v>109.147722889286</v>
      </c>
      <c r="V10" s="184">
        <v>110.089319928423</v>
      </c>
      <c r="W10" s="184">
        <v>107.971224772342</v>
      </c>
      <c r="X10" s="184">
        <v>99.9608780701668</v>
      </c>
      <c r="Y10" s="184">
        <v>104.98922876348099</v>
      </c>
      <c r="Z10" s="184">
        <v>105.07707968774599</v>
      </c>
      <c r="AA10" s="184">
        <v>104.52217804427499</v>
      </c>
      <c r="AB10" s="184">
        <v>99.716440995088902</v>
      </c>
      <c r="AC10" s="184">
        <v>98.348119491126596</v>
      </c>
      <c r="AD10" s="184">
        <v>100.69443606234</v>
      </c>
      <c r="AE10" s="184">
        <v>100.429725293361</v>
      </c>
      <c r="AF10" s="184">
        <v>96.144902104976097</v>
      </c>
      <c r="AG10" s="184">
        <v>105.17467701792</v>
      </c>
      <c r="AH10" s="184">
        <v>108.564256773162</v>
      </c>
      <c r="AI10" s="184">
        <v>105.814292118556</v>
      </c>
      <c r="AJ10" s="184">
        <v>97.930068608824001</v>
      </c>
      <c r="AK10" s="184">
        <v>95.904780085350595</v>
      </c>
      <c r="AL10" s="184">
        <v>98.302988165754797</v>
      </c>
      <c r="AM10" s="184">
        <v>96.509859017154298</v>
      </c>
      <c r="AN10" s="184">
        <v>93.452743180732298</v>
      </c>
      <c r="AO10" s="184">
        <v>93.235736366015402</v>
      </c>
      <c r="AP10" s="184">
        <v>95.116698525038004</v>
      </c>
      <c r="AQ10" s="184">
        <v>94.361274111650701</v>
      </c>
      <c r="AR10" s="184">
        <v>91.0682093095581</v>
      </c>
      <c r="AS10" s="184">
        <v>89.397424149199495</v>
      </c>
      <c r="AT10" s="184">
        <v>97.262250331009298</v>
      </c>
      <c r="AU10" s="181">
        <v>94.222885226432794</v>
      </c>
      <c r="AV10" s="181">
        <v>92.612120327387402</v>
      </c>
      <c r="AW10" s="181">
        <v>90.138226239916804</v>
      </c>
      <c r="AX10" s="181">
        <v>94.439782597039795</v>
      </c>
      <c r="AY10" s="181">
        <v>90.2904027883948</v>
      </c>
      <c r="AZ10" s="181">
        <v>88.054049610453902</v>
      </c>
      <c r="BA10" s="184">
        <v>87.301380591408503</v>
      </c>
      <c r="BB10" s="184">
        <v>99.046934782741999</v>
      </c>
      <c r="BC10" s="184">
        <v>87.107188177890194</v>
      </c>
      <c r="BD10" s="184">
        <v>84.242780005852595</v>
      </c>
      <c r="BE10" s="184">
        <v>85.427756856283906</v>
      </c>
      <c r="BF10" s="185">
        <v>88.412244682913098</v>
      </c>
      <c r="BG10" s="185">
        <v>85.247311680811904</v>
      </c>
      <c r="BH10" s="185">
        <v>84.125515193947095</v>
      </c>
      <c r="BI10" s="185">
        <v>79.444394396484498</v>
      </c>
      <c r="BJ10" s="186">
        <v>81.592710476968421</v>
      </c>
      <c r="BK10" s="186"/>
      <c r="BL10" s="187"/>
      <c r="BM10" s="181"/>
    </row>
    <row r="11" spans="1:65" x14ac:dyDescent="0.4">
      <c r="A11" s="182" t="s">
        <v>122</v>
      </c>
      <c r="B11" s="183">
        <f t="shared" si="1"/>
        <v>3.8950410713410211E-2</v>
      </c>
      <c r="C11" s="183">
        <f t="shared" si="0"/>
        <v>0.10761548954330391</v>
      </c>
      <c r="D11" s="184">
        <v>281.90277811793902</v>
      </c>
      <c r="E11" s="184">
        <v>271.33419960281498</v>
      </c>
      <c r="F11" s="184">
        <v>273.333608518777</v>
      </c>
      <c r="G11" s="184">
        <v>266.69482157367003</v>
      </c>
      <c r="H11" s="184">
        <v>254.51321399827501</v>
      </c>
      <c r="I11" s="184">
        <v>244.333916692201</v>
      </c>
      <c r="J11" s="184">
        <v>247.57893429567699</v>
      </c>
      <c r="K11" s="184">
        <v>237.53385748265401</v>
      </c>
      <c r="L11" s="184">
        <v>233.51307161116301</v>
      </c>
      <c r="M11" s="184">
        <v>227.33792274113301</v>
      </c>
      <c r="N11" s="184">
        <v>226.28871759054999</v>
      </c>
      <c r="O11" s="184">
        <v>219.281782371112</v>
      </c>
      <c r="P11" s="184">
        <v>218.14542148029</v>
      </c>
      <c r="Q11" s="184">
        <v>213.73967137267999</v>
      </c>
      <c r="R11" s="184">
        <v>210.321348125409</v>
      </c>
      <c r="S11" s="184">
        <v>203.25158668656599</v>
      </c>
      <c r="T11" s="184">
        <v>198.00905708338701</v>
      </c>
      <c r="U11" s="184">
        <v>187.80146119527799</v>
      </c>
      <c r="V11" s="184">
        <v>188.537451153435</v>
      </c>
      <c r="W11" s="184">
        <v>180.559851070495</v>
      </c>
      <c r="X11" s="184">
        <v>166.36685573283901</v>
      </c>
      <c r="Y11" s="184">
        <v>172.776420170601</v>
      </c>
      <c r="Z11" s="184">
        <v>171.17434614209299</v>
      </c>
      <c r="AA11" s="184">
        <v>166.975066891664</v>
      </c>
      <c r="AB11" s="184">
        <v>164.951116940736</v>
      </c>
      <c r="AC11" s="184">
        <v>158.98442829183199</v>
      </c>
      <c r="AD11" s="184">
        <v>150.588976832127</v>
      </c>
      <c r="AE11" s="184">
        <v>150.712838342097</v>
      </c>
      <c r="AF11" s="184">
        <v>149.56573208353501</v>
      </c>
      <c r="AG11" s="184">
        <v>133.90998652065301</v>
      </c>
      <c r="AH11" s="184">
        <v>134.22854463428101</v>
      </c>
      <c r="AI11" s="184">
        <v>129.074177177872</v>
      </c>
      <c r="AJ11" s="184">
        <v>129.12594835486601</v>
      </c>
      <c r="AK11" s="184">
        <v>125.074797395144</v>
      </c>
      <c r="AL11" s="184">
        <v>126.76458496931301</v>
      </c>
      <c r="AM11" s="184">
        <v>123.89737709788</v>
      </c>
      <c r="AN11" s="184">
        <v>126.098048838314</v>
      </c>
      <c r="AO11" s="184">
        <v>121.423135589663</v>
      </c>
      <c r="AP11" s="184">
        <v>121.808925717016</v>
      </c>
      <c r="AQ11" s="184">
        <v>117.833345003582</v>
      </c>
      <c r="AR11" s="184">
        <v>114.851763704532</v>
      </c>
      <c r="AS11" s="184">
        <v>109.75842739071101</v>
      </c>
      <c r="AT11" s="184">
        <v>109.14359313669</v>
      </c>
      <c r="AU11" s="181">
        <v>104.817729976716</v>
      </c>
      <c r="AV11" s="181">
        <v>104.61395621155199</v>
      </c>
      <c r="AW11" s="181">
        <v>96.7009244005406</v>
      </c>
      <c r="AX11" s="181">
        <v>96.616857193602002</v>
      </c>
      <c r="AY11" s="181">
        <v>92.930288523044197</v>
      </c>
      <c r="AZ11" s="181">
        <v>92.217690757796106</v>
      </c>
      <c r="BA11" s="184">
        <v>90.844011880614104</v>
      </c>
      <c r="BB11" s="184">
        <v>91.127389389358399</v>
      </c>
      <c r="BC11" s="184">
        <v>87.034847121216998</v>
      </c>
      <c r="BD11" s="184">
        <v>88.428171693948201</v>
      </c>
      <c r="BE11" s="184">
        <v>88.435346769979901</v>
      </c>
      <c r="BF11" s="185">
        <v>88.656183128700604</v>
      </c>
      <c r="BG11" s="185">
        <v>85.873704670892906</v>
      </c>
      <c r="BH11" s="185">
        <v>85.022508996384602</v>
      </c>
      <c r="BI11" s="185">
        <v>82.193681390382494</v>
      </c>
      <c r="BJ11" s="186">
        <v>81.992865290605479</v>
      </c>
      <c r="BK11" s="186"/>
      <c r="BL11" s="187"/>
      <c r="BM11" s="181"/>
    </row>
    <row r="12" spans="1:65" x14ac:dyDescent="0.4">
      <c r="A12" s="182" t="s">
        <v>123</v>
      </c>
      <c r="B12" s="183">
        <f t="shared" si="1"/>
        <v>-2.9648414725856553E-2</v>
      </c>
      <c r="C12" s="183">
        <f t="shared" si="0"/>
        <v>-6.9867323684546734E-2</v>
      </c>
      <c r="D12" s="184">
        <v>74.0804166295366</v>
      </c>
      <c r="E12" s="184">
        <v>76.343892001379501</v>
      </c>
      <c r="F12" s="184">
        <v>78.071606114922503</v>
      </c>
      <c r="G12" s="184">
        <v>81.284387223131702</v>
      </c>
      <c r="H12" s="184">
        <v>79.644999596178394</v>
      </c>
      <c r="I12" s="184">
        <v>77.903128013126107</v>
      </c>
      <c r="J12" s="184">
        <v>77.699699547831798</v>
      </c>
      <c r="K12" s="184">
        <v>68.951510892681597</v>
      </c>
      <c r="L12" s="184">
        <v>74.305955614798293</v>
      </c>
      <c r="M12" s="184">
        <v>70.857337797457504</v>
      </c>
      <c r="N12" s="184">
        <v>77.640560392736802</v>
      </c>
      <c r="O12" s="184">
        <v>68.859559539059404</v>
      </c>
      <c r="P12" s="184">
        <v>54.5610311021575</v>
      </c>
      <c r="Q12" s="184">
        <v>60.175396976882702</v>
      </c>
      <c r="R12" s="184">
        <v>67.021876111943698</v>
      </c>
      <c r="S12" s="184">
        <v>61.465847498283601</v>
      </c>
      <c r="T12" s="184">
        <v>62.980757654597802</v>
      </c>
      <c r="U12" s="184">
        <v>60.542059956855297</v>
      </c>
      <c r="V12" s="184">
        <v>61.867064933119501</v>
      </c>
      <c r="W12" s="184">
        <v>59.482365030278899</v>
      </c>
      <c r="X12" s="184">
        <v>59.488390121630999</v>
      </c>
      <c r="Y12" s="184">
        <v>48.381107636020602</v>
      </c>
      <c r="Z12" s="184">
        <v>62.683276420060601</v>
      </c>
      <c r="AA12" s="184">
        <v>59.940329830866602</v>
      </c>
      <c r="AB12" s="184">
        <v>59.482142554686</v>
      </c>
      <c r="AC12" s="184">
        <v>58.900503328456502</v>
      </c>
      <c r="AD12" s="184">
        <v>50.986285495551797</v>
      </c>
      <c r="AE12" s="184">
        <v>55.937454231577</v>
      </c>
      <c r="AF12" s="184">
        <v>54.434367379384902</v>
      </c>
      <c r="AG12" s="184">
        <v>50.774026291923697</v>
      </c>
      <c r="AH12" s="184">
        <v>49.808945081791798</v>
      </c>
      <c r="AI12" s="184">
        <v>49.4860258315544</v>
      </c>
      <c r="AJ12" s="184">
        <v>47.904532104519397</v>
      </c>
      <c r="AK12" s="184">
        <v>47.450309202909601</v>
      </c>
      <c r="AL12" s="184">
        <v>45.2274147926016</v>
      </c>
      <c r="AM12" s="184">
        <v>46.249737587533701</v>
      </c>
      <c r="AN12" s="184">
        <v>38.2220932721387</v>
      </c>
      <c r="AO12" s="184">
        <v>36.859879766390698</v>
      </c>
      <c r="AP12" s="184">
        <v>37.364893296564702</v>
      </c>
      <c r="AQ12" s="184">
        <v>37.690936468703299</v>
      </c>
      <c r="AR12" s="184">
        <v>37.700213241690101</v>
      </c>
      <c r="AS12" s="184">
        <v>37.6580172223468</v>
      </c>
      <c r="AT12" s="184">
        <v>36.952628806675698</v>
      </c>
      <c r="AU12" s="181">
        <v>37.268855295182298</v>
      </c>
      <c r="AV12" s="181">
        <v>37.435928676236799</v>
      </c>
      <c r="AW12" s="181">
        <v>36.467039012235297</v>
      </c>
      <c r="AX12" s="181">
        <v>36.7885285047605</v>
      </c>
      <c r="AY12" s="181">
        <v>35.706574944841002</v>
      </c>
      <c r="AZ12" s="181">
        <v>36.826414214321503</v>
      </c>
      <c r="BA12" s="184">
        <v>36.973733562176697</v>
      </c>
      <c r="BB12" s="184">
        <v>40.4788530750074</v>
      </c>
      <c r="BC12" s="184">
        <v>36.518890299300701</v>
      </c>
      <c r="BD12" s="184">
        <v>35.259198050948797</v>
      </c>
      <c r="BE12" s="184">
        <v>35.459509578709799</v>
      </c>
      <c r="BF12" s="185">
        <v>35.0489958772704</v>
      </c>
      <c r="BG12" s="185">
        <v>35.8364870608779</v>
      </c>
      <c r="BH12" s="185">
        <v>37.093206908758297</v>
      </c>
      <c r="BI12" s="185">
        <v>36.086854722935698</v>
      </c>
      <c r="BJ12" s="186">
        <v>37.672175524349882</v>
      </c>
      <c r="BK12" s="186"/>
      <c r="BL12" s="187"/>
      <c r="BM12" s="181"/>
    </row>
    <row r="13" spans="1:65" x14ac:dyDescent="0.4">
      <c r="A13" s="182" t="s">
        <v>124</v>
      </c>
      <c r="B13" s="183">
        <f t="shared" si="1"/>
        <v>3.5240253313702841E-2</v>
      </c>
      <c r="C13" s="183">
        <f t="shared" si="0"/>
        <v>0.16336903602074959</v>
      </c>
      <c r="D13" s="184">
        <v>140.72543112056599</v>
      </c>
      <c r="E13" s="184">
        <v>135.935045676709</v>
      </c>
      <c r="F13" s="184">
        <v>144.91650350658</v>
      </c>
      <c r="G13" s="184">
        <v>130.53278711603201</v>
      </c>
      <c r="H13" s="184">
        <v>120.963706926489</v>
      </c>
      <c r="I13" s="184">
        <v>117.908795575052</v>
      </c>
      <c r="J13" s="184">
        <v>126.115831883315</v>
      </c>
      <c r="K13" s="184">
        <v>111.96778378322</v>
      </c>
      <c r="L13" s="184">
        <v>107.474175401122</v>
      </c>
      <c r="M13" s="184">
        <v>107.678889560051</v>
      </c>
      <c r="N13" s="184">
        <v>113.159963416134</v>
      </c>
      <c r="O13" s="184">
        <v>105.97576828571</v>
      </c>
      <c r="P13" s="184">
        <v>104.83088386947399</v>
      </c>
      <c r="Q13" s="184">
        <v>107.217807100801</v>
      </c>
      <c r="R13" s="184">
        <v>110.694166140927</v>
      </c>
      <c r="S13" s="184">
        <v>99.783124728086094</v>
      </c>
      <c r="T13" s="184">
        <v>97.5516588724077</v>
      </c>
      <c r="U13" s="184">
        <v>95.667860448276301</v>
      </c>
      <c r="V13" s="184">
        <v>101.322853247881</v>
      </c>
      <c r="W13" s="184">
        <v>83.986199914554007</v>
      </c>
      <c r="X13" s="184">
        <v>79.873167982643295</v>
      </c>
      <c r="Y13" s="184">
        <v>78.032198364601001</v>
      </c>
      <c r="Z13" s="184">
        <v>89.781971497150494</v>
      </c>
      <c r="AA13" s="184">
        <v>79.341273887589693</v>
      </c>
      <c r="AB13" s="184">
        <v>75.782408997777097</v>
      </c>
      <c r="AC13" s="184">
        <v>73.473369139292004</v>
      </c>
      <c r="AD13" s="184">
        <v>82.475560406714607</v>
      </c>
      <c r="AE13" s="184">
        <v>75.539312122458</v>
      </c>
      <c r="AF13" s="184">
        <v>67.471519215516906</v>
      </c>
      <c r="AG13" s="184">
        <v>66.765125470278505</v>
      </c>
      <c r="AH13" s="184">
        <v>73.753008928510198</v>
      </c>
      <c r="AI13" s="184">
        <v>61.717074021621798</v>
      </c>
      <c r="AJ13" s="184">
        <v>58.494544761545399</v>
      </c>
      <c r="AK13" s="184">
        <v>56.677592334911203</v>
      </c>
      <c r="AL13" s="184">
        <v>64.011329003532794</v>
      </c>
      <c r="AM13" s="184">
        <v>55.042040410928401</v>
      </c>
      <c r="AN13" s="184">
        <v>53.053468303616697</v>
      </c>
      <c r="AO13" s="184">
        <v>52.947592908068799</v>
      </c>
      <c r="AP13" s="184">
        <v>59.973307115115603</v>
      </c>
      <c r="AQ13" s="184">
        <v>52.8757593118222</v>
      </c>
      <c r="AR13" s="184">
        <v>52.226359133909199</v>
      </c>
      <c r="AS13" s="184">
        <v>52.933228683001701</v>
      </c>
      <c r="AT13" s="184">
        <v>62.420591685595902</v>
      </c>
      <c r="AU13" s="181">
        <v>54.510108904078798</v>
      </c>
      <c r="AV13" s="181">
        <v>53.517487626812802</v>
      </c>
      <c r="AW13" s="181">
        <v>50.230567658759597</v>
      </c>
      <c r="AX13" s="181">
        <v>54.666409748134299</v>
      </c>
      <c r="AY13" s="181">
        <v>48.8580472335533</v>
      </c>
      <c r="AZ13" s="181">
        <v>50.499135368111801</v>
      </c>
      <c r="BA13" s="184">
        <v>51.408111499766797</v>
      </c>
      <c r="BB13" s="184">
        <v>55.242552659187098</v>
      </c>
      <c r="BC13" s="184">
        <v>49.1745919840113</v>
      </c>
      <c r="BD13" s="184">
        <v>49.368115256853102</v>
      </c>
      <c r="BE13" s="184">
        <v>49.522280867304801</v>
      </c>
      <c r="BF13" s="185">
        <v>52.444985697905203</v>
      </c>
      <c r="BG13" s="185">
        <v>46.896310241337801</v>
      </c>
      <c r="BH13" s="185">
        <v>46.259175347561097</v>
      </c>
      <c r="BI13" s="185">
        <v>44.092128909488203</v>
      </c>
      <c r="BJ13" s="186">
        <v>45.73015003916413</v>
      </c>
      <c r="BK13" s="186"/>
      <c r="BL13" s="187"/>
      <c r="BM13" s="181"/>
    </row>
    <row r="14" spans="1:65" x14ac:dyDescent="0.4">
      <c r="A14" s="182" t="s">
        <v>392</v>
      </c>
      <c r="B14" s="183">
        <f t="shared" si="1"/>
        <v>5.2338245359417668E-2</v>
      </c>
      <c r="C14" s="183">
        <f t="shared" si="0"/>
        <v>0.10173795726846291</v>
      </c>
      <c r="D14" s="184">
        <v>22.3981352593064</v>
      </c>
      <c r="E14" s="184">
        <v>21.284159687322301</v>
      </c>
      <c r="F14" s="184">
        <v>22.920187462069201</v>
      </c>
      <c r="G14" s="184">
        <v>21.165760604398798</v>
      </c>
      <c r="H14" s="184">
        <v>20.3298208176816</v>
      </c>
      <c r="I14" s="184">
        <v>19.720379918717398</v>
      </c>
      <c r="J14" s="184">
        <v>20.902487847945899</v>
      </c>
      <c r="K14" s="184">
        <v>19.208861884609099</v>
      </c>
      <c r="L14" s="184">
        <v>18.587712343057198</v>
      </c>
      <c r="M14" s="184">
        <v>18.010570612988801</v>
      </c>
      <c r="N14" s="184">
        <v>19.282788177501999</v>
      </c>
      <c r="O14" s="184">
        <v>17.7985179177427</v>
      </c>
      <c r="P14" s="184">
        <v>17.638684636939701</v>
      </c>
      <c r="Q14" s="184">
        <v>17.4366041592016</v>
      </c>
      <c r="R14" s="184">
        <v>18.677583825051901</v>
      </c>
      <c r="S14" s="184">
        <v>17.110338212761199</v>
      </c>
      <c r="T14" s="184">
        <v>17.007169149862602</v>
      </c>
      <c r="U14" s="184">
        <v>16.131886908618</v>
      </c>
      <c r="V14" s="184">
        <v>16.7270648067949</v>
      </c>
      <c r="W14" s="184">
        <v>14.681189238991101</v>
      </c>
      <c r="X14" s="184">
        <v>13.3680597007566</v>
      </c>
      <c r="Y14" s="184">
        <v>14.428881860316</v>
      </c>
      <c r="Z14" s="184">
        <v>15.9481504635212</v>
      </c>
      <c r="AA14" s="184">
        <v>14.5277370362751</v>
      </c>
      <c r="AB14" s="184">
        <v>14.331275028695099</v>
      </c>
      <c r="AC14" s="184">
        <v>13.733866972686499</v>
      </c>
      <c r="AD14" s="184">
        <v>14.6185966742863</v>
      </c>
      <c r="AE14" s="184">
        <v>13.118140851106601</v>
      </c>
      <c r="AF14" s="184">
        <v>24.686557987156402</v>
      </c>
      <c r="AG14" s="184">
        <v>26.387801855688799</v>
      </c>
      <c r="AH14" s="184">
        <v>28.437282230863602</v>
      </c>
      <c r="AI14" s="184">
        <v>26.719334000140599</v>
      </c>
      <c r="AJ14" s="184">
        <v>26.379462169721499</v>
      </c>
      <c r="AK14" s="184">
        <v>26.0266869209355</v>
      </c>
      <c r="AL14" s="184">
        <v>28.452940797607699</v>
      </c>
      <c r="AM14" s="184">
        <v>27.6898902228005</v>
      </c>
      <c r="AN14" s="184">
        <v>27.462677082029099</v>
      </c>
      <c r="AO14" s="184">
        <v>27.625431232752799</v>
      </c>
      <c r="AP14" s="184">
        <v>28.9417571240587</v>
      </c>
      <c r="AQ14" s="184">
        <v>27.542792072410599</v>
      </c>
      <c r="AR14" s="184">
        <v>27.0733293345113</v>
      </c>
      <c r="AS14" s="184">
        <v>26.887504717682098</v>
      </c>
      <c r="AT14" s="184">
        <v>28.002618508545801</v>
      </c>
      <c r="AU14" s="181">
        <v>27.082855948226801</v>
      </c>
      <c r="AV14" s="181">
        <v>26.913462901798798</v>
      </c>
      <c r="AW14" s="181">
        <v>26.581313377381399</v>
      </c>
      <c r="AX14" s="181">
        <v>29.6733580908265</v>
      </c>
      <c r="AY14" s="181">
        <v>29.0051533263109</v>
      </c>
      <c r="AZ14" s="181">
        <v>30.527483191517501</v>
      </c>
      <c r="BA14" s="184">
        <v>29.929453929065101</v>
      </c>
      <c r="BB14" s="184">
        <v>30.257294064057099</v>
      </c>
      <c r="BC14" s="184">
        <v>29.139064759065601</v>
      </c>
      <c r="BD14" s="184">
        <v>28.952899395079999</v>
      </c>
      <c r="BE14" s="184">
        <v>28.7666277608656</v>
      </c>
      <c r="BF14" s="185">
        <v>28.226138018075801</v>
      </c>
      <c r="BG14" s="185">
        <v>27.475894373695599</v>
      </c>
      <c r="BH14" s="185">
        <v>27.3205839238199</v>
      </c>
      <c r="BI14" s="185">
        <v>27.137827556825499</v>
      </c>
      <c r="BJ14" s="186">
        <v>26.962709796633579</v>
      </c>
      <c r="BK14" s="186"/>
      <c r="BL14" s="187"/>
      <c r="BM14" s="181"/>
    </row>
    <row r="15" spans="1:65" x14ac:dyDescent="0.4">
      <c r="A15" s="182" t="s">
        <v>125</v>
      </c>
      <c r="B15" s="183">
        <f t="shared" si="1"/>
        <v>-0.14528998389054026</v>
      </c>
      <c r="C15" s="183">
        <f t="shared" si="0"/>
        <v>3.7637730636495892E-2</v>
      </c>
      <c r="D15" s="184">
        <v>34.861817220655603</v>
      </c>
      <c r="E15" s="184">
        <v>40.787888948982399</v>
      </c>
      <c r="F15" s="184">
        <v>35.036445307940902</v>
      </c>
      <c r="G15" s="184">
        <v>38.741988415559703</v>
      </c>
      <c r="H15" s="184">
        <v>33.597291416216201</v>
      </c>
      <c r="I15" s="184">
        <v>36.851044362619099</v>
      </c>
      <c r="J15" s="184">
        <v>34.812695162617501</v>
      </c>
      <c r="K15" s="184">
        <v>37.1548213562141</v>
      </c>
      <c r="L15" s="184">
        <v>32.512920799606498</v>
      </c>
      <c r="M15" s="184">
        <v>40.604388233795497</v>
      </c>
      <c r="N15" s="184">
        <v>38.228583490657797</v>
      </c>
      <c r="O15" s="184">
        <v>39.231114862403501</v>
      </c>
      <c r="P15" s="184">
        <v>33.607686895251</v>
      </c>
      <c r="Q15" s="184">
        <v>35.418060691314103</v>
      </c>
      <c r="R15" s="184">
        <v>32.416550513694297</v>
      </c>
      <c r="S15" s="184">
        <v>32.163002534266603</v>
      </c>
      <c r="T15" s="184">
        <v>27.334222232850301</v>
      </c>
      <c r="U15" s="184">
        <v>31.786849745752701</v>
      </c>
      <c r="V15" s="184">
        <v>27.4113712808355</v>
      </c>
      <c r="W15" s="184">
        <v>29.6341601461491</v>
      </c>
      <c r="X15" s="184">
        <v>24.9697790263656</v>
      </c>
      <c r="Y15" s="184">
        <v>28.708374266228802</v>
      </c>
      <c r="Z15" s="184">
        <v>28.523897493082998</v>
      </c>
      <c r="AA15" s="184">
        <v>31.058999120276201</v>
      </c>
      <c r="AB15" s="184">
        <v>27.3134842366036</v>
      </c>
      <c r="AC15" s="184">
        <v>31.0717016537977</v>
      </c>
      <c r="AD15" s="184">
        <v>31.3185329020132</v>
      </c>
      <c r="AE15" s="184">
        <v>33.896866418433902</v>
      </c>
      <c r="AF15" s="184">
        <v>29.924647191155501</v>
      </c>
      <c r="AG15" s="184">
        <v>34.031924319527299</v>
      </c>
      <c r="AH15" s="184">
        <v>31.932723906133699</v>
      </c>
      <c r="AI15" s="184">
        <v>34.1824695289895</v>
      </c>
      <c r="AJ15" s="184">
        <v>30.658779567307299</v>
      </c>
      <c r="AK15" s="184">
        <v>33.4822141960179</v>
      </c>
      <c r="AL15" s="184">
        <v>31.020874235656699</v>
      </c>
      <c r="AM15" s="184">
        <v>35.674449215691801</v>
      </c>
      <c r="AN15" s="184">
        <v>29.109462520475098</v>
      </c>
      <c r="AO15" s="184">
        <v>31.957078094687098</v>
      </c>
      <c r="AP15" s="184">
        <v>30.044663255604199</v>
      </c>
      <c r="AQ15" s="184">
        <v>35.418182429417499</v>
      </c>
      <c r="AR15" s="184">
        <v>30.571747165652699</v>
      </c>
      <c r="AS15" s="184">
        <v>36.322496512953997</v>
      </c>
      <c r="AT15" s="184">
        <v>34.546477851430403</v>
      </c>
      <c r="AU15" s="181">
        <v>36.074858223646501</v>
      </c>
      <c r="AV15" s="181">
        <v>32.418779330744698</v>
      </c>
      <c r="AW15" s="181">
        <v>38.378789881585497</v>
      </c>
      <c r="AX15" s="181">
        <v>33.096026320134001</v>
      </c>
      <c r="AY15" s="181">
        <v>35.2414055462474</v>
      </c>
      <c r="AZ15" s="181">
        <v>32.093211773712497</v>
      </c>
      <c r="BA15" s="184">
        <v>33.485667066603497</v>
      </c>
      <c r="BB15" s="184">
        <v>32.286476911593098</v>
      </c>
      <c r="BC15" s="184">
        <v>34.668533234826903</v>
      </c>
      <c r="BD15" s="184">
        <v>30.552423713946801</v>
      </c>
      <c r="BE15" s="184">
        <v>33.088869517190297</v>
      </c>
      <c r="BF15" s="185">
        <v>33.754825911967103</v>
      </c>
      <c r="BG15" s="185">
        <v>38.247227269169699</v>
      </c>
      <c r="BH15" s="185">
        <v>33.825877447552003</v>
      </c>
      <c r="BI15" s="185">
        <v>36.555921283806498</v>
      </c>
      <c r="BJ15" s="186">
        <v>34.095351338970524</v>
      </c>
      <c r="BK15" s="186"/>
      <c r="BL15" s="187"/>
      <c r="BM15" s="181"/>
    </row>
    <row r="16" spans="1:65" x14ac:dyDescent="0.4">
      <c r="A16" s="182" t="s">
        <v>309</v>
      </c>
      <c r="B16" s="183">
        <f t="shared" si="1"/>
        <v>2.9351580408924383E-2</v>
      </c>
      <c r="C16" s="183">
        <f t="shared" si="0"/>
        <v>4.2499391778008766E-2</v>
      </c>
      <c r="D16" s="184">
        <v>10.3616779406033</v>
      </c>
      <c r="E16" s="184">
        <v>10.066218518348199</v>
      </c>
      <c r="F16" s="184">
        <v>10.490686273870899</v>
      </c>
      <c r="G16" s="184">
        <v>10.0857765635809</v>
      </c>
      <c r="H16" s="184">
        <v>9.9392652142762401</v>
      </c>
      <c r="I16" s="184">
        <v>9.7986464799086708</v>
      </c>
      <c r="J16" s="184">
        <v>10.0201891780726</v>
      </c>
      <c r="K16" s="184">
        <v>9.5890297546517296</v>
      </c>
      <c r="L16" s="184">
        <v>9.8620848476719694</v>
      </c>
      <c r="M16" s="184">
        <v>9.6839732617489709</v>
      </c>
      <c r="N16" s="184">
        <v>9.6942014959100398</v>
      </c>
      <c r="O16" s="184">
        <v>9.8831299349067692</v>
      </c>
      <c r="P16" s="184">
        <v>9.8474071972586295</v>
      </c>
      <c r="Q16" s="184">
        <v>9.7392217874740208</v>
      </c>
      <c r="R16" s="184">
        <v>9.7401593905202493</v>
      </c>
      <c r="S16" s="184">
        <v>9.1184321865951894</v>
      </c>
      <c r="T16" s="184">
        <v>9.1321621078700197</v>
      </c>
      <c r="U16" s="184">
        <v>8.3278616041147799</v>
      </c>
      <c r="V16" s="184">
        <v>8.4834739090101507</v>
      </c>
      <c r="W16" s="184">
        <v>7.98395508008565</v>
      </c>
      <c r="X16" s="184">
        <v>7.6857703491236604</v>
      </c>
      <c r="Y16" s="184">
        <v>8.3393789579876607</v>
      </c>
      <c r="Z16" s="184">
        <v>9.1047186309020507</v>
      </c>
      <c r="AA16" s="184">
        <v>8.6872816765839698</v>
      </c>
      <c r="AB16" s="184">
        <v>8.5198244790440398</v>
      </c>
      <c r="AC16" s="184">
        <v>8.2602697378103507</v>
      </c>
      <c r="AD16" s="184">
        <v>8.5555538282396402</v>
      </c>
      <c r="AE16" s="184">
        <v>8.3022043908539604</v>
      </c>
      <c r="AF16" s="184">
        <v>8.1932964362999492</v>
      </c>
      <c r="AG16" s="184">
        <v>7.9180193084911501</v>
      </c>
      <c r="AH16" s="184">
        <v>7.7948609102117201</v>
      </c>
      <c r="AI16" s="184">
        <v>7.4212054825060498</v>
      </c>
      <c r="AJ16" s="184">
        <v>7.5630976192365598</v>
      </c>
      <c r="AK16" s="184">
        <v>7.1922116007977399</v>
      </c>
      <c r="AL16" s="184">
        <v>8.2125205615901002</v>
      </c>
      <c r="AM16" s="184">
        <v>7.4977508663965997</v>
      </c>
      <c r="AN16" s="184">
        <v>7.5046999862809898</v>
      </c>
      <c r="AO16" s="184">
        <v>7.2212901005908403</v>
      </c>
      <c r="AP16" s="184">
        <v>7.9420000000000002</v>
      </c>
      <c r="AQ16" s="184">
        <v>7.3769999999999998</v>
      </c>
      <c r="AR16" s="184">
        <v>7.1360000000000001</v>
      </c>
      <c r="AS16" s="184">
        <v>6.8890000000000002</v>
      </c>
      <c r="AT16" s="184">
        <v>7.3339999999999996</v>
      </c>
      <c r="AU16" s="181">
        <v>6.87</v>
      </c>
      <c r="AV16" s="181">
        <v>6.7629999999999999</v>
      </c>
      <c r="AW16" s="181">
        <v>6.6</v>
      </c>
      <c r="AX16" s="181">
        <v>6.9139999999999997</v>
      </c>
      <c r="AY16" s="181">
        <v>6.7110000000000003</v>
      </c>
      <c r="AZ16" s="181">
        <v>6.7439999999999998</v>
      </c>
      <c r="BA16" s="184">
        <v>6.415</v>
      </c>
      <c r="BB16" s="184">
        <v>7.0110000000000001</v>
      </c>
      <c r="BC16" s="184">
        <v>6.4050000000000002</v>
      </c>
      <c r="BD16" s="184">
        <v>6.5</v>
      </c>
      <c r="BE16" s="184">
        <v>6.0439999999999996</v>
      </c>
      <c r="BF16" s="185">
        <v>7.0579999999999998</v>
      </c>
      <c r="BG16" s="185">
        <v>6.4530000000000003</v>
      </c>
      <c r="BH16" s="185">
        <v>6.407</v>
      </c>
      <c r="BI16" s="185">
        <v>5.9779999999999998</v>
      </c>
      <c r="BJ16" s="186">
        <v>6.9249999999999998</v>
      </c>
      <c r="BK16" s="186"/>
      <c r="BL16" s="187"/>
      <c r="BM16" s="181"/>
    </row>
    <row r="17" spans="1:71" s="176" customFormat="1" x14ac:dyDescent="0.4">
      <c r="A17" s="188" t="s">
        <v>23</v>
      </c>
      <c r="B17" s="189">
        <f t="shared" si="1"/>
        <v>3.1968853986982904E-2</v>
      </c>
      <c r="C17" s="189">
        <f>D17/H17-1</f>
        <v>3.1366200843115921E-2</v>
      </c>
      <c r="D17" s="130">
        <v>504.03423059312098</v>
      </c>
      <c r="E17" s="130">
        <v>488.42000283806902</v>
      </c>
      <c r="F17" s="130">
        <v>508.588989105895</v>
      </c>
      <c r="G17" s="130">
        <v>501.35390604930399</v>
      </c>
      <c r="H17" s="130">
        <v>488.70539889816598</v>
      </c>
      <c r="I17" s="130">
        <v>471.949168549604</v>
      </c>
      <c r="J17" s="130">
        <v>490.20150622628699</v>
      </c>
      <c r="K17" s="130">
        <v>468.52408163076501</v>
      </c>
      <c r="L17" s="130">
        <v>462.13267936665397</v>
      </c>
      <c r="M17" s="130">
        <v>451.437952452888</v>
      </c>
      <c r="N17" s="130">
        <v>461.44351250434801</v>
      </c>
      <c r="O17" s="130">
        <v>446.333358766782</v>
      </c>
      <c r="P17" s="130">
        <v>431.38913901600301</v>
      </c>
      <c r="Q17" s="130">
        <v>413.731947494422</v>
      </c>
      <c r="R17" s="130">
        <v>423.17418038972301</v>
      </c>
      <c r="S17" s="130">
        <v>395.06714915593102</v>
      </c>
      <c r="T17" s="130">
        <v>384.50522159944802</v>
      </c>
      <c r="U17" s="130">
        <v>364.05324016730901</v>
      </c>
      <c r="V17" s="130">
        <v>367.47827342610799</v>
      </c>
      <c r="W17" s="130">
        <v>346.71021912748</v>
      </c>
      <c r="X17" s="130">
        <v>315.60950948375</v>
      </c>
      <c r="Y17" s="130">
        <v>332.58706948894502</v>
      </c>
      <c r="Z17" s="130">
        <v>369.22785839068501</v>
      </c>
      <c r="AA17" s="130">
        <v>355.01641754705003</v>
      </c>
      <c r="AB17" s="130">
        <v>351.91174482776103</v>
      </c>
      <c r="AC17" s="130">
        <v>338.85041002731901</v>
      </c>
      <c r="AD17" s="130">
        <v>346.70545462087</v>
      </c>
      <c r="AE17" s="130">
        <v>341.27368750750799</v>
      </c>
      <c r="AF17" s="130">
        <v>334.63780255154398</v>
      </c>
      <c r="AG17" s="130">
        <v>320.388020623241</v>
      </c>
      <c r="AH17" s="130">
        <v>329.593203077623</v>
      </c>
      <c r="AI17" s="130">
        <v>308.22206192952501</v>
      </c>
      <c r="AJ17" s="130">
        <v>300.98034948898999</v>
      </c>
      <c r="AK17" s="130">
        <v>292.77906197216203</v>
      </c>
      <c r="AL17" s="130">
        <v>301.11551213454698</v>
      </c>
      <c r="AM17" s="130">
        <v>290.85199553764397</v>
      </c>
      <c r="AN17" s="130">
        <v>284.59270983317998</v>
      </c>
      <c r="AO17" s="130">
        <v>274.03042801957099</v>
      </c>
      <c r="AP17" s="130">
        <v>288.87468018814099</v>
      </c>
      <c r="AQ17" s="130">
        <v>283.717152096576</v>
      </c>
      <c r="AR17" s="130">
        <v>281.348521023773</v>
      </c>
      <c r="AS17" s="130">
        <v>273.18781634784602</v>
      </c>
      <c r="AT17" s="130">
        <v>297.91047359153703</v>
      </c>
      <c r="AU17" s="190">
        <v>293.089996133196</v>
      </c>
      <c r="AV17" s="190">
        <v>292.35472100317702</v>
      </c>
      <c r="AW17" s="190">
        <v>279.96134939466799</v>
      </c>
      <c r="AX17" s="190">
        <v>289.458286214927</v>
      </c>
      <c r="AY17" s="190">
        <v>279.41131033663498</v>
      </c>
      <c r="AZ17" s="190">
        <v>277.16721895853601</v>
      </c>
      <c r="BA17" s="130">
        <v>270.77348697590099</v>
      </c>
      <c r="BB17" s="130">
        <v>288.02527242203701</v>
      </c>
      <c r="BC17" s="130">
        <v>268.990078023313</v>
      </c>
      <c r="BD17" s="130">
        <v>268.02612885919899</v>
      </c>
      <c r="BE17" s="130">
        <v>267.32911421688101</v>
      </c>
      <c r="BF17" s="191">
        <v>272.64031390908002</v>
      </c>
      <c r="BG17" s="191">
        <v>265.98951123115501</v>
      </c>
      <c r="BH17" s="191">
        <v>263.31438175987398</v>
      </c>
      <c r="BI17" s="191">
        <v>250.89030199550999</v>
      </c>
      <c r="BJ17" s="192">
        <v>252.73245271247052</v>
      </c>
      <c r="BK17" s="192"/>
      <c r="BL17" s="193"/>
      <c r="BM17" s="190"/>
    </row>
    <row r="18" spans="1:71" s="176" customFormat="1" x14ac:dyDescent="0.4">
      <c r="A18" s="188" t="s">
        <v>310</v>
      </c>
      <c r="B18" s="189"/>
      <c r="C18" s="189"/>
      <c r="D18" s="189"/>
      <c r="E18" s="189"/>
      <c r="F18" s="189"/>
      <c r="G18" s="189"/>
      <c r="H18" s="189"/>
      <c r="I18" s="189"/>
      <c r="J18" s="189"/>
      <c r="K18" s="189"/>
      <c r="L18" s="189"/>
      <c r="M18" s="189"/>
      <c r="N18" s="217"/>
      <c r="O18" s="217"/>
      <c r="P18" s="217"/>
      <c r="Q18" s="217"/>
      <c r="R18" s="217"/>
      <c r="S18" s="217"/>
      <c r="T18" s="217"/>
      <c r="U18" s="217"/>
      <c r="V18" s="217"/>
      <c r="W18" s="217"/>
      <c r="X18" s="217"/>
      <c r="Y18" s="217"/>
      <c r="Z18" s="217"/>
      <c r="AA18" s="217"/>
      <c r="AB18" s="217"/>
      <c r="AC18" s="217"/>
      <c r="AD18" s="217"/>
      <c r="AE18" s="189"/>
      <c r="AF18" s="189"/>
      <c r="AG18" s="189"/>
      <c r="AH18" s="189"/>
      <c r="AI18" s="189"/>
      <c r="AJ18" s="189"/>
      <c r="AK18" s="130"/>
      <c r="AL18" s="189"/>
      <c r="AM18" s="130"/>
      <c r="AN18" s="130"/>
      <c r="AO18" s="130"/>
      <c r="AP18" s="130"/>
      <c r="AQ18" s="130"/>
      <c r="AR18" s="130"/>
      <c r="AS18" s="130"/>
      <c r="AT18" s="130"/>
      <c r="AU18" s="190"/>
      <c r="AV18" s="190"/>
      <c r="AW18" s="190"/>
      <c r="AX18" s="190"/>
      <c r="AY18" s="190"/>
      <c r="AZ18" s="190"/>
      <c r="BA18" s="130"/>
      <c r="BB18" s="130"/>
      <c r="BC18" s="130"/>
      <c r="BD18" s="130"/>
      <c r="BE18" s="130"/>
      <c r="BF18" s="191"/>
      <c r="BG18" s="191"/>
      <c r="BH18" s="191"/>
      <c r="BI18" s="191"/>
      <c r="BJ18" s="192"/>
      <c r="BK18" s="192"/>
      <c r="BL18" s="193"/>
      <c r="BM18" s="190"/>
    </row>
    <row r="19" spans="1:71" x14ac:dyDescent="0.4">
      <c r="A19" s="194"/>
      <c r="B19" s="183"/>
      <c r="C19" s="183"/>
      <c r="D19" s="183"/>
      <c r="E19" s="183"/>
      <c r="F19" s="183"/>
      <c r="G19" s="183"/>
      <c r="H19" s="183"/>
      <c r="I19" s="183"/>
      <c r="J19" s="183"/>
      <c r="K19" s="183"/>
      <c r="L19" s="183"/>
      <c r="M19" s="183"/>
      <c r="N19" s="216"/>
      <c r="O19" s="216"/>
      <c r="P19" s="216"/>
      <c r="Q19" s="216"/>
      <c r="R19" s="216"/>
      <c r="S19" s="216"/>
      <c r="T19" s="216"/>
      <c r="U19" s="216"/>
      <c r="V19" s="216"/>
      <c r="W19" s="216"/>
      <c r="X19" s="216"/>
      <c r="Y19" s="216"/>
      <c r="Z19" s="216"/>
      <c r="AA19" s="216"/>
      <c r="AB19" s="216"/>
      <c r="AC19" s="216"/>
      <c r="AD19" s="216"/>
      <c r="AE19" s="184"/>
      <c r="AF19" s="183"/>
      <c r="AG19" s="183"/>
      <c r="AH19" s="183"/>
      <c r="AI19" s="183"/>
      <c r="AJ19" s="183"/>
      <c r="AK19" s="183"/>
      <c r="AL19" s="183"/>
      <c r="AM19" s="183"/>
      <c r="AN19" s="183"/>
      <c r="AO19" s="183"/>
      <c r="AP19" s="183"/>
      <c r="AQ19" s="183"/>
      <c r="AR19" s="183"/>
      <c r="AS19" s="183"/>
      <c r="AT19" s="183"/>
      <c r="AU19" s="187"/>
      <c r="AV19" s="187"/>
      <c r="AW19" s="187"/>
      <c r="BH19" s="177"/>
      <c r="BI19" s="177"/>
      <c r="BJ19" s="177"/>
      <c r="BK19" s="177"/>
      <c r="BL19" s="177"/>
    </row>
    <row r="20" spans="1:71" x14ac:dyDescent="0.4">
      <c r="A20" s="180" t="s">
        <v>126</v>
      </c>
      <c r="B20" s="179" t="s">
        <v>781</v>
      </c>
      <c r="C20" s="179" t="s">
        <v>782</v>
      </c>
      <c r="D20" s="179">
        <v>45838</v>
      </c>
      <c r="E20" s="179">
        <v>45747</v>
      </c>
      <c r="F20" s="179">
        <v>45657</v>
      </c>
      <c r="G20" s="179">
        <v>45536</v>
      </c>
      <c r="H20" s="179">
        <v>45444</v>
      </c>
      <c r="I20" s="179">
        <v>45379</v>
      </c>
      <c r="J20" s="179">
        <v>45289</v>
      </c>
      <c r="K20" s="179">
        <f t="shared" ref="K20" si="2">K5</f>
        <v>45198</v>
      </c>
      <c r="L20" s="179">
        <f t="shared" ref="L20:BG20" si="3">L5</f>
        <v>45107</v>
      </c>
      <c r="M20" s="179">
        <f t="shared" ref="M20:O20" si="4">M5</f>
        <v>45016</v>
      </c>
      <c r="N20" s="179">
        <f t="shared" si="4"/>
        <v>44926</v>
      </c>
      <c r="O20" s="179">
        <f t="shared" si="4"/>
        <v>44805</v>
      </c>
      <c r="P20" s="179">
        <f t="shared" si="3"/>
        <v>44713</v>
      </c>
      <c r="Q20" s="179">
        <f t="shared" ref="Q20" si="5">Q5</f>
        <v>44621</v>
      </c>
      <c r="R20" s="179">
        <f t="shared" ref="R20" si="6">R5</f>
        <v>44531</v>
      </c>
      <c r="S20" s="179">
        <v>44440</v>
      </c>
      <c r="T20" s="179">
        <v>44348</v>
      </c>
      <c r="U20" s="179">
        <f t="shared" si="3"/>
        <v>44286</v>
      </c>
      <c r="V20" s="179">
        <f t="shared" si="3"/>
        <v>44196</v>
      </c>
      <c r="W20" s="179">
        <f t="shared" si="3"/>
        <v>44104</v>
      </c>
      <c r="X20" s="179">
        <f t="shared" si="3"/>
        <v>43999</v>
      </c>
      <c r="Y20" s="179">
        <f t="shared" si="3"/>
        <v>43907</v>
      </c>
      <c r="Z20" s="179">
        <f t="shared" si="3"/>
        <v>43816</v>
      </c>
      <c r="AA20" s="179">
        <f t="shared" si="3"/>
        <v>43725</v>
      </c>
      <c r="AB20" s="179">
        <v>43617</v>
      </c>
      <c r="AC20" s="179">
        <f>AC5</f>
        <v>43543</v>
      </c>
      <c r="AD20" s="179">
        <v>43452</v>
      </c>
      <c r="AE20" s="179">
        <v>43361</v>
      </c>
      <c r="AF20" s="179">
        <v>43269</v>
      </c>
      <c r="AG20" s="179">
        <f t="shared" si="3"/>
        <v>43160</v>
      </c>
      <c r="AH20" s="179">
        <f t="shared" si="3"/>
        <v>43070</v>
      </c>
      <c r="AI20" s="179">
        <f>AI5</f>
        <v>42979</v>
      </c>
      <c r="AJ20" s="179">
        <f>AJ5</f>
        <v>42887</v>
      </c>
      <c r="AK20" s="179">
        <v>42811</v>
      </c>
      <c r="AL20" s="179">
        <f t="shared" si="3"/>
        <v>42705</v>
      </c>
      <c r="AM20" s="179">
        <f t="shared" si="3"/>
        <v>42614</v>
      </c>
      <c r="AN20" s="179">
        <f>AM5</f>
        <v>42614</v>
      </c>
      <c r="AO20" s="179">
        <f t="shared" si="3"/>
        <v>42430</v>
      </c>
      <c r="AP20" s="179">
        <f t="shared" si="3"/>
        <v>42339</v>
      </c>
      <c r="AQ20" s="179">
        <f t="shared" si="3"/>
        <v>42248</v>
      </c>
      <c r="AR20" s="179">
        <f t="shared" si="3"/>
        <v>42156</v>
      </c>
      <c r="AS20" s="179">
        <f t="shared" si="3"/>
        <v>42064</v>
      </c>
      <c r="AT20" s="179">
        <f t="shared" si="3"/>
        <v>41974</v>
      </c>
      <c r="AU20" s="179">
        <f t="shared" si="3"/>
        <v>41883</v>
      </c>
      <c r="AV20" s="179">
        <f t="shared" si="3"/>
        <v>41791</v>
      </c>
      <c r="AW20" s="179">
        <f t="shared" si="3"/>
        <v>41699</v>
      </c>
      <c r="AX20" s="179">
        <f t="shared" si="3"/>
        <v>41609</v>
      </c>
      <c r="AY20" s="179">
        <f t="shared" si="3"/>
        <v>41518</v>
      </c>
      <c r="AZ20" s="179">
        <f t="shared" si="3"/>
        <v>41426</v>
      </c>
      <c r="BA20" s="179">
        <f t="shared" si="3"/>
        <v>41334</v>
      </c>
      <c r="BB20" s="179">
        <f t="shared" si="3"/>
        <v>41244</v>
      </c>
      <c r="BC20" s="179">
        <f t="shared" si="3"/>
        <v>41153</v>
      </c>
      <c r="BD20" s="179">
        <f t="shared" si="3"/>
        <v>41061</v>
      </c>
      <c r="BE20" s="179">
        <f t="shared" si="3"/>
        <v>40969</v>
      </c>
      <c r="BF20" s="179">
        <f t="shared" si="3"/>
        <v>40878</v>
      </c>
      <c r="BG20" s="179">
        <f t="shared" si="3"/>
        <v>40787</v>
      </c>
      <c r="BH20" s="179">
        <v>40695</v>
      </c>
      <c r="BI20" s="179">
        <v>40603</v>
      </c>
      <c r="BJ20" s="179">
        <v>40513</v>
      </c>
      <c r="BK20" s="179"/>
      <c r="BL20" s="179"/>
      <c r="BN20" s="195"/>
      <c r="BO20" s="179"/>
      <c r="BP20" s="179"/>
      <c r="BQ20" s="179"/>
      <c r="BR20" s="179"/>
      <c r="BS20" s="179"/>
    </row>
    <row r="21" spans="1:71" x14ac:dyDescent="0.4">
      <c r="A21" s="182" t="s">
        <v>117</v>
      </c>
      <c r="B21" s="183">
        <f>D21/E21-1</f>
        <v>3.0577896704176766E-2</v>
      </c>
      <c r="C21" s="183">
        <f>D21/H21-1</f>
        <v>-0.15119482219857372</v>
      </c>
      <c r="D21" s="183">
        <v>7.8936060210788001E-2</v>
      </c>
      <c r="E21" s="183">
        <v>7.6593977479264996E-2</v>
      </c>
      <c r="F21" s="183">
        <v>8.1869743305348214E-2</v>
      </c>
      <c r="G21" s="183">
        <v>8.4107675974306337E-2</v>
      </c>
      <c r="H21" s="183">
        <v>9.299667612213211E-2</v>
      </c>
      <c r="I21" s="183">
        <v>9.840522166458629E-2</v>
      </c>
      <c r="J21" s="183">
        <v>9.4531721445987024E-2</v>
      </c>
      <c r="K21" s="183">
        <v>0.11221104064843131</v>
      </c>
      <c r="L21" s="183">
        <v>0.10200267232365827</v>
      </c>
      <c r="M21" s="183">
        <v>0.13181346020557319</v>
      </c>
      <c r="N21" s="183">
        <v>0.13320591695407882</v>
      </c>
      <c r="O21" s="183">
        <v>0.15341699315235199</v>
      </c>
      <c r="P21" s="183">
        <v>0.15497676871483212</v>
      </c>
      <c r="Q21" s="183">
        <v>0.1097718233441687</v>
      </c>
      <c r="R21" s="183">
        <v>0.10442634754598704</v>
      </c>
      <c r="S21" s="183">
        <v>9.0087013998510532E-2</v>
      </c>
      <c r="T21" s="183">
        <v>6.0953250350370462E-2</v>
      </c>
      <c r="U21" s="183">
        <v>4.0363563402662672E-2</v>
      </c>
      <c r="V21" s="183">
        <v>-0.12525139145733938</v>
      </c>
      <c r="W21" s="183">
        <v>-2.5426537205925828E-2</v>
      </c>
      <c r="X21" s="183">
        <v>-0.17227252607663088</v>
      </c>
      <c r="Y21" s="183">
        <v>-0.10919471947341373</v>
      </c>
      <c r="Z21" s="183">
        <v>4.6290836580418692E-3</v>
      </c>
      <c r="AA21" s="183">
        <v>6.5713713589622164E-2</v>
      </c>
      <c r="AB21" s="183">
        <v>5.4687909005955902E-2</v>
      </c>
      <c r="AC21" s="183">
        <v>4.1525299286826689E-2</v>
      </c>
      <c r="AD21" s="183">
        <v>8.9346183137448965E-2</v>
      </c>
      <c r="AE21" s="183">
        <v>8.0468518023840516E-2</v>
      </c>
      <c r="AF21" s="183">
        <v>6.3350985314277283E-2</v>
      </c>
      <c r="AG21" s="183">
        <v>6.6520805121848672E-2</v>
      </c>
      <c r="AH21" s="183">
        <v>3.094077313551279E-2</v>
      </c>
      <c r="AI21" s="183">
        <v>4.414794183295305E-2</v>
      </c>
      <c r="AJ21" s="183">
        <v>3.4733921745152538E-2</v>
      </c>
      <c r="AK21" s="183">
        <v>4.941275666099855E-2</v>
      </c>
      <c r="AL21" s="183">
        <v>5.5276785912899765E-3</v>
      </c>
      <c r="AM21" s="183">
        <v>1.2259483632591158E-2</v>
      </c>
      <c r="AN21" s="183">
        <v>-2.9732259568027511E-2</v>
      </c>
      <c r="AO21" s="183">
        <v>-4.588820106440801E-2</v>
      </c>
      <c r="AP21" s="183">
        <v>-0.10920416476123491</v>
      </c>
      <c r="AQ21" s="183">
        <v>-5.227226930920801E-2</v>
      </c>
      <c r="AR21" s="183">
        <v>-5.3100173234075197E-3</v>
      </c>
      <c r="AS21" s="183">
        <v>-5.4802545502429592E-3</v>
      </c>
      <c r="AT21" s="183">
        <v>5.7243983214933139E-2</v>
      </c>
      <c r="AU21" s="187">
        <v>8.9365236859139274E-2</v>
      </c>
      <c r="AV21" s="187">
        <v>8.2784279578733425E-2</v>
      </c>
      <c r="AW21" s="187">
        <v>8.5164906534329704E-2</v>
      </c>
      <c r="AX21" s="187">
        <v>6.7636686402477622E-2</v>
      </c>
      <c r="AY21" s="187">
        <v>7.1805497016685024E-2</v>
      </c>
      <c r="AZ21" s="187">
        <v>8.3225540042495702E-2</v>
      </c>
      <c r="BA21" s="187">
        <v>8.3387267873403406E-2</v>
      </c>
      <c r="BB21" s="187">
        <v>7.4258336694787985E-2</v>
      </c>
      <c r="BC21" s="187">
        <v>7.1881339830929994E-2</v>
      </c>
      <c r="BD21" s="187">
        <v>8.3981147962103014E-2</v>
      </c>
      <c r="BE21" s="187">
        <v>7.9340324357191377E-2</v>
      </c>
      <c r="BF21" s="183">
        <v>6.9979393720502561E-2</v>
      </c>
      <c r="BG21" s="183">
        <v>9.6924297765921319E-2</v>
      </c>
      <c r="BH21" s="187">
        <v>9.3160633153152164E-2</v>
      </c>
      <c r="BI21" s="187">
        <v>8.4109249369373015E-2</v>
      </c>
      <c r="BJ21" s="187">
        <v>7.7387793397235713E-2</v>
      </c>
      <c r="BK21" s="187"/>
      <c r="BL21" s="187"/>
      <c r="BN21" s="196"/>
      <c r="BO21" s="187"/>
      <c r="BP21" s="187"/>
      <c r="BQ21" s="187"/>
      <c r="BR21" s="187"/>
      <c r="BS21" s="187"/>
    </row>
    <row r="22" spans="1:71" x14ac:dyDescent="0.4">
      <c r="A22" s="182" t="s">
        <v>118</v>
      </c>
      <c r="B22" s="183">
        <f>D22/E22-1</f>
        <v>0.1608669826444058</v>
      </c>
      <c r="C22" s="183">
        <f t="shared" ref="C22:C31" si="7">D22/H22-1</f>
        <v>5.624088976013164E-2</v>
      </c>
      <c r="D22" s="183">
        <v>0.10950811048192886</v>
      </c>
      <c r="E22" s="183">
        <v>9.4333039115708187E-2</v>
      </c>
      <c r="F22" s="183">
        <v>7.2904362954681459E-2</v>
      </c>
      <c r="G22" s="183">
        <v>8.5215206616398045E-2</v>
      </c>
      <c r="H22" s="183">
        <v>0.10367721184018709</v>
      </c>
      <c r="I22" s="183">
        <v>8.1970883733931243E-2</v>
      </c>
      <c r="J22" s="183">
        <v>6.0701328866077389E-2</v>
      </c>
      <c r="K22" s="183">
        <v>9.1911143443960452E-2</v>
      </c>
      <c r="L22" s="183">
        <v>0.11341558287685152</v>
      </c>
      <c r="M22" s="183">
        <v>0.10630243792630376</v>
      </c>
      <c r="N22" s="183">
        <v>9.26158984819489E-2</v>
      </c>
      <c r="O22" s="183">
        <v>0.10258661204427873</v>
      </c>
      <c r="P22" s="183">
        <v>0.1375338565233169</v>
      </c>
      <c r="Q22" s="183">
        <v>0.13558751131434171</v>
      </c>
      <c r="R22" s="183">
        <v>0.12218618640922958</v>
      </c>
      <c r="S22" s="183">
        <v>0.12830583423677935</v>
      </c>
      <c r="T22" s="183">
        <v>0.14274227619216126</v>
      </c>
      <c r="U22" s="183">
        <v>0.11000294571077913</v>
      </c>
      <c r="V22" s="183">
        <v>0.10158972192670837</v>
      </c>
      <c r="W22" s="183">
        <v>8.0919072994881283E-2</v>
      </c>
      <c r="X22" s="183">
        <v>8.1028135586012281E-2</v>
      </c>
      <c r="Y22" s="183">
        <v>6.9526763234364464E-2</v>
      </c>
      <c r="Z22" s="183">
        <v>7.5888782262183346E-2</v>
      </c>
      <c r="AA22" s="183">
        <v>8.5098724752154173E-2</v>
      </c>
      <c r="AB22" s="183">
        <v>9.5942943480757784E-2</v>
      </c>
      <c r="AC22" s="183">
        <v>8.2920315770968922E-2</v>
      </c>
      <c r="AD22" s="183">
        <v>8.7974555039219429E-2</v>
      </c>
      <c r="AE22" s="183">
        <v>9.6621516383412695E-2</v>
      </c>
      <c r="AF22" s="183">
        <v>0.11921151231245058</v>
      </c>
      <c r="AG22" s="183">
        <v>0.11130905926539461</v>
      </c>
      <c r="AH22" s="183">
        <v>7.5968267357611724E-2</v>
      </c>
      <c r="AI22" s="183">
        <v>9.3366697487631406E-2</v>
      </c>
      <c r="AJ22" s="183">
        <v>0.10508557335441132</v>
      </c>
      <c r="AK22" s="183">
        <v>0.10376938543298318</v>
      </c>
      <c r="AL22" s="183">
        <v>6.3972939134969209E-2</v>
      </c>
      <c r="AM22" s="183">
        <v>8.2921246967057841E-2</v>
      </c>
      <c r="AN22" s="183">
        <v>0.10406641401753625</v>
      </c>
      <c r="AO22" s="183">
        <v>3.7660565396453065E-2</v>
      </c>
      <c r="AP22" s="183">
        <v>8.0684907999479891E-3</v>
      </c>
      <c r="AQ22" s="183">
        <v>2.8391419276528745E-2</v>
      </c>
      <c r="AR22" s="183">
        <v>7.7154109817518773E-2</v>
      </c>
      <c r="AS22" s="183">
        <v>6.6859404938482192E-2</v>
      </c>
      <c r="AT22" s="183">
        <v>6.2302173651059056E-2</v>
      </c>
      <c r="AU22" s="187">
        <v>7.8364714027582022E-2</v>
      </c>
      <c r="AV22" s="187">
        <v>8.2519409203167901E-2</v>
      </c>
      <c r="AW22" s="187">
        <v>8.4702112802646279E-2</v>
      </c>
      <c r="AX22" s="187">
        <v>5.9534026331986796E-2</v>
      </c>
      <c r="AY22" s="187">
        <v>6.7114577660169664E-2</v>
      </c>
      <c r="AZ22" s="187">
        <v>6.0249237340846862E-2</v>
      </c>
      <c r="BA22" s="187">
        <v>8.7814489503769369E-2</v>
      </c>
      <c r="BB22" s="187">
        <v>5.7373491734564304E-2</v>
      </c>
      <c r="BC22" s="187">
        <v>6.5932843420123205E-2</v>
      </c>
      <c r="BD22" s="187">
        <v>8.7908494955211497E-2</v>
      </c>
      <c r="BE22" s="187">
        <v>8.4170211311005133E-2</v>
      </c>
      <c r="BF22" s="183">
        <v>4.023593793346348E-2</v>
      </c>
      <c r="BG22" s="183">
        <v>7.8258823844487096E-2</v>
      </c>
      <c r="BH22" s="187">
        <v>0.101676081495556</v>
      </c>
      <c r="BI22" s="187">
        <v>9.9448574792400157E-2</v>
      </c>
      <c r="BJ22" s="187">
        <v>7.5195759839614379E-2</v>
      </c>
      <c r="BK22" s="187"/>
      <c r="BL22" s="187"/>
      <c r="BN22" s="196"/>
      <c r="BO22" s="187"/>
      <c r="BP22" s="187"/>
      <c r="BQ22" s="187"/>
      <c r="BR22" s="187"/>
      <c r="BS22" s="187"/>
    </row>
    <row r="23" spans="1:71" x14ac:dyDescent="0.4">
      <c r="A23" s="182" t="s">
        <v>119</v>
      </c>
      <c r="B23" s="183">
        <f t="shared" ref="B23:B32" si="8">D23/E23-1</f>
        <v>8.355533301350504E-2</v>
      </c>
      <c r="C23" s="183">
        <f t="shared" si="7"/>
        <v>-2.5358947202443471E-2</v>
      </c>
      <c r="D23" s="183">
        <v>0.11032818680498262</v>
      </c>
      <c r="E23" s="183">
        <v>0.10182053785674786</v>
      </c>
      <c r="F23" s="183">
        <v>8.886256991283259E-2</v>
      </c>
      <c r="G23" s="183">
        <v>9.8164659952186345E-2</v>
      </c>
      <c r="H23" s="183">
        <v>0.1131987889164966</v>
      </c>
      <c r="I23" s="183">
        <v>9.4296379554764359E-2</v>
      </c>
      <c r="J23" s="183">
        <v>0.10054103274179979</v>
      </c>
      <c r="K23" s="183">
        <v>9.6228661469733634E-2</v>
      </c>
      <c r="L23" s="183">
        <v>0.11500184023086614</v>
      </c>
      <c r="M23" s="183">
        <v>0.10834885557460036</v>
      </c>
      <c r="N23" s="183">
        <v>0.10457015008025908</v>
      </c>
      <c r="O23" s="183">
        <v>9.3041479401521687E-2</v>
      </c>
      <c r="P23" s="183">
        <v>9.5644526854419418E-2</v>
      </c>
      <c r="Q23" s="183">
        <v>7.8447420763253992E-2</v>
      </c>
      <c r="R23" s="183">
        <v>8.52722119359101E-2</v>
      </c>
      <c r="S23" s="183">
        <v>9.4785532549768237E-2</v>
      </c>
      <c r="T23" s="183">
        <v>9.3732484251597609E-2</v>
      </c>
      <c r="U23" s="183">
        <v>6.8091749919681283E-2</v>
      </c>
      <c r="V23" s="183">
        <v>3.4868888255196913E-2</v>
      </c>
      <c r="W23" s="183">
        <v>5.7530793752553024E-2</v>
      </c>
      <c r="X23" s="183">
        <v>2.8916164448901122E-2</v>
      </c>
      <c r="Y23" s="183">
        <v>4.5994518554425781E-2</v>
      </c>
      <c r="Z23" s="183">
        <v>8.6034920111781391E-2</v>
      </c>
      <c r="AA23" s="183">
        <v>0.10284176265779407</v>
      </c>
      <c r="AB23" s="183">
        <v>9.6589315401301293E-2</v>
      </c>
      <c r="AC23" s="183">
        <v>9.1776056620867019E-2</v>
      </c>
      <c r="AD23" s="183">
        <v>9.3234388925886535E-2</v>
      </c>
      <c r="AE23" s="183">
        <v>0.10457443399301276</v>
      </c>
      <c r="AF23" s="183">
        <v>0.10347430237676185</v>
      </c>
      <c r="AG23" s="183">
        <v>0.10278535581386876</v>
      </c>
      <c r="AH23" s="183">
        <v>8.8286816457965586E-2</v>
      </c>
      <c r="AI23" s="183">
        <v>9.3208209833005359E-2</v>
      </c>
      <c r="AJ23" s="183">
        <v>9.4353831505794919E-2</v>
      </c>
      <c r="AK23" s="183">
        <v>8.0570409896660672E-2</v>
      </c>
      <c r="AL23" s="183">
        <v>7.9932662804218027E-2</v>
      </c>
      <c r="AM23" s="183">
        <v>9.415713054764209E-2</v>
      </c>
      <c r="AN23" s="183">
        <v>9.079848169592665E-2</v>
      </c>
      <c r="AO23" s="183">
        <v>7.8860867974813079E-2</v>
      </c>
      <c r="AP23" s="183">
        <v>9.1842484075494613E-2</v>
      </c>
      <c r="AQ23" s="183">
        <v>0.10033085616124293</v>
      </c>
      <c r="AR23" s="183">
        <v>9.2780446923401705E-2</v>
      </c>
      <c r="AS23" s="183">
        <v>8.7392554778791806E-2</v>
      </c>
      <c r="AT23" s="183">
        <v>8.7977547803586936E-2</v>
      </c>
      <c r="AU23" s="187">
        <v>9.4352190014200976E-2</v>
      </c>
      <c r="AV23" s="187">
        <v>9.6001401818646498E-2</v>
      </c>
      <c r="AW23" s="187">
        <v>8.4696094756776544E-2</v>
      </c>
      <c r="AX23" s="187">
        <v>9.1045878303274291E-2</v>
      </c>
      <c r="AY23" s="187">
        <v>9.2064273596396337E-2</v>
      </c>
      <c r="AZ23" s="187">
        <v>8.9173339876864696E-2</v>
      </c>
      <c r="BA23" s="187">
        <v>8.2287079454281806E-2</v>
      </c>
      <c r="BB23" s="187">
        <v>6.9820087373891296E-2</v>
      </c>
      <c r="BC23" s="187">
        <v>8.4333201179740053E-2</v>
      </c>
      <c r="BD23" s="187">
        <v>8.956477952863344E-2</v>
      </c>
      <c r="BE23" s="187">
        <v>8.2827286150683549E-2</v>
      </c>
      <c r="BF23" s="183">
        <v>7.965108687012501E-2</v>
      </c>
      <c r="BG23" s="183">
        <v>8.1694127051218937E-2</v>
      </c>
      <c r="BH23" s="187">
        <v>8.540353093445413E-2</v>
      </c>
      <c r="BI23" s="187">
        <v>7.5372845728785123E-2</v>
      </c>
      <c r="BJ23" s="187">
        <v>8.1919997482051643E-2</v>
      </c>
      <c r="BK23" s="187"/>
      <c r="BL23" s="187"/>
      <c r="BN23" s="196"/>
      <c r="BO23" s="187"/>
      <c r="BP23" s="187"/>
      <c r="BQ23" s="187"/>
      <c r="BR23" s="187"/>
      <c r="BS23" s="187"/>
    </row>
    <row r="24" spans="1:71" x14ac:dyDescent="0.4">
      <c r="A24" s="182" t="s">
        <v>120</v>
      </c>
      <c r="B24" s="183">
        <f t="shared" si="8"/>
        <v>5.2610887973532083E-2</v>
      </c>
      <c r="C24" s="183">
        <f t="shared" si="7"/>
        <v>-0.11703098295806125</v>
      </c>
      <c r="D24" s="183">
        <v>8.3439360851879946E-2</v>
      </c>
      <c r="E24" s="183">
        <v>7.9268950953486655E-2</v>
      </c>
      <c r="F24" s="183">
        <v>9.499472327789045E-2</v>
      </c>
      <c r="G24" s="183">
        <v>9.8104852483872004E-2</v>
      </c>
      <c r="H24" s="183">
        <v>9.4498628198090892E-2</v>
      </c>
      <c r="I24" s="183">
        <v>8.0718898193672547E-2</v>
      </c>
      <c r="J24" s="183">
        <v>7.0865700275173929E-2</v>
      </c>
      <c r="K24" s="183">
        <v>9.7314185435894596E-2</v>
      </c>
      <c r="L24" s="183">
        <v>8.4289635947175451E-2</v>
      </c>
      <c r="M24" s="183">
        <v>6.7627677259894436E-2</v>
      </c>
      <c r="N24" s="183">
        <v>5.9403326470007359E-2</v>
      </c>
      <c r="O24" s="183">
        <v>6.9255741057605263E-2</v>
      </c>
      <c r="P24" s="183">
        <v>5.7843174759515698E-2</v>
      </c>
      <c r="Q24" s="183">
        <v>4.2734193590156705E-2</v>
      </c>
      <c r="R24" s="183">
        <v>8.643565184840675E-2</v>
      </c>
      <c r="S24" s="183">
        <v>7.296153531661663E-2</v>
      </c>
      <c r="T24" s="183">
        <v>8.2343747273506782E-2</v>
      </c>
      <c r="U24" s="183">
        <v>7.8659189680829814E-2</v>
      </c>
      <c r="V24" s="183">
        <v>6.2408196304447328E-2</v>
      </c>
      <c r="W24" s="183">
        <v>7.9688025205064558E-2</v>
      </c>
      <c r="X24" s="183">
        <v>3.4705084818036899E-2</v>
      </c>
      <c r="Y24" s="183">
        <v>3.0699791559563375E-2</v>
      </c>
      <c r="Z24" s="183">
        <v>6.3801298062739376E-2</v>
      </c>
      <c r="AA24" s="183">
        <v>7.4001792283453882E-2</v>
      </c>
      <c r="AB24" s="183">
        <v>7.1851239280636289E-2</v>
      </c>
      <c r="AC24" s="183">
        <v>6.9056142163453307E-2</v>
      </c>
      <c r="AD24" s="183">
        <v>6.5186817643918038E-2</v>
      </c>
      <c r="AE24" s="183">
        <v>7.8299435344959353E-2</v>
      </c>
      <c r="AF24" s="183">
        <v>8.3008691409126908E-2</v>
      </c>
      <c r="AG24" s="183">
        <v>7.734623086834104E-2</v>
      </c>
      <c r="AH24" s="183">
        <v>7.456212258771952E-2</v>
      </c>
      <c r="AI24" s="183">
        <v>7.7638015858634349E-2</v>
      </c>
      <c r="AJ24" s="183">
        <v>7.504090093749774E-2</v>
      </c>
      <c r="AK24" s="183">
        <v>7.19759447238731E-2</v>
      </c>
      <c r="AL24" s="183">
        <v>6.9896656444192545E-2</v>
      </c>
      <c r="AM24" s="183">
        <v>7.6095586801347176E-2</v>
      </c>
      <c r="AN24" s="183">
        <v>7.6367469187037157E-2</v>
      </c>
      <c r="AO24" s="183">
        <v>7.3159790674041728E-2</v>
      </c>
      <c r="AP24" s="183">
        <v>7.3307248749044429E-2</v>
      </c>
      <c r="AQ24" s="183">
        <v>7.7185778157589105E-2</v>
      </c>
      <c r="AR24" s="183">
        <v>7.489309966578242E-2</v>
      </c>
      <c r="AS24" s="183">
        <v>6.7392612821637152E-2</v>
      </c>
      <c r="AT24" s="183">
        <v>7.2379985379992018E-2</v>
      </c>
      <c r="AU24" s="187">
        <v>7.0198711842529252E-2</v>
      </c>
      <c r="AV24" s="187">
        <v>7.1807385275257887E-2</v>
      </c>
      <c r="AW24" s="187">
        <v>6.726415730938716E-2</v>
      </c>
      <c r="AX24" s="187">
        <v>6.6955334566703453E-2</v>
      </c>
      <c r="AY24" s="187">
        <v>7.102710785544919E-2</v>
      </c>
      <c r="AZ24" s="187">
        <v>7.0907001631517932E-2</v>
      </c>
      <c r="BA24" s="187">
        <v>6.8347477661021158E-2</v>
      </c>
      <c r="BB24" s="187">
        <v>7.0495353424747553E-2</v>
      </c>
      <c r="BC24" s="187">
        <v>7.2443646394398709E-2</v>
      </c>
      <c r="BD24" s="187">
        <v>6.7761519669831405E-2</v>
      </c>
      <c r="BE24" s="187">
        <v>6.4404884566608492E-2</v>
      </c>
      <c r="BF24" s="183">
        <v>6.7288721010259858E-2</v>
      </c>
      <c r="BG24" s="183">
        <v>6.9349566845311697E-2</v>
      </c>
      <c r="BH24" s="187">
        <v>7.2111082563584408E-2</v>
      </c>
      <c r="BI24" s="187">
        <v>6.6464043797611005E-2</v>
      </c>
      <c r="BJ24" s="187">
        <v>6.7760952920040515E-2</v>
      </c>
      <c r="BK24" s="187"/>
      <c r="BL24" s="187"/>
      <c r="BN24" s="196"/>
      <c r="BO24" s="187"/>
      <c r="BP24" s="187"/>
      <c r="BQ24" s="187"/>
      <c r="BR24" s="187"/>
      <c r="BS24" s="187"/>
    </row>
    <row r="25" spans="1:71" x14ac:dyDescent="0.4">
      <c r="A25" s="182" t="s">
        <v>121</v>
      </c>
      <c r="B25" s="183">
        <f t="shared" si="8"/>
        <v>5.2335756397603017E-2</v>
      </c>
      <c r="C25" s="183">
        <f>D25/H25-1</f>
        <v>-1.0870755883258809E-3</v>
      </c>
      <c r="D25" s="183">
        <v>6.7148781443906763E-2</v>
      </c>
      <c r="E25" s="183">
        <v>6.3809274782958156E-2</v>
      </c>
      <c r="F25" s="183">
        <v>5.9793408056713092E-2</v>
      </c>
      <c r="G25" s="183">
        <v>6.8836626011470281E-2</v>
      </c>
      <c r="H25" s="183">
        <v>6.7221856683309128E-2</v>
      </c>
      <c r="I25" s="183">
        <v>7.9909128309469821E-2</v>
      </c>
      <c r="J25" s="183">
        <v>6.4550143237226965E-2</v>
      </c>
      <c r="K25" s="183">
        <v>6.7603829234990198E-2</v>
      </c>
      <c r="L25" s="183">
        <v>7.236507596237228E-2</v>
      </c>
      <c r="M25" s="183">
        <v>6.4370095137127437E-2</v>
      </c>
      <c r="N25" s="183">
        <v>7.2566882952928582E-2</v>
      </c>
      <c r="O25" s="183">
        <v>5.7040685096904631E-2</v>
      </c>
      <c r="P25" s="183">
        <v>6.7521887821550677E-2</v>
      </c>
      <c r="Q25" s="183">
        <v>6.9818970801297578E-2</v>
      </c>
      <c r="R25" s="183">
        <v>7.3367250754039312E-2</v>
      </c>
      <c r="S25" s="183">
        <v>7.7744613275547714E-2</v>
      </c>
      <c r="T25" s="183">
        <v>8.0188624364654265E-2</v>
      </c>
      <c r="U25" s="183">
        <v>7.1920877432895672E-2</v>
      </c>
      <c r="V25" s="183">
        <v>6.7399816847122651E-2</v>
      </c>
      <c r="W25" s="183">
        <v>8.65971467834558E-2</v>
      </c>
      <c r="X25" s="183">
        <v>7.9431074969415288E-2</v>
      </c>
      <c r="Y25" s="183">
        <v>7.0007181561053552E-2</v>
      </c>
      <c r="Z25" s="183">
        <v>7.7752446340139184E-2</v>
      </c>
      <c r="AA25" s="183">
        <v>7.3859922788155563E-2</v>
      </c>
      <c r="AB25" s="183">
        <v>7.6516970760877656E-2</v>
      </c>
      <c r="AC25" s="183">
        <v>7.1074058519549718E-2</v>
      </c>
      <c r="AD25" s="183">
        <v>7.0808281756360517E-2</v>
      </c>
      <c r="AE25" s="183">
        <v>7.7865392712738485E-2</v>
      </c>
      <c r="AF25" s="183">
        <v>7.935938185957235E-2</v>
      </c>
      <c r="AG25" s="183">
        <v>6.4369106632450171E-2</v>
      </c>
      <c r="AH25" s="183">
        <v>6.8438731317661067E-2</v>
      </c>
      <c r="AI25" s="183">
        <v>6.7760222711376453E-2</v>
      </c>
      <c r="AJ25" s="183">
        <v>6.8620395098901152E-2</v>
      </c>
      <c r="AK25" s="183">
        <v>6.2457783591904292E-2</v>
      </c>
      <c r="AL25" s="183">
        <v>6.642727878209928E-2</v>
      </c>
      <c r="AM25" s="183">
        <v>7.0355506361200887E-2</v>
      </c>
      <c r="AN25" s="183">
        <v>6.7413751438159045E-2</v>
      </c>
      <c r="AO25" s="183">
        <v>6.1242611712576181E-2</v>
      </c>
      <c r="AP25" s="183">
        <v>6.3080406416972018E-2</v>
      </c>
      <c r="AQ25" s="183">
        <v>6.602284738788608E-2</v>
      </c>
      <c r="AR25" s="183">
        <v>7.0057378402085091E-2</v>
      </c>
      <c r="AS25" s="183">
        <v>6.3872086409003423E-2</v>
      </c>
      <c r="AT25" s="183">
        <v>6.0146665125379008E-2</v>
      </c>
      <c r="AU25" s="187">
        <v>6.8348575662097816E-2</v>
      </c>
      <c r="AV25" s="187">
        <v>6.8241607876577681E-2</v>
      </c>
      <c r="AW25" s="187">
        <v>6.157210133276661E-2</v>
      </c>
      <c r="AX25" s="187">
        <v>6.9568139817021729E-2</v>
      </c>
      <c r="AY25" s="187">
        <v>6.8335058981407515E-2</v>
      </c>
      <c r="AZ25" s="187">
        <v>6.5641501164005411E-2</v>
      </c>
      <c r="BA25" s="187">
        <v>6.2198329089590325E-2</v>
      </c>
      <c r="BB25" s="187">
        <v>6.390909535852636E-2</v>
      </c>
      <c r="BC25" s="187">
        <v>6.578102358554154E-2</v>
      </c>
      <c r="BD25" s="187">
        <v>6.5050084999798072E-2</v>
      </c>
      <c r="BE25" s="187">
        <v>5.9231334009067986E-2</v>
      </c>
      <c r="BF25" s="183">
        <v>6.2887216809625321E-2</v>
      </c>
      <c r="BG25" s="183">
        <v>6.4635469334574119E-2</v>
      </c>
      <c r="BH25" s="187">
        <v>6.4070930056994352E-2</v>
      </c>
      <c r="BI25" s="187">
        <v>6.193010894444826E-2</v>
      </c>
      <c r="BJ25" s="187">
        <v>6.4441174359278278E-2</v>
      </c>
      <c r="BK25" s="187"/>
      <c r="BL25" s="187"/>
      <c r="BN25" s="196"/>
      <c r="BO25" s="187"/>
      <c r="BP25" s="187"/>
      <c r="BQ25" s="187"/>
      <c r="BR25" s="187"/>
      <c r="BS25" s="187"/>
    </row>
    <row r="26" spans="1:71" x14ac:dyDescent="0.4">
      <c r="A26" s="182" t="s">
        <v>122</v>
      </c>
      <c r="B26" s="183">
        <f t="shared" si="8"/>
        <v>-2.3407012785348291E-2</v>
      </c>
      <c r="C26" s="183">
        <f t="shared" si="7"/>
        <v>5.9283560847521954E-2</v>
      </c>
      <c r="D26" s="183">
        <v>7.1336650650482863E-2</v>
      </c>
      <c r="E26" s="183">
        <v>7.3046449835711666E-2</v>
      </c>
      <c r="F26" s="183">
        <v>6.3182863218277138E-2</v>
      </c>
      <c r="G26" s="183">
        <v>7.2629831676913004E-2</v>
      </c>
      <c r="H26" s="183">
        <v>6.7344244060020278E-2</v>
      </c>
      <c r="I26" s="183">
        <v>6.319220928894001E-2</v>
      </c>
      <c r="J26" s="183">
        <v>6.353529247045743E-2</v>
      </c>
      <c r="K26" s="183">
        <v>6.5843245109350843E-2</v>
      </c>
      <c r="L26" s="183">
        <v>7.1216569955842288E-2</v>
      </c>
      <c r="M26" s="183">
        <v>7.9045325053234625E-2</v>
      </c>
      <c r="N26" s="183">
        <v>8.1400434790255036E-2</v>
      </c>
      <c r="O26" s="183">
        <v>8.8789865667221801E-2</v>
      </c>
      <c r="P26" s="183">
        <v>9.2093944632698585E-2</v>
      </c>
      <c r="Q26" s="183">
        <v>9.4133203587266859E-2</v>
      </c>
      <c r="R26" s="183">
        <v>8.9672304633356972E-2</v>
      </c>
      <c r="S26" s="183">
        <v>0.10607543267668383</v>
      </c>
      <c r="T26" s="183">
        <v>9.5854201214679816E-2</v>
      </c>
      <c r="U26" s="183">
        <v>9.9519992448652658E-2</v>
      </c>
      <c r="V26" s="183">
        <v>7.2452448659037286E-2</v>
      </c>
      <c r="W26" s="183">
        <v>8.4514912421156801E-2</v>
      </c>
      <c r="X26" s="183">
        <v>9.0883487178963829E-2</v>
      </c>
      <c r="Y26" s="183">
        <v>8.0392914648219294E-2</v>
      </c>
      <c r="Z26" s="183">
        <v>7.7055939147860922E-2</v>
      </c>
      <c r="AA26" s="183">
        <v>8.0491059235329301E-2</v>
      </c>
      <c r="AB26" s="183">
        <v>8.9723551282877206E-2</v>
      </c>
      <c r="AC26" s="183">
        <v>8.9254024135953874E-2</v>
      </c>
      <c r="AD26" s="183">
        <v>8.1413661596672876E-2</v>
      </c>
      <c r="AE26" s="183">
        <v>8.7185671403613565E-2</v>
      </c>
      <c r="AF26" s="183">
        <v>8.3508433556318387E-2</v>
      </c>
      <c r="AG26" s="183">
        <v>9.0732590717766223E-2</v>
      </c>
      <c r="AH26" s="183">
        <v>8.5078773900997912E-2</v>
      </c>
      <c r="AI26" s="183">
        <v>8.8088882289223916E-2</v>
      </c>
      <c r="AJ26" s="183">
        <v>9.1228758821007949E-2</v>
      </c>
      <c r="AK26" s="183">
        <v>8.4109670525905927E-2</v>
      </c>
      <c r="AL26" s="183">
        <v>8.1410750506525548E-2</v>
      </c>
      <c r="AM26" s="183">
        <v>8.6281083993850871E-2</v>
      </c>
      <c r="AN26" s="183">
        <v>8.6757884842671398E-2</v>
      </c>
      <c r="AO26" s="183">
        <v>8.639210269985019E-2</v>
      </c>
      <c r="AP26" s="183">
        <v>7.6349084808494005E-2</v>
      </c>
      <c r="AQ26" s="183">
        <v>8.1386130553354613E-2</v>
      </c>
      <c r="AR26" s="183">
        <v>8.4282554205286714E-2</v>
      </c>
      <c r="AS26" s="183">
        <v>9.247581476243899E-2</v>
      </c>
      <c r="AT26" s="183">
        <v>7.9253392264325165E-2</v>
      </c>
      <c r="AU26" s="187">
        <v>8.5672528893678573E-2</v>
      </c>
      <c r="AV26" s="187">
        <v>9.1192421599160828E-2</v>
      </c>
      <c r="AW26" s="187">
        <v>8.9037411517773099E-2</v>
      </c>
      <c r="AX26" s="187">
        <v>8.1041758420170446E-2</v>
      </c>
      <c r="AY26" s="187">
        <v>8.8991437898627235E-2</v>
      </c>
      <c r="AZ26" s="187">
        <v>8.88115927941691E-2</v>
      </c>
      <c r="BA26" s="187">
        <v>8.9604144857643134E-2</v>
      </c>
      <c r="BB26" s="187">
        <v>7.9339483424774815E-2</v>
      </c>
      <c r="BC26" s="187">
        <v>9.1112930766174188E-2</v>
      </c>
      <c r="BD26" s="187">
        <v>9.0695078800875711E-2</v>
      </c>
      <c r="BE26" s="187">
        <v>9.4419260001527755E-2</v>
      </c>
      <c r="BF26" s="183">
        <v>8.3468515549079664E-2</v>
      </c>
      <c r="BG26" s="183">
        <v>8.9666563583228442E-2</v>
      </c>
      <c r="BH26" s="187">
        <v>9.7268359845175387E-2</v>
      </c>
      <c r="BI26" s="187">
        <v>9.3681167089091827E-2</v>
      </c>
      <c r="BJ26" s="187">
        <v>8.7159175107408129E-2</v>
      </c>
      <c r="BK26" s="187"/>
      <c r="BL26" s="187"/>
      <c r="BN26" s="196"/>
      <c r="BO26" s="187"/>
      <c r="BP26" s="187"/>
      <c r="BQ26" s="187"/>
      <c r="BR26" s="187"/>
      <c r="BS26" s="187"/>
    </row>
    <row r="27" spans="1:71" x14ac:dyDescent="0.4">
      <c r="A27" s="182" t="s">
        <v>123</v>
      </c>
      <c r="B27" s="183">
        <f>D27/E27-1</f>
        <v>0.23588295718449159</v>
      </c>
      <c r="C27" s="183">
        <f t="shared" si="7"/>
        <v>4.534301080498282E-2</v>
      </c>
      <c r="D27" s="183">
        <v>0.17062539028648371</v>
      </c>
      <c r="E27" s="183">
        <v>0.13805950579267751</v>
      </c>
      <c r="F27" s="183">
        <v>0.15946898776071577</v>
      </c>
      <c r="G27" s="183">
        <v>0.15033637353327386</v>
      </c>
      <c r="H27" s="183">
        <v>0.16322430869374729</v>
      </c>
      <c r="I27" s="183">
        <v>0.14710577472664607</v>
      </c>
      <c r="J27" s="183">
        <v>0.14182809025170176</v>
      </c>
      <c r="K27" s="183">
        <v>0.11399315110344084</v>
      </c>
      <c r="L27" s="183">
        <v>0.16243650862349204</v>
      </c>
      <c r="M27" s="183">
        <v>0.17048340193827397</v>
      </c>
      <c r="N27" s="183">
        <v>0.14567128241719957</v>
      </c>
      <c r="O27" s="183">
        <v>0.1212613042530951</v>
      </c>
      <c r="P27" s="183">
        <v>6.3231942841043137E-2</v>
      </c>
      <c r="Q27" s="183">
        <v>0.17914298104491611</v>
      </c>
      <c r="R27" s="183">
        <v>0.2396232533564964</v>
      </c>
      <c r="S27" s="183">
        <v>0.20303958227125229</v>
      </c>
      <c r="T27" s="183">
        <v>0.25277561898047107</v>
      </c>
      <c r="U27" s="183">
        <v>0.24445815042545752</v>
      </c>
      <c r="V27" s="183">
        <v>0.23259548542598721</v>
      </c>
      <c r="W27" s="183">
        <v>0.19703318780337756</v>
      </c>
      <c r="X27" s="183">
        <v>0.12859652083975842</v>
      </c>
      <c r="Y27" s="183">
        <v>-2.2529455261757494E-2</v>
      </c>
      <c r="Z27" s="183">
        <v>0.1874503164330388</v>
      </c>
      <c r="AA27" s="183">
        <v>0.17333905284334308</v>
      </c>
      <c r="AB27" s="183">
        <v>0.17366556677918796</v>
      </c>
      <c r="AC27" s="183">
        <v>0.18624628619599728</v>
      </c>
      <c r="AD27" s="183">
        <v>8.5120929242406468E-2</v>
      </c>
      <c r="AE27" s="183">
        <v>0.1773409272243946</v>
      </c>
      <c r="AF27" s="183">
        <v>0.16735750663743529</v>
      </c>
      <c r="AG27" s="183">
        <v>0.15519746168433016</v>
      </c>
      <c r="AH27" s="183">
        <v>0.13330938828550545</v>
      </c>
      <c r="AI27" s="183">
        <v>0.12407543133287688</v>
      </c>
      <c r="AJ27" s="183">
        <v>0.14570646436480891</v>
      </c>
      <c r="AK27" s="183">
        <v>0.14394005254619482</v>
      </c>
      <c r="AL27" s="183">
        <v>0.12956743220615369</v>
      </c>
      <c r="AM27" s="183">
        <v>0.15135221009095631</v>
      </c>
      <c r="AN27" s="183">
        <v>0.14284931913919974</v>
      </c>
      <c r="AO27" s="183">
        <v>0.1483998329529988</v>
      </c>
      <c r="AP27" s="183">
        <v>0.13461834241240705</v>
      </c>
      <c r="AQ27" s="183">
        <v>0.15839351736344345</v>
      </c>
      <c r="AR27" s="183">
        <v>0.15437578463254045</v>
      </c>
      <c r="AS27" s="183">
        <v>0.16410848089826408</v>
      </c>
      <c r="AT27" s="183">
        <v>0.13314343685099814</v>
      </c>
      <c r="AU27" s="187">
        <v>0.15294271731326378</v>
      </c>
      <c r="AV27" s="187">
        <v>0.15599986981776295</v>
      </c>
      <c r="AW27" s="187">
        <v>0.15082112913402865</v>
      </c>
      <c r="AX27" s="187">
        <v>0.14325117677153226</v>
      </c>
      <c r="AY27" s="187">
        <v>0.14423113972582488</v>
      </c>
      <c r="AZ27" s="187">
        <v>0.14772005681412304</v>
      </c>
      <c r="BA27" s="187">
        <v>0.14091084394381295</v>
      </c>
      <c r="BB27" s="187">
        <v>9.5358433027917355E-2</v>
      </c>
      <c r="BC27" s="187">
        <v>0.11692578731182765</v>
      </c>
      <c r="BD27" s="187">
        <v>0.12422290472037942</v>
      </c>
      <c r="BE27" s="187">
        <v>0.11083063603224808</v>
      </c>
      <c r="BF27" s="183">
        <v>0.1155525257893754</v>
      </c>
      <c r="BG27" s="183">
        <v>0.12501225336036753</v>
      </c>
      <c r="BH27" s="187">
        <v>0.10648850097313485</v>
      </c>
      <c r="BI27" s="187">
        <v>0.10391595579031206</v>
      </c>
      <c r="BJ27" s="187">
        <v>9.0949786226141416E-2</v>
      </c>
      <c r="BK27" s="187"/>
      <c r="BL27" s="187"/>
      <c r="BN27" s="196"/>
      <c r="BO27" s="187"/>
      <c r="BP27" s="187"/>
      <c r="BQ27" s="187"/>
      <c r="BR27" s="187"/>
      <c r="BS27" s="187"/>
    </row>
    <row r="28" spans="1:71" x14ac:dyDescent="0.4">
      <c r="A28" s="182" t="s">
        <v>124</v>
      </c>
      <c r="B28" s="183">
        <f t="shared" si="8"/>
        <v>9.4018658837256464E-2</v>
      </c>
      <c r="C28" s="183">
        <f t="shared" si="7"/>
        <v>0.18195352453579172</v>
      </c>
      <c r="D28" s="183">
        <v>0.25375655072184922</v>
      </c>
      <c r="E28" s="183">
        <v>0.23194901537744014</v>
      </c>
      <c r="F28" s="183">
        <v>0.25331828405819334</v>
      </c>
      <c r="G28" s="183">
        <v>0.21396923039092638</v>
      </c>
      <c r="H28" s="183">
        <v>0.21469249463214829</v>
      </c>
      <c r="I28" s="183">
        <v>0.22949941832605361</v>
      </c>
      <c r="J28" s="183">
        <v>0.23811443457617903</v>
      </c>
      <c r="K28" s="183">
        <v>0.22979824312514449</v>
      </c>
      <c r="L28" s="183">
        <v>0.21484230899024834</v>
      </c>
      <c r="M28" s="183">
        <v>0.19465282457533983</v>
      </c>
      <c r="N28" s="183">
        <v>0.20183817059049652</v>
      </c>
      <c r="O28" s="183">
        <v>0.20372581722449509</v>
      </c>
      <c r="P28" s="183">
        <v>0.20003647041753422</v>
      </c>
      <c r="Q28" s="183">
        <v>0.22990583995833136</v>
      </c>
      <c r="R28" s="183">
        <v>0.24436698827978065</v>
      </c>
      <c r="S28" s="183">
        <v>0.235711199304423</v>
      </c>
      <c r="T28" s="183">
        <v>0.22408639947980483</v>
      </c>
      <c r="U28" s="183">
        <v>0.22024115414801909</v>
      </c>
      <c r="V28" s="183">
        <v>0.22492457791575876</v>
      </c>
      <c r="W28" s="183">
        <v>0.19324603347350042</v>
      </c>
      <c r="X28" s="183">
        <v>0.1812874131040671</v>
      </c>
      <c r="Y28" s="183">
        <v>0.18312953241725663</v>
      </c>
      <c r="Z28" s="183">
        <v>0.20182225560256375</v>
      </c>
      <c r="AA28" s="183">
        <v>0.19220765249630503</v>
      </c>
      <c r="AB28" s="183">
        <v>0.20426904085952283</v>
      </c>
      <c r="AC28" s="183">
        <v>0.19149795585562254</v>
      </c>
      <c r="AD28" s="183">
        <v>0.20769789153933885</v>
      </c>
      <c r="AE28" s="183">
        <v>0.22094455894625534</v>
      </c>
      <c r="AF28" s="183">
        <v>0.21623938766513848</v>
      </c>
      <c r="AG28" s="183">
        <v>0.22916155541130565</v>
      </c>
      <c r="AH28" s="183">
        <v>0.23429552571542867</v>
      </c>
      <c r="AI28" s="183">
        <v>0.19767625399295313</v>
      </c>
      <c r="AJ28" s="183">
        <v>0.18480355807652252</v>
      </c>
      <c r="AK28" s="183">
        <v>0.18172966732843376</v>
      </c>
      <c r="AL28" s="183">
        <v>0.19449682101293167</v>
      </c>
      <c r="AM28" s="183">
        <v>0.1676900044237353</v>
      </c>
      <c r="AN28" s="183">
        <v>0.15588047802402066</v>
      </c>
      <c r="AO28" s="183">
        <v>0.15165939675373402</v>
      </c>
      <c r="AP28" s="183">
        <v>0.18324819038085183</v>
      </c>
      <c r="AQ28" s="183">
        <v>0.16983207649166016</v>
      </c>
      <c r="AR28" s="183">
        <v>0.16964613553249655</v>
      </c>
      <c r="AS28" s="183">
        <v>0.17285928381199075</v>
      </c>
      <c r="AT28" s="183">
        <v>0.18599631446106765</v>
      </c>
      <c r="AU28" s="187">
        <v>0.1588696147211697</v>
      </c>
      <c r="AV28" s="187">
        <v>0.16200312055860117</v>
      </c>
      <c r="AW28" s="187">
        <v>0.16384445535058151</v>
      </c>
      <c r="AX28" s="187">
        <v>0.17945206288830418</v>
      </c>
      <c r="AY28" s="187">
        <v>0.16517238115194097</v>
      </c>
      <c r="AZ28" s="187">
        <v>0.14851739431435795</v>
      </c>
      <c r="BA28" s="187">
        <v>0.15950790178388866</v>
      </c>
      <c r="BB28" s="187">
        <v>0.16979664313973483</v>
      </c>
      <c r="BC28" s="187">
        <v>0.14031636504972886</v>
      </c>
      <c r="BD28" s="187">
        <v>0.16488375052701723</v>
      </c>
      <c r="BE28" s="187">
        <v>0.16699553928381258</v>
      </c>
      <c r="BF28" s="183">
        <v>0.17656597435910579</v>
      </c>
      <c r="BG28" s="183">
        <v>0.1560890390380355</v>
      </c>
      <c r="BH28" s="187">
        <v>0.16623729113678282</v>
      </c>
      <c r="BI28" s="187">
        <v>0.16284085567151949</v>
      </c>
      <c r="BJ28" s="187">
        <v>0.17277438384070834</v>
      </c>
      <c r="BK28" s="187"/>
      <c r="BL28" s="187"/>
      <c r="BN28" s="196"/>
      <c r="BO28" s="187"/>
      <c r="BP28" s="187"/>
      <c r="BQ28" s="187"/>
      <c r="BR28" s="187"/>
      <c r="BS28" s="187"/>
    </row>
    <row r="29" spans="1:71" x14ac:dyDescent="0.4">
      <c r="A29" s="182" t="s">
        <v>392</v>
      </c>
      <c r="B29" s="183">
        <f t="shared" si="8"/>
        <v>-6.7627207845093906E-2</v>
      </c>
      <c r="C29" s="183">
        <f t="shared" si="7"/>
        <v>0.12319541167276005</v>
      </c>
      <c r="D29" s="183">
        <v>0.2093924313655223</v>
      </c>
      <c r="E29" s="183">
        <v>0.22458016056171387</v>
      </c>
      <c r="F29" s="183">
        <v>0.20069643878840765</v>
      </c>
      <c r="G29" s="183">
        <v>0.19040185114644362</v>
      </c>
      <c r="H29" s="183">
        <v>0.18642564703293873</v>
      </c>
      <c r="I29" s="183">
        <v>0.18204517432205186</v>
      </c>
      <c r="J29" s="183">
        <v>0.15787594395488636</v>
      </c>
      <c r="K29" s="183">
        <v>0.17439867182782717</v>
      </c>
      <c r="L29" s="183">
        <v>0.1673148337246371</v>
      </c>
      <c r="M29" s="183">
        <v>0.1488015042714553</v>
      </c>
      <c r="N29" s="183">
        <v>0.11149839847893424</v>
      </c>
      <c r="O29" s="183">
        <v>0.13765191075587724</v>
      </c>
      <c r="P29" s="183">
        <v>0.14740328167980093</v>
      </c>
      <c r="Q29" s="183">
        <v>0.16000822032354667</v>
      </c>
      <c r="R29" s="183">
        <v>0.16758056231030205</v>
      </c>
      <c r="S29" s="183">
        <v>0.17883924688980121</v>
      </c>
      <c r="T29" s="183">
        <v>0.18521600933365492</v>
      </c>
      <c r="U29" s="183">
        <v>0.19216598886171918</v>
      </c>
      <c r="V29" s="183">
        <v>0.12136020416297839</v>
      </c>
      <c r="W29" s="183">
        <v>0.13282302736218971</v>
      </c>
      <c r="X29" s="183">
        <v>0.11819217114287542</v>
      </c>
      <c r="Y29" s="183">
        <v>0.1178192472886994</v>
      </c>
      <c r="Z29" s="183">
        <v>0.13230374298425901</v>
      </c>
      <c r="AA29" s="183">
        <v>0.13147264403470524</v>
      </c>
      <c r="AB29" s="183">
        <v>0.14932376887019053</v>
      </c>
      <c r="AC29" s="183">
        <v>0.15217855278171319</v>
      </c>
      <c r="AD29" s="183">
        <v>0.14844106095470633</v>
      </c>
      <c r="AE29" s="183">
        <v>0.16160826629797653</v>
      </c>
      <c r="AF29" s="183">
        <v>0.15798071169050951</v>
      </c>
      <c r="AG29" s="183">
        <v>0.13604770945428529</v>
      </c>
      <c r="AH29" s="183">
        <v>6.8220302638290653E-2</v>
      </c>
      <c r="AI29" s="183">
        <v>0.10254746619004733</v>
      </c>
      <c r="AJ29" s="183">
        <v>0.10614317994753722</v>
      </c>
      <c r="AK29" s="183">
        <v>0.10373967336688399</v>
      </c>
      <c r="AL29" s="183">
        <v>8.9270209995782279E-2</v>
      </c>
      <c r="AM29" s="183">
        <v>9.3897085870679964E-2</v>
      </c>
      <c r="AN29" s="183">
        <v>6.9913067625020461E-2</v>
      </c>
      <c r="AO29" s="183">
        <v>0.10135588387414242</v>
      </c>
      <c r="AP29" s="183">
        <v>0.1195504469603807</v>
      </c>
      <c r="AQ29" s="183">
        <v>0.10383841959380871</v>
      </c>
      <c r="AR29" s="183">
        <v>0.10859395841841592</v>
      </c>
      <c r="AS29" s="183">
        <v>0.10785679186112297</v>
      </c>
      <c r="AT29" s="183">
        <v>-4.5710010998056175E-2</v>
      </c>
      <c r="AU29" s="187">
        <v>0.10154025134044443</v>
      </c>
      <c r="AV29" s="187">
        <v>0.10849588589377837</v>
      </c>
      <c r="AW29" s="187">
        <v>0.10608956600314556</v>
      </c>
      <c r="AX29" s="187">
        <v>0.1880474728515831</v>
      </c>
      <c r="AY29" s="187">
        <v>8.584681390879921E-2</v>
      </c>
      <c r="AZ29" s="187">
        <v>7.0755914807945491E-2</v>
      </c>
      <c r="BA29" s="187">
        <v>7.016499549163667E-2</v>
      </c>
      <c r="BB29" s="187">
        <v>-9.5844657947946998E-2</v>
      </c>
      <c r="BC29" s="187">
        <v>7.1725019909905291E-2</v>
      </c>
      <c r="BD29" s="187">
        <v>7.9093978421696257E-2</v>
      </c>
      <c r="BE29" s="187">
        <v>6.6048756767547789E-2</v>
      </c>
      <c r="BF29" s="183">
        <v>4.2868067860545617E-2</v>
      </c>
      <c r="BG29" s="183">
        <v>7.0971302097698322E-2</v>
      </c>
      <c r="BH29" s="187">
        <v>6.5152340995467448E-2</v>
      </c>
      <c r="BI29" s="187">
        <v>7.0381462775549672E-2</v>
      </c>
      <c r="BJ29" s="187">
        <v>6.0414448333259783E-2</v>
      </c>
      <c r="BK29" s="187"/>
      <c r="BL29" s="187"/>
      <c r="BN29" s="196"/>
      <c r="BO29" s="187"/>
      <c r="BP29" s="187"/>
      <c r="BQ29" s="187"/>
      <c r="BR29" s="187"/>
      <c r="BS29" s="187"/>
    </row>
    <row r="30" spans="1:71" x14ac:dyDescent="0.4">
      <c r="A30" s="182" t="s">
        <v>125</v>
      </c>
      <c r="B30" s="183">
        <f t="shared" si="8"/>
        <v>1.0140975108906991E-2</v>
      </c>
      <c r="C30" s="183">
        <f t="shared" si="7"/>
        <v>-7.9275894541418479E-3</v>
      </c>
      <c r="D30" s="183">
        <v>0.13051528470822593</v>
      </c>
      <c r="E30" s="183">
        <v>0.12920501981830268</v>
      </c>
      <c r="F30" s="183">
        <v>0.12444184795801244</v>
      </c>
      <c r="G30" s="183">
        <v>0.1623561478706598</v>
      </c>
      <c r="H30" s="183">
        <v>0.13155822429979058</v>
      </c>
      <c r="I30" s="183">
        <v>0.15440539334542749</v>
      </c>
      <c r="J30" s="183">
        <v>0.11432610952437247</v>
      </c>
      <c r="K30" s="183">
        <v>0.14937496124097954</v>
      </c>
      <c r="L30" s="183">
        <v>0.13440810276426748</v>
      </c>
      <c r="M30" s="183">
        <v>0.11796754509438043</v>
      </c>
      <c r="N30" s="183">
        <v>7.0627780405722304E-2</v>
      </c>
      <c r="O30" s="183">
        <v>0.12744985753111157</v>
      </c>
      <c r="P30" s="183">
        <v>9.3133455145414684E-2</v>
      </c>
      <c r="Q30" s="183">
        <v>0.12903021539857329</v>
      </c>
      <c r="R30" s="183">
        <v>8.4833208852319708E-2</v>
      </c>
      <c r="S30" s="183">
        <v>0.14799613297697176</v>
      </c>
      <c r="T30" s="183">
        <v>0.11487431298580518</v>
      </c>
      <c r="U30" s="183">
        <v>0.145657718114034</v>
      </c>
      <c r="V30" s="183">
        <v>0.12841386021650758</v>
      </c>
      <c r="W30" s="183">
        <v>0.16467482040769582</v>
      </c>
      <c r="X30" s="183">
        <v>0.15218396590484753</v>
      </c>
      <c r="Y30" s="183">
        <v>0.11843234202222318</v>
      </c>
      <c r="Z30" s="183">
        <v>0.10833021682080159</v>
      </c>
      <c r="AA30" s="183">
        <v>0.1629157456235184</v>
      </c>
      <c r="AB30" s="183">
        <v>0.1241145205289101</v>
      </c>
      <c r="AC30" s="183">
        <v>0.13259653577732</v>
      </c>
      <c r="AD30" s="183">
        <v>7.4716143547374825E-2</v>
      </c>
      <c r="AE30" s="183">
        <v>0.15134142302930359</v>
      </c>
      <c r="AF30" s="183">
        <v>0.1166262705690813</v>
      </c>
      <c r="AG30" s="183">
        <v>0.13075957616203968</v>
      </c>
      <c r="AH30" s="183">
        <v>9.5826463442169094E-2</v>
      </c>
      <c r="AI30" s="183">
        <v>0.13632718946909156</v>
      </c>
      <c r="AJ30" s="183">
        <v>9.9808278189357613E-2</v>
      </c>
      <c r="AK30" s="183">
        <v>0.1119997613672155</v>
      </c>
      <c r="AL30" s="183">
        <v>7.7367258632619035E-2</v>
      </c>
      <c r="AM30" s="183">
        <v>0.13819414478392239</v>
      </c>
      <c r="AN30" s="183">
        <v>9.2066282505729333E-2</v>
      </c>
      <c r="AO30" s="183">
        <v>0.11452861832848478</v>
      </c>
      <c r="AP30" s="183">
        <v>5.325405002505907E-3</v>
      </c>
      <c r="AQ30" s="183">
        <v>0.1208418870315924</v>
      </c>
      <c r="AR30" s="183">
        <v>9.7148520295784399E-2</v>
      </c>
      <c r="AS30" s="183">
        <v>0.10571960544150671</v>
      </c>
      <c r="AT30" s="183">
        <v>7.9313440049766176E-2</v>
      </c>
      <c r="AU30" s="187">
        <v>0.12529501770951412</v>
      </c>
      <c r="AV30" s="187">
        <v>8.1434281441199352E-2</v>
      </c>
      <c r="AW30" s="187">
        <v>8.6506114711891083E-2</v>
      </c>
      <c r="AX30" s="187">
        <v>7.7954977889005794E-2</v>
      </c>
      <c r="AY30" s="187">
        <v>0.11719169357703933</v>
      </c>
      <c r="AZ30" s="187">
        <v>8.9738603300496197E-2</v>
      </c>
      <c r="BA30" s="187">
        <v>7.5853349283677152E-2</v>
      </c>
      <c r="BB30" s="187">
        <v>8.2077707247409981E-2</v>
      </c>
      <c r="BC30" s="187">
        <v>0.10557123877174246</v>
      </c>
      <c r="BD30" s="187">
        <v>8.7718081717248944E-2</v>
      </c>
      <c r="BE30" s="187">
        <v>9.0060495975900087E-2</v>
      </c>
      <c r="BF30" s="183">
        <v>6.8730912908589167E-2</v>
      </c>
      <c r="BG30" s="183">
        <v>0.10798168376846255</v>
      </c>
      <c r="BH30" s="187">
        <v>8.4846283868024341E-2</v>
      </c>
      <c r="BI30" s="187">
        <v>8.6169350665370417E-2</v>
      </c>
      <c r="BJ30" s="187">
        <v>6.3213697010877423E-2</v>
      </c>
      <c r="BK30" s="187"/>
      <c r="BL30" s="187"/>
      <c r="BN30" s="196"/>
      <c r="BO30" s="187"/>
      <c r="BP30" s="187"/>
      <c r="BQ30" s="187"/>
      <c r="BR30" s="187"/>
      <c r="BS30" s="187"/>
    </row>
    <row r="31" spans="1:71" x14ac:dyDescent="0.4">
      <c r="A31" s="182" t="s">
        <v>309</v>
      </c>
      <c r="B31" s="183">
        <f t="shared" si="8"/>
        <v>0.15806202935919167</v>
      </c>
      <c r="C31" s="183">
        <f t="shared" si="7"/>
        <v>9.7191300534755776E-3</v>
      </c>
      <c r="D31" s="183">
        <v>0.17371703794677065</v>
      </c>
      <c r="E31" s="183">
        <v>0.15000667800402381</v>
      </c>
      <c r="F31" s="183">
        <v>0.16300172890110046</v>
      </c>
      <c r="G31" s="183">
        <v>0.16458821881838576</v>
      </c>
      <c r="H31" s="183">
        <v>0.17204491108093639</v>
      </c>
      <c r="I31" s="183">
        <v>0.17043170231972338</v>
      </c>
      <c r="J31" s="183">
        <v>0.15668366855145463</v>
      </c>
      <c r="K31" s="183">
        <v>0.1804144990957777</v>
      </c>
      <c r="L31" s="183">
        <v>0.19468500115908377</v>
      </c>
      <c r="M31" s="183">
        <v>0.15696036729096471</v>
      </c>
      <c r="N31" s="183">
        <v>0.12481688156683106</v>
      </c>
      <c r="O31" s="183">
        <v>0.22462519612932139</v>
      </c>
      <c r="P31" s="183">
        <v>0.19192869373027932</v>
      </c>
      <c r="Q31" s="183">
        <v>0.2104890970484502</v>
      </c>
      <c r="R31" s="183">
        <v>0.24332250684795126</v>
      </c>
      <c r="S31" s="183">
        <v>0.22262599079085757</v>
      </c>
      <c r="T31" s="183">
        <v>0.23214655795181319</v>
      </c>
      <c r="U31" s="183">
        <v>0.17891747855941723</v>
      </c>
      <c r="V31" s="183">
        <v>0.17681435884500993</v>
      </c>
      <c r="W31" s="183">
        <v>0.12274618158165874</v>
      </c>
      <c r="X31" s="183">
        <v>0.14832605558270212</v>
      </c>
      <c r="Y31" s="183">
        <v>0.19785646009282137</v>
      </c>
      <c r="Z31" s="183">
        <v>0.19110969493272625</v>
      </c>
      <c r="AA31" s="183">
        <v>0.1968394790984157</v>
      </c>
      <c r="AB31" s="183">
        <v>0.24883141726857183</v>
      </c>
      <c r="AC31" s="183">
        <v>0.17311783336255401</v>
      </c>
      <c r="AD31" s="183">
        <v>0.2080519900564107</v>
      </c>
      <c r="AE31" s="183">
        <v>0.20235589500190515</v>
      </c>
      <c r="AF31" s="183">
        <v>0.17697394586821669</v>
      </c>
      <c r="AG31" s="183">
        <v>0.18817837415503005</v>
      </c>
      <c r="AH31" s="183">
        <v>0.17703972090023054</v>
      </c>
      <c r="AI31" s="183">
        <v>0.21020843630827579</v>
      </c>
      <c r="AJ31" s="183">
        <v>0.17056503366013889</v>
      </c>
      <c r="AK31" s="183">
        <v>0.19048382834676938</v>
      </c>
      <c r="AL31" s="183">
        <v>0.22283049232885904</v>
      </c>
      <c r="AM31" s="183">
        <v>0.19739252828912468</v>
      </c>
      <c r="AN31" s="183">
        <v>0.20120724382858265</v>
      </c>
      <c r="AO31" s="183">
        <v>0.3535379363572605</v>
      </c>
      <c r="AP31" s="183">
        <v>0.1653235960715185</v>
      </c>
      <c r="AQ31" s="183">
        <v>0.17473227599295105</v>
      </c>
      <c r="AR31" s="183">
        <v>0.18862107623318386</v>
      </c>
      <c r="AS31" s="183">
        <v>0.21831905937001014</v>
      </c>
      <c r="AT31" s="183">
        <v>0.2774747750204527</v>
      </c>
      <c r="AU31" s="187">
        <v>0.18122270742358079</v>
      </c>
      <c r="AV31" s="187">
        <v>0.16782492976489724</v>
      </c>
      <c r="AW31" s="187">
        <v>0.1393939393939394</v>
      </c>
      <c r="AX31" s="187">
        <v>0.1191784784495227</v>
      </c>
      <c r="AY31" s="187">
        <v>0.11771718074802563</v>
      </c>
      <c r="AZ31" s="187">
        <v>0.12752075919335706</v>
      </c>
      <c r="BA31" s="187">
        <v>0.13094310210444271</v>
      </c>
      <c r="BB31" s="187">
        <v>0.10426472685779489</v>
      </c>
      <c r="BC31" s="187">
        <v>0.13036690085870412</v>
      </c>
      <c r="BD31" s="187">
        <v>9.1230769230769226E-2</v>
      </c>
      <c r="BE31" s="187">
        <v>0.16065519523494376</v>
      </c>
      <c r="BF31" s="183">
        <v>0.10357041654859733</v>
      </c>
      <c r="BG31" s="183">
        <v>0.11281574461490779</v>
      </c>
      <c r="BH31" s="187">
        <v>9.1462462931169025E-2</v>
      </c>
      <c r="BI31" s="187">
        <v>7.3937771830043492E-2</v>
      </c>
      <c r="BJ31" s="187">
        <v>-2.252707581227437E-2</v>
      </c>
      <c r="BK31" s="187"/>
      <c r="BL31" s="187"/>
      <c r="BN31" s="196"/>
      <c r="BO31" s="187"/>
      <c r="BP31" s="187"/>
      <c r="BQ31" s="187"/>
      <c r="BR31" s="187"/>
      <c r="BS31" s="187"/>
    </row>
    <row r="32" spans="1:71" s="176" customFormat="1" x14ac:dyDescent="0.4">
      <c r="A32" s="188" t="s">
        <v>23</v>
      </c>
      <c r="B32" s="189">
        <f t="shared" si="8"/>
        <v>6.8265739515698254E-2</v>
      </c>
      <c r="C32" s="189">
        <f>D32/H32-1</f>
        <v>5.3321817232964142E-2</v>
      </c>
      <c r="D32" s="189">
        <v>0.1257851077403894</v>
      </c>
      <c r="E32" s="189">
        <v>0.1177470203223165</v>
      </c>
      <c r="F32" s="189">
        <v>0.12035258590164889</v>
      </c>
      <c r="G32" s="189">
        <v>0.11800047688105995</v>
      </c>
      <c r="H32" s="189">
        <v>0.11941754711852645</v>
      </c>
      <c r="I32" s="189">
        <v>0.11575399140523783</v>
      </c>
      <c r="J32" s="189">
        <v>0.10995478250350105</v>
      </c>
      <c r="K32" s="189">
        <v>0.11152041495527062</v>
      </c>
      <c r="L32" s="189">
        <v>0.11866721928247406</v>
      </c>
      <c r="M32" s="189">
        <v>0.11638365740967041</v>
      </c>
      <c r="N32" s="189">
        <v>0.10915745618923482</v>
      </c>
      <c r="O32" s="189">
        <v>0.11280805929253626</v>
      </c>
      <c r="P32" s="189">
        <v>0.10864886943611608</v>
      </c>
      <c r="Q32" s="189">
        <v>0.11930429907317099</v>
      </c>
      <c r="R32" s="189">
        <v>0.13405827346969609</v>
      </c>
      <c r="S32" s="189">
        <v>0.13167381826391233</v>
      </c>
      <c r="T32" s="189">
        <v>0.13536877284392831</v>
      </c>
      <c r="U32" s="189">
        <v>0.13022820502356097</v>
      </c>
      <c r="V32" s="189">
        <v>0.10389729886351276</v>
      </c>
      <c r="W32" s="189">
        <v>0.10931318983149081</v>
      </c>
      <c r="X32" s="189">
        <v>8.4883373900301803E-2</v>
      </c>
      <c r="Y32" s="189">
        <v>5.8631263175576244E-2</v>
      </c>
      <c r="Z32" s="189">
        <v>0.1061133365471657</v>
      </c>
      <c r="AA32" s="189">
        <v>0.11213565917616758</v>
      </c>
      <c r="AB32" s="189">
        <v>0.11406268926786187</v>
      </c>
      <c r="AC32" s="189">
        <v>0.11211436927857679</v>
      </c>
      <c r="AD32" s="189">
        <v>0.10103677208743679</v>
      </c>
      <c r="AE32" s="189">
        <v>0.12125165670467826</v>
      </c>
      <c r="AF32" s="189">
        <v>0.11549800920667584</v>
      </c>
      <c r="AG32" s="189">
        <v>0.1140492079851171</v>
      </c>
      <c r="AH32" s="189">
        <v>0.10270236061885031</v>
      </c>
      <c r="AI32" s="189">
        <v>0.10164749338145562</v>
      </c>
      <c r="AJ32" s="189">
        <v>0.10136874401202751</v>
      </c>
      <c r="AK32" s="189">
        <v>9.8436000873383014E-2</v>
      </c>
      <c r="AL32" s="189">
        <v>9.2655472320979218E-2</v>
      </c>
      <c r="AM32" s="189">
        <v>9.8641234855432691E-2</v>
      </c>
      <c r="AN32" s="189">
        <v>9.0304491689420285E-2</v>
      </c>
      <c r="AO32" s="189">
        <v>8.7472037952982667E-2</v>
      </c>
      <c r="AP32" s="189">
        <v>7.9827003131535332E-2</v>
      </c>
      <c r="AQ32" s="189">
        <v>8.9666767807327852E-2</v>
      </c>
      <c r="AR32" s="189">
        <v>9.2909676243833034E-2</v>
      </c>
      <c r="AS32" s="189">
        <v>9.4477126926980182E-2</v>
      </c>
      <c r="AT32" s="189">
        <v>8.9825643514267486E-2</v>
      </c>
      <c r="AU32" s="193">
        <v>0.10099287041700378</v>
      </c>
      <c r="AV32" s="193">
        <v>0.10073379317750085</v>
      </c>
      <c r="AW32" s="193">
        <v>9.7584898983632068E-2</v>
      </c>
      <c r="AX32" s="193">
        <v>9.7596100527673146E-2</v>
      </c>
      <c r="AY32" s="193">
        <v>9.6345419831311632E-2</v>
      </c>
      <c r="AZ32" s="193">
        <v>9.5105041999730258E-2</v>
      </c>
      <c r="BA32" s="193">
        <v>9.5171799454255815E-2</v>
      </c>
      <c r="BB32" s="193">
        <v>8.0374891429939588E-2</v>
      </c>
      <c r="BC32" s="193">
        <v>8.9222621802131877E-2</v>
      </c>
      <c r="BD32" s="193">
        <v>9.4878809421446483E-2</v>
      </c>
      <c r="BE32" s="193">
        <v>9.0674747758055146E-2</v>
      </c>
      <c r="BF32" s="189">
        <v>8.7037751900159097E-2</v>
      </c>
      <c r="BG32" s="189">
        <v>9.5078937071402136E-2</v>
      </c>
      <c r="BH32" s="193">
        <v>9.4411857923775475E-2</v>
      </c>
      <c r="BI32" s="193">
        <v>8.9919776972502266E-2</v>
      </c>
      <c r="BJ32" s="193">
        <v>8.6759781005966805E-2</v>
      </c>
      <c r="BK32" s="193"/>
      <c r="BL32" s="193"/>
      <c r="BN32" s="192"/>
      <c r="BO32" s="193"/>
      <c r="BP32" s="193"/>
      <c r="BQ32" s="193"/>
      <c r="BR32" s="193"/>
      <c r="BS32" s="193"/>
    </row>
    <row r="33" spans="1:71" x14ac:dyDescent="0.4">
      <c r="A33" s="197" t="str">
        <f>A18</f>
        <v xml:space="preserve">   *Proforma Q2,'16 &amp; prior, RE in Financials; back data for FYI only</v>
      </c>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BH33" s="177"/>
      <c r="BI33" s="177"/>
      <c r="BJ33" s="177"/>
      <c r="BK33" s="177"/>
      <c r="BL33" s="177"/>
      <c r="BN33" s="177"/>
      <c r="BO33" s="177"/>
      <c r="BP33" s="177"/>
      <c r="BQ33" s="177"/>
      <c r="BR33" s="177"/>
      <c r="BS33" s="177"/>
    </row>
    <row r="34" spans="1:71" x14ac:dyDescent="0.4">
      <c r="A34" s="194"/>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3"/>
      <c r="AT34" s="183"/>
      <c r="BH34" s="177"/>
      <c r="BI34" s="177"/>
      <c r="BJ34" s="177"/>
      <c r="BK34" s="177"/>
      <c r="BL34" s="177"/>
      <c r="BN34" s="177"/>
      <c r="BO34" s="177"/>
      <c r="BP34" s="177"/>
      <c r="BQ34" s="177"/>
      <c r="BR34" s="177"/>
      <c r="BS34" s="177"/>
    </row>
    <row r="35" spans="1:71" x14ac:dyDescent="0.4">
      <c r="A35" s="198" t="s">
        <v>137</v>
      </c>
      <c r="B35" s="179" t="s">
        <v>781</v>
      </c>
      <c r="C35" s="179" t="s">
        <v>782</v>
      </c>
      <c r="D35" s="179">
        <v>45838</v>
      </c>
      <c r="E35" s="179">
        <v>45747</v>
      </c>
      <c r="F35" s="179" t="s">
        <v>720</v>
      </c>
      <c r="G35" s="179">
        <v>45536</v>
      </c>
      <c r="H35" s="179">
        <v>45444</v>
      </c>
      <c r="I35" s="179">
        <v>45379</v>
      </c>
      <c r="J35" s="179">
        <v>45289</v>
      </c>
      <c r="K35" s="179">
        <f t="shared" ref="K35:L35" si="9">K5</f>
        <v>45198</v>
      </c>
      <c r="L35" s="179">
        <f t="shared" si="9"/>
        <v>45107</v>
      </c>
      <c r="M35" s="179">
        <f t="shared" ref="M35:R35" si="10">M5</f>
        <v>45016</v>
      </c>
      <c r="N35" s="179">
        <f t="shared" ref="N35" si="11">N5</f>
        <v>44926</v>
      </c>
      <c r="O35" s="179">
        <f t="shared" si="10"/>
        <v>44805</v>
      </c>
      <c r="P35" s="179">
        <f t="shared" si="10"/>
        <v>44713</v>
      </c>
      <c r="Q35" s="179">
        <f t="shared" si="10"/>
        <v>44621</v>
      </c>
      <c r="R35" s="179">
        <f t="shared" si="10"/>
        <v>44531</v>
      </c>
      <c r="S35" s="179">
        <v>44440</v>
      </c>
      <c r="T35" s="179">
        <v>44348</v>
      </c>
      <c r="U35" s="179">
        <f>U5</f>
        <v>44286</v>
      </c>
      <c r="V35" s="179">
        <f>V5</f>
        <v>44196</v>
      </c>
      <c r="W35" s="179">
        <v>44094</v>
      </c>
      <c r="X35" s="179">
        <f>X5</f>
        <v>43999</v>
      </c>
      <c r="Y35" s="179">
        <v>43908</v>
      </c>
      <c r="Z35" s="179">
        <v>43817</v>
      </c>
      <c r="AA35" s="179">
        <v>43726</v>
      </c>
      <c r="AB35" s="179">
        <v>43634</v>
      </c>
      <c r="AC35" s="179">
        <v>43542</v>
      </c>
      <c r="AD35" s="179">
        <v>43452</v>
      </c>
      <c r="AE35" s="179">
        <v>43361</v>
      </c>
      <c r="AF35" s="179">
        <v>43269</v>
      </c>
      <c r="AG35" s="179">
        <f>AG5</f>
        <v>43160</v>
      </c>
      <c r="AH35" s="179">
        <f t="shared" ref="AH35:BJ35" si="12">AH5</f>
        <v>43070</v>
      </c>
      <c r="AI35" s="179">
        <f t="shared" si="12"/>
        <v>42979</v>
      </c>
      <c r="AJ35" s="179">
        <f t="shared" si="12"/>
        <v>42887</v>
      </c>
      <c r="AK35" s="179">
        <f t="shared" si="12"/>
        <v>42795</v>
      </c>
      <c r="AL35" s="179">
        <f t="shared" si="12"/>
        <v>42705</v>
      </c>
      <c r="AM35" s="179">
        <f t="shared" si="12"/>
        <v>42614</v>
      </c>
      <c r="AN35" s="179">
        <f t="shared" si="12"/>
        <v>42522</v>
      </c>
      <c r="AO35" s="179">
        <f t="shared" si="12"/>
        <v>42430</v>
      </c>
      <c r="AP35" s="179">
        <f t="shared" si="12"/>
        <v>42339</v>
      </c>
      <c r="AQ35" s="179">
        <f t="shared" si="12"/>
        <v>42248</v>
      </c>
      <c r="AR35" s="179">
        <f t="shared" si="12"/>
        <v>42156</v>
      </c>
      <c r="AS35" s="179">
        <f t="shared" si="12"/>
        <v>42064</v>
      </c>
      <c r="AT35" s="179">
        <f t="shared" si="12"/>
        <v>41974</v>
      </c>
      <c r="AU35" s="179">
        <f t="shared" si="12"/>
        <v>41883</v>
      </c>
      <c r="AV35" s="179">
        <f t="shared" si="12"/>
        <v>41791</v>
      </c>
      <c r="AW35" s="179">
        <f t="shared" si="12"/>
        <v>41699</v>
      </c>
      <c r="AX35" s="179">
        <f t="shared" si="12"/>
        <v>41609</v>
      </c>
      <c r="AY35" s="179">
        <f t="shared" si="12"/>
        <v>41518</v>
      </c>
      <c r="AZ35" s="179">
        <f t="shared" si="12"/>
        <v>41426</v>
      </c>
      <c r="BA35" s="179">
        <f t="shared" si="12"/>
        <v>41334</v>
      </c>
      <c r="BB35" s="179">
        <f t="shared" si="12"/>
        <v>41244</v>
      </c>
      <c r="BC35" s="179">
        <f t="shared" si="12"/>
        <v>41153</v>
      </c>
      <c r="BD35" s="179">
        <f t="shared" si="12"/>
        <v>41061</v>
      </c>
      <c r="BE35" s="179">
        <f t="shared" si="12"/>
        <v>40969</v>
      </c>
      <c r="BF35" s="179">
        <f t="shared" si="12"/>
        <v>40878</v>
      </c>
      <c r="BG35" s="179">
        <f t="shared" si="12"/>
        <v>40787</v>
      </c>
      <c r="BH35" s="179">
        <f t="shared" si="12"/>
        <v>40695</v>
      </c>
      <c r="BI35" s="179">
        <f t="shared" si="12"/>
        <v>40603</v>
      </c>
      <c r="BJ35" s="179">
        <f t="shared" si="12"/>
        <v>40513</v>
      </c>
      <c r="BK35" s="179"/>
      <c r="BL35" s="179"/>
    </row>
    <row r="36" spans="1:71" x14ac:dyDescent="0.4">
      <c r="A36" s="182" t="s">
        <v>117</v>
      </c>
      <c r="B36" s="183">
        <f>D36/E36-1</f>
        <v>-1.6908105715390809E-3</v>
      </c>
      <c r="C36" s="183">
        <f>D36/H36-1</f>
        <v>-7.8311070091790613E-2</v>
      </c>
      <c r="D36" s="183">
        <v>7.2229677678799481E-2</v>
      </c>
      <c r="E36" s="183">
        <v>7.2352011224249557E-2</v>
      </c>
      <c r="F36" s="183">
        <v>7.0162785792014223E-2</v>
      </c>
      <c r="G36" s="183">
        <v>7.3499843548201368E-2</v>
      </c>
      <c r="H36" s="183">
        <v>7.8366654231154548E-2</v>
      </c>
      <c r="I36" s="183">
        <v>7.6623358258576121E-2</v>
      </c>
      <c r="J36" s="183">
        <v>7.8089285234588593E-2</v>
      </c>
      <c r="K36" s="183">
        <v>8.5276217359708806E-2</v>
      </c>
      <c r="L36" s="183">
        <v>7.837326287561977E-2</v>
      </c>
      <c r="M36" s="183">
        <v>8.3406717362025748E-2</v>
      </c>
      <c r="N36" s="289">
        <v>9.2224220217156205E-2</v>
      </c>
      <c r="O36" s="289">
        <v>0.10548218598268196</v>
      </c>
      <c r="P36" s="289">
        <v>0.11613373024723909</v>
      </c>
      <c r="Q36" s="183">
        <v>9.3525686990915832E-2</v>
      </c>
      <c r="R36" s="183">
        <v>8.5334330838750347E-2</v>
      </c>
      <c r="S36" s="183">
        <v>7.9850597237794391E-2</v>
      </c>
      <c r="T36" s="183">
        <v>7.4135932228017259E-2</v>
      </c>
      <c r="U36" s="183">
        <v>6.8031619552033851E-2</v>
      </c>
      <c r="V36" s="183">
        <v>5.5453237932220817E-2</v>
      </c>
      <c r="W36" s="183">
        <v>5.6908712294032694E-2</v>
      </c>
      <c r="X36" s="183">
        <v>4.6236249960527769E-2</v>
      </c>
      <c r="Y36" s="183">
        <v>7.7244583660223534E-2</v>
      </c>
      <c r="Z36" s="183">
        <v>8.2794104045007297E-2</v>
      </c>
      <c r="AA36" s="183">
        <v>8.4649541018842228E-2</v>
      </c>
      <c r="AB36" s="183">
        <v>8.9538260014131288E-2</v>
      </c>
      <c r="AC36" s="183">
        <v>8.3743729216569932E-2</v>
      </c>
      <c r="AD36" s="183">
        <v>9.3523328535144334E-2</v>
      </c>
      <c r="AE36" s="183">
        <v>9.6092894098272083E-2</v>
      </c>
      <c r="AF36" s="183">
        <v>9.6345158810898765E-2</v>
      </c>
      <c r="AG36" s="183">
        <v>8.9884603087923717E-2</v>
      </c>
      <c r="AH36" s="183">
        <v>8.7469796502554695E-2</v>
      </c>
      <c r="AI36" s="183">
        <v>8.3382258717213567E-2</v>
      </c>
      <c r="AJ36" s="183">
        <v>8.0175119953500948E-2</v>
      </c>
      <c r="AK36" s="183">
        <v>8.7454996431445969E-2</v>
      </c>
      <c r="AL36" s="183">
        <v>7.5159923400991743E-2</v>
      </c>
      <c r="AM36" s="183">
        <v>7.397436459966808E-2</v>
      </c>
      <c r="AN36" s="183">
        <v>7.3793828699985561E-2</v>
      </c>
      <c r="AO36" s="183">
        <v>6.4930110084942302E-2</v>
      </c>
      <c r="AP36" s="183">
        <v>7.6976179256843358E-2</v>
      </c>
      <c r="AQ36" s="183">
        <v>8.9798368170894441E-2</v>
      </c>
      <c r="AR36" s="183">
        <v>0.10051496704970346</v>
      </c>
      <c r="AS36" s="183">
        <v>9.4243406028850937E-2</v>
      </c>
      <c r="AT36" s="183">
        <v>0.11708451823082563</v>
      </c>
      <c r="AU36" s="187">
        <v>0.13874476611078126</v>
      </c>
      <c r="AV36" s="187">
        <v>0.14429757722674313</v>
      </c>
      <c r="AW36" s="187">
        <v>0.14281693558414194</v>
      </c>
      <c r="AX36" s="187">
        <v>0.14023996957617801</v>
      </c>
      <c r="AY36" s="187">
        <v>0.14878806339607939</v>
      </c>
      <c r="AZ36" s="187">
        <v>0.14566469522664643</v>
      </c>
      <c r="BA36" s="187">
        <v>0.14528702302803828</v>
      </c>
      <c r="BB36" s="187">
        <v>0.14364917384385989</v>
      </c>
      <c r="BC36" s="187">
        <v>0.15477381798806553</v>
      </c>
      <c r="BD36" s="187">
        <v>0.15858202920007106</v>
      </c>
      <c r="BE36" s="187">
        <v>0.15972739469305414</v>
      </c>
      <c r="BF36" s="187">
        <v>0.15586504620722091</v>
      </c>
      <c r="BG36" s="187">
        <v>0.16262523224734318</v>
      </c>
      <c r="BH36" s="187">
        <v>0.15832807457776898</v>
      </c>
      <c r="BI36" s="187">
        <v>0.15296539754144148</v>
      </c>
      <c r="BJ36" s="187">
        <v>0.13892147074421446</v>
      </c>
      <c r="BK36" s="187"/>
      <c r="BL36" s="187"/>
    </row>
    <row r="37" spans="1:71" x14ac:dyDescent="0.4">
      <c r="A37" s="182" t="s">
        <v>118</v>
      </c>
      <c r="B37" s="183">
        <f>D37/E37-1</f>
        <v>7.4663700821591794E-2</v>
      </c>
      <c r="C37" s="183">
        <f t="shared" ref="C37:C46" si="13">D37/H37-1</f>
        <v>-1.8554392541803688E-2</v>
      </c>
      <c r="D37" s="183">
        <v>2.7768666839029E-2</v>
      </c>
      <c r="E37" s="183">
        <v>2.5839401496300249E-2</v>
      </c>
      <c r="F37" s="183">
        <v>2.5626083624385721E-2</v>
      </c>
      <c r="G37" s="183">
        <v>2.6948598767389476E-2</v>
      </c>
      <c r="H37" s="183">
        <v>2.8293638106900162E-2</v>
      </c>
      <c r="I37" s="183">
        <v>2.7566536495985255E-2</v>
      </c>
      <c r="J37" s="183">
        <v>2.6625329196878138E-2</v>
      </c>
      <c r="K37" s="183">
        <v>2.8791127209025207E-2</v>
      </c>
      <c r="L37" s="183">
        <v>3.0903474001664443E-2</v>
      </c>
      <c r="M37" s="183">
        <v>3.0857164171470386E-2</v>
      </c>
      <c r="N37" s="289">
        <v>3.0288066762643062E-2</v>
      </c>
      <c r="O37" s="289">
        <v>3.2774319502679228E-2</v>
      </c>
      <c r="P37" s="289">
        <v>3.600480536771606E-2</v>
      </c>
      <c r="Q37" s="183">
        <v>3.4616642856640505E-2</v>
      </c>
      <c r="R37" s="183">
        <v>3.2856032313439712E-2</v>
      </c>
      <c r="S37" s="183">
        <v>3.4075916032675471E-2</v>
      </c>
      <c r="T37" s="183">
        <v>3.4458014265458928E-2</v>
      </c>
      <c r="U37" s="183">
        <v>3.1564074618560388E-2</v>
      </c>
      <c r="V37" s="183">
        <v>2.9762931888233542E-2</v>
      </c>
      <c r="W37" s="183">
        <v>3.0161503494622113E-2</v>
      </c>
      <c r="X37" s="183">
        <v>3.1213706614990865E-2</v>
      </c>
      <c r="Y37" s="183">
        <v>3.1506393664032545E-2</v>
      </c>
      <c r="Z37" s="183">
        <v>2.9273840738482833E-2</v>
      </c>
      <c r="AA37" s="183">
        <v>3.1083528720075252E-2</v>
      </c>
      <c r="AB37" s="183">
        <v>3.3744567749055168E-2</v>
      </c>
      <c r="AC37" s="183">
        <v>3.1016372643385318E-2</v>
      </c>
      <c r="AD37" s="183">
        <v>3.0518664939571855E-2</v>
      </c>
      <c r="AE37" s="183">
        <v>3.0739290720367168E-2</v>
      </c>
      <c r="AF37" s="183">
        <v>3.2346917710336709E-2</v>
      </c>
      <c r="AG37" s="183">
        <v>3.2596676006481098E-2</v>
      </c>
      <c r="AH37" s="183">
        <v>3.0128689285722956E-2</v>
      </c>
      <c r="AI37" s="183">
        <v>3.0135801064970272E-2</v>
      </c>
      <c r="AJ37" s="183">
        <v>3.1622241283846358E-2</v>
      </c>
      <c r="AK37" s="183">
        <v>3.1678313463406209E-2</v>
      </c>
      <c r="AL37" s="183">
        <v>2.8647714792991989E-2</v>
      </c>
      <c r="AM37" s="183">
        <v>3.2481229823391557E-2</v>
      </c>
      <c r="AN37" s="183">
        <v>3.3752840413539785E-2</v>
      </c>
      <c r="AO37" s="183">
        <v>3.3460911643972177E-2</v>
      </c>
      <c r="AP37" s="183">
        <v>3.1007371903940099E-2</v>
      </c>
      <c r="AQ37" s="183">
        <v>3.3440582856518922E-2</v>
      </c>
      <c r="AR37" s="183">
        <v>3.7186387713488603E-2</v>
      </c>
      <c r="AS37" s="183">
        <v>3.6030005017845222E-2</v>
      </c>
      <c r="AT37" s="183">
        <v>3.4835105594320161E-2</v>
      </c>
      <c r="AU37" s="187">
        <v>3.7095235211358518E-2</v>
      </c>
      <c r="AV37" s="187">
        <v>4.0798532772598407E-2</v>
      </c>
      <c r="AW37" s="187">
        <v>4.1265993679064236E-2</v>
      </c>
      <c r="AX37" s="187">
        <v>3.8995660050487255E-2</v>
      </c>
      <c r="AY37" s="187">
        <v>4.0276772438138778E-2</v>
      </c>
      <c r="AZ37" s="187">
        <v>4.0913719634299621E-2</v>
      </c>
      <c r="BA37" s="187">
        <v>4.097217111927802E-2</v>
      </c>
      <c r="BB37" s="187">
        <v>3.6709427343915892E-2</v>
      </c>
      <c r="BC37" s="187">
        <v>3.8981001803059974E-2</v>
      </c>
      <c r="BD37" s="187">
        <v>3.9424532011474625E-2</v>
      </c>
      <c r="BE37" s="187">
        <v>3.911016868432185E-2</v>
      </c>
      <c r="BF37" s="187">
        <v>3.54531226217569E-2</v>
      </c>
      <c r="BG37" s="187">
        <v>3.8765249136000476E-2</v>
      </c>
      <c r="BH37" s="187">
        <v>3.9982609178748248E-2</v>
      </c>
      <c r="BI37" s="187">
        <v>3.9058401572542291E-2</v>
      </c>
      <c r="BJ37" s="187">
        <v>3.5288132340019915E-2</v>
      </c>
      <c r="BK37" s="187"/>
      <c r="BL37" s="187"/>
    </row>
    <row r="38" spans="1:71" x14ac:dyDescent="0.4">
      <c r="A38" s="182" t="s">
        <v>119</v>
      </c>
      <c r="B38" s="183">
        <f t="shared" ref="B38:B47" si="14">D38/E38-1</f>
        <v>3.3296463822220845E-2</v>
      </c>
      <c r="C38" s="183">
        <f t="shared" si="13"/>
        <v>-3.2560816066649179E-2</v>
      </c>
      <c r="D38" s="183">
        <v>9.7583433214074033E-2</v>
      </c>
      <c r="E38" s="183">
        <v>9.4438950127737314E-2</v>
      </c>
      <c r="F38" s="183">
        <v>9.3347748667042374E-2</v>
      </c>
      <c r="G38" s="183">
        <v>9.5531023100744766E-2</v>
      </c>
      <c r="H38" s="183">
        <v>0.10086777012413918</v>
      </c>
      <c r="I38" s="183">
        <v>0.1004412201119204</v>
      </c>
      <c r="J38" s="183">
        <v>0.10056843483450566</v>
      </c>
      <c r="K38" s="183">
        <v>9.9425859011865209E-2</v>
      </c>
      <c r="L38" s="183">
        <v>0.10166485294838194</v>
      </c>
      <c r="M38" s="183">
        <v>9.7972123732235974E-2</v>
      </c>
      <c r="N38" s="289">
        <v>9.8852413885737817E-2</v>
      </c>
      <c r="O38" s="289">
        <v>9.882173099810572E-2</v>
      </c>
      <c r="P38" s="289">
        <v>0.10212222694815899</v>
      </c>
      <c r="Q38" s="183">
        <v>9.7155051724844455E-2</v>
      </c>
      <c r="R38" s="183">
        <v>9.7483185225041083E-2</v>
      </c>
      <c r="S38" s="183">
        <v>0.10011310900364825</v>
      </c>
      <c r="T38" s="183">
        <v>0.10189609763620169</v>
      </c>
      <c r="U38" s="183">
        <v>9.8584875436341646E-2</v>
      </c>
      <c r="V38" s="183">
        <v>9.9162421461262015E-2</v>
      </c>
      <c r="W38" s="183">
        <v>9.9235431582183814E-2</v>
      </c>
      <c r="X38" s="183">
        <v>9.7170861562106997E-2</v>
      </c>
      <c r="Y38" s="183">
        <v>0.10771378535062316</v>
      </c>
      <c r="Z38" s="183">
        <v>0.10870543807625391</v>
      </c>
      <c r="AA38" s="183">
        <v>0.11168648204879406</v>
      </c>
      <c r="AB38" s="183">
        <v>0.11595548055805599</v>
      </c>
      <c r="AC38" s="183">
        <v>0.11528096340988091</v>
      </c>
      <c r="AD38" s="183">
        <v>0.11817815763928037</v>
      </c>
      <c r="AE38" s="183">
        <v>0.11906143549777848</v>
      </c>
      <c r="AF38" s="183">
        <v>0.12028578886027143</v>
      </c>
      <c r="AG38" s="183">
        <v>0.11699006587998377</v>
      </c>
      <c r="AH38" s="183">
        <v>0.11598856190909143</v>
      </c>
      <c r="AI38" s="183">
        <v>0.11954397498220924</v>
      </c>
      <c r="AJ38" s="183">
        <v>0.12069210989499138</v>
      </c>
      <c r="AK38" s="183">
        <v>0.12080166052558891</v>
      </c>
      <c r="AL38" s="183">
        <v>0.11631112985601054</v>
      </c>
      <c r="AM38" s="183">
        <v>0.11440951519888148</v>
      </c>
      <c r="AN38" s="183">
        <v>0.12117576280172412</v>
      </c>
      <c r="AO38" s="183">
        <v>0.11740380356301952</v>
      </c>
      <c r="AP38" s="183">
        <v>0.11841956051719464</v>
      </c>
      <c r="AQ38" s="183">
        <v>0.12141606279002728</v>
      </c>
      <c r="AR38" s="183">
        <v>0.11894779104904823</v>
      </c>
      <c r="AS38" s="183">
        <v>0.11630265200834079</v>
      </c>
      <c r="AT38" s="183">
        <v>0.11383995030022923</v>
      </c>
      <c r="AU38" s="187">
        <v>0.11348239827019015</v>
      </c>
      <c r="AV38" s="187">
        <v>0.11219613940335088</v>
      </c>
      <c r="AW38" s="187">
        <v>0.10938042041686237</v>
      </c>
      <c r="AX38" s="187">
        <v>0.11240604833535871</v>
      </c>
      <c r="AY38" s="187">
        <v>0.1141373785152088</v>
      </c>
      <c r="AZ38" s="187">
        <v>0.11159181579255008</v>
      </c>
      <c r="BA38" s="187">
        <v>0.10781330656989148</v>
      </c>
      <c r="BB38" s="187">
        <v>0.10636484198276594</v>
      </c>
      <c r="BC38" s="187">
        <v>0.11185800470593746</v>
      </c>
      <c r="BD38" s="187">
        <v>0.1181421899709814</v>
      </c>
      <c r="BE38" s="187">
        <v>0.11368922611246453</v>
      </c>
      <c r="BF38" s="187">
        <v>0.1147884859859994</v>
      </c>
      <c r="BG38" s="187">
        <v>0.11516659002686649</v>
      </c>
      <c r="BH38" s="187">
        <v>0.11378936542229785</v>
      </c>
      <c r="BI38" s="187">
        <v>0.11051253604858326</v>
      </c>
      <c r="BJ38" s="187">
        <v>0.11562202855442059</v>
      </c>
      <c r="BK38" s="187"/>
      <c r="BL38" s="187"/>
    </row>
    <row r="39" spans="1:71" x14ac:dyDescent="0.4">
      <c r="A39" s="182" t="s">
        <v>120</v>
      </c>
      <c r="B39" s="183">
        <f t="shared" si="14"/>
        <v>6.9451224465445716E-2</v>
      </c>
      <c r="C39" s="183">
        <f t="shared" si="13"/>
        <v>-9.9556828485947158E-4</v>
      </c>
      <c r="D39" s="183">
        <v>0.1212751639361294</v>
      </c>
      <c r="E39" s="183">
        <v>0.11339943436573982</v>
      </c>
      <c r="F39" s="183">
        <v>0.12357251519039925</v>
      </c>
      <c r="G39" s="183">
        <v>0.12012061816163271</v>
      </c>
      <c r="H39" s="183">
        <v>0.12139602196550636</v>
      </c>
      <c r="I39" s="183">
        <v>0.11582158571855657</v>
      </c>
      <c r="J39" s="183">
        <v>0.12376215597213724</v>
      </c>
      <c r="K39" s="183">
        <v>0.12265840129327912</v>
      </c>
      <c r="L39" s="183">
        <v>0.12416950019020795</v>
      </c>
      <c r="M39" s="183">
        <v>0.11621345344989149</v>
      </c>
      <c r="N39" s="289">
        <v>0.13706918483697403</v>
      </c>
      <c r="O39" s="289">
        <v>0.13143476448091274</v>
      </c>
      <c r="P39" s="289">
        <v>0.13230263559881061</v>
      </c>
      <c r="Q39" s="183">
        <v>0.12778459073604351</v>
      </c>
      <c r="R39" s="183">
        <v>0.13566604178783911</v>
      </c>
      <c r="S39" s="183">
        <v>0.13149204193725655</v>
      </c>
      <c r="T39" s="183">
        <v>0.13272203813406847</v>
      </c>
      <c r="U39" s="183">
        <v>0.13254136144156578</v>
      </c>
      <c r="V39" s="183">
        <v>0.13948523965661314</v>
      </c>
      <c r="W39" s="183">
        <v>0.13287093917458009</v>
      </c>
      <c r="X39" s="183">
        <v>0.1221233122983405</v>
      </c>
      <c r="Y39" s="183">
        <v>0.12414051580462104</v>
      </c>
      <c r="Z39" s="183">
        <v>0.13129807802726001</v>
      </c>
      <c r="AA39" s="183">
        <v>0.12710943140650316</v>
      </c>
      <c r="AB39" s="183">
        <v>0.12728815699417714</v>
      </c>
      <c r="AC39" s="183">
        <v>0.12453555503960148</v>
      </c>
      <c r="AD39" s="183">
        <v>0.13643592289150791</v>
      </c>
      <c r="AE39" s="183">
        <v>0.12626137883645794</v>
      </c>
      <c r="AF39" s="183">
        <v>0.15210666231163564</v>
      </c>
      <c r="AG39" s="183">
        <v>0.15409377203004518</v>
      </c>
      <c r="AH39" s="183">
        <v>0.16262043095418824</v>
      </c>
      <c r="AI39" s="183">
        <v>0.15406342088335917</v>
      </c>
      <c r="AJ39" s="183">
        <v>0.16063695396544367</v>
      </c>
      <c r="AK39" s="183">
        <v>0.16142374874963095</v>
      </c>
      <c r="AL39" s="183">
        <v>0.16794837593158382</v>
      </c>
      <c r="AM39" s="183">
        <v>0.16483830309060341</v>
      </c>
      <c r="AN39" s="183">
        <v>0.16357668015869065</v>
      </c>
      <c r="AO39" s="183">
        <v>0.16233030879795432</v>
      </c>
      <c r="AP39" s="183">
        <v>0.16713120536996917</v>
      </c>
      <c r="AQ39" s="183">
        <v>0.15731684820018332</v>
      </c>
      <c r="AR39" s="183">
        <v>0.15671235639579173</v>
      </c>
      <c r="AS39" s="183">
        <v>0.15167951152023509</v>
      </c>
      <c r="AT39" s="183">
        <v>0.15574534359591605</v>
      </c>
      <c r="AU39" s="187">
        <v>0.14629941997448687</v>
      </c>
      <c r="AV39" s="187">
        <v>0.14524770916242991</v>
      </c>
      <c r="AW39" s="187">
        <v>0.14354022341391426</v>
      </c>
      <c r="AX39" s="187">
        <v>0.15093087192246452</v>
      </c>
      <c r="AY39" s="187">
        <v>0.14377515695562912</v>
      </c>
      <c r="AZ39" s="187">
        <v>0.14170816749805148</v>
      </c>
      <c r="BA39" s="187">
        <v>0.13013528783354433</v>
      </c>
      <c r="BB39" s="187">
        <v>0.1359224482392003</v>
      </c>
      <c r="BC39" s="187">
        <v>0.12626775450895228</v>
      </c>
      <c r="BD39" s="187">
        <v>0.12593544909140719</v>
      </c>
      <c r="BE39" s="187">
        <v>0.12327404171207389</v>
      </c>
      <c r="BF39" s="187">
        <v>0.13226878090145411</v>
      </c>
      <c r="BG39" s="187">
        <v>0.12278893454937105</v>
      </c>
      <c r="BH39" s="187">
        <v>0.12537061159875382</v>
      </c>
      <c r="BI39" s="187">
        <v>0.12578426869824</v>
      </c>
      <c r="BJ39" s="187">
        <v>0.13342093735350413</v>
      </c>
      <c r="BK39" s="187"/>
      <c r="BL39" s="187"/>
    </row>
    <row r="40" spans="1:71" x14ac:dyDescent="0.4">
      <c r="A40" s="182" t="s">
        <v>121</v>
      </c>
      <c r="B40" s="183">
        <f t="shared" si="14"/>
        <v>-7.1373074941571968E-3</v>
      </c>
      <c r="C40" s="183">
        <f t="shared" si="13"/>
        <v>-1.4568399219920258E-2</v>
      </c>
      <c r="D40" s="183">
        <v>0.10809277010270267</v>
      </c>
      <c r="E40" s="183">
        <v>0.10886980739490981</v>
      </c>
      <c r="F40" s="183">
        <v>0.11045410482195389</v>
      </c>
      <c r="G40" s="183">
        <v>0.11225441947946294</v>
      </c>
      <c r="H40" s="183">
        <v>0.10969078931215023</v>
      </c>
      <c r="I40" s="183">
        <v>0.1131283248232292</v>
      </c>
      <c r="J40" s="183">
        <v>0.11401746196194304</v>
      </c>
      <c r="K40" s="183">
        <v>0.11864751161634174</v>
      </c>
      <c r="L40" s="183">
        <v>0.11303023681834073</v>
      </c>
      <c r="M40" s="183">
        <v>0.11484120480725067</v>
      </c>
      <c r="N40" s="289">
        <v>9.9639346154671862E-2</v>
      </c>
      <c r="O40" s="289">
        <v>0.10328179205985448</v>
      </c>
      <c r="P40" s="289">
        <v>9.9866045682157123E-2</v>
      </c>
      <c r="Q40" s="183">
        <v>0.1008919042877249</v>
      </c>
      <c r="R40" s="183">
        <v>9.9793548773590701E-2</v>
      </c>
      <c r="S40" s="183">
        <v>0.1054613813463586</v>
      </c>
      <c r="T40" s="183">
        <v>0.10159025854698575</v>
      </c>
      <c r="U40" s="183">
        <v>0.10470883539504973</v>
      </c>
      <c r="V40" s="183">
        <v>0.10523555681066404</v>
      </c>
      <c r="W40" s="183">
        <v>0.11157771364911959</v>
      </c>
      <c r="X40" s="183">
        <v>0.11376101754986657</v>
      </c>
      <c r="Y40" s="183">
        <v>0.11345552491681853</v>
      </c>
      <c r="Z40" s="183">
        <v>0.10236298904388975</v>
      </c>
      <c r="AA40" s="183">
        <v>0.10579012353706159</v>
      </c>
      <c r="AB40" s="183">
        <v>0.10147659679446459</v>
      </c>
      <c r="AC40" s="183">
        <v>0.10392435692118847</v>
      </c>
      <c r="AD40" s="183">
        <v>0.10336497661089167</v>
      </c>
      <c r="AE40" s="183">
        <v>0.10422087040791619</v>
      </c>
      <c r="AF40" s="183">
        <v>0.10275037118553207</v>
      </c>
      <c r="AG40" s="183">
        <v>0.12242754710248958</v>
      </c>
      <c r="AH40" s="183">
        <v>0.12291750693226877</v>
      </c>
      <c r="AI40" s="183">
        <v>0.12883857567892343</v>
      </c>
      <c r="AJ40" s="183">
        <v>0.12584142620414079</v>
      </c>
      <c r="AK40" s="183">
        <v>0.12736480461849392</v>
      </c>
      <c r="AL40" s="183">
        <v>0.12879002025713659</v>
      </c>
      <c r="AM40" s="183">
        <v>0.13012566100883802</v>
      </c>
      <c r="AN40" s="183">
        <v>0.1288515091251704</v>
      </c>
      <c r="AO40" s="183">
        <v>0.13407632939990374</v>
      </c>
      <c r="AP40" s="183">
        <v>0.13062737182143497</v>
      </c>
      <c r="AQ40" s="183">
        <v>0.13080655038229377</v>
      </c>
      <c r="AR40" s="183">
        <v>0.1281588372294184</v>
      </c>
      <c r="AS40" s="183">
        <v>0.13083613535847147</v>
      </c>
      <c r="AT40" s="183">
        <v>0.13187224376661691</v>
      </c>
      <c r="AU40" s="187">
        <v>0.13016042832933691</v>
      </c>
      <c r="AV40" s="187">
        <v>0.1286030657241671</v>
      </c>
      <c r="AW40" s="187">
        <v>0.13182436782894932</v>
      </c>
      <c r="AX40" s="187">
        <v>0.13296940067819854</v>
      </c>
      <c r="AY40" s="187">
        <v>0.13307150400488116</v>
      </c>
      <c r="AZ40" s="187">
        <v>0.1305933080018605</v>
      </c>
      <c r="BA40" s="187">
        <v>0.13512376159513653</v>
      </c>
      <c r="BB40" s="187">
        <v>0.1442758009021107</v>
      </c>
      <c r="BC40" s="187">
        <v>0.1369415040797623</v>
      </c>
      <c r="BD40" s="187">
        <v>0.13465902463834281</v>
      </c>
      <c r="BE40" s="187">
        <v>0.13780522122387617</v>
      </c>
      <c r="BF40" s="187">
        <v>0.1402123171327205</v>
      </c>
      <c r="BG40" s="187">
        <v>0.13808551287602838</v>
      </c>
      <c r="BH40" s="187">
        <v>0.13917290683996647</v>
      </c>
      <c r="BI40" s="187">
        <v>0.13889063059434842</v>
      </c>
      <c r="BJ40" s="187">
        <v>0.14220643614417786</v>
      </c>
      <c r="BK40" s="187"/>
      <c r="BL40" s="187"/>
    </row>
    <row r="41" spans="1:71" x14ac:dyDescent="0.4">
      <c r="A41" s="182" t="s">
        <v>122</v>
      </c>
      <c r="B41" s="183">
        <f t="shared" si="14"/>
        <v>4.5475659327691709E-3</v>
      </c>
      <c r="C41" s="183">
        <f t="shared" si="13"/>
        <v>4.8759435342823343E-2</v>
      </c>
      <c r="D41" s="183">
        <v>0.20560960435016676</v>
      </c>
      <c r="E41" s="183">
        <v>0.20467881394869408</v>
      </c>
      <c r="F41" s="183">
        <v>0.19874706196184591</v>
      </c>
      <c r="G41" s="183">
        <v>0.19801029763741779</v>
      </c>
      <c r="H41" s="183">
        <v>0.19605030231070689</v>
      </c>
      <c r="I41" s="183">
        <v>0.19590315625252158</v>
      </c>
      <c r="J41" s="183">
        <v>0.19130495158224278</v>
      </c>
      <c r="K41" s="183">
        <v>0.19315119463018712</v>
      </c>
      <c r="L41" s="183">
        <v>0.19488843206170575</v>
      </c>
      <c r="M41" s="183">
        <v>0.19450034289407583</v>
      </c>
      <c r="N41" s="289">
        <v>0.18810642546840997</v>
      </c>
      <c r="O41" s="289">
        <v>0.18902055377831095</v>
      </c>
      <c r="P41" s="289">
        <v>0.19397384736973045</v>
      </c>
      <c r="Q41" s="183">
        <v>0.19979568510660817</v>
      </c>
      <c r="R41" s="183">
        <v>0.19144012992973394</v>
      </c>
      <c r="S41" s="183">
        <v>0.19787725969617395</v>
      </c>
      <c r="T41" s="183">
        <v>0.19621380315388851</v>
      </c>
      <c r="U41" s="183">
        <v>0.19584183911929737</v>
      </c>
      <c r="V41" s="183">
        <v>0.19595310026522156</v>
      </c>
      <c r="W41" s="183">
        <v>0.20240373338823936</v>
      </c>
      <c r="X41" s="183">
        <v>0.20470292224602069</v>
      </c>
      <c r="Y41" s="183">
        <v>0.1999893498500068</v>
      </c>
      <c r="Z41" s="183">
        <v>0.17903183547180296</v>
      </c>
      <c r="AA41" s="183">
        <v>0.18320474228317699</v>
      </c>
      <c r="AB41" s="183">
        <v>0.18258114294122529</v>
      </c>
      <c r="AC41" s="183">
        <v>0.18240410846474167</v>
      </c>
      <c r="AD41" s="183">
        <v>0.16904788001464935</v>
      </c>
      <c r="AE41" s="183">
        <v>0.17681914892021897</v>
      </c>
      <c r="AF41" s="183">
        <v>0.17704861638014524</v>
      </c>
      <c r="AG41" s="183">
        <v>0.16085607717222872</v>
      </c>
      <c r="AH41" s="183">
        <v>0.15754903065950565</v>
      </c>
      <c r="AI41" s="183">
        <v>0.16140365271730833</v>
      </c>
      <c r="AJ41" s="183">
        <v>0.16446938698842903</v>
      </c>
      <c r="AK41" s="183">
        <v>0.16561194202285068</v>
      </c>
      <c r="AL41" s="183">
        <v>0.16119947336806018</v>
      </c>
      <c r="AM41" s="183">
        <v>0.16256520631176682</v>
      </c>
      <c r="AN41" s="183">
        <v>0.16473210758775012</v>
      </c>
      <c r="AO41" s="183">
        <v>0.16629413019671646</v>
      </c>
      <c r="AP41" s="183">
        <v>0.15677618967554452</v>
      </c>
      <c r="AQ41" s="183">
        <v>0.1527246732982333</v>
      </c>
      <c r="AR41" s="183">
        <v>0.15102280762729611</v>
      </c>
      <c r="AS41" s="183">
        <v>0.14752488807623571</v>
      </c>
      <c r="AT41" s="183">
        <v>0.13537623478115543</v>
      </c>
      <c r="AU41" s="187">
        <v>0.13244752428054773</v>
      </c>
      <c r="AV41" s="187">
        <v>0.1326652284394442</v>
      </c>
      <c r="AW41" s="187">
        <v>0.12771521331915625</v>
      </c>
      <c r="AX41" s="187">
        <v>0.12443515277011502</v>
      </c>
      <c r="AY41" s="187">
        <v>0.12416150006242449</v>
      </c>
      <c r="AZ41" s="187">
        <v>0.12336250247147476</v>
      </c>
      <c r="BA41" s="187">
        <v>0.12369220317205321</v>
      </c>
      <c r="BB41" s="187">
        <v>0.11706540755105746</v>
      </c>
      <c r="BC41" s="187">
        <v>0.12023612682796632</v>
      </c>
      <c r="BD41" s="187">
        <v>0.12222167374636009</v>
      </c>
      <c r="BE41" s="187">
        <v>0.12222964862710667</v>
      </c>
      <c r="BF41" s="187">
        <v>0.12057736576449052</v>
      </c>
      <c r="BG41" s="187">
        <v>0.12056624178541192</v>
      </c>
      <c r="BH41" s="187">
        <v>0.12152689121974707</v>
      </c>
      <c r="BI41" s="187">
        <v>0.1245762398706845</v>
      </c>
      <c r="BJ41" s="187">
        <v>0.12200013759655715</v>
      </c>
      <c r="BK41" s="187"/>
      <c r="BL41" s="187"/>
    </row>
    <row r="42" spans="1:71" x14ac:dyDescent="0.4">
      <c r="A42" s="182" t="s">
        <v>123</v>
      </c>
      <c r="B42" s="183">
        <f>D42/E42-1</f>
        <v>-5.4731494757389698E-2</v>
      </c>
      <c r="C42" s="183">
        <f t="shared" si="13"/>
        <v>-9.0929156027836355E-2</v>
      </c>
      <c r="D42" s="183">
        <v>0.14678041304121059</v>
      </c>
      <c r="E42" s="183">
        <v>0.1552790685684998</v>
      </c>
      <c r="F42" s="183">
        <v>0.15281185834689393</v>
      </c>
      <c r="G42" s="183">
        <v>0.15998912961560083</v>
      </c>
      <c r="H42" s="183">
        <v>0.16146201807535376</v>
      </c>
      <c r="I42" s="183">
        <v>0.16270249892413233</v>
      </c>
      <c r="J42" s="183">
        <v>0.15674699047966281</v>
      </c>
      <c r="K42" s="183">
        <v>0.14616413913366669</v>
      </c>
      <c r="L42" s="183">
        <v>0.15837589399768504</v>
      </c>
      <c r="M42" s="183">
        <v>0.15552865136079777</v>
      </c>
      <c r="N42" s="289">
        <v>0.13243151090560126</v>
      </c>
      <c r="O42" s="289">
        <v>0.12127002229440961</v>
      </c>
      <c r="P42" s="289">
        <v>9.9184002093169812E-2</v>
      </c>
      <c r="Q42" s="183">
        <v>0.11476829824067096</v>
      </c>
      <c r="R42" s="183">
        <v>0.12411639053348467</v>
      </c>
      <c r="S42" s="183">
        <v>0.12221413660557685</v>
      </c>
      <c r="T42" s="183">
        <v>0.13050720579996408</v>
      </c>
      <c r="U42" s="183">
        <v>0.13226094684466466</v>
      </c>
      <c r="V42" s="183">
        <v>0.13462538959762418</v>
      </c>
      <c r="W42" s="183">
        <v>0.13938655081769577</v>
      </c>
      <c r="X42" s="183">
        <v>0.15282471783179416</v>
      </c>
      <c r="Y42" s="183">
        <v>0.11877629749862628</v>
      </c>
      <c r="Z42" s="183">
        <v>0.13889793849388166</v>
      </c>
      <c r="AA42" s="183">
        <v>0.13969706303751275</v>
      </c>
      <c r="AB42" s="183">
        <v>0.14160972436815489</v>
      </c>
      <c r="AC42" s="183">
        <v>0.14635892397331698</v>
      </c>
      <c r="AD42" s="183">
        <v>0.12392382785267786</v>
      </c>
      <c r="AE42" s="183">
        <v>0.1395248038174744</v>
      </c>
      <c r="AF42" s="183">
        <v>0.13873684190491914</v>
      </c>
      <c r="AG42" s="183">
        <v>0.13475394359590184</v>
      </c>
      <c r="AH42" s="183">
        <v>0.12874971614049766</v>
      </c>
      <c r="AI42" s="183">
        <v>0.13773383404599929</v>
      </c>
      <c r="AJ42" s="183">
        <v>0.1369707959569664</v>
      </c>
      <c r="AK42" s="183">
        <v>0.1260482299960155</v>
      </c>
      <c r="AL42" s="183">
        <v>0.1288434011259906</v>
      </c>
      <c r="AM42" s="183">
        <v>0.13729912646084497</v>
      </c>
      <c r="AN42" s="183">
        <v>0.14394795487118886</v>
      </c>
      <c r="AO42" s="183">
        <v>0.14260032775481679</v>
      </c>
      <c r="AP42" s="183">
        <v>0.13533246240378474</v>
      </c>
      <c r="AQ42" s="183">
        <v>0.13810462651512725</v>
      </c>
      <c r="AR42" s="183">
        <v>0.13948866816144617</v>
      </c>
      <c r="AS42" s="183">
        <v>0.14218643851813742</v>
      </c>
      <c r="AT42" s="183">
        <v>0.12757127870822724</v>
      </c>
      <c r="AU42" s="187">
        <v>0.13093174140241132</v>
      </c>
      <c r="AV42" s="187">
        <v>0.13143349366380663</v>
      </c>
      <c r="AW42" s="187">
        <v>0.13317521054982878</v>
      </c>
      <c r="AX42" s="187">
        <v>0.12897051802523576</v>
      </c>
      <c r="AY42" s="187">
        <v>0.13021989712900106</v>
      </c>
      <c r="AZ42" s="187">
        <v>0.13565249677758329</v>
      </c>
      <c r="BA42" s="187">
        <v>0.13905789767778234</v>
      </c>
      <c r="BB42" s="187">
        <v>0.14141933727605924</v>
      </c>
      <c r="BC42" s="187">
        <v>0.1359301139297808</v>
      </c>
      <c r="BD42" s="187">
        <v>0.13082379679156525</v>
      </c>
      <c r="BE42" s="187">
        <v>0.13112598213013321</v>
      </c>
      <c r="BF42" s="187">
        <v>0.12390867797592958</v>
      </c>
      <c r="BG42" s="187">
        <v>0.13022567338942884</v>
      </c>
      <c r="BH42" s="187">
        <v>0.13609038004700508</v>
      </c>
      <c r="BI42" s="187">
        <v>0.13638780797416744</v>
      </c>
      <c r="BJ42" s="187">
        <v>0.14018241971484496</v>
      </c>
      <c r="BK42" s="187"/>
      <c r="BL42" s="187"/>
    </row>
    <row r="43" spans="1:71" x14ac:dyDescent="0.4">
      <c r="A43" s="182" t="s">
        <v>124</v>
      </c>
      <c r="B43" s="183">
        <f t="shared" si="14"/>
        <v>3.2687995136675418E-3</v>
      </c>
      <c r="C43" s="183">
        <f t="shared" si="13"/>
        <v>0.14316399832929627</v>
      </c>
      <c r="D43" s="183">
        <v>0.11548451593451363</v>
      </c>
      <c r="E43" s="183">
        <v>0.11510825014242894</v>
      </c>
      <c r="F43" s="183">
        <v>0.1181288724701457</v>
      </c>
      <c r="G43" s="183">
        <v>0.10800055838801825</v>
      </c>
      <c r="H43" s="183">
        <v>0.10102182722976859</v>
      </c>
      <c r="I43" s="183">
        <v>0.10157099456379635</v>
      </c>
      <c r="J43" s="183">
        <v>0.10433888561123529</v>
      </c>
      <c r="K43" s="183">
        <v>9.6706931181344935E-2</v>
      </c>
      <c r="L43" s="183">
        <v>9.4798325825730792E-2</v>
      </c>
      <c r="M43" s="183">
        <v>9.6866601709774458E-2</v>
      </c>
      <c r="N43" s="289">
        <v>0.11172342923540797</v>
      </c>
      <c r="O43" s="289">
        <v>0.10803005003799512</v>
      </c>
      <c r="P43" s="289">
        <v>0.11105421569228086</v>
      </c>
      <c r="Q43" s="183">
        <v>0.11773582467777513</v>
      </c>
      <c r="R43" s="183">
        <v>0.11901845467582664</v>
      </c>
      <c r="S43" s="183">
        <v>0.11458339147575342</v>
      </c>
      <c r="T43" s="183">
        <v>0.11492224985340765</v>
      </c>
      <c r="U43" s="183">
        <v>0.11935795464982557</v>
      </c>
      <c r="V43" s="183">
        <v>0.12478016963800652</v>
      </c>
      <c r="W43" s="183">
        <v>0.11162193500799021</v>
      </c>
      <c r="X43" s="183">
        <v>0.11710737001726654</v>
      </c>
      <c r="Y43" s="183">
        <v>0.10922776713423421</v>
      </c>
      <c r="Z43" s="183">
        <v>0.11310770221728944</v>
      </c>
      <c r="AA43" s="183">
        <v>0.10323314548109545</v>
      </c>
      <c r="AB43" s="183">
        <v>9.9152447305219521E-2</v>
      </c>
      <c r="AC43" s="183">
        <v>0.10025768931356133</v>
      </c>
      <c r="AD43" s="183">
        <v>0.11024462545852244</v>
      </c>
      <c r="AE43" s="183">
        <v>0.10299459356602826</v>
      </c>
      <c r="AF43" s="183">
        <v>0.11675487834871463</v>
      </c>
      <c r="AG43" s="183">
        <v>0.11989907048197845</v>
      </c>
      <c r="AH43" s="183">
        <v>0.12851209618435006</v>
      </c>
      <c r="AI43" s="183">
        <v>0.11467473538289735</v>
      </c>
      <c r="AJ43" s="183">
        <v>0.11150820474677876</v>
      </c>
      <c r="AK43" s="183">
        <v>0.11132364762733624</v>
      </c>
      <c r="AL43" s="183">
        <v>0.12233788678936798</v>
      </c>
      <c r="AM43" s="183">
        <v>0.10871798581184235</v>
      </c>
      <c r="AN43" s="183">
        <v>0.10850758484368005</v>
      </c>
      <c r="AO43" s="183">
        <v>0.11248982399927161</v>
      </c>
      <c r="AP43" s="183">
        <v>0.12170025805147848</v>
      </c>
      <c r="AQ43" s="183">
        <v>0.11006900207297861</v>
      </c>
      <c r="AR43" s="183">
        <v>0.10856175867746823</v>
      </c>
      <c r="AS43" s="183">
        <v>0.11376017122915984</v>
      </c>
      <c r="AT43" s="183">
        <v>0.12255621465358327</v>
      </c>
      <c r="AU43" s="187">
        <v>0.10929316494555597</v>
      </c>
      <c r="AV43" s="187">
        <v>0.10683092106731937</v>
      </c>
      <c r="AW43" s="187">
        <v>0.10496935273810323</v>
      </c>
      <c r="AX43" s="187">
        <v>0.11109265755071164</v>
      </c>
      <c r="AY43" s="187">
        <v>0.10135802998093128</v>
      </c>
      <c r="AZ43" s="187">
        <v>0.10644006076775095</v>
      </c>
      <c r="BA43" s="187">
        <v>0.11106066422931031</v>
      </c>
      <c r="BB43" s="187">
        <v>0.11229884740889522</v>
      </c>
      <c r="BC43" s="187">
        <v>0.10718694712358073</v>
      </c>
      <c r="BD43" s="187">
        <v>0.10718313795122013</v>
      </c>
      <c r="BE43" s="187">
        <v>0.1078763083638003</v>
      </c>
      <c r="BF43" s="187">
        <v>0.11224383750523038</v>
      </c>
      <c r="BG43" s="187">
        <v>0.10252121057457943</v>
      </c>
      <c r="BH43" s="187">
        <v>0.10044563651524042</v>
      </c>
      <c r="BI43" s="187">
        <v>0.10097545389627545</v>
      </c>
      <c r="BJ43" s="187">
        <v>0.1048854711190837</v>
      </c>
      <c r="BK43" s="187"/>
      <c r="BL43" s="187"/>
    </row>
    <row r="44" spans="1:71" x14ac:dyDescent="0.4">
      <c r="A44" s="182" t="s">
        <v>392</v>
      </c>
      <c r="B44" s="183">
        <f t="shared" si="14"/>
        <v>1.5708077705501866E-2</v>
      </c>
      <c r="C44" s="183">
        <f t="shared" si="13"/>
        <v>4.4302195108968156E-2</v>
      </c>
      <c r="D44" s="183">
        <v>7.1451670838638681E-2</v>
      </c>
      <c r="E44" s="183">
        <v>7.0346660036463393E-2</v>
      </c>
      <c r="F44" s="183">
        <v>7.2718118000062781E-2</v>
      </c>
      <c r="G44" s="183">
        <v>6.8532650348393259E-2</v>
      </c>
      <c r="H44" s="183">
        <v>6.8420492816433295E-2</v>
      </c>
      <c r="I44" s="183">
        <v>6.9134940270897463E-2</v>
      </c>
      <c r="J44" s="183">
        <v>7.0996984725807441E-2</v>
      </c>
      <c r="K44" s="183">
        <v>7.0058853984048694E-2</v>
      </c>
      <c r="L44" s="183">
        <v>6.9542789565649535E-2</v>
      </c>
      <c r="M44" s="183">
        <v>6.9425467824674486E-2</v>
      </c>
      <c r="N44" s="289">
        <v>7.3385258960504532E-2</v>
      </c>
      <c r="O44" s="289">
        <v>6.9937384257521995E-2</v>
      </c>
      <c r="P44" s="289">
        <v>7.3801668719626026E-2</v>
      </c>
      <c r="Q44" s="183">
        <v>7.601809137351502E-2</v>
      </c>
      <c r="R44" s="183">
        <v>7.9883703438661968E-2</v>
      </c>
      <c r="S44" s="183">
        <v>7.8552888429631637E-2</v>
      </c>
      <c r="T44" s="183">
        <v>8.0377856774918766E-2</v>
      </c>
      <c r="U44" s="183">
        <v>8.0392374612172718E-2</v>
      </c>
      <c r="V44" s="183">
        <v>8.2975820018032595E-2</v>
      </c>
      <c r="W44" s="183">
        <v>7.8652752498990314E-2</v>
      </c>
      <c r="X44" s="183">
        <v>7.8728485998326769E-2</v>
      </c>
      <c r="Y44" s="183">
        <v>8.0122503513801319E-2</v>
      </c>
      <c r="Z44" s="183">
        <v>7.9833692761502151E-2</v>
      </c>
      <c r="AA44" s="183">
        <v>7.545751765739829E-2</v>
      </c>
      <c r="AB44" s="183">
        <v>7.4345377581253161E-2</v>
      </c>
      <c r="AC44" s="183">
        <v>7.3629278025299894E-2</v>
      </c>
      <c r="AD44" s="183">
        <v>7.7096184921899916E-2</v>
      </c>
      <c r="AE44" s="183">
        <v>7.0366048680588142E-2</v>
      </c>
      <c r="AF44" s="183">
        <v>2.6997368026239133E-2</v>
      </c>
      <c r="AG44" s="183">
        <v>2.756121262818205E-2</v>
      </c>
      <c r="AH44" s="183">
        <v>2.8659693841380139E-2</v>
      </c>
      <c r="AI44" s="183">
        <v>2.9255509266266688E-2</v>
      </c>
      <c r="AJ44" s="183">
        <v>2.9529500530045823E-2</v>
      </c>
      <c r="AK44" s="183">
        <v>2.9601212770538631E-2</v>
      </c>
      <c r="AL44" s="183">
        <v>3.1840853603214321E-2</v>
      </c>
      <c r="AM44" s="183">
        <v>3.196761815925183E-2</v>
      </c>
      <c r="AN44" s="183">
        <v>3.2318106965250996E-2</v>
      </c>
      <c r="AO44" s="183">
        <v>3.3535716809298191E-2</v>
      </c>
      <c r="AP44" s="183">
        <v>3.3174678438464E-2</v>
      </c>
      <c r="AQ44" s="183">
        <v>3.1962584198654075E-2</v>
      </c>
      <c r="AR44" s="183">
        <v>2.927515737635894E-2</v>
      </c>
      <c r="AS44" s="183">
        <v>3.0398259665474069E-2</v>
      </c>
      <c r="AT44" s="183">
        <v>2.8951556791360439E-2</v>
      </c>
      <c r="AU44" s="187">
        <v>2.7523767947745779E-2</v>
      </c>
      <c r="AV44" s="187">
        <v>2.7434871395382279E-2</v>
      </c>
      <c r="AW44" s="187">
        <v>2.8213399958758885E-2</v>
      </c>
      <c r="AX44" s="187">
        <v>2.7966068379340805E-2</v>
      </c>
      <c r="AY44" s="187">
        <v>2.8336713098118031E-2</v>
      </c>
      <c r="AZ44" s="187">
        <v>3.1870229051498986E-2</v>
      </c>
      <c r="BA44" s="187">
        <v>3.2604920548892212E-2</v>
      </c>
      <c r="BB44" s="187">
        <v>3.1387817354631233E-2</v>
      </c>
      <c r="BC44" s="187">
        <v>3.2565768879540394E-2</v>
      </c>
      <c r="BD44" s="187">
        <v>3.2192093235758903E-2</v>
      </c>
      <c r="BE44" s="187">
        <v>3.2174585165092119E-2</v>
      </c>
      <c r="BF44" s="187">
        <v>3.1789672447176363E-2</v>
      </c>
      <c r="BG44" s="187">
        <v>3.1475920543773343E-2</v>
      </c>
      <c r="BH44" s="187">
        <v>3.1538728043227805E-2</v>
      </c>
      <c r="BI44" s="187">
        <v>3.2810844133557622E-2</v>
      </c>
      <c r="BJ44" s="187">
        <v>3.2370247939466842E-2</v>
      </c>
      <c r="BK44" s="187"/>
      <c r="BL44" s="187"/>
    </row>
    <row r="45" spans="1:71" x14ac:dyDescent="0.4">
      <c r="A45" s="182" t="s">
        <v>125</v>
      </c>
      <c r="B45" s="183">
        <f t="shared" si="14"/>
        <v>-0.16654975200186628</v>
      </c>
      <c r="C45" s="183">
        <f t="shared" si="13"/>
        <v>1.0044805835003778E-2</v>
      </c>
      <c r="D45" s="183">
        <v>2.4761614511828373E-2</v>
      </c>
      <c r="E45" s="183">
        <v>2.9709769204944576E-2</v>
      </c>
      <c r="F45" s="183">
        <v>2.4489070725115938E-2</v>
      </c>
      <c r="G45" s="183">
        <v>2.7441837879180222E-2</v>
      </c>
      <c r="H45" s="183">
        <v>2.4515362455983278E-2</v>
      </c>
      <c r="I45" s="183">
        <v>2.710018582796862E-2</v>
      </c>
      <c r="J45" s="183">
        <v>2.4639940634992627E-2</v>
      </c>
      <c r="K45" s="183">
        <v>2.7398547275985719E-2</v>
      </c>
      <c r="L45" s="183">
        <v>2.4242088803464359E-2</v>
      </c>
      <c r="M45" s="183">
        <v>3.0777273971583904E-2</v>
      </c>
      <c r="N45" s="289">
        <v>2.8289013634531974E-2</v>
      </c>
      <c r="O45" s="289">
        <v>2.9974144271473609E-2</v>
      </c>
      <c r="P45" s="289">
        <v>2.567730698975661E-2</v>
      </c>
      <c r="Q45" s="183">
        <v>2.8092420071433859E-2</v>
      </c>
      <c r="R45" s="183">
        <v>2.5051882242219596E-2</v>
      </c>
      <c r="S45" s="183">
        <v>2.6542509207020192E-2</v>
      </c>
      <c r="T45" s="183">
        <v>2.3386446815024959E-2</v>
      </c>
      <c r="U45" s="183">
        <v>2.8474893271454797E-2</v>
      </c>
      <c r="V45" s="183">
        <v>2.4240970041678189E-2</v>
      </c>
      <c r="W45" s="183">
        <v>2.8278184301915629E-2</v>
      </c>
      <c r="X45" s="183">
        <v>2.6211748073878126E-2</v>
      </c>
      <c r="Y45" s="183">
        <v>2.8241626850957931E-2</v>
      </c>
      <c r="Z45" s="183">
        <v>2.5255607305733525E-2</v>
      </c>
      <c r="AA45" s="183">
        <v>2.8457583625134907E-2</v>
      </c>
      <c r="AB45" s="183">
        <v>2.4952419968280244E-2</v>
      </c>
      <c r="AC45" s="183">
        <v>2.9330261630982825E-2</v>
      </c>
      <c r="AD45" s="183">
        <v>2.8139655972944176E-2</v>
      </c>
      <c r="AE45" s="183">
        <v>3.0835604237827347E-2</v>
      </c>
      <c r="AF45" s="183">
        <v>2.7215681190380561E-2</v>
      </c>
      <c r="AG45" s="183">
        <v>3.1333714556391966E-2</v>
      </c>
      <c r="AH45" s="183">
        <v>2.8431056971091859E-2</v>
      </c>
      <c r="AI45" s="183">
        <v>3.2539255309648248E-2</v>
      </c>
      <c r="AJ45" s="183">
        <v>2.9602201564125144E-2</v>
      </c>
      <c r="AK45" s="183">
        <v>3.0107436739800007E-2</v>
      </c>
      <c r="AL45" s="183">
        <v>2.9649889346306267E-2</v>
      </c>
      <c r="AM45" s="183">
        <v>3.5103391615263969E-2</v>
      </c>
      <c r="AN45" s="183">
        <v>2.9186918578434612E-2</v>
      </c>
      <c r="AO45" s="183">
        <v>3.2849892936788423E-2</v>
      </c>
      <c r="AP45" s="183">
        <v>2.88547225613449E-2</v>
      </c>
      <c r="AQ45" s="183">
        <v>3.4313016405974291E-2</v>
      </c>
      <c r="AR45" s="183">
        <v>3.026225283010953E-2</v>
      </c>
      <c r="AS45" s="183">
        <v>3.7038532577250149E-2</v>
      </c>
      <c r="AT45" s="183">
        <v>3.216755357776304E-2</v>
      </c>
      <c r="AU45" s="187">
        <v>3.4021553527586033E-2</v>
      </c>
      <c r="AV45" s="187">
        <v>3.0486487107982348E-2</v>
      </c>
      <c r="AW45" s="187">
        <v>3.7400791375979271E-2</v>
      </c>
      <c r="AX45" s="187">
        <v>3.1993652711909341E-2</v>
      </c>
      <c r="AY45" s="187">
        <v>3.5288628113013115E-2</v>
      </c>
      <c r="AZ45" s="187">
        <v>3.2203004778282612E-2</v>
      </c>
      <c r="BA45" s="187">
        <v>3.4252764226075684E-2</v>
      </c>
      <c r="BB45" s="187">
        <v>3.0906898097498751E-2</v>
      </c>
      <c r="BC45" s="187">
        <v>3.52589601533599E-2</v>
      </c>
      <c r="BD45" s="187">
        <v>3.0836073362818621E-2</v>
      </c>
      <c r="BE45" s="187">
        <v>3.2987423288072283E-2</v>
      </c>
      <c r="BF45" s="187">
        <v>3.2892693458017978E-2</v>
      </c>
      <c r="BG45" s="187">
        <v>3.7779434871194083E-2</v>
      </c>
      <c r="BH45" s="187">
        <v>3.3754796557243671E-2</v>
      </c>
      <c r="BI45" s="187">
        <v>3.8038419670159918E-2</v>
      </c>
      <c r="BJ45" s="187">
        <v>3.5106393504464137E-2</v>
      </c>
      <c r="BK45" s="187"/>
      <c r="BL45" s="187"/>
    </row>
    <row r="46" spans="1:71" x14ac:dyDescent="0.4">
      <c r="A46" s="182" t="s">
        <v>309</v>
      </c>
      <c r="B46" s="183">
        <f t="shared" si="14"/>
        <v>3.8397703978045872E-3</v>
      </c>
      <c r="C46" s="183">
        <f t="shared" si="13"/>
        <v>1.0188749449396184E-2</v>
      </c>
      <c r="D46" s="183">
        <v>1.0016146079701358E-2</v>
      </c>
      <c r="E46" s="183">
        <v>9.9778334900321106E-3</v>
      </c>
      <c r="F46" s="183">
        <v>9.9417804001386764E-3</v>
      </c>
      <c r="G46" s="183">
        <v>9.6710230739593585E-3</v>
      </c>
      <c r="H46" s="183">
        <v>9.9151233719051643E-3</v>
      </c>
      <c r="I46" s="183">
        <v>1.0007198752414464E-2</v>
      </c>
      <c r="J46" s="183">
        <v>9.7654591786366235E-3</v>
      </c>
      <c r="K46" s="183">
        <v>9.7264882858031677E-3</v>
      </c>
      <c r="L46" s="183">
        <v>1.0011142911549888E-2</v>
      </c>
      <c r="M46" s="183">
        <v>9.6109987162184343E-3</v>
      </c>
      <c r="N46" s="289">
        <v>9.4167929952465052E-3</v>
      </c>
      <c r="O46" s="289">
        <v>9.8742889361753874E-3</v>
      </c>
      <c r="P46" s="289">
        <v>9.8795152913525482E-3</v>
      </c>
      <c r="Q46" s="183">
        <v>9.602545092370374E-3</v>
      </c>
      <c r="R46" s="183">
        <v>9.3563002414127801E-3</v>
      </c>
      <c r="S46" s="183">
        <v>9.2367690281129032E-3</v>
      </c>
      <c r="T46" s="183">
        <v>9.5100766969001618E-3</v>
      </c>
      <c r="U46" s="183">
        <v>9.0616689500654657E-3</v>
      </c>
      <c r="V46" s="183">
        <v>9.2120704883037821E-3</v>
      </c>
      <c r="W46" s="183">
        <v>9.3405370273763767E-3</v>
      </c>
      <c r="X46" s="183">
        <v>9.9196078468797508E-3</v>
      </c>
      <c r="Y46" s="183">
        <v>1.011018131398444E-2</v>
      </c>
      <c r="Z46" s="183">
        <v>9.7013151406942916E-3</v>
      </c>
      <c r="AA46" s="183">
        <v>9.6308411844061685E-3</v>
      </c>
      <c r="AB46" s="183">
        <v>9.5443468835807958E-3</v>
      </c>
      <c r="AC46" s="183">
        <v>9.518761361477621E-3</v>
      </c>
      <c r="AD46" s="183">
        <v>9.5267751629102802E-3</v>
      </c>
      <c r="AE46" s="183">
        <v>9.3747061064465183E-3</v>
      </c>
      <c r="AF46" s="183">
        <v>9.4117152709260535E-3</v>
      </c>
      <c r="AG46" s="183">
        <v>9.4477067053292518E-3</v>
      </c>
      <c r="AH46" s="183">
        <v>8.973420619349139E-3</v>
      </c>
      <c r="AI46" s="183">
        <v>9.1179556106464801E-3</v>
      </c>
      <c r="AJ46" s="183">
        <v>8.9520589117301781E-3</v>
      </c>
      <c r="AK46" s="183">
        <v>8.7791182096615822E-3</v>
      </c>
      <c r="AL46" s="183">
        <v>8.2415016202009566E-3</v>
      </c>
      <c r="AM46" s="183">
        <v>8.5175979196467303E-3</v>
      </c>
      <c r="AN46" s="183"/>
      <c r="AO46" s="183"/>
      <c r="AP46" s="183"/>
      <c r="AQ46" s="183"/>
      <c r="AR46" s="183"/>
      <c r="AS46" s="183"/>
      <c r="AT46" s="183"/>
      <c r="AU46" s="187"/>
      <c r="AV46" s="187"/>
      <c r="AW46" s="187"/>
      <c r="AX46" s="187"/>
      <c r="AY46" s="187"/>
      <c r="AZ46" s="187"/>
      <c r="BA46" s="187"/>
      <c r="BB46" s="187"/>
      <c r="BC46" s="187"/>
      <c r="BD46" s="187"/>
      <c r="BE46" s="187"/>
      <c r="BF46" s="187"/>
      <c r="BG46" s="187"/>
      <c r="BH46" s="187"/>
      <c r="BI46" s="187"/>
      <c r="BJ46" s="187"/>
      <c r="BK46" s="187"/>
      <c r="BL46" s="187"/>
    </row>
    <row r="47" spans="1:71" s="176" customFormat="1" x14ac:dyDescent="0.4">
      <c r="A47" s="188" t="s">
        <v>23</v>
      </c>
      <c r="B47" s="189">
        <f t="shared" si="14"/>
        <v>0</v>
      </c>
      <c r="C47" s="189">
        <f>D47/H47-1</f>
        <v>0</v>
      </c>
      <c r="D47" s="189">
        <v>1</v>
      </c>
      <c r="E47" s="189">
        <v>1</v>
      </c>
      <c r="F47" s="189">
        <v>1</v>
      </c>
      <c r="G47" s="189">
        <v>1</v>
      </c>
      <c r="H47" s="189">
        <v>1</v>
      </c>
      <c r="I47" s="189">
        <v>1</v>
      </c>
      <c r="J47" s="189">
        <v>1</v>
      </c>
      <c r="K47" s="189">
        <v>1</v>
      </c>
      <c r="L47" s="189">
        <v>1</v>
      </c>
      <c r="M47" s="189">
        <v>1</v>
      </c>
      <c r="N47" s="290">
        <v>1</v>
      </c>
      <c r="O47" s="290">
        <v>1</v>
      </c>
      <c r="P47" s="290">
        <v>1</v>
      </c>
      <c r="Q47" s="189">
        <v>1</v>
      </c>
      <c r="R47" s="189">
        <v>1</v>
      </c>
      <c r="S47" s="189">
        <v>1</v>
      </c>
      <c r="T47" s="189">
        <v>1</v>
      </c>
      <c r="U47" s="189">
        <v>1</v>
      </c>
      <c r="V47" s="189">
        <v>1</v>
      </c>
      <c r="W47" s="189">
        <v>1</v>
      </c>
      <c r="X47" s="189">
        <v>1</v>
      </c>
      <c r="Y47" s="189">
        <v>1</v>
      </c>
      <c r="Z47" s="189">
        <v>1</v>
      </c>
      <c r="AA47" s="189">
        <v>1</v>
      </c>
      <c r="AB47" s="189">
        <v>1</v>
      </c>
      <c r="AC47" s="189">
        <v>1</v>
      </c>
      <c r="AD47" s="189">
        <v>1</v>
      </c>
      <c r="AE47" s="189">
        <v>1</v>
      </c>
      <c r="AF47" s="189">
        <v>1</v>
      </c>
      <c r="AG47" s="189">
        <v>1</v>
      </c>
      <c r="AH47" s="189">
        <v>1</v>
      </c>
      <c r="AI47" s="189">
        <v>1</v>
      </c>
      <c r="AJ47" s="189">
        <v>1</v>
      </c>
      <c r="AK47" s="189">
        <v>1</v>
      </c>
      <c r="AL47" s="189">
        <v>1</v>
      </c>
      <c r="AM47" s="189">
        <v>1</v>
      </c>
      <c r="AN47" s="189">
        <v>1</v>
      </c>
      <c r="AO47" s="189">
        <v>1</v>
      </c>
      <c r="AP47" s="189">
        <v>1</v>
      </c>
      <c r="AQ47" s="189">
        <v>1</v>
      </c>
      <c r="AR47" s="189">
        <v>1</v>
      </c>
      <c r="AS47" s="189">
        <v>1</v>
      </c>
      <c r="AT47" s="189">
        <v>1</v>
      </c>
      <c r="AU47" s="193">
        <v>1</v>
      </c>
      <c r="AV47" s="193">
        <v>1</v>
      </c>
      <c r="AW47" s="193">
        <v>1</v>
      </c>
      <c r="AX47" s="193">
        <v>1</v>
      </c>
      <c r="AY47" s="193">
        <v>1</v>
      </c>
      <c r="AZ47" s="193">
        <v>1</v>
      </c>
      <c r="BA47" s="193">
        <v>1</v>
      </c>
      <c r="BB47" s="193">
        <v>1</v>
      </c>
      <c r="BC47" s="193">
        <v>1</v>
      </c>
      <c r="BD47" s="193">
        <f>SUM(BD36:BD45)</f>
        <v>1.0000000000000002</v>
      </c>
      <c r="BE47" s="193">
        <v>1</v>
      </c>
      <c r="BF47" s="193">
        <v>1</v>
      </c>
      <c r="BG47" s="193">
        <v>1</v>
      </c>
      <c r="BH47" s="193">
        <v>1</v>
      </c>
      <c r="BI47" s="193">
        <v>1</v>
      </c>
      <c r="BJ47" s="193">
        <v>1</v>
      </c>
      <c r="BK47" s="193"/>
      <c r="BL47" s="193"/>
    </row>
    <row r="48" spans="1:71" x14ac:dyDescent="0.4">
      <c r="A48" s="188" t="str">
        <f>A18</f>
        <v xml:space="preserve">   *Proforma Q2,'16 &amp; prior, RE in Financials; back data for FYI only</v>
      </c>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96"/>
      <c r="AG48" s="196"/>
      <c r="AH48" s="196"/>
      <c r="AI48" s="196"/>
      <c r="AJ48" s="196"/>
      <c r="AK48" s="196"/>
      <c r="AL48" s="196"/>
      <c r="AM48" s="196"/>
      <c r="AN48" s="196"/>
      <c r="AO48" s="196"/>
      <c r="AP48" s="196"/>
      <c r="AQ48" s="196"/>
      <c r="AR48" s="196"/>
      <c r="AS48" s="196"/>
      <c r="AT48" s="196"/>
      <c r="AU48" s="196"/>
      <c r="AV48" s="196"/>
      <c r="AW48" s="196"/>
      <c r="AX48" s="196"/>
      <c r="AY48" s="196"/>
      <c r="AZ48" s="196"/>
      <c r="BA48" s="196"/>
      <c r="BB48" s="196"/>
      <c r="BC48" s="184"/>
      <c r="BD48" s="184"/>
      <c r="BE48" s="184"/>
      <c r="BF48" s="184"/>
      <c r="BG48" s="184"/>
    </row>
    <row r="49" spans="1:59" x14ac:dyDescent="0.4">
      <c r="A49" s="196"/>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96"/>
      <c r="AG49" s="196"/>
      <c r="AH49" s="196"/>
      <c r="AI49" s="196"/>
      <c r="AJ49" s="196"/>
      <c r="AK49" s="196"/>
      <c r="AL49" s="196"/>
      <c r="AM49" s="196"/>
      <c r="AN49" s="196"/>
      <c r="AO49" s="196"/>
      <c r="AP49" s="196"/>
      <c r="AQ49" s="196"/>
      <c r="AR49" s="196"/>
      <c r="AS49" s="196"/>
      <c r="AT49" s="196"/>
      <c r="AU49" s="196"/>
      <c r="AV49" s="196"/>
      <c r="AW49" s="196"/>
      <c r="AX49" s="196"/>
      <c r="AY49" s="196"/>
      <c r="AZ49" s="196"/>
      <c r="BA49" s="196"/>
      <c r="BB49" s="196"/>
      <c r="BC49" s="184"/>
      <c r="BD49" s="184"/>
      <c r="BE49" s="184"/>
      <c r="BF49" s="184"/>
      <c r="BG49" s="184"/>
    </row>
    <row r="50" spans="1:59" ht="12.75" customHeight="1" x14ac:dyDescent="0.4">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84"/>
      <c r="AT50" s="178"/>
      <c r="AU50" s="178"/>
      <c r="AV50" s="178"/>
      <c r="AW50" s="178"/>
      <c r="AX50" s="178"/>
      <c r="AY50" s="178"/>
      <c r="AZ50" s="178"/>
      <c r="BA50" s="178"/>
      <c r="BB50" s="178"/>
      <c r="BC50" s="178"/>
      <c r="BD50" s="178"/>
      <c r="BE50" s="178"/>
      <c r="BF50" s="178"/>
      <c r="BG50" s="178"/>
    </row>
    <row r="51" spans="1:59" x14ac:dyDescent="0.4">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84"/>
      <c r="AT51" s="178"/>
      <c r="AU51" s="178"/>
      <c r="AV51" s="178"/>
      <c r="AW51" s="178"/>
      <c r="AX51" s="178"/>
      <c r="AY51" s="178"/>
      <c r="AZ51" s="178"/>
      <c r="BA51" s="178"/>
      <c r="BB51" s="178"/>
      <c r="BC51" s="178"/>
      <c r="BD51" s="178"/>
      <c r="BE51" s="178"/>
      <c r="BF51" s="178"/>
      <c r="BG51" s="178"/>
    </row>
    <row r="52" spans="1:59" x14ac:dyDescent="0.4">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78"/>
      <c r="AU52" s="178"/>
      <c r="AV52" s="178"/>
      <c r="AW52" s="178"/>
      <c r="AX52" s="178"/>
      <c r="AY52" s="178"/>
      <c r="AZ52" s="178"/>
      <c r="BA52" s="178"/>
      <c r="BB52" s="178"/>
      <c r="BC52" s="178"/>
      <c r="BD52" s="178"/>
      <c r="BE52" s="178"/>
      <c r="BF52" s="178"/>
      <c r="BG52" s="178"/>
    </row>
    <row r="53" spans="1:59" x14ac:dyDescent="0.4">
      <c r="A53" s="186"/>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6"/>
      <c r="AG53" s="186"/>
      <c r="AH53" s="186"/>
      <c r="AI53" s="186"/>
      <c r="AJ53" s="186"/>
      <c r="AK53" s="186"/>
      <c r="AL53" s="186"/>
      <c r="AM53" s="186"/>
      <c r="AN53" s="186"/>
      <c r="AO53" s="186"/>
      <c r="AP53" s="186"/>
      <c r="AQ53" s="186"/>
      <c r="AR53" s="186"/>
      <c r="AS53" s="186"/>
      <c r="AT53" s="178"/>
      <c r="AU53" s="178"/>
      <c r="AV53" s="178"/>
      <c r="AW53" s="178"/>
      <c r="AX53" s="178"/>
      <c r="AY53" s="178"/>
      <c r="AZ53" s="178"/>
      <c r="BA53" s="178"/>
      <c r="BB53" s="178"/>
      <c r="BC53" s="178"/>
      <c r="BD53" s="178"/>
      <c r="BE53" s="178"/>
      <c r="BF53" s="178"/>
      <c r="BG53" s="178"/>
    </row>
    <row r="54" spans="1:59" x14ac:dyDescent="0.4">
      <c r="AT54" s="178"/>
      <c r="AU54" s="178"/>
      <c r="AV54" s="178"/>
      <c r="AW54" s="178"/>
      <c r="AX54" s="178"/>
      <c r="AY54" s="178"/>
      <c r="AZ54" s="178"/>
      <c r="BA54" s="178"/>
      <c r="BB54" s="178"/>
      <c r="BC54" s="178"/>
      <c r="BD54" s="178"/>
      <c r="BE54" s="178"/>
      <c r="BF54" s="178"/>
      <c r="BG54" s="178"/>
    </row>
    <row r="55" spans="1:59" x14ac:dyDescent="0.4">
      <c r="AT55" s="178"/>
      <c r="AU55" s="178"/>
      <c r="AV55" s="178"/>
      <c r="AW55" s="178"/>
      <c r="AX55" s="178"/>
      <c r="AY55" s="178"/>
      <c r="AZ55" s="178"/>
      <c r="BA55" s="178"/>
      <c r="BB55" s="178"/>
      <c r="BC55" s="178"/>
      <c r="BD55" s="178"/>
      <c r="BE55" s="178"/>
      <c r="BF55" s="178"/>
      <c r="BG55" s="178"/>
    </row>
    <row r="56" spans="1:59" x14ac:dyDescent="0.4">
      <c r="AT56" s="178"/>
      <c r="AU56" s="178"/>
      <c r="AV56" s="178"/>
      <c r="AW56" s="178"/>
      <c r="AX56" s="178"/>
      <c r="AY56" s="178"/>
      <c r="AZ56" s="178"/>
      <c r="BA56" s="178"/>
      <c r="BB56" s="178"/>
      <c r="BC56" s="178"/>
      <c r="BD56" s="178"/>
      <c r="BE56" s="178"/>
      <c r="BF56" s="178"/>
      <c r="BG56" s="178"/>
    </row>
    <row r="57" spans="1:59" x14ac:dyDescent="0.4">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c r="AA57" s="183"/>
      <c r="AB57" s="183"/>
      <c r="AC57" s="183"/>
      <c r="AD57" s="183"/>
      <c r="AE57" s="183"/>
      <c r="AF57" s="183"/>
      <c r="AG57" s="183"/>
      <c r="AH57" s="183"/>
      <c r="AI57" s="183"/>
      <c r="AJ57" s="183"/>
      <c r="AK57" s="183"/>
      <c r="AL57" s="183"/>
      <c r="AM57" s="183"/>
      <c r="AN57" s="183"/>
      <c r="AO57" s="183"/>
      <c r="AP57" s="183"/>
      <c r="AQ57" s="183"/>
      <c r="AR57" s="183"/>
      <c r="AS57" s="183"/>
      <c r="AT57" s="178"/>
      <c r="AU57" s="178"/>
      <c r="AV57" s="178"/>
      <c r="AW57" s="178"/>
      <c r="AX57" s="178"/>
      <c r="AY57" s="178"/>
      <c r="AZ57" s="178"/>
      <c r="BA57" s="178"/>
      <c r="BB57" s="178"/>
      <c r="BC57" s="178"/>
      <c r="BD57" s="178"/>
      <c r="BE57" s="178"/>
      <c r="BF57" s="178"/>
      <c r="BG57" s="178"/>
    </row>
    <row r="58" spans="1:59" x14ac:dyDescent="0.4">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c r="AA58" s="183"/>
      <c r="AB58" s="183"/>
      <c r="AC58" s="183"/>
      <c r="AD58" s="183"/>
      <c r="AE58" s="183"/>
      <c r="AF58" s="183"/>
      <c r="AG58" s="183"/>
      <c r="AH58" s="183"/>
      <c r="AI58" s="183"/>
      <c r="AJ58" s="183"/>
      <c r="AK58" s="183"/>
      <c r="AL58" s="183"/>
      <c r="AM58" s="183"/>
      <c r="AN58" s="183"/>
      <c r="AO58" s="183"/>
      <c r="AP58" s="183"/>
      <c r="AQ58" s="183"/>
      <c r="AR58" s="183"/>
      <c r="AS58" s="183"/>
      <c r="AT58" s="178"/>
      <c r="AU58" s="178"/>
      <c r="AV58" s="178"/>
      <c r="AW58" s="178"/>
      <c r="AX58" s="178"/>
      <c r="AY58" s="178"/>
      <c r="AZ58" s="178"/>
      <c r="BA58" s="178"/>
      <c r="BB58" s="178"/>
      <c r="BC58" s="178"/>
      <c r="BD58" s="178"/>
      <c r="BE58" s="178"/>
      <c r="BF58" s="178"/>
      <c r="BG58" s="178"/>
    </row>
    <row r="59" spans="1:59" x14ac:dyDescent="0.4">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3"/>
      <c r="AG59" s="183"/>
      <c r="AH59" s="183"/>
      <c r="AI59" s="183"/>
      <c r="AJ59" s="183"/>
      <c r="AK59" s="183"/>
      <c r="AL59" s="183"/>
      <c r="AM59" s="183"/>
      <c r="AN59" s="183"/>
      <c r="AO59" s="183"/>
      <c r="AP59" s="183"/>
      <c r="AQ59" s="183"/>
      <c r="AR59" s="183"/>
      <c r="AS59" s="183"/>
      <c r="AT59" s="178"/>
      <c r="AU59" s="178"/>
      <c r="AV59" s="178"/>
      <c r="AW59" s="178"/>
      <c r="AX59" s="178"/>
      <c r="AY59" s="178"/>
      <c r="AZ59" s="178"/>
      <c r="BA59" s="178"/>
      <c r="BB59" s="178"/>
      <c r="BC59" s="178"/>
      <c r="BD59" s="178"/>
      <c r="BE59" s="178"/>
      <c r="BF59" s="178"/>
      <c r="BG59" s="178"/>
    </row>
    <row r="60" spans="1:59" x14ac:dyDescent="0.4">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c r="AA60" s="183"/>
      <c r="AB60" s="183"/>
      <c r="AC60" s="183"/>
      <c r="AD60" s="183"/>
      <c r="AE60" s="183"/>
      <c r="AF60" s="183"/>
      <c r="AG60" s="183"/>
      <c r="AH60" s="183"/>
      <c r="AI60" s="183"/>
      <c r="AJ60" s="183"/>
      <c r="AK60" s="183"/>
      <c r="AL60" s="183"/>
      <c r="AM60" s="183"/>
      <c r="AN60" s="183"/>
      <c r="AO60" s="183"/>
      <c r="AP60" s="183"/>
      <c r="AQ60" s="183"/>
      <c r="AR60" s="183"/>
      <c r="AS60" s="183"/>
      <c r="AT60" s="178"/>
      <c r="AU60" s="178"/>
      <c r="AV60" s="178"/>
      <c r="AW60" s="178"/>
      <c r="AX60" s="178"/>
      <c r="AY60" s="178"/>
      <c r="AZ60" s="178"/>
      <c r="BA60" s="178"/>
      <c r="BB60" s="178"/>
      <c r="BC60" s="178"/>
      <c r="BD60" s="178"/>
      <c r="BE60" s="178"/>
      <c r="BF60" s="178"/>
      <c r="BG60" s="178"/>
    </row>
    <row r="61" spans="1:59" x14ac:dyDescent="0.4">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c r="AA61" s="183"/>
      <c r="AB61" s="183"/>
      <c r="AC61" s="183"/>
      <c r="AD61" s="183"/>
      <c r="AE61" s="183"/>
      <c r="AF61" s="183"/>
      <c r="AG61" s="183"/>
      <c r="AH61" s="183"/>
      <c r="AI61" s="183"/>
      <c r="AJ61" s="183"/>
      <c r="AK61" s="183"/>
      <c r="AL61" s="183"/>
      <c r="AM61" s="183"/>
      <c r="AN61" s="183"/>
      <c r="AO61" s="183"/>
      <c r="AP61" s="183"/>
      <c r="AQ61" s="183"/>
      <c r="AR61" s="183"/>
      <c r="AS61" s="183"/>
      <c r="AT61" s="178"/>
      <c r="AU61" s="178"/>
      <c r="AV61" s="178"/>
      <c r="AW61" s="178"/>
      <c r="AX61" s="178"/>
      <c r="AY61" s="178"/>
      <c r="AZ61" s="178"/>
      <c r="BA61" s="178"/>
      <c r="BB61" s="178"/>
      <c r="BC61" s="178"/>
      <c r="BD61" s="178"/>
      <c r="BE61" s="178"/>
      <c r="BF61" s="178"/>
      <c r="BG61" s="178"/>
    </row>
    <row r="62" spans="1:59" x14ac:dyDescent="0.4">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3"/>
      <c r="AC62" s="183"/>
      <c r="AD62" s="183"/>
      <c r="AE62" s="183"/>
      <c r="AF62" s="183"/>
      <c r="AG62" s="183"/>
      <c r="AH62" s="183"/>
      <c r="AI62" s="183"/>
      <c r="AJ62" s="183"/>
      <c r="AK62" s="183"/>
      <c r="AL62" s="183"/>
      <c r="AM62" s="183"/>
      <c r="AN62" s="183"/>
      <c r="AO62" s="183"/>
      <c r="AP62" s="183"/>
      <c r="AQ62" s="183"/>
      <c r="AR62" s="183"/>
      <c r="AS62" s="183"/>
      <c r="AT62" s="178"/>
      <c r="AU62" s="178"/>
      <c r="AV62" s="178"/>
      <c r="AW62" s="178"/>
      <c r="AX62" s="178"/>
      <c r="AY62" s="178"/>
      <c r="AZ62" s="178"/>
      <c r="BA62" s="178"/>
      <c r="BB62" s="178"/>
      <c r="BC62" s="178"/>
      <c r="BD62" s="178"/>
      <c r="BE62" s="178"/>
      <c r="BF62" s="178"/>
      <c r="BG62" s="178"/>
    </row>
    <row r="63" spans="1:59" x14ac:dyDescent="0.4">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c r="AE63" s="183"/>
      <c r="AF63" s="183"/>
      <c r="AG63" s="183"/>
      <c r="AH63" s="183"/>
      <c r="AI63" s="183"/>
      <c r="AJ63" s="183"/>
      <c r="AK63" s="183"/>
      <c r="AL63" s="183"/>
      <c r="AM63" s="183"/>
      <c r="AN63" s="183"/>
      <c r="AO63" s="183"/>
      <c r="AP63" s="183"/>
      <c r="AQ63" s="183"/>
      <c r="AR63" s="183"/>
      <c r="AS63" s="183"/>
      <c r="AT63" s="178"/>
      <c r="AU63" s="178"/>
      <c r="AV63" s="178"/>
      <c r="AW63" s="178"/>
      <c r="AX63" s="178"/>
      <c r="AY63" s="178"/>
      <c r="AZ63" s="178"/>
      <c r="BA63" s="178"/>
      <c r="BB63" s="178"/>
      <c r="BC63" s="178"/>
      <c r="BD63" s="178"/>
      <c r="BE63" s="178"/>
      <c r="BF63" s="178"/>
      <c r="BG63" s="178"/>
    </row>
    <row r="64" spans="1:59" x14ac:dyDescent="0.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c r="AA64" s="183"/>
      <c r="AB64" s="183"/>
      <c r="AC64" s="183"/>
      <c r="AD64" s="183"/>
      <c r="AE64" s="183"/>
      <c r="AF64" s="183"/>
      <c r="AG64" s="183"/>
      <c r="AH64" s="183"/>
      <c r="AI64" s="183"/>
      <c r="AJ64" s="183"/>
      <c r="AK64" s="183"/>
      <c r="AL64" s="183"/>
      <c r="AM64" s="183"/>
      <c r="AN64" s="183"/>
      <c r="AO64" s="183"/>
      <c r="AP64" s="183"/>
      <c r="AQ64" s="183"/>
      <c r="AR64" s="183"/>
      <c r="AS64" s="183"/>
      <c r="AT64" s="178"/>
      <c r="AU64" s="178"/>
      <c r="AV64" s="178"/>
      <c r="AW64" s="178"/>
      <c r="AX64" s="178"/>
      <c r="AY64" s="178"/>
      <c r="AZ64" s="178"/>
      <c r="BA64" s="178"/>
      <c r="BB64" s="178"/>
      <c r="BC64" s="178"/>
      <c r="BD64" s="178"/>
      <c r="BE64" s="178"/>
      <c r="BF64" s="178"/>
      <c r="BG64" s="178"/>
    </row>
    <row r="65" spans="1:59" x14ac:dyDescent="0.4">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c r="AD65" s="183"/>
      <c r="AE65" s="183"/>
      <c r="AF65" s="183"/>
      <c r="AG65" s="183"/>
      <c r="AH65" s="183"/>
      <c r="AI65" s="183"/>
      <c r="AJ65" s="183"/>
      <c r="AK65" s="183"/>
      <c r="AL65" s="183"/>
      <c r="AM65" s="183"/>
      <c r="AN65" s="183"/>
      <c r="AO65" s="183"/>
      <c r="AP65" s="183"/>
      <c r="AQ65" s="183"/>
      <c r="AR65" s="183"/>
      <c r="AS65" s="183"/>
      <c r="AT65" s="178"/>
      <c r="AU65" s="178"/>
      <c r="AV65" s="178"/>
      <c r="AW65" s="178"/>
      <c r="AX65" s="178"/>
      <c r="AY65" s="178"/>
      <c r="AZ65" s="178"/>
      <c r="BA65" s="178"/>
      <c r="BB65" s="178"/>
      <c r="BC65" s="178"/>
      <c r="BD65" s="178"/>
      <c r="BE65" s="178"/>
      <c r="BF65" s="178"/>
      <c r="BG65" s="178"/>
    </row>
    <row r="66" spans="1:59" x14ac:dyDescent="0.4">
      <c r="A66" s="183"/>
      <c r="B66" s="183"/>
      <c r="AP66" s="183"/>
      <c r="AQ66" s="183"/>
      <c r="AR66" s="183"/>
      <c r="AS66" s="183"/>
      <c r="AT66" s="178"/>
      <c r="AU66" s="178"/>
      <c r="AV66" s="178"/>
      <c r="AW66" s="178"/>
      <c r="AX66" s="178"/>
      <c r="AY66" s="178"/>
      <c r="AZ66" s="178"/>
      <c r="BA66" s="178"/>
      <c r="BB66" s="178"/>
      <c r="BC66" s="178"/>
      <c r="BD66" s="178"/>
      <c r="BE66" s="178"/>
      <c r="BF66" s="178"/>
      <c r="BG66" s="178"/>
    </row>
    <row r="67" spans="1:59" x14ac:dyDescent="0.4">
      <c r="AT67" s="178"/>
      <c r="AU67" s="178"/>
      <c r="AV67" s="178"/>
      <c r="AW67" s="178"/>
      <c r="AX67" s="178"/>
      <c r="AY67" s="178"/>
      <c r="AZ67" s="178"/>
      <c r="BA67" s="178"/>
      <c r="BB67" s="178"/>
      <c r="BC67" s="178"/>
      <c r="BD67" s="178"/>
      <c r="BE67" s="178"/>
      <c r="BF67" s="178"/>
      <c r="BG67" s="178"/>
    </row>
    <row r="68" spans="1:59" x14ac:dyDescent="0.4">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200"/>
      <c r="AG68" s="200"/>
      <c r="AH68" s="200"/>
      <c r="AI68" s="200"/>
      <c r="AJ68" s="200"/>
      <c r="AK68" s="200"/>
      <c r="AL68" s="200"/>
      <c r="AM68" s="200"/>
      <c r="AN68" s="200"/>
      <c r="AO68" s="200"/>
    </row>
    <row r="69" spans="1:59" x14ac:dyDescent="0.4">
      <c r="A69" s="200"/>
      <c r="B69" s="179"/>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c r="AB69" s="184"/>
      <c r="AC69" s="184"/>
      <c r="AD69" s="184"/>
      <c r="AE69" s="184"/>
      <c r="AF69" s="196"/>
      <c r="AG69" s="196"/>
      <c r="AH69" s="196"/>
      <c r="AI69" s="196"/>
      <c r="AJ69" s="196"/>
      <c r="AK69" s="196"/>
      <c r="AL69" s="196"/>
      <c r="AM69" s="196"/>
      <c r="AN69" s="196"/>
      <c r="AO69" s="196"/>
      <c r="AP69" s="200"/>
      <c r="AQ69" s="200"/>
      <c r="AR69" s="200"/>
      <c r="AS69" s="200"/>
      <c r="AT69" s="200"/>
      <c r="AU69" s="200"/>
      <c r="AV69" s="200"/>
      <c r="AW69" s="200"/>
      <c r="AX69" s="200"/>
      <c r="AY69" s="200"/>
      <c r="AZ69" s="200"/>
      <c r="BA69" s="200"/>
      <c r="BB69" s="200"/>
    </row>
    <row r="70" spans="1:59" x14ac:dyDescent="0.4">
      <c r="A70" s="196"/>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96"/>
      <c r="AG70" s="196"/>
      <c r="AH70" s="196"/>
      <c r="AI70" s="196"/>
      <c r="AJ70" s="196"/>
      <c r="AK70" s="196"/>
      <c r="AL70" s="196"/>
      <c r="AM70" s="196"/>
      <c r="AN70" s="196"/>
      <c r="AO70" s="196"/>
      <c r="AP70" s="196"/>
      <c r="AQ70" s="196"/>
      <c r="AR70" s="196"/>
      <c r="AS70" s="196"/>
      <c r="AT70" s="196"/>
      <c r="AU70" s="196"/>
      <c r="AV70" s="196"/>
      <c r="AW70" s="196"/>
      <c r="AX70" s="196"/>
      <c r="AY70" s="196"/>
      <c r="AZ70" s="196"/>
      <c r="BA70" s="196"/>
      <c r="BB70" s="196"/>
    </row>
    <row r="71" spans="1:59" x14ac:dyDescent="0.4">
      <c r="A71" s="196"/>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c r="AE71" s="184"/>
      <c r="AF71" s="196"/>
      <c r="AG71" s="196"/>
      <c r="AH71" s="196"/>
      <c r="AI71" s="196"/>
      <c r="AJ71" s="196"/>
      <c r="AK71" s="196"/>
      <c r="AL71" s="196"/>
      <c r="AM71" s="196"/>
      <c r="AN71" s="196"/>
      <c r="AO71" s="196"/>
      <c r="AP71" s="196"/>
      <c r="AQ71" s="196"/>
      <c r="AR71" s="196"/>
      <c r="AS71" s="196"/>
      <c r="AT71" s="196"/>
      <c r="AU71" s="196"/>
      <c r="AV71" s="196"/>
      <c r="AW71" s="196"/>
      <c r="AX71" s="196"/>
      <c r="AY71" s="196"/>
      <c r="AZ71" s="196"/>
      <c r="BA71" s="196"/>
      <c r="BB71" s="196"/>
    </row>
    <row r="72" spans="1:59" x14ac:dyDescent="0.4">
      <c r="A72" s="196"/>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c r="AE72" s="184"/>
      <c r="AF72" s="196"/>
      <c r="AG72" s="196"/>
      <c r="AH72" s="196"/>
      <c r="AI72" s="196"/>
      <c r="AJ72" s="196"/>
      <c r="AK72" s="196"/>
      <c r="AL72" s="196"/>
      <c r="AM72" s="196"/>
      <c r="AN72" s="196"/>
      <c r="AO72" s="196"/>
      <c r="AP72" s="196"/>
      <c r="AQ72" s="196"/>
      <c r="AR72" s="196"/>
      <c r="AS72" s="196"/>
      <c r="AT72" s="196"/>
      <c r="AU72" s="196"/>
      <c r="AV72" s="196"/>
      <c r="AW72" s="196"/>
      <c r="AX72" s="196"/>
      <c r="AY72" s="196"/>
      <c r="AZ72" s="196"/>
      <c r="BA72" s="196"/>
      <c r="BB72" s="196"/>
    </row>
    <row r="73" spans="1:59" x14ac:dyDescent="0.4">
      <c r="A73" s="196"/>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c r="AE73" s="184"/>
      <c r="AF73" s="196"/>
      <c r="AG73" s="196"/>
      <c r="AH73" s="196"/>
      <c r="AI73" s="196"/>
      <c r="AJ73" s="196"/>
      <c r="AK73" s="196"/>
      <c r="AL73" s="196"/>
      <c r="AM73" s="196"/>
      <c r="AN73" s="196"/>
      <c r="AO73" s="196"/>
      <c r="AP73" s="196"/>
      <c r="AQ73" s="196"/>
      <c r="AR73" s="196"/>
      <c r="AS73" s="196"/>
      <c r="AT73" s="196"/>
      <c r="AU73" s="196"/>
      <c r="AV73" s="196"/>
      <c r="AW73" s="196"/>
      <c r="AX73" s="196"/>
      <c r="AY73" s="196"/>
      <c r="AZ73" s="196"/>
      <c r="BA73" s="196"/>
      <c r="BB73" s="196"/>
    </row>
    <row r="74" spans="1:59" x14ac:dyDescent="0.4">
      <c r="A74" s="196"/>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96"/>
      <c r="AG74" s="196"/>
      <c r="AH74" s="196"/>
      <c r="AI74" s="196"/>
      <c r="AJ74" s="196"/>
      <c r="AK74" s="196"/>
      <c r="AL74" s="196"/>
      <c r="AM74" s="196"/>
      <c r="AN74" s="196"/>
      <c r="AO74" s="196"/>
      <c r="AP74" s="196"/>
      <c r="AQ74" s="196"/>
      <c r="AR74" s="196"/>
      <c r="AS74" s="196"/>
      <c r="AT74" s="196"/>
      <c r="AU74" s="196"/>
      <c r="AV74" s="196"/>
      <c r="AW74" s="196"/>
      <c r="AX74" s="196"/>
      <c r="AY74" s="196"/>
      <c r="AZ74" s="196"/>
      <c r="BA74" s="196"/>
      <c r="BB74" s="196"/>
    </row>
    <row r="75" spans="1:59" x14ac:dyDescent="0.4">
      <c r="A75" s="196"/>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84"/>
      <c r="AF75" s="196"/>
      <c r="AG75" s="196"/>
      <c r="AH75" s="196"/>
      <c r="AI75" s="196"/>
      <c r="AJ75" s="196"/>
      <c r="AK75" s="196"/>
      <c r="AL75" s="196"/>
      <c r="AM75" s="196"/>
      <c r="AN75" s="196"/>
      <c r="AO75" s="196"/>
      <c r="AP75" s="196"/>
      <c r="AQ75" s="196"/>
      <c r="AR75" s="196"/>
      <c r="AS75" s="196"/>
      <c r="AT75" s="196"/>
      <c r="AU75" s="196"/>
      <c r="AV75" s="196"/>
      <c r="AW75" s="196"/>
      <c r="AX75" s="196"/>
      <c r="AY75" s="196"/>
      <c r="AZ75" s="196"/>
      <c r="BA75" s="196"/>
      <c r="BB75" s="196"/>
    </row>
    <row r="76" spans="1:59" x14ac:dyDescent="0.4">
      <c r="A76" s="196"/>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84"/>
      <c r="AF76" s="196"/>
      <c r="AG76" s="196"/>
      <c r="AH76" s="196"/>
      <c r="AI76" s="196"/>
      <c r="AJ76" s="196"/>
      <c r="AK76" s="196"/>
      <c r="AL76" s="196"/>
      <c r="AM76" s="196"/>
      <c r="AN76" s="196"/>
      <c r="AO76" s="196"/>
      <c r="AP76" s="196"/>
      <c r="AQ76" s="196"/>
      <c r="AR76" s="196"/>
      <c r="AS76" s="196"/>
      <c r="AT76" s="196"/>
      <c r="AU76" s="196"/>
      <c r="AV76" s="196"/>
      <c r="AW76" s="196"/>
      <c r="AX76" s="196"/>
      <c r="AY76" s="196"/>
      <c r="AZ76" s="196"/>
      <c r="BA76" s="196"/>
      <c r="BB76" s="196"/>
    </row>
    <row r="77" spans="1:59" x14ac:dyDescent="0.4">
      <c r="A77" s="196"/>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84"/>
      <c r="AF77" s="196"/>
      <c r="AG77" s="196"/>
      <c r="AH77" s="196"/>
      <c r="AI77" s="196"/>
      <c r="AJ77" s="196"/>
      <c r="AK77" s="196"/>
      <c r="AL77" s="196"/>
      <c r="AM77" s="196"/>
      <c r="AN77" s="196"/>
      <c r="AO77" s="196"/>
      <c r="AP77" s="196"/>
      <c r="AQ77" s="196"/>
      <c r="AR77" s="196"/>
      <c r="AS77" s="196"/>
      <c r="AT77" s="196"/>
      <c r="AU77" s="196"/>
      <c r="AV77" s="196"/>
      <c r="AW77" s="196"/>
      <c r="AX77" s="196"/>
      <c r="AY77" s="196"/>
      <c r="AZ77" s="196"/>
      <c r="BA77" s="196"/>
      <c r="BB77" s="196"/>
    </row>
    <row r="78" spans="1:59" x14ac:dyDescent="0.4">
      <c r="A78" s="196"/>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96"/>
      <c r="AG78" s="196"/>
      <c r="AH78" s="196"/>
      <c r="AI78" s="196"/>
      <c r="AJ78" s="196"/>
      <c r="AK78" s="196"/>
      <c r="AL78" s="196"/>
      <c r="AM78" s="196"/>
      <c r="AN78" s="196"/>
      <c r="AO78" s="196"/>
      <c r="AP78" s="196"/>
      <c r="AQ78" s="196"/>
      <c r="AR78" s="196"/>
      <c r="AS78" s="196"/>
      <c r="AT78" s="196"/>
      <c r="AU78" s="196"/>
      <c r="AV78" s="196"/>
      <c r="AW78" s="196"/>
      <c r="AX78" s="196"/>
      <c r="AY78" s="196"/>
      <c r="AZ78" s="196"/>
      <c r="BA78" s="196"/>
      <c r="BB78" s="196"/>
    </row>
    <row r="79" spans="1:59" x14ac:dyDescent="0.4">
      <c r="A79" s="196"/>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6"/>
      <c r="AG79" s="186"/>
      <c r="AH79" s="186"/>
      <c r="AI79" s="186"/>
      <c r="AJ79" s="186"/>
      <c r="AK79" s="186"/>
      <c r="AL79" s="186"/>
      <c r="AM79" s="186"/>
      <c r="AN79" s="186"/>
      <c r="AO79" s="186"/>
      <c r="AP79" s="196"/>
      <c r="AQ79" s="196"/>
      <c r="AR79" s="196"/>
      <c r="AS79" s="196"/>
      <c r="AT79" s="196"/>
      <c r="AU79" s="196"/>
      <c r="AV79" s="196"/>
      <c r="AW79" s="196"/>
      <c r="AX79" s="196"/>
      <c r="AY79" s="196"/>
      <c r="AZ79" s="196"/>
      <c r="BA79" s="196"/>
      <c r="BB79" s="196"/>
    </row>
    <row r="80" spans="1:59" x14ac:dyDescent="0.4">
      <c r="A80" s="186"/>
      <c r="B80" s="184"/>
      <c r="AP80" s="186"/>
      <c r="AQ80" s="186"/>
      <c r="AR80" s="186"/>
      <c r="AS80" s="186"/>
      <c r="AT80" s="186"/>
      <c r="AU80" s="186"/>
      <c r="AV80" s="186"/>
      <c r="AW80" s="186"/>
      <c r="AX80" s="186"/>
      <c r="AY80" s="186"/>
      <c r="AZ80" s="186"/>
      <c r="BA80" s="186"/>
      <c r="BB80" s="186"/>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29"/>
  <sheetViews>
    <sheetView workbookViewId="0">
      <selection activeCell="B1" sqref="B1"/>
    </sheetView>
  </sheetViews>
  <sheetFormatPr defaultRowHeight="12.75" x14ac:dyDescent="0.35"/>
  <cols>
    <col min="1" max="1" width="24.398437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10" width="8.73046875" bestFit="1" customWidth="1"/>
    <col min="11" max="11" width="4.1328125" customWidth="1"/>
    <col min="12" max="12" width="3.1328125" customWidth="1"/>
    <col min="13" max="13" width="39.265625" style="115"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2" customFormat="1" ht="13.15" x14ac:dyDescent="0.4">
      <c r="A1" s="201" t="s">
        <v>147</v>
      </c>
      <c r="G1" s="73"/>
      <c r="M1" s="6"/>
      <c r="N1" s="6"/>
      <c r="O1" s="6"/>
    </row>
    <row r="2" spans="1:27" s="72" customFormat="1" ht="13.15" x14ac:dyDescent="0.4">
      <c r="A2" s="201"/>
      <c r="G2" s="73"/>
      <c r="M2" s="6"/>
      <c r="N2" s="6"/>
      <c r="O2" s="6"/>
    </row>
    <row r="3" spans="1:27" s="72" customFormat="1" ht="15" x14ac:dyDescent="0.4">
      <c r="A3" s="219"/>
      <c r="G3" s="73"/>
      <c r="M3" s="6"/>
      <c r="N3" s="6"/>
      <c r="O3" s="6"/>
    </row>
    <row r="4" spans="1:27" ht="13.15" x14ac:dyDescent="0.4">
      <c r="A4" s="73" t="s">
        <v>770</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4">
      <c r="A5" s="73" t="s">
        <v>1400</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4">
      <c r="A6" s="73" t="s">
        <v>1401</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4">
      <c r="A7" s="73"/>
      <c r="B7" s="72" t="s">
        <v>139</v>
      </c>
      <c r="C7" s="72"/>
      <c r="D7" s="72"/>
      <c r="E7" s="72"/>
      <c r="F7" s="86"/>
      <c r="G7" s="72" t="s">
        <v>146</v>
      </c>
      <c r="H7" s="72"/>
      <c r="I7" s="72"/>
      <c r="J7" s="72"/>
      <c r="K7" s="72"/>
      <c r="L7" s="74"/>
      <c r="M7" s="6" t="s">
        <v>770</v>
      </c>
      <c r="N7" s="6"/>
      <c r="O7" s="6"/>
      <c r="R7" s="73"/>
      <c r="S7" s="72"/>
      <c r="T7" s="72"/>
      <c r="U7" s="72"/>
      <c r="V7" s="72"/>
      <c r="W7" s="86"/>
      <c r="X7" s="72"/>
      <c r="Y7" s="72"/>
      <c r="Z7" s="72"/>
      <c r="AA7" s="72"/>
    </row>
    <row r="8" spans="1:27" ht="12.75" customHeight="1" thickBot="1" x14ac:dyDescent="0.45">
      <c r="A8" s="73" t="s">
        <v>136</v>
      </c>
      <c r="B8" s="74" t="s">
        <v>112</v>
      </c>
      <c r="C8" s="74" t="s">
        <v>113</v>
      </c>
      <c r="D8" s="74" t="s">
        <v>114</v>
      </c>
      <c r="E8" s="74" t="s">
        <v>115</v>
      </c>
      <c r="F8" s="86"/>
      <c r="G8" s="74" t="s">
        <v>112</v>
      </c>
      <c r="H8" s="74" t="s">
        <v>113</v>
      </c>
      <c r="I8" s="74" t="s">
        <v>114</v>
      </c>
      <c r="J8" s="74" t="s">
        <v>115</v>
      </c>
      <c r="K8" s="74"/>
      <c r="L8" s="75"/>
      <c r="M8" s="6" t="s">
        <v>740</v>
      </c>
      <c r="N8" s="139"/>
      <c r="O8" s="140"/>
      <c r="R8" s="73"/>
      <c r="S8" s="74"/>
      <c r="T8" s="74"/>
      <c r="U8" s="74"/>
      <c r="V8" s="74"/>
      <c r="W8" s="86"/>
      <c r="X8" s="74"/>
      <c r="Y8" s="74"/>
      <c r="Z8" s="74"/>
      <c r="AA8" s="74"/>
    </row>
    <row r="9" spans="1:27" ht="12.75" customHeight="1" x14ac:dyDescent="0.4">
      <c r="A9" s="73" t="s">
        <v>127</v>
      </c>
      <c r="B9" s="237">
        <v>8</v>
      </c>
      <c r="C9" s="238">
        <v>5</v>
      </c>
      <c r="D9" s="239">
        <v>1</v>
      </c>
      <c r="E9" s="237">
        <v>2</v>
      </c>
      <c r="F9" s="86"/>
      <c r="G9" s="75">
        <f>B9/23</f>
        <v>0.34782608695652173</v>
      </c>
      <c r="H9" s="75">
        <f>C9/B9</f>
        <v>0.625</v>
      </c>
      <c r="I9" s="75">
        <f>D9/B9</f>
        <v>0.125</v>
      </c>
      <c r="J9" s="75">
        <f>E9/B9</f>
        <v>0.25</v>
      </c>
      <c r="K9" s="75"/>
      <c r="L9" s="75"/>
      <c r="M9" s="6" t="s">
        <v>445</v>
      </c>
      <c r="N9" s="6"/>
      <c r="O9" s="6"/>
      <c r="R9" s="73"/>
      <c r="S9" s="86"/>
      <c r="T9" s="86"/>
      <c r="U9" s="86"/>
      <c r="V9" s="86"/>
      <c r="W9" s="86"/>
      <c r="X9" s="75"/>
      <c r="Y9" s="75"/>
      <c r="Z9" s="75"/>
      <c r="AA9" s="75"/>
    </row>
    <row r="10" spans="1:27" ht="12.75" customHeight="1" x14ac:dyDescent="0.4">
      <c r="A10" s="73" t="s">
        <v>128</v>
      </c>
      <c r="B10" s="240">
        <v>16</v>
      </c>
      <c r="C10" s="241">
        <v>6</v>
      </c>
      <c r="D10" s="242">
        <v>9</v>
      </c>
      <c r="E10" s="240">
        <v>1</v>
      </c>
      <c r="F10" s="86"/>
      <c r="G10" s="75">
        <f>B10/26</f>
        <v>0.61538461538461542</v>
      </c>
      <c r="H10" s="75">
        <f t="shared" ref="H10:H19" si="0">C10/B10</f>
        <v>0.375</v>
      </c>
      <c r="I10" s="75">
        <f t="shared" ref="I10:I20" si="1">D10/B10</f>
        <v>0.5625</v>
      </c>
      <c r="J10" s="75">
        <f t="shared" ref="J10:J20" si="2">E10/B10</f>
        <v>6.25E-2</v>
      </c>
      <c r="K10" s="75"/>
      <c r="L10" s="75"/>
      <c r="M10" s="6" t="s">
        <v>201</v>
      </c>
      <c r="N10" s="76">
        <v>294</v>
      </c>
      <c r="O10" s="141" t="s">
        <v>202</v>
      </c>
      <c r="P10" s="160"/>
      <c r="R10" s="73"/>
      <c r="S10" s="86"/>
      <c r="T10" s="86"/>
      <c r="U10" s="86"/>
      <c r="V10" s="86"/>
      <c r="W10" s="86"/>
      <c r="X10" s="75"/>
      <c r="Y10" s="75"/>
      <c r="Z10" s="75"/>
      <c r="AA10" s="75"/>
    </row>
    <row r="11" spans="1:27" ht="12.75" customHeight="1" x14ac:dyDescent="0.4">
      <c r="A11" s="73" t="s">
        <v>129</v>
      </c>
      <c r="B11" s="240">
        <v>58</v>
      </c>
      <c r="C11" s="241">
        <v>50</v>
      </c>
      <c r="D11" s="242">
        <v>5</v>
      </c>
      <c r="E11" s="240">
        <v>3</v>
      </c>
      <c r="F11" s="86"/>
      <c r="G11" s="75">
        <f>B11/78</f>
        <v>0.74358974358974361</v>
      </c>
      <c r="H11" s="75">
        <f t="shared" si="0"/>
        <v>0.86206896551724133</v>
      </c>
      <c r="I11" s="75">
        <f t="shared" si="1"/>
        <v>8.6206896551724144E-2</v>
      </c>
      <c r="J11" s="75">
        <f t="shared" si="2"/>
        <v>5.1724137931034482E-2</v>
      </c>
      <c r="K11" s="75"/>
      <c r="L11" s="75"/>
      <c r="M11" s="6" t="s">
        <v>771</v>
      </c>
      <c r="N11" s="139">
        <v>195</v>
      </c>
      <c r="O11" s="284">
        <f>N11/N10</f>
        <v>0.66326530612244894</v>
      </c>
      <c r="P11" s="160"/>
      <c r="Q11" s="140"/>
      <c r="R11" s="73"/>
      <c r="S11" s="86"/>
      <c r="T11" s="86"/>
      <c r="U11" s="86"/>
      <c r="V11" s="86"/>
      <c r="W11" s="86"/>
      <c r="X11" s="75"/>
      <c r="Y11" s="75"/>
      <c r="Z11" s="75"/>
      <c r="AA11" s="75"/>
    </row>
    <row r="12" spans="1:27" ht="12.75" customHeight="1" x14ac:dyDescent="0.4">
      <c r="A12" s="73" t="s">
        <v>130</v>
      </c>
      <c r="B12" s="240">
        <v>34</v>
      </c>
      <c r="C12" s="241">
        <v>24</v>
      </c>
      <c r="D12" s="242">
        <v>7</v>
      </c>
      <c r="E12" s="240">
        <v>3</v>
      </c>
      <c r="F12" s="86"/>
      <c r="G12" s="75">
        <f>B12/51</f>
        <v>0.66666666666666663</v>
      </c>
      <c r="H12" s="75">
        <f t="shared" si="0"/>
        <v>0.70588235294117652</v>
      </c>
      <c r="I12" s="75">
        <f t="shared" si="1"/>
        <v>0.20588235294117646</v>
      </c>
      <c r="J12" s="75">
        <f t="shared" si="2"/>
        <v>8.8235294117647065E-2</v>
      </c>
      <c r="K12" s="75"/>
      <c r="L12" s="75"/>
      <c r="M12" s="6" t="s">
        <v>226</v>
      </c>
      <c r="N12" s="139">
        <v>53</v>
      </c>
      <c r="O12" s="284">
        <f>N12/N10</f>
        <v>0.18027210884353742</v>
      </c>
      <c r="P12" s="223"/>
      <c r="Q12" s="140"/>
      <c r="R12" s="73"/>
      <c r="S12" s="86"/>
      <c r="T12" s="86"/>
      <c r="U12" s="86"/>
      <c r="V12" s="86"/>
      <c r="W12" s="86"/>
      <c r="X12" s="75"/>
      <c r="Y12" s="75"/>
      <c r="Z12" s="75"/>
      <c r="AA12" s="75"/>
    </row>
    <row r="13" spans="1:27" ht="12.75" customHeight="1" x14ac:dyDescent="0.4">
      <c r="A13" s="73" t="s">
        <v>131</v>
      </c>
      <c r="B13" s="240">
        <v>20</v>
      </c>
      <c r="C13" s="241">
        <v>16</v>
      </c>
      <c r="D13" s="242">
        <v>3</v>
      </c>
      <c r="E13" s="240">
        <v>1</v>
      </c>
      <c r="F13" s="86"/>
      <c r="G13" s="75">
        <f>B13/38</f>
        <v>0.52631578947368418</v>
      </c>
      <c r="H13" s="75">
        <f t="shared" si="0"/>
        <v>0.8</v>
      </c>
      <c r="I13" s="75">
        <f t="shared" si="1"/>
        <v>0.15</v>
      </c>
      <c r="J13" s="75">
        <f t="shared" si="2"/>
        <v>0.05</v>
      </c>
      <c r="K13" s="75"/>
      <c r="L13" s="75"/>
      <c r="M13" s="6" t="s">
        <v>772</v>
      </c>
      <c r="N13" s="139">
        <v>89</v>
      </c>
      <c r="O13" s="284">
        <f>N13/N10</f>
        <v>0.30272108843537415</v>
      </c>
      <c r="P13" s="160"/>
      <c r="Q13" s="140"/>
      <c r="R13" s="73"/>
      <c r="S13" s="86"/>
      <c r="T13" s="86"/>
      <c r="U13" s="86"/>
      <c r="V13" s="86"/>
      <c r="W13" s="86"/>
      <c r="X13" s="75"/>
      <c r="Y13" s="75"/>
      <c r="Z13" s="75"/>
      <c r="AA13" s="75"/>
    </row>
    <row r="14" spans="1:27" s="53" customFormat="1" ht="12.75" customHeight="1" x14ac:dyDescent="0.4">
      <c r="A14" s="73" t="s">
        <v>132</v>
      </c>
      <c r="B14" s="240">
        <v>34</v>
      </c>
      <c r="C14" s="241">
        <v>27</v>
      </c>
      <c r="D14" s="242">
        <v>6</v>
      </c>
      <c r="E14" s="240">
        <v>1</v>
      </c>
      <c r="F14" s="86"/>
      <c r="G14" s="75">
        <f>B14/60</f>
        <v>0.56666666666666665</v>
      </c>
      <c r="H14" s="75">
        <f t="shared" si="0"/>
        <v>0.79411764705882348</v>
      </c>
      <c r="I14" s="75">
        <f t="shared" si="1"/>
        <v>0.17647058823529413</v>
      </c>
      <c r="J14" s="75">
        <f t="shared" si="2"/>
        <v>2.9411764705882353E-2</v>
      </c>
      <c r="K14" s="75"/>
      <c r="L14" s="75"/>
      <c r="M14" s="6" t="s">
        <v>227</v>
      </c>
      <c r="N14" s="139">
        <v>14</v>
      </c>
      <c r="O14" s="284">
        <f>N14/N10</f>
        <v>4.7619047619047616E-2</v>
      </c>
      <c r="P14" s="160"/>
      <c r="Q14" s="140"/>
      <c r="R14" s="73"/>
      <c r="S14" s="86"/>
      <c r="T14" s="86"/>
      <c r="U14" s="86"/>
      <c r="V14" s="86"/>
      <c r="W14" s="86"/>
      <c r="X14" s="75"/>
      <c r="Y14" s="75"/>
      <c r="Z14" s="75"/>
      <c r="AA14" s="75"/>
    </row>
    <row r="15" spans="1:27" s="53" customFormat="1" ht="12.75" customHeight="1" x14ac:dyDescent="0.4">
      <c r="A15" s="73" t="s">
        <v>133</v>
      </c>
      <c r="B15" s="240">
        <v>57</v>
      </c>
      <c r="C15" s="241">
        <v>50</v>
      </c>
      <c r="D15" s="242">
        <v>6</v>
      </c>
      <c r="E15" s="240">
        <v>1</v>
      </c>
      <c r="F15" s="87"/>
      <c r="G15" s="75">
        <f>B15/73</f>
        <v>0.78082191780821919</v>
      </c>
      <c r="H15" s="75">
        <f t="shared" si="0"/>
        <v>0.8771929824561403</v>
      </c>
      <c r="I15" s="75">
        <f t="shared" si="1"/>
        <v>0.10526315789473684</v>
      </c>
      <c r="J15" s="75">
        <f t="shared" si="2"/>
        <v>1.7543859649122806E-2</v>
      </c>
      <c r="K15" s="75"/>
      <c r="L15" s="75"/>
      <c r="M15" s="6"/>
      <c r="N15" s="139"/>
      <c r="O15" s="140"/>
      <c r="P15"/>
      <c r="Q15"/>
      <c r="R15" s="73"/>
      <c r="S15" s="86"/>
      <c r="T15" s="86"/>
      <c r="U15" s="86"/>
      <c r="V15" s="86"/>
      <c r="W15" s="87"/>
      <c r="X15" s="75"/>
      <c r="Y15" s="75"/>
      <c r="Z15" s="75"/>
      <c r="AA15" s="75"/>
    </row>
    <row r="16" spans="1:27" s="53" customFormat="1" ht="12.75" customHeight="1" x14ac:dyDescent="0.4">
      <c r="A16" s="73" t="s">
        <v>134</v>
      </c>
      <c r="B16" s="240">
        <v>33</v>
      </c>
      <c r="C16" s="241">
        <v>31</v>
      </c>
      <c r="D16" s="242">
        <v>1</v>
      </c>
      <c r="E16" s="240">
        <v>1</v>
      </c>
      <c r="F16" s="87"/>
      <c r="G16" s="75">
        <f>B16/69</f>
        <v>0.47826086956521741</v>
      </c>
      <c r="H16" s="75">
        <f t="shared" si="0"/>
        <v>0.93939393939393945</v>
      </c>
      <c r="I16" s="75">
        <f t="shared" si="1"/>
        <v>3.0303030303030304E-2</v>
      </c>
      <c r="J16" s="75">
        <f t="shared" si="2"/>
        <v>3.0303030303030304E-2</v>
      </c>
      <c r="K16" s="75"/>
      <c r="L16" s="75"/>
      <c r="M16" s="6" t="s">
        <v>773</v>
      </c>
      <c r="N16" s="138" t="s">
        <v>438</v>
      </c>
      <c r="O16" s="141" t="s">
        <v>202</v>
      </c>
      <c r="P16"/>
      <c r="Q16"/>
      <c r="R16" s="73"/>
      <c r="S16" s="86"/>
      <c r="T16" s="86"/>
      <c r="U16" s="86"/>
      <c r="V16" s="86"/>
      <c r="W16" s="87"/>
      <c r="X16" s="75"/>
      <c r="Y16" s="75"/>
      <c r="Z16" s="75"/>
      <c r="AA16" s="75"/>
    </row>
    <row r="17" spans="1:27" s="53" customFormat="1" ht="12.75" customHeight="1" x14ac:dyDescent="0.4">
      <c r="A17" s="73" t="s">
        <v>376</v>
      </c>
      <c r="B17" s="240">
        <v>13</v>
      </c>
      <c r="C17" s="241">
        <v>12</v>
      </c>
      <c r="D17" s="242">
        <v>1</v>
      </c>
      <c r="E17" s="240">
        <v>0</v>
      </c>
      <c r="F17" s="87"/>
      <c r="G17" s="75">
        <f>B17/23</f>
        <v>0.56521739130434778</v>
      </c>
      <c r="H17" s="75">
        <f t="shared" si="0"/>
        <v>0.92307692307692313</v>
      </c>
      <c r="I17" s="75">
        <f t="shared" si="1"/>
        <v>7.6923076923076927E-2</v>
      </c>
      <c r="J17" s="75">
        <f t="shared" si="2"/>
        <v>0</v>
      </c>
      <c r="K17" s="75"/>
      <c r="L17" s="75"/>
      <c r="M17" s="6" t="s">
        <v>774</v>
      </c>
      <c r="N17" s="229">
        <v>34</v>
      </c>
      <c r="O17" s="140">
        <f>N17/N10</f>
        <v>0.11564625850340136</v>
      </c>
      <c r="P17"/>
      <c r="Q17"/>
      <c r="R17" s="73"/>
      <c r="S17" s="86"/>
      <c r="T17" s="86"/>
      <c r="U17" s="86"/>
      <c r="V17" s="86"/>
      <c r="W17" s="87"/>
      <c r="X17" s="75"/>
      <c r="Y17" s="75"/>
      <c r="Z17" s="75"/>
      <c r="AA17" s="75"/>
    </row>
    <row r="18" spans="1:27" ht="12.75" customHeight="1" x14ac:dyDescent="0.4">
      <c r="A18" s="73" t="s">
        <v>135</v>
      </c>
      <c r="B18" s="240">
        <v>18</v>
      </c>
      <c r="C18" s="241">
        <v>13</v>
      </c>
      <c r="D18" s="242">
        <v>5</v>
      </c>
      <c r="E18" s="240">
        <v>0</v>
      </c>
      <c r="F18" s="87"/>
      <c r="G18" s="75">
        <f>B18/31</f>
        <v>0.58064516129032262</v>
      </c>
      <c r="H18" s="75">
        <f t="shared" si="0"/>
        <v>0.72222222222222221</v>
      </c>
      <c r="I18" s="75">
        <f t="shared" si="1"/>
        <v>0.27777777777777779</v>
      </c>
      <c r="J18" s="75">
        <f t="shared" si="2"/>
        <v>0</v>
      </c>
      <c r="K18" s="75"/>
      <c r="L18" s="75"/>
      <c r="M18" s="6"/>
      <c r="N18" s="139"/>
      <c r="O18" s="140"/>
      <c r="R18" s="73"/>
      <c r="S18" s="86"/>
      <c r="T18" s="86"/>
      <c r="U18" s="86"/>
      <c r="V18" s="86"/>
      <c r="W18" s="87"/>
      <c r="X18" s="75"/>
      <c r="Y18" s="75"/>
      <c r="Z18" s="75"/>
      <c r="AA18" s="75"/>
    </row>
    <row r="19" spans="1:27" ht="12.75" customHeight="1" thickBot="1" x14ac:dyDescent="0.45">
      <c r="A19" s="73" t="s">
        <v>303</v>
      </c>
      <c r="B19" s="243">
        <v>25</v>
      </c>
      <c r="C19" s="244">
        <v>12</v>
      </c>
      <c r="D19" s="245">
        <v>6</v>
      </c>
      <c r="E19" s="243">
        <v>7</v>
      </c>
      <c r="F19" s="87"/>
      <c r="G19" s="75">
        <f>B19/31</f>
        <v>0.80645161290322576</v>
      </c>
      <c r="H19" s="75">
        <f t="shared" si="0"/>
        <v>0.48</v>
      </c>
      <c r="I19" s="75">
        <f t="shared" si="1"/>
        <v>0.24</v>
      </c>
      <c r="J19" s="75">
        <f t="shared" si="2"/>
        <v>0.28000000000000003</v>
      </c>
      <c r="K19" s="75"/>
      <c r="L19" s="75"/>
      <c r="M19" s="6"/>
      <c r="N19" s="139"/>
      <c r="O19" s="140"/>
      <c r="R19" s="73"/>
      <c r="S19" s="86"/>
      <c r="T19" s="86"/>
      <c r="U19" s="86"/>
      <c r="V19" s="86"/>
      <c r="W19" s="87"/>
      <c r="X19" s="75"/>
      <c r="Y19" s="75"/>
      <c r="Z19" s="75"/>
      <c r="AA19" s="75"/>
    </row>
    <row r="20" spans="1:27" ht="12.75" customHeight="1" x14ac:dyDescent="0.4">
      <c r="A20" s="73" t="s">
        <v>23</v>
      </c>
      <c r="B20" s="246">
        <v>316</v>
      </c>
      <c r="C20" s="247">
        <v>246</v>
      </c>
      <c r="D20" s="248">
        <v>50</v>
      </c>
      <c r="E20" s="249">
        <v>20</v>
      </c>
      <c r="F20" s="72"/>
      <c r="G20" s="75">
        <f>B20/503</f>
        <v>0.62823061630218691</v>
      </c>
      <c r="H20" s="75">
        <f>C20/B20</f>
        <v>0.77848101265822789</v>
      </c>
      <c r="I20" s="75">
        <f t="shared" si="1"/>
        <v>0.15822784810126583</v>
      </c>
      <c r="J20" s="75">
        <f t="shared" si="2"/>
        <v>6.3291139240506333E-2</v>
      </c>
      <c r="K20" s="75"/>
      <c r="L20" s="75"/>
      <c r="M20" s="6" t="s">
        <v>320</v>
      </c>
      <c r="N20" s="75" t="s">
        <v>318</v>
      </c>
      <c r="O20" s="75" t="s">
        <v>319</v>
      </c>
      <c r="P20" s="92"/>
      <c r="R20" s="73"/>
      <c r="S20" s="87"/>
      <c r="T20" s="86"/>
      <c r="U20" s="86"/>
      <c r="V20" s="87"/>
      <c r="W20" s="72"/>
      <c r="X20" s="75"/>
      <c r="Y20" s="75"/>
      <c r="Z20" s="75"/>
      <c r="AA20" s="75"/>
    </row>
    <row r="21" spans="1:27" ht="12.75" customHeight="1" x14ac:dyDescent="0.4">
      <c r="A21" s="73"/>
      <c r="B21" s="87"/>
      <c r="C21" s="86"/>
      <c r="D21" s="86"/>
      <c r="E21" s="87"/>
      <c r="F21" s="72"/>
      <c r="G21" s="75"/>
      <c r="H21" s="75"/>
      <c r="I21" s="75"/>
      <c r="J21" s="75"/>
      <c r="K21" s="75"/>
      <c r="L21" s="75"/>
      <c r="M21" s="6" t="s">
        <v>321</v>
      </c>
      <c r="N21" s="75" t="s">
        <v>316</v>
      </c>
      <c r="O21" s="75" t="s">
        <v>317</v>
      </c>
      <c r="S21" s="53"/>
    </row>
    <row r="22" spans="1:27" ht="12.75" customHeight="1" x14ac:dyDescent="0.4">
      <c r="A22" s="73"/>
      <c r="B22" s="87"/>
      <c r="C22" s="86"/>
      <c r="D22" s="86"/>
      <c r="E22" s="87"/>
      <c r="F22" s="72"/>
      <c r="G22" s="75"/>
      <c r="H22" s="75"/>
      <c r="I22" s="75"/>
      <c r="J22" s="75"/>
      <c r="K22" s="75"/>
      <c r="L22" s="75"/>
      <c r="M22" s="6" t="s">
        <v>739</v>
      </c>
      <c r="N22" s="75">
        <f>O14</f>
        <v>4.7619047619047616E-2</v>
      </c>
      <c r="O22" s="75">
        <f>O12</f>
        <v>0.18027210884353742</v>
      </c>
      <c r="S22" s="53"/>
    </row>
    <row r="23" spans="1:27" ht="12.75" customHeight="1" x14ac:dyDescent="0.4">
      <c r="A23" s="73" t="s">
        <v>334</v>
      </c>
      <c r="B23" s="72" t="s">
        <v>139</v>
      </c>
      <c r="C23" s="72"/>
      <c r="D23" s="72"/>
      <c r="E23" s="72"/>
      <c r="F23" s="86"/>
      <c r="G23" s="72" t="s">
        <v>146</v>
      </c>
      <c r="H23" s="72"/>
      <c r="I23" s="72"/>
      <c r="J23" s="72"/>
      <c r="K23" s="75"/>
      <c r="L23" s="75"/>
      <c r="M23" s="6" t="s">
        <v>739</v>
      </c>
      <c r="N23" s="75">
        <v>5.8000000000000003E-2</v>
      </c>
      <c r="O23" s="75">
        <v>0.13800000000000001</v>
      </c>
      <c r="S23" s="53"/>
    </row>
    <row r="24" spans="1:27" ht="12.75" customHeight="1" x14ac:dyDescent="0.4">
      <c r="A24" s="73"/>
      <c r="B24" s="74" t="s">
        <v>112</v>
      </c>
      <c r="C24" s="74" t="s">
        <v>113</v>
      </c>
      <c r="D24" s="74" t="s">
        <v>114</v>
      </c>
      <c r="E24" s="74" t="s">
        <v>115</v>
      </c>
      <c r="F24" s="86"/>
      <c r="G24" s="74" t="s">
        <v>112</v>
      </c>
      <c r="H24" s="74" t="s">
        <v>113</v>
      </c>
      <c r="I24" s="74" t="s">
        <v>114</v>
      </c>
      <c r="J24" s="74" t="s">
        <v>115</v>
      </c>
      <c r="K24" s="165"/>
      <c r="L24" s="75"/>
      <c r="M24" s="6" t="s">
        <v>654</v>
      </c>
      <c r="N24" s="75">
        <v>6.6265060240963861E-2</v>
      </c>
      <c r="O24" s="75">
        <v>0.12048192771084337</v>
      </c>
      <c r="S24" s="53"/>
    </row>
    <row r="25" spans="1:27" ht="12.75" customHeight="1" x14ac:dyDescent="0.4">
      <c r="A25" s="73" t="s">
        <v>770</v>
      </c>
      <c r="B25" s="87">
        <f>B20</f>
        <v>316</v>
      </c>
      <c r="C25" s="87">
        <f>C20</f>
        <v>246</v>
      </c>
      <c r="D25" s="87">
        <f>D20</f>
        <v>50</v>
      </c>
      <c r="E25" s="87">
        <f>E20</f>
        <v>20</v>
      </c>
      <c r="F25" s="87"/>
      <c r="G25" s="163">
        <f>G20</f>
        <v>0.62823061630218691</v>
      </c>
      <c r="H25" s="163">
        <f>H20</f>
        <v>0.77848101265822789</v>
      </c>
      <c r="I25" s="163">
        <f>I20</f>
        <v>0.15822784810126583</v>
      </c>
      <c r="J25" s="163">
        <f>J20</f>
        <v>6.3291139240506333E-2</v>
      </c>
      <c r="K25" s="165"/>
      <c r="L25" s="75"/>
      <c r="M25" s="6" t="s">
        <v>653</v>
      </c>
      <c r="N25" s="75">
        <v>5.0100200400801605E-2</v>
      </c>
      <c r="O25" s="75">
        <v>0.13627254509018036</v>
      </c>
      <c r="R25" s="6"/>
      <c r="S25" s="6"/>
      <c r="T25" s="6"/>
    </row>
    <row r="26" spans="1:27" ht="12.75" customHeight="1" x14ac:dyDescent="0.4">
      <c r="A26" s="73" t="s">
        <v>739</v>
      </c>
      <c r="B26" s="87">
        <v>498</v>
      </c>
      <c r="C26" s="87">
        <v>384</v>
      </c>
      <c r="D26" s="87">
        <v>88</v>
      </c>
      <c r="E26" s="87">
        <v>26</v>
      </c>
      <c r="F26" s="87"/>
      <c r="G26" s="163">
        <v>0.99005964214711728</v>
      </c>
      <c r="H26" s="163">
        <v>0.77108433734939763</v>
      </c>
      <c r="I26" s="163">
        <v>0.17670682730923695</v>
      </c>
      <c r="J26" s="163">
        <v>5.2208835341365459E-2</v>
      </c>
      <c r="K26" s="165"/>
      <c r="L26" s="75"/>
      <c r="M26" s="6" t="s">
        <v>652</v>
      </c>
      <c r="N26" s="75">
        <v>5.040322580645161E-2</v>
      </c>
      <c r="O26" s="75">
        <v>0.12701612903225806</v>
      </c>
      <c r="R26" s="6"/>
      <c r="S26" s="139"/>
      <c r="T26" s="140"/>
    </row>
    <row r="27" spans="1:27" ht="12.75" customHeight="1" x14ac:dyDescent="0.4">
      <c r="A27" s="73" t="s">
        <v>654</v>
      </c>
      <c r="B27" s="87">
        <v>499</v>
      </c>
      <c r="C27" s="87">
        <v>373</v>
      </c>
      <c r="D27" s="87">
        <v>99</v>
      </c>
      <c r="E27" s="87">
        <v>27</v>
      </c>
      <c r="F27" s="87"/>
      <c r="G27" s="163">
        <v>0.99204771371769385</v>
      </c>
      <c r="H27" s="163">
        <v>0.74749498997995989</v>
      </c>
      <c r="I27" s="163">
        <v>0.19839679358717435</v>
      </c>
      <c r="J27" s="163">
        <v>5.410821643286573E-2</v>
      </c>
      <c r="K27" s="165"/>
      <c r="L27" s="75"/>
      <c r="M27" s="6" t="s">
        <v>646</v>
      </c>
      <c r="N27" s="75">
        <v>4.6184738955823292E-2</v>
      </c>
      <c r="O27" s="75">
        <v>0.132530120481928</v>
      </c>
      <c r="R27" s="6"/>
      <c r="S27" s="6"/>
      <c r="T27" s="6"/>
    </row>
    <row r="28" spans="1:27" ht="12.75" customHeight="1" x14ac:dyDescent="0.4">
      <c r="A28" s="73" t="s">
        <v>653</v>
      </c>
      <c r="B28" s="87">
        <v>498</v>
      </c>
      <c r="C28" s="87">
        <v>359</v>
      </c>
      <c r="D28" s="87">
        <v>102</v>
      </c>
      <c r="E28" s="87">
        <v>37</v>
      </c>
      <c r="F28" s="87"/>
      <c r="G28" s="163">
        <v>0.99005964214711728</v>
      </c>
      <c r="H28" s="163">
        <v>0.72088353413654616</v>
      </c>
      <c r="I28" s="163">
        <v>0.20481927710843373</v>
      </c>
      <c r="J28" s="163">
        <v>7.4297188755020074E-2</v>
      </c>
      <c r="K28" s="165"/>
      <c r="L28" s="75"/>
      <c r="M28" s="6" t="s">
        <v>591</v>
      </c>
      <c r="N28" s="75">
        <v>3.8076152304609222E-2</v>
      </c>
      <c r="O28" s="75">
        <v>0.12625250501002003</v>
      </c>
      <c r="R28" s="6"/>
      <c r="S28" s="76"/>
      <c r="T28" s="141"/>
    </row>
    <row r="29" spans="1:27" ht="12.75" customHeight="1" x14ac:dyDescent="0.4">
      <c r="A29" s="73" t="s">
        <v>652</v>
      </c>
      <c r="B29" s="87">
        <v>500</v>
      </c>
      <c r="C29" s="87">
        <v>394</v>
      </c>
      <c r="D29" s="87">
        <v>81</v>
      </c>
      <c r="E29" s="87">
        <v>25</v>
      </c>
      <c r="F29" s="87"/>
      <c r="G29" s="163">
        <v>0.99403578528827041</v>
      </c>
      <c r="H29" s="163">
        <v>0.78800000000000003</v>
      </c>
      <c r="I29" s="163">
        <v>0.16200000000000001</v>
      </c>
      <c r="J29" s="163">
        <v>0.05</v>
      </c>
      <c r="K29" s="165"/>
      <c r="L29" s="75"/>
      <c r="M29" s="6" t="s">
        <v>590</v>
      </c>
      <c r="N29" s="75">
        <v>4.5999999999999999E-2</v>
      </c>
      <c r="O29" s="75">
        <v>0.13800000000000001</v>
      </c>
      <c r="R29" s="6"/>
      <c r="S29" s="139"/>
      <c r="T29" s="140"/>
    </row>
    <row r="30" spans="1:27" ht="12.75" customHeight="1" x14ac:dyDescent="0.4">
      <c r="A30" s="73" t="s">
        <v>646</v>
      </c>
      <c r="B30" s="87">
        <v>501</v>
      </c>
      <c r="C30" s="87">
        <v>386</v>
      </c>
      <c r="D30" s="87">
        <v>90</v>
      </c>
      <c r="E30" s="87">
        <v>25</v>
      </c>
      <c r="F30" s="87"/>
      <c r="G30" s="163">
        <v>0.99602385685884687</v>
      </c>
      <c r="H30" s="163">
        <v>0.77045908183632739</v>
      </c>
      <c r="I30" s="163">
        <v>0.17964071856287425</v>
      </c>
      <c r="J30" s="163">
        <v>4.9900199600798403E-2</v>
      </c>
      <c r="K30" s="165"/>
      <c r="L30" s="75"/>
      <c r="M30" s="6" t="s">
        <v>589</v>
      </c>
      <c r="N30" s="75">
        <v>4.2168674698795178E-2</v>
      </c>
      <c r="O30" s="75">
        <v>0.16265060240963855</v>
      </c>
      <c r="R30" s="6"/>
      <c r="S30" s="139"/>
      <c r="T30" s="140"/>
      <c r="U30" s="72"/>
    </row>
    <row r="31" spans="1:27" ht="12.75" customHeight="1" x14ac:dyDescent="0.4">
      <c r="A31" s="73" t="s">
        <v>591</v>
      </c>
      <c r="B31" s="87">
        <v>499</v>
      </c>
      <c r="C31" s="87">
        <v>369</v>
      </c>
      <c r="D31" s="87">
        <v>106</v>
      </c>
      <c r="E31" s="87">
        <v>24</v>
      </c>
      <c r="F31" s="72"/>
      <c r="G31" s="75">
        <v>0.99204771371769385</v>
      </c>
      <c r="H31" s="75">
        <v>0.73947895791583163</v>
      </c>
      <c r="I31" s="75">
        <v>0.21242484969939879</v>
      </c>
      <c r="J31" s="75">
        <v>4.8096192384769539E-2</v>
      </c>
      <c r="K31" s="165"/>
      <c r="L31" s="75"/>
      <c r="M31" s="6" t="s">
        <v>588</v>
      </c>
      <c r="N31" s="75">
        <v>4.0160642570281124E-2</v>
      </c>
      <c r="O31" s="75">
        <v>0.18473895582329317</v>
      </c>
      <c r="R31" s="6"/>
      <c r="S31" s="139"/>
      <c r="T31" s="140"/>
    </row>
    <row r="32" spans="1:27" ht="12.75" customHeight="1" x14ac:dyDescent="0.4">
      <c r="A32" s="73" t="s">
        <v>590</v>
      </c>
      <c r="B32" s="87">
        <v>499</v>
      </c>
      <c r="C32" s="87">
        <v>397</v>
      </c>
      <c r="D32" s="87">
        <v>81</v>
      </c>
      <c r="E32" s="87">
        <v>21</v>
      </c>
      <c r="F32" s="87"/>
      <c r="G32" s="163">
        <v>0.99204771371769385</v>
      </c>
      <c r="H32" s="163">
        <v>0.79559118236472948</v>
      </c>
      <c r="I32" s="163">
        <v>0.16232464929859719</v>
      </c>
      <c r="J32" s="163">
        <v>4.2084168336673347E-2</v>
      </c>
      <c r="K32" s="165"/>
      <c r="L32" s="75"/>
      <c r="M32" s="6" t="s">
        <v>579</v>
      </c>
      <c r="N32" s="75">
        <v>5.0100200400801605E-2</v>
      </c>
      <c r="O32" s="75">
        <v>0.19438877755511022</v>
      </c>
      <c r="R32" s="6"/>
      <c r="S32" s="139"/>
      <c r="T32" s="140"/>
    </row>
    <row r="33" spans="1:19" ht="12.75" customHeight="1" x14ac:dyDescent="0.4">
      <c r="A33" s="73" t="s">
        <v>589</v>
      </c>
      <c r="B33" s="87">
        <v>499</v>
      </c>
      <c r="C33" s="87">
        <v>380</v>
      </c>
      <c r="D33" s="87">
        <v>88</v>
      </c>
      <c r="E33" s="87">
        <v>31</v>
      </c>
      <c r="F33" s="87"/>
      <c r="G33" s="163">
        <v>0.98811881188118811</v>
      </c>
      <c r="H33" s="163">
        <v>0.76152304609218435</v>
      </c>
      <c r="I33" s="163">
        <v>0.17635270541082165</v>
      </c>
      <c r="J33" s="163">
        <v>6.2124248496993988E-2</v>
      </c>
      <c r="K33" s="165"/>
      <c r="L33" s="75"/>
      <c r="M33" s="6" t="s">
        <v>569</v>
      </c>
      <c r="N33" s="75">
        <v>7.2099999999999997E-2</v>
      </c>
      <c r="O33" s="75">
        <v>0.21240000000000001</v>
      </c>
      <c r="P33" s="86"/>
      <c r="S33" s="53"/>
    </row>
    <row r="34" spans="1:19" ht="12.75" customHeight="1" x14ac:dyDescent="0.4">
      <c r="A34" s="73" t="s">
        <v>588</v>
      </c>
      <c r="B34" s="87">
        <v>500</v>
      </c>
      <c r="C34" s="87">
        <v>383</v>
      </c>
      <c r="D34" s="87">
        <v>101</v>
      </c>
      <c r="E34" s="87">
        <v>16</v>
      </c>
      <c r="F34" s="87"/>
      <c r="G34" s="163">
        <v>0.99009900990099009</v>
      </c>
      <c r="H34" s="163">
        <v>0.76600000000000001</v>
      </c>
      <c r="I34" s="163">
        <v>0.20200000000000001</v>
      </c>
      <c r="J34" s="163">
        <v>3.2000000000000001E-2</v>
      </c>
      <c r="K34" s="165"/>
      <c r="L34" s="75"/>
      <c r="M34" s="6" t="s">
        <v>558</v>
      </c>
      <c r="N34" s="75">
        <v>8.4168336673346694E-2</v>
      </c>
      <c r="O34" s="75">
        <v>0.19839679358717435</v>
      </c>
      <c r="P34" s="86"/>
      <c r="S34" s="53"/>
    </row>
    <row r="35" spans="1:19" ht="12.75" customHeight="1" x14ac:dyDescent="0.4">
      <c r="A35" s="73" t="s">
        <v>579</v>
      </c>
      <c r="B35" s="87">
        <v>500</v>
      </c>
      <c r="C35" s="87">
        <v>337</v>
      </c>
      <c r="D35" s="87">
        <v>134</v>
      </c>
      <c r="E35" s="87">
        <v>29</v>
      </c>
      <c r="F35" s="87"/>
      <c r="G35" s="163">
        <v>0.99403578528827041</v>
      </c>
      <c r="H35" s="163">
        <v>0.67400000000000004</v>
      </c>
      <c r="I35" s="163">
        <v>0.26800000000000002</v>
      </c>
      <c r="J35" s="163">
        <v>5.8000000000000003E-2</v>
      </c>
      <c r="K35" s="165"/>
      <c r="L35" s="75"/>
      <c r="M35" s="6" t="s">
        <v>556</v>
      </c>
      <c r="N35" s="75">
        <v>7.6152304609218444E-2</v>
      </c>
      <c r="O35" s="75">
        <v>0.17635270541082165</v>
      </c>
      <c r="P35" s="86"/>
      <c r="S35" s="53"/>
    </row>
    <row r="36" spans="1:19" ht="12.75" customHeight="1" x14ac:dyDescent="0.4">
      <c r="A36" s="73" t="s">
        <v>569</v>
      </c>
      <c r="B36" s="87">
        <v>496</v>
      </c>
      <c r="C36" s="87">
        <v>339</v>
      </c>
      <c r="D36" s="87">
        <v>126</v>
      </c>
      <c r="E36" s="87">
        <v>31</v>
      </c>
      <c r="F36" s="87"/>
      <c r="G36" s="163">
        <v>0.98609999999999998</v>
      </c>
      <c r="H36" s="163">
        <v>0.6835</v>
      </c>
      <c r="I36" s="163">
        <v>0.254</v>
      </c>
      <c r="J36" s="163">
        <v>6.25E-2</v>
      </c>
      <c r="K36" s="165"/>
      <c r="L36" s="75"/>
      <c r="M36" s="73" t="s">
        <v>539</v>
      </c>
      <c r="N36" s="165">
        <v>0.1006036217303823</v>
      </c>
      <c r="O36" s="75">
        <v>0.1488933601609658</v>
      </c>
      <c r="P36" s="86"/>
      <c r="S36" s="53"/>
    </row>
    <row r="37" spans="1:19" ht="12.75" customHeight="1" x14ac:dyDescent="0.4">
      <c r="A37" s="73" t="s">
        <v>558</v>
      </c>
      <c r="B37" s="87">
        <v>499</v>
      </c>
      <c r="C37" s="87">
        <v>372</v>
      </c>
      <c r="D37" s="87">
        <v>102</v>
      </c>
      <c r="E37" s="87">
        <v>25</v>
      </c>
      <c r="F37" s="87"/>
      <c r="G37" s="163">
        <v>0.98811881188118811</v>
      </c>
      <c r="H37" s="163">
        <v>0.74549098196392782</v>
      </c>
      <c r="I37" s="163">
        <v>0.20440881763527055</v>
      </c>
      <c r="J37" s="163">
        <v>5.0100200400801605E-2</v>
      </c>
      <c r="K37" s="165"/>
      <c r="L37" s="75"/>
      <c r="M37" s="73" t="s">
        <v>527</v>
      </c>
      <c r="N37" s="165">
        <v>0.10220440881763528</v>
      </c>
      <c r="O37" s="75">
        <v>7.4148296593186377E-2</v>
      </c>
      <c r="P37" s="86"/>
      <c r="S37" s="53"/>
    </row>
    <row r="38" spans="1:19" ht="12.75" customHeight="1" x14ac:dyDescent="0.4">
      <c r="A38" s="73" t="s">
        <v>556</v>
      </c>
      <c r="B38" s="87">
        <v>500</v>
      </c>
      <c r="C38" s="87">
        <v>431</v>
      </c>
      <c r="D38" s="87">
        <v>53</v>
      </c>
      <c r="E38" s="87">
        <v>16</v>
      </c>
      <c r="F38" s="72"/>
      <c r="G38" s="75">
        <v>0.99009900990099009</v>
      </c>
      <c r="H38" s="75">
        <v>0.86199999999999999</v>
      </c>
      <c r="I38" s="75">
        <v>0.106</v>
      </c>
      <c r="J38" s="75">
        <v>3.2000000000000001E-2</v>
      </c>
      <c r="K38" s="75"/>
      <c r="L38" s="75"/>
      <c r="M38" s="73" t="s">
        <v>518</v>
      </c>
      <c r="N38" s="165">
        <v>0.11022044088176353</v>
      </c>
      <c r="O38" s="75">
        <v>5.410821643286573E-2</v>
      </c>
      <c r="P38" s="86"/>
      <c r="S38" s="53"/>
    </row>
    <row r="39" spans="1:19" ht="12.75" customHeight="1" x14ac:dyDescent="0.4">
      <c r="A39" s="73" t="s">
        <v>539</v>
      </c>
      <c r="B39" s="87">
        <v>500</v>
      </c>
      <c r="C39" s="87">
        <v>378</v>
      </c>
      <c r="D39" s="87">
        <v>102</v>
      </c>
      <c r="E39" s="87">
        <v>20</v>
      </c>
      <c r="F39" s="87"/>
      <c r="G39" s="163">
        <v>0.99009900990099009</v>
      </c>
      <c r="H39" s="163">
        <v>0.75600000000000001</v>
      </c>
      <c r="I39" s="163">
        <v>0.20399999999999999</v>
      </c>
      <c r="J39" s="163">
        <v>0.04</v>
      </c>
      <c r="K39" s="75"/>
      <c r="L39" s="75"/>
      <c r="M39" s="73" t="s">
        <v>504</v>
      </c>
      <c r="N39" s="165">
        <v>0.104</v>
      </c>
      <c r="O39" s="75">
        <v>5.8000000000000003E-2</v>
      </c>
      <c r="P39" s="86"/>
      <c r="S39" s="53"/>
    </row>
    <row r="40" spans="1:19" ht="12.75" customHeight="1" x14ac:dyDescent="0.4">
      <c r="A40" s="73" t="s">
        <v>527</v>
      </c>
      <c r="B40" s="87">
        <v>500</v>
      </c>
      <c r="C40" s="87">
        <v>401</v>
      </c>
      <c r="D40" s="87">
        <v>84</v>
      </c>
      <c r="E40" s="87">
        <v>15</v>
      </c>
      <c r="F40" s="87"/>
      <c r="G40" s="163">
        <v>0.99009900990099009</v>
      </c>
      <c r="H40" s="163">
        <v>0.80200000000000005</v>
      </c>
      <c r="I40" s="163">
        <v>0.16800000000000001</v>
      </c>
      <c r="J40" s="163">
        <v>0.03</v>
      </c>
      <c r="K40" s="75"/>
      <c r="L40" s="75"/>
      <c r="M40" s="73" t="s">
        <v>485</v>
      </c>
      <c r="N40" s="165">
        <v>9.0180360721442893E-2</v>
      </c>
      <c r="O40" s="75">
        <v>6.0120240480961921E-2</v>
      </c>
      <c r="P40" s="86"/>
      <c r="S40" s="53"/>
    </row>
    <row r="41" spans="1:19" ht="12.75" customHeight="1" x14ac:dyDescent="0.4">
      <c r="A41" s="73" t="s">
        <v>518</v>
      </c>
      <c r="B41" s="87">
        <v>500</v>
      </c>
      <c r="C41" s="87">
        <v>431</v>
      </c>
      <c r="D41" s="87">
        <v>53</v>
      </c>
      <c r="E41" s="87">
        <v>16</v>
      </c>
      <c r="F41" s="87"/>
      <c r="G41" s="163">
        <v>0.99009900990099009</v>
      </c>
      <c r="H41" s="163">
        <v>0.86199999999999999</v>
      </c>
      <c r="I41" s="163">
        <v>0.106</v>
      </c>
      <c r="J41" s="163">
        <v>3.2000000000000001E-2</v>
      </c>
      <c r="K41" s="75"/>
      <c r="L41" s="75"/>
      <c r="M41" s="73" t="s">
        <v>448</v>
      </c>
      <c r="N41" s="165">
        <v>8.617234468937876E-2</v>
      </c>
      <c r="O41" s="75">
        <v>9.6192384769539077E-2</v>
      </c>
      <c r="P41" s="86"/>
      <c r="S41" s="53"/>
    </row>
    <row r="42" spans="1:19" ht="12.75" customHeight="1" x14ac:dyDescent="0.4">
      <c r="A42" s="73" t="s">
        <v>504</v>
      </c>
      <c r="B42" s="87">
        <v>499</v>
      </c>
      <c r="C42" s="87">
        <v>426</v>
      </c>
      <c r="D42" s="87">
        <v>56</v>
      </c>
      <c r="E42" s="87">
        <v>17</v>
      </c>
      <c r="F42" s="87"/>
      <c r="G42" s="163">
        <v>0.98811881188118811</v>
      </c>
      <c r="H42" s="163">
        <v>0.85370741482965928</v>
      </c>
      <c r="I42" s="163">
        <v>0.11222444889779559</v>
      </c>
      <c r="J42" s="163">
        <v>3.406813627254509E-2</v>
      </c>
      <c r="K42" s="75"/>
      <c r="L42" s="75"/>
      <c r="M42" s="73" t="s">
        <v>447</v>
      </c>
      <c r="N42" s="165">
        <v>8.5999999999999993E-2</v>
      </c>
      <c r="O42" s="75">
        <v>0.17799999999999999</v>
      </c>
      <c r="P42" s="86"/>
      <c r="S42" s="53"/>
    </row>
    <row r="43" spans="1:19" ht="12.75" customHeight="1" x14ac:dyDescent="0.4">
      <c r="A43" s="73" t="s">
        <v>485</v>
      </c>
      <c r="B43" s="87">
        <v>500</v>
      </c>
      <c r="C43" s="87">
        <v>384</v>
      </c>
      <c r="D43" s="87">
        <v>98</v>
      </c>
      <c r="E43" s="87">
        <v>18</v>
      </c>
      <c r="F43" s="72"/>
      <c r="G43" s="75">
        <v>0.99009900990099009</v>
      </c>
      <c r="H43" s="75">
        <v>0.76800000000000002</v>
      </c>
      <c r="I43" s="75">
        <v>0.19600000000000001</v>
      </c>
      <c r="J43" s="75">
        <v>3.5999999999999997E-2</v>
      </c>
      <c r="K43" s="75"/>
      <c r="L43" s="75"/>
      <c r="M43" s="73" t="s">
        <v>446</v>
      </c>
      <c r="N43" s="165">
        <v>0.08</v>
      </c>
      <c r="O43" s="75">
        <v>0.19600000000000001</v>
      </c>
      <c r="P43" s="87"/>
      <c r="S43" s="53"/>
    </row>
    <row r="44" spans="1:19" ht="12.75" customHeight="1" x14ac:dyDescent="0.4">
      <c r="A44" s="73" t="s">
        <v>448</v>
      </c>
      <c r="B44" s="87">
        <v>499</v>
      </c>
      <c r="C44" s="87">
        <v>419</v>
      </c>
      <c r="D44" s="87">
        <v>64</v>
      </c>
      <c r="E44" s="87">
        <v>16</v>
      </c>
      <c r="F44" s="87"/>
      <c r="G44" s="163">
        <v>0.98811881188118811</v>
      </c>
      <c r="H44" s="163">
        <v>0.83967935871743482</v>
      </c>
      <c r="I44" s="163">
        <v>0.12825651302605209</v>
      </c>
      <c r="J44" s="163">
        <v>3.2064128256513023E-2</v>
      </c>
      <c r="K44" s="75"/>
      <c r="L44" s="75"/>
      <c r="M44" s="73" t="s">
        <v>441</v>
      </c>
      <c r="N44" s="165">
        <v>7.6305220883534142E-2</v>
      </c>
      <c r="O44" s="75">
        <v>0.20682730923694778</v>
      </c>
      <c r="P44" s="87"/>
      <c r="S44" s="53"/>
    </row>
    <row r="45" spans="1:19" ht="12.75" customHeight="1" x14ac:dyDescent="0.4">
      <c r="A45" s="73" t="s">
        <v>447</v>
      </c>
      <c r="B45" s="87">
        <v>502</v>
      </c>
      <c r="C45" s="87">
        <v>413</v>
      </c>
      <c r="D45" s="87">
        <v>77</v>
      </c>
      <c r="E45" s="87">
        <v>12</v>
      </c>
      <c r="F45" s="87"/>
      <c r="G45" s="163">
        <v>0.99405940594059405</v>
      </c>
      <c r="H45" s="163">
        <v>0.82270916334661359</v>
      </c>
      <c r="I45" s="163">
        <v>0.15338645418326693</v>
      </c>
      <c r="J45" s="163">
        <v>2.3904382470119521E-2</v>
      </c>
      <c r="K45" s="75"/>
      <c r="L45" s="75"/>
      <c r="M45" s="73" t="s">
        <v>428</v>
      </c>
      <c r="N45" s="165">
        <v>8.617234468937876E-2</v>
      </c>
      <c r="O45" s="75">
        <v>0.22845691382765532</v>
      </c>
      <c r="S45" s="53"/>
    </row>
    <row r="46" spans="1:19" ht="12.75" customHeight="1" x14ac:dyDescent="0.4">
      <c r="A46" s="73" t="s">
        <v>446</v>
      </c>
      <c r="B46" s="87">
        <v>500</v>
      </c>
      <c r="C46" s="87">
        <v>329</v>
      </c>
      <c r="D46" s="87">
        <v>150</v>
      </c>
      <c r="E46" s="87">
        <v>21</v>
      </c>
      <c r="F46" s="87"/>
      <c r="G46" s="163">
        <v>0.99009900990099009</v>
      </c>
      <c r="H46" s="163">
        <v>0.65800000000000003</v>
      </c>
      <c r="I46" s="163">
        <v>0.3</v>
      </c>
      <c r="J46" s="163">
        <v>4.2000000000000003E-2</v>
      </c>
      <c r="K46" s="75"/>
      <c r="L46" s="75"/>
      <c r="M46" s="73" t="s">
        <v>395</v>
      </c>
      <c r="N46" s="165">
        <v>7.9840319361277445E-2</v>
      </c>
      <c r="O46" s="75">
        <v>0.24151696606786427</v>
      </c>
      <c r="Q46" s="6"/>
      <c r="R46" s="113"/>
      <c r="S46" s="53"/>
    </row>
    <row r="47" spans="1:19" ht="12.75" customHeight="1" x14ac:dyDescent="0.4">
      <c r="A47" s="73" t="s">
        <v>441</v>
      </c>
      <c r="B47" s="87">
        <v>502</v>
      </c>
      <c r="C47" s="87">
        <v>349</v>
      </c>
      <c r="D47" s="87">
        <v>112</v>
      </c>
      <c r="E47" s="87">
        <v>41</v>
      </c>
      <c r="F47" s="87"/>
      <c r="G47" s="163">
        <v>0.99405940594059405</v>
      </c>
      <c r="H47" s="163">
        <v>0.69521912350597614</v>
      </c>
      <c r="I47" s="163">
        <v>0.22310756972111553</v>
      </c>
      <c r="J47" s="163">
        <v>8.1673306772908363E-2</v>
      </c>
      <c r="K47" s="75"/>
      <c r="L47" s="75"/>
      <c r="M47" s="73" t="s">
        <v>394</v>
      </c>
      <c r="N47" s="165">
        <v>8.0321285140562249E-2</v>
      </c>
      <c r="O47" s="75">
        <v>0.24899598393574296</v>
      </c>
      <c r="P47" s="6"/>
      <c r="Q47" s="138"/>
      <c r="R47" s="141"/>
      <c r="S47" s="53"/>
    </row>
    <row r="48" spans="1:19" ht="12.75" customHeight="1" x14ac:dyDescent="0.4">
      <c r="A48" s="73" t="s">
        <v>428</v>
      </c>
      <c r="B48" s="87">
        <v>498</v>
      </c>
      <c r="C48" s="86">
        <v>374</v>
      </c>
      <c r="D48" s="86">
        <v>91</v>
      </c>
      <c r="E48" s="87">
        <v>33</v>
      </c>
      <c r="F48" s="72"/>
      <c r="G48" s="75">
        <v>0.98613861386138613</v>
      </c>
      <c r="H48" s="75">
        <v>0.75100401606425704</v>
      </c>
      <c r="I48" s="75">
        <v>0.18273092369477911</v>
      </c>
      <c r="J48" s="75">
        <v>6.6265060240963861E-2</v>
      </c>
      <c r="K48" s="75"/>
      <c r="L48" s="75"/>
      <c r="M48" s="73" t="s">
        <v>358</v>
      </c>
      <c r="N48" s="165">
        <v>8.4507042253521125E-2</v>
      </c>
      <c r="O48" s="75">
        <v>0.18712273641851107</v>
      </c>
      <c r="P48" s="6"/>
      <c r="Q48" s="139"/>
      <c r="R48" s="140"/>
      <c r="S48" s="53"/>
    </row>
    <row r="49" spans="1:27" ht="12.75" customHeight="1" x14ac:dyDescent="0.4">
      <c r="A49" s="73" t="s">
        <v>395</v>
      </c>
      <c r="B49" s="87">
        <v>497</v>
      </c>
      <c r="C49" s="87">
        <v>366</v>
      </c>
      <c r="D49" s="87">
        <v>88</v>
      </c>
      <c r="E49" s="87">
        <v>43</v>
      </c>
      <c r="F49" s="87"/>
      <c r="G49" s="163">
        <v>0.98415841584158414</v>
      </c>
      <c r="H49" s="163">
        <v>0.73641851106639844</v>
      </c>
      <c r="I49" s="163">
        <v>0.17706237424547283</v>
      </c>
      <c r="J49" s="163">
        <v>8.651911468812877E-2</v>
      </c>
      <c r="K49" s="75"/>
      <c r="L49" s="75"/>
      <c r="M49" s="73" t="s">
        <v>357</v>
      </c>
      <c r="N49" s="165">
        <v>6.4257028112449793E-2</v>
      </c>
      <c r="O49" s="75">
        <v>0.17670682730923695</v>
      </c>
      <c r="P49" s="6"/>
      <c r="Q49" s="139"/>
      <c r="R49" s="140"/>
      <c r="S49" s="53"/>
    </row>
    <row r="50" spans="1:27" ht="12.75" customHeight="1" x14ac:dyDescent="0.4">
      <c r="A50" s="73" t="s">
        <v>394</v>
      </c>
      <c r="B50" s="87">
        <v>501</v>
      </c>
      <c r="C50" s="87">
        <v>371</v>
      </c>
      <c r="D50" s="87">
        <v>95</v>
      </c>
      <c r="E50" s="87">
        <v>35</v>
      </c>
      <c r="F50" s="87"/>
      <c r="G50" s="163">
        <v>0.99207920792079207</v>
      </c>
      <c r="H50" s="163">
        <v>0.74051896207584833</v>
      </c>
      <c r="I50" s="163">
        <v>0.18962075848303392</v>
      </c>
      <c r="J50" s="163">
        <v>6.9860279441117765E-2</v>
      </c>
      <c r="K50" s="75"/>
      <c r="L50" s="72"/>
      <c r="M50" s="73" t="s">
        <v>356</v>
      </c>
      <c r="N50" s="165">
        <v>6.2E-2</v>
      </c>
      <c r="O50" s="75">
        <v>0.156</v>
      </c>
      <c r="P50" s="6"/>
      <c r="Q50" s="139"/>
      <c r="R50" s="140"/>
      <c r="S50" s="53"/>
    </row>
    <row r="51" spans="1:27" ht="13.15" x14ac:dyDescent="0.4">
      <c r="A51" s="73" t="s">
        <v>358</v>
      </c>
      <c r="B51" s="87">
        <v>501</v>
      </c>
      <c r="C51" s="87">
        <v>341</v>
      </c>
      <c r="D51" s="87">
        <v>125</v>
      </c>
      <c r="E51" s="87">
        <v>35</v>
      </c>
      <c r="F51" s="87"/>
      <c r="G51" s="163">
        <v>0.99207920792079207</v>
      </c>
      <c r="H51" s="163">
        <v>0.68063872255489022</v>
      </c>
      <c r="I51" s="163">
        <v>0.249500998003992</v>
      </c>
      <c r="J51" s="163">
        <v>6.9860279441117765E-2</v>
      </c>
      <c r="K51" s="72"/>
      <c r="L51" s="72"/>
      <c r="M51" s="73" t="s">
        <v>355</v>
      </c>
      <c r="N51" s="75">
        <v>7.0140280561122245E-2</v>
      </c>
      <c r="O51" s="75">
        <v>0.13627254509018036</v>
      </c>
      <c r="P51" s="6"/>
      <c r="Q51" s="139"/>
      <c r="R51" s="140"/>
      <c r="S51" s="53"/>
    </row>
    <row r="52" spans="1:27" ht="14.25" customHeight="1" x14ac:dyDescent="0.4">
      <c r="A52" s="73" t="s">
        <v>357</v>
      </c>
      <c r="B52" s="87">
        <v>497</v>
      </c>
      <c r="C52" s="87">
        <v>382</v>
      </c>
      <c r="D52" s="87">
        <v>75</v>
      </c>
      <c r="E52" s="87">
        <v>40</v>
      </c>
      <c r="F52" s="87"/>
      <c r="G52" s="163">
        <v>0.98415841584158414</v>
      </c>
      <c r="H52" s="163">
        <v>0.76861167002012076</v>
      </c>
      <c r="I52" s="163">
        <v>0.15090543259557343</v>
      </c>
      <c r="J52" s="163">
        <v>8.0482897384305835E-2</v>
      </c>
      <c r="K52" s="72"/>
      <c r="L52" s="72"/>
      <c r="M52" s="73" t="s">
        <v>360</v>
      </c>
      <c r="N52" s="165">
        <v>6.8273092369477914E-2</v>
      </c>
      <c r="O52" s="75">
        <v>0.15060240963855423</v>
      </c>
      <c r="P52" s="6"/>
      <c r="Q52" s="72"/>
      <c r="R52" s="73"/>
      <c r="S52" s="72"/>
      <c r="T52" s="72"/>
      <c r="U52" s="72"/>
      <c r="V52" s="72"/>
      <c r="W52" s="72"/>
      <c r="X52" s="72"/>
      <c r="Y52" s="72"/>
      <c r="Z52" s="72"/>
      <c r="AA52" s="72"/>
    </row>
    <row r="53" spans="1:27" ht="12.75" customHeight="1" x14ac:dyDescent="0.4">
      <c r="A53" s="73" t="s">
        <v>356</v>
      </c>
      <c r="B53" s="87">
        <v>499</v>
      </c>
      <c r="C53" s="87">
        <v>399</v>
      </c>
      <c r="D53" s="87">
        <v>74</v>
      </c>
      <c r="E53" s="87">
        <v>26</v>
      </c>
      <c r="F53" s="87"/>
      <c r="G53" s="163">
        <v>0.98811881188118811</v>
      </c>
      <c r="H53" s="163">
        <v>0.79959919839679361</v>
      </c>
      <c r="I53" s="163">
        <v>0.14829659318637275</v>
      </c>
      <c r="J53" s="163">
        <v>5.2104208416833664E-2</v>
      </c>
      <c r="K53" s="72"/>
      <c r="L53" s="72"/>
      <c r="M53" s="73" t="s">
        <v>351</v>
      </c>
      <c r="N53" s="165">
        <v>8.617234468937876E-2</v>
      </c>
      <c r="O53" s="75">
        <v>0.14228456913827656</v>
      </c>
      <c r="P53" s="72"/>
      <c r="Q53" s="72"/>
      <c r="R53" s="73"/>
      <c r="S53" s="72"/>
      <c r="T53" s="72"/>
      <c r="U53" s="72"/>
      <c r="V53" s="72"/>
      <c r="W53" s="72"/>
      <c r="X53" s="72"/>
      <c r="Y53" s="72"/>
      <c r="Z53" s="72"/>
      <c r="AA53" s="72"/>
    </row>
    <row r="54" spans="1:27" s="72" customFormat="1" ht="13.5" customHeight="1" x14ac:dyDescent="0.5">
      <c r="A54" s="73" t="s">
        <v>355</v>
      </c>
      <c r="B54" s="87">
        <v>500</v>
      </c>
      <c r="C54" s="87">
        <v>385</v>
      </c>
      <c r="D54" s="87">
        <v>86</v>
      </c>
      <c r="E54" s="87">
        <v>29</v>
      </c>
      <c r="F54" s="87"/>
      <c r="G54" s="163">
        <v>0.99009900990099009</v>
      </c>
      <c r="H54" s="163">
        <v>0.77</v>
      </c>
      <c r="I54" s="163">
        <v>0.17199999999999999</v>
      </c>
      <c r="J54" s="163">
        <v>5.8000000000000003E-2</v>
      </c>
      <c r="M54" s="73" t="s">
        <v>342</v>
      </c>
      <c r="N54" s="165">
        <v>0.1</v>
      </c>
      <c r="O54" s="75">
        <v>0.14000000000000001</v>
      </c>
      <c r="R54" s="174"/>
      <c r="X54" s="73"/>
    </row>
    <row r="55" spans="1:27" ht="13.15" x14ac:dyDescent="0.4">
      <c r="A55" s="73" t="s">
        <v>360</v>
      </c>
      <c r="B55" s="87">
        <v>500</v>
      </c>
      <c r="C55" s="87">
        <v>375</v>
      </c>
      <c r="D55" s="87">
        <v>82</v>
      </c>
      <c r="E55" s="87">
        <v>43</v>
      </c>
      <c r="F55" s="87"/>
      <c r="G55" s="163">
        <v>0.99009900990099009</v>
      </c>
      <c r="H55" s="163">
        <v>0.75</v>
      </c>
      <c r="I55" s="163">
        <v>0.16400000000000001</v>
      </c>
      <c r="J55" s="163">
        <v>8.5999999999999993E-2</v>
      </c>
      <c r="K55" s="72"/>
      <c r="L55" s="72"/>
      <c r="M55" s="73" t="s">
        <v>336</v>
      </c>
      <c r="N55" s="165">
        <v>0.12</v>
      </c>
      <c r="O55" s="75">
        <v>0.14799999999999999</v>
      </c>
      <c r="P55" s="72"/>
      <c r="Q55" s="72"/>
      <c r="R55" s="73"/>
      <c r="S55" s="72"/>
      <c r="T55" s="72"/>
      <c r="U55" s="72"/>
      <c r="V55" s="72"/>
      <c r="W55" s="72"/>
      <c r="X55" s="72"/>
      <c r="Y55" s="72"/>
      <c r="Z55" s="72"/>
      <c r="AA55" s="72"/>
    </row>
    <row r="56" spans="1:27" ht="13.15" x14ac:dyDescent="0.4">
      <c r="A56" s="73" t="s">
        <v>351</v>
      </c>
      <c r="B56" s="87">
        <v>503</v>
      </c>
      <c r="C56" s="87">
        <v>365</v>
      </c>
      <c r="D56" s="87">
        <v>96</v>
      </c>
      <c r="E56" s="87">
        <v>42</v>
      </c>
      <c r="F56" s="87"/>
      <c r="G56" s="163">
        <v>0.99603960396039604</v>
      </c>
      <c r="H56" s="163">
        <v>0.72564612326043743</v>
      </c>
      <c r="I56" s="163">
        <v>0.19085487077534791</v>
      </c>
      <c r="J56" s="163">
        <v>8.3499005964214709E-2</v>
      </c>
      <c r="K56" s="72"/>
      <c r="L56" s="72"/>
      <c r="M56" s="73" t="s">
        <v>282</v>
      </c>
      <c r="N56" s="165">
        <v>0.10483870967741936</v>
      </c>
      <c r="O56" s="75">
        <v>0.19354838709677419</v>
      </c>
      <c r="P56" s="72"/>
      <c r="Q56" s="72"/>
      <c r="R56" s="73"/>
      <c r="S56" s="72"/>
      <c r="T56" s="72"/>
      <c r="U56" s="72"/>
      <c r="V56" s="72"/>
      <c r="W56" s="72"/>
      <c r="X56" s="72"/>
      <c r="Y56" s="72"/>
      <c r="Z56" s="72"/>
      <c r="AA56" s="72"/>
    </row>
    <row r="57" spans="1:27" ht="13.15" x14ac:dyDescent="0.4">
      <c r="A57" s="73" t="s">
        <v>342</v>
      </c>
      <c r="B57" s="87">
        <v>503</v>
      </c>
      <c r="C57" s="87">
        <v>353</v>
      </c>
      <c r="D57" s="87">
        <v>101</v>
      </c>
      <c r="E57" s="87">
        <v>49</v>
      </c>
      <c r="F57" s="87"/>
      <c r="G57" s="163">
        <v>0.99603960396039604</v>
      </c>
      <c r="H57" s="163">
        <v>0.70178926441351885</v>
      </c>
      <c r="I57" s="163">
        <v>0.20079522862823063</v>
      </c>
      <c r="J57" s="163">
        <v>9.7415506958250492E-2</v>
      </c>
      <c r="K57" s="72"/>
      <c r="L57" s="72"/>
      <c r="M57" s="73" t="s">
        <v>281</v>
      </c>
      <c r="N57" s="165">
        <v>9.9391480730223122E-2</v>
      </c>
      <c r="O57" s="75">
        <v>0.23732251521298176</v>
      </c>
      <c r="P57" s="72"/>
      <c r="Q57" s="72"/>
      <c r="R57" s="73"/>
      <c r="S57" s="72"/>
      <c r="T57" s="72"/>
      <c r="U57" s="72"/>
      <c r="V57" s="72"/>
      <c r="W57" s="72"/>
      <c r="X57" s="72"/>
      <c r="Y57" s="72"/>
      <c r="Z57" s="72"/>
      <c r="AA57" s="72"/>
    </row>
    <row r="58" spans="1:27" ht="12.75" customHeight="1" x14ac:dyDescent="0.4">
      <c r="A58" s="73" t="s">
        <v>336</v>
      </c>
      <c r="B58" s="87">
        <v>503</v>
      </c>
      <c r="C58" s="87">
        <v>372</v>
      </c>
      <c r="D58" s="87">
        <v>95</v>
      </c>
      <c r="E58" s="87">
        <v>36</v>
      </c>
      <c r="F58" s="87"/>
      <c r="G58" s="163">
        <v>0.99603960396039604</v>
      </c>
      <c r="H58" s="163">
        <v>0.73956262425447317</v>
      </c>
      <c r="I58" s="163">
        <v>0.18886679920477137</v>
      </c>
      <c r="J58" s="163">
        <v>7.1570576540755465E-2</v>
      </c>
      <c r="K58" s="72"/>
      <c r="L58" s="72"/>
      <c r="M58" s="73" t="s">
        <v>280</v>
      </c>
      <c r="N58" s="165">
        <v>0.10483870967741936</v>
      </c>
      <c r="O58" s="75">
        <v>0.2661290322580645</v>
      </c>
      <c r="P58" s="72"/>
      <c r="Q58" s="72"/>
      <c r="R58" s="73"/>
      <c r="S58" s="72"/>
      <c r="T58" s="72"/>
      <c r="U58" s="72"/>
      <c r="V58" s="72"/>
      <c r="W58" s="72"/>
      <c r="X58" s="72"/>
      <c r="Y58" s="72"/>
      <c r="Z58" s="72"/>
      <c r="AA58" s="72"/>
    </row>
    <row r="59" spans="1:27" ht="13.15" x14ac:dyDescent="0.4">
      <c r="A59" s="73" t="s">
        <v>282</v>
      </c>
      <c r="B59" s="87">
        <v>501</v>
      </c>
      <c r="C59" s="87">
        <v>337</v>
      </c>
      <c r="D59" s="87">
        <v>110</v>
      </c>
      <c r="E59" s="87">
        <v>54</v>
      </c>
      <c r="F59" s="87"/>
      <c r="G59" s="163">
        <v>0.99207920792079207</v>
      </c>
      <c r="H59" s="163">
        <v>0.67265469061876249</v>
      </c>
      <c r="I59" s="163">
        <v>0.21956087824351297</v>
      </c>
      <c r="J59" s="163">
        <v>0.10778443113772455</v>
      </c>
      <c r="K59" s="72"/>
      <c r="L59" s="72"/>
      <c r="M59" s="73" t="s">
        <v>279</v>
      </c>
      <c r="N59" s="165">
        <v>0.1006036217303823</v>
      </c>
      <c r="O59" s="75">
        <v>0.28169014084507044</v>
      </c>
      <c r="P59" s="72"/>
      <c r="Q59" s="72"/>
      <c r="R59" s="73"/>
      <c r="S59" s="72"/>
      <c r="T59" s="72"/>
      <c r="U59" s="72"/>
      <c r="V59" s="72"/>
      <c r="W59" s="72"/>
      <c r="X59" s="72"/>
      <c r="Y59" s="72"/>
      <c r="Z59" s="72"/>
      <c r="AA59" s="72"/>
    </row>
    <row r="60" spans="1:27" ht="12.75" customHeight="1" x14ac:dyDescent="0.4">
      <c r="A60" s="73" t="s">
        <v>281</v>
      </c>
      <c r="B60" s="87">
        <v>498</v>
      </c>
      <c r="C60" s="87">
        <v>351</v>
      </c>
      <c r="D60" s="87">
        <v>105</v>
      </c>
      <c r="E60" s="87">
        <v>42</v>
      </c>
      <c r="F60" s="87"/>
      <c r="G60" s="163">
        <v>0.98613861386138613</v>
      </c>
      <c r="H60" s="163">
        <v>0.70481927710843373</v>
      </c>
      <c r="I60" s="163">
        <v>0.21084337349397592</v>
      </c>
      <c r="J60" s="163">
        <v>8.4337349397590355E-2</v>
      </c>
      <c r="K60" s="72"/>
      <c r="L60" s="72"/>
      <c r="M60" s="73" t="s">
        <v>269</v>
      </c>
      <c r="N60" s="165">
        <v>9.4758064516129031E-2</v>
      </c>
      <c r="O60" s="75">
        <v>0.25806451612903225</v>
      </c>
      <c r="P60" s="72"/>
      <c r="Q60" s="72"/>
      <c r="R60" s="73"/>
      <c r="S60" s="72"/>
      <c r="T60" s="72"/>
      <c r="U60" s="72"/>
      <c r="V60" s="72"/>
      <c r="W60" s="72"/>
      <c r="X60" s="72"/>
      <c r="Y60" s="72"/>
      <c r="Z60" s="72"/>
      <c r="AA60" s="72"/>
    </row>
    <row r="61" spans="1:27" ht="13.15" x14ac:dyDescent="0.4">
      <c r="A61" s="73" t="s">
        <v>280</v>
      </c>
      <c r="B61" s="87">
        <v>497</v>
      </c>
      <c r="C61" s="87">
        <v>349</v>
      </c>
      <c r="D61" s="87">
        <v>104</v>
      </c>
      <c r="E61" s="87">
        <v>44</v>
      </c>
      <c r="F61" s="87"/>
      <c r="G61" s="163">
        <v>0.98611111111111116</v>
      </c>
      <c r="H61" s="163">
        <v>0.70221327967806846</v>
      </c>
      <c r="I61" s="163">
        <v>0.20925553319919518</v>
      </c>
      <c r="J61" s="163">
        <v>8.8531187122736416E-2</v>
      </c>
      <c r="K61" s="72"/>
      <c r="L61" s="72"/>
      <c r="M61" s="73" t="s">
        <v>258</v>
      </c>
      <c r="N61" s="165">
        <v>9.6385542168674704E-2</v>
      </c>
      <c r="O61" s="75">
        <v>0.22690763052208834</v>
      </c>
      <c r="P61" s="72"/>
      <c r="Q61" s="72"/>
      <c r="R61" s="73"/>
      <c r="S61" s="72"/>
      <c r="T61" s="72"/>
      <c r="U61" s="72"/>
      <c r="V61" s="72"/>
      <c r="W61" s="72"/>
      <c r="X61" s="72"/>
      <c r="Y61" s="72"/>
      <c r="Z61" s="72"/>
      <c r="AA61" s="72"/>
    </row>
    <row r="62" spans="1:27" ht="13.15" x14ac:dyDescent="0.4">
      <c r="A62" s="73" t="s">
        <v>279</v>
      </c>
      <c r="B62" s="87">
        <v>499</v>
      </c>
      <c r="C62" s="87">
        <v>361</v>
      </c>
      <c r="D62" s="87">
        <v>103</v>
      </c>
      <c r="E62" s="87">
        <v>35</v>
      </c>
      <c r="F62" s="87"/>
      <c r="G62" s="163">
        <v>0.99007936507936511</v>
      </c>
      <c r="H62" s="163">
        <v>0.7234468937875751</v>
      </c>
      <c r="I62" s="163">
        <v>0.20641282565130262</v>
      </c>
      <c r="J62" s="163">
        <v>7.0140280561122245E-2</v>
      </c>
      <c r="K62" s="72"/>
      <c r="L62" s="72"/>
      <c r="M62" s="73" t="s">
        <v>250</v>
      </c>
      <c r="N62" s="165">
        <v>9.036144578313253E-2</v>
      </c>
      <c r="O62" s="75">
        <v>0.21084337349397592</v>
      </c>
      <c r="P62" s="72"/>
      <c r="Q62" s="72"/>
      <c r="R62" s="73"/>
      <c r="S62" s="72"/>
      <c r="T62" s="72"/>
      <c r="U62" s="72"/>
      <c r="V62" s="72"/>
      <c r="W62" s="72"/>
      <c r="X62" s="72"/>
      <c r="Y62" s="72"/>
      <c r="Z62" s="72"/>
      <c r="AA62" s="72"/>
    </row>
    <row r="63" spans="1:27" s="72" customFormat="1" ht="13.5" customHeight="1" x14ac:dyDescent="0.4">
      <c r="A63" s="73" t="s">
        <v>269</v>
      </c>
      <c r="B63" s="87">
        <v>496</v>
      </c>
      <c r="C63" s="87">
        <v>341</v>
      </c>
      <c r="D63" s="87">
        <v>107</v>
      </c>
      <c r="E63" s="87">
        <v>48</v>
      </c>
      <c r="F63" s="87"/>
      <c r="G63" s="163">
        <v>0.98804780876494025</v>
      </c>
      <c r="H63" s="163">
        <v>0.6875</v>
      </c>
      <c r="I63" s="163">
        <v>0.21572580645161291</v>
      </c>
      <c r="J63" s="163">
        <v>9.6774193548387094E-2</v>
      </c>
      <c r="M63" s="73" t="s">
        <v>246</v>
      </c>
      <c r="N63" s="165">
        <v>7.6152304609218444E-2</v>
      </c>
      <c r="O63" s="75">
        <v>0.21042084168336672</v>
      </c>
    </row>
    <row r="64" spans="1:27" ht="13.15" x14ac:dyDescent="0.4">
      <c r="A64" s="73" t="s">
        <v>258</v>
      </c>
      <c r="B64" s="87">
        <v>499</v>
      </c>
      <c r="C64" s="87">
        <v>339</v>
      </c>
      <c r="D64" s="87">
        <v>115</v>
      </c>
      <c r="E64" s="87">
        <v>45</v>
      </c>
      <c r="F64" s="87"/>
      <c r="G64" s="163">
        <v>0.99402390438247012</v>
      </c>
      <c r="H64" s="163">
        <v>0.67935871743486975</v>
      </c>
      <c r="I64" s="163">
        <v>0.23046092184368738</v>
      </c>
      <c r="J64" s="163">
        <v>9.0180360721442893E-2</v>
      </c>
      <c r="K64" s="72"/>
      <c r="L64" s="72"/>
      <c r="M64" s="6" t="s">
        <v>297</v>
      </c>
      <c r="N64" s="165">
        <v>6.0362173038229376E-2</v>
      </c>
      <c r="O64" s="75">
        <v>0.21327967806841047</v>
      </c>
      <c r="P64" s="72"/>
      <c r="Q64" s="72"/>
      <c r="R64" s="73"/>
      <c r="S64" s="72"/>
      <c r="T64" s="72"/>
      <c r="U64" s="72"/>
      <c r="V64" s="72"/>
      <c r="W64" s="72"/>
      <c r="X64" s="72"/>
      <c r="Y64" s="72"/>
      <c r="Z64" s="72"/>
      <c r="AA64" s="72"/>
    </row>
    <row r="65" spans="1:27" ht="12.75" customHeight="1" x14ac:dyDescent="0.4">
      <c r="A65" s="73" t="s">
        <v>250</v>
      </c>
      <c r="B65" s="87">
        <v>496</v>
      </c>
      <c r="C65" s="87">
        <v>346</v>
      </c>
      <c r="D65" s="87">
        <v>109</v>
      </c>
      <c r="E65" s="87">
        <v>41</v>
      </c>
      <c r="F65" s="87"/>
      <c r="G65" s="163">
        <v>0.98804780876494025</v>
      </c>
      <c r="H65" s="163">
        <v>0.69758064516129037</v>
      </c>
      <c r="I65" s="163">
        <v>0.21975806451612903</v>
      </c>
      <c r="J65" s="163">
        <v>8.2661290322580641E-2</v>
      </c>
      <c r="K65" s="72"/>
      <c r="L65" s="72"/>
      <c r="M65" s="86"/>
      <c r="N65" s="86"/>
      <c r="O65" s="86"/>
      <c r="P65" s="72"/>
      <c r="Q65" s="72"/>
      <c r="R65" s="73"/>
      <c r="S65" s="72"/>
      <c r="T65" s="72"/>
      <c r="U65" s="72"/>
      <c r="V65" s="72"/>
      <c r="W65" s="72"/>
      <c r="X65" s="72"/>
      <c r="Y65" s="72"/>
      <c r="Z65" s="72"/>
      <c r="AA65" s="72"/>
    </row>
    <row r="66" spans="1:27" ht="12.75" customHeight="1" x14ac:dyDescent="0.4">
      <c r="A66" s="73" t="s">
        <v>246</v>
      </c>
      <c r="B66" s="87">
        <v>498</v>
      </c>
      <c r="C66" s="87">
        <v>337</v>
      </c>
      <c r="D66" s="87">
        <v>114</v>
      </c>
      <c r="E66" s="87">
        <v>47</v>
      </c>
      <c r="F66" s="87"/>
      <c r="G66" s="163">
        <v>0.99203187250996017</v>
      </c>
      <c r="H66" s="163">
        <v>0.67670682730923704</v>
      </c>
      <c r="I66" s="163">
        <v>0.2289156626506024</v>
      </c>
      <c r="J66" s="163">
        <v>9.4377510040160636E-2</v>
      </c>
      <c r="K66" s="72"/>
      <c r="L66" s="72"/>
      <c r="M66" s="86"/>
      <c r="N66" s="86"/>
      <c r="O66" s="86"/>
      <c r="P66" s="72"/>
      <c r="Q66" s="72"/>
      <c r="R66" s="73"/>
      <c r="S66" s="72"/>
      <c r="T66" s="72"/>
      <c r="U66" s="72"/>
      <c r="V66" s="72"/>
      <c r="W66" s="72"/>
      <c r="X66" s="72"/>
      <c r="Y66" s="72"/>
      <c r="Z66" s="72"/>
      <c r="AA66" s="72"/>
    </row>
    <row r="67" spans="1:27" ht="12.75" customHeight="1" x14ac:dyDescent="0.4">
      <c r="A67" s="73" t="s">
        <v>297</v>
      </c>
      <c r="B67" s="87">
        <v>500</v>
      </c>
      <c r="C67" s="87">
        <v>343</v>
      </c>
      <c r="D67" s="87">
        <v>105</v>
      </c>
      <c r="E67" s="87">
        <v>52</v>
      </c>
      <c r="F67" s="87"/>
      <c r="G67" s="163">
        <v>0.99601593625498008</v>
      </c>
      <c r="H67" s="163">
        <v>0.68600000000000005</v>
      </c>
      <c r="I67" s="163">
        <v>0.21</v>
      </c>
      <c r="J67" s="163">
        <v>0.104</v>
      </c>
      <c r="K67" s="72"/>
      <c r="L67" s="72"/>
      <c r="M67" s="86"/>
      <c r="N67" s="86"/>
      <c r="O67" s="86"/>
      <c r="P67" s="72"/>
      <c r="Q67" s="72"/>
      <c r="R67" s="73"/>
      <c r="S67" s="72"/>
      <c r="T67" s="72"/>
      <c r="U67" s="72"/>
      <c r="V67" s="72"/>
      <c r="W67" s="72"/>
      <c r="X67" s="72"/>
      <c r="Y67" s="72"/>
      <c r="Z67" s="72"/>
      <c r="AA67" s="72"/>
    </row>
    <row r="68" spans="1:27" ht="12.75" customHeight="1" x14ac:dyDescent="0.4">
      <c r="A68" s="73" t="s">
        <v>234</v>
      </c>
      <c r="B68" s="87">
        <v>499</v>
      </c>
      <c r="C68" s="87">
        <v>368</v>
      </c>
      <c r="D68" s="87">
        <v>86</v>
      </c>
      <c r="E68" s="87">
        <v>45</v>
      </c>
      <c r="F68" s="87"/>
      <c r="G68" s="163">
        <v>0.99402390438247012</v>
      </c>
      <c r="H68" s="163">
        <v>0.73747494989979956</v>
      </c>
      <c r="I68" s="163">
        <v>0.17234468937875752</v>
      </c>
      <c r="J68" s="163">
        <v>9.0180360721442893E-2</v>
      </c>
      <c r="K68" s="72"/>
      <c r="L68" s="72"/>
      <c r="M68" s="87"/>
      <c r="N68" s="86"/>
      <c r="O68" s="86"/>
      <c r="P68" s="72"/>
      <c r="Q68" s="72"/>
      <c r="R68" s="73"/>
      <c r="S68" s="72"/>
      <c r="T68" s="72"/>
      <c r="U68" s="72"/>
      <c r="V68" s="72"/>
      <c r="W68" s="72"/>
      <c r="X68" s="72"/>
      <c r="Y68" s="72"/>
      <c r="Z68" s="72"/>
      <c r="AA68" s="72"/>
    </row>
    <row r="69" spans="1:27" ht="12.75" customHeight="1" x14ac:dyDescent="0.4">
      <c r="A69" s="73" t="s">
        <v>235</v>
      </c>
      <c r="B69" s="87">
        <v>499</v>
      </c>
      <c r="C69" s="87">
        <v>328</v>
      </c>
      <c r="D69" s="87">
        <v>106</v>
      </c>
      <c r="E69" s="87">
        <v>65</v>
      </c>
      <c r="F69" s="87"/>
      <c r="G69" s="163">
        <v>0.99600798403193613</v>
      </c>
      <c r="H69" s="163">
        <v>0.65731462925851702</v>
      </c>
      <c r="I69" s="163">
        <v>0.21242484969939879</v>
      </c>
      <c r="J69" s="163">
        <v>0.13026052104208416</v>
      </c>
      <c r="K69" s="72"/>
      <c r="L69" s="72"/>
      <c r="M69" s="87"/>
      <c r="N69" s="86"/>
      <c r="O69" s="86"/>
      <c r="P69" s="72"/>
      <c r="Q69" s="72"/>
      <c r="R69" s="73"/>
      <c r="S69" s="72"/>
      <c r="T69" s="72"/>
      <c r="U69" s="72"/>
      <c r="V69" s="72"/>
      <c r="W69" s="72"/>
      <c r="X69" s="72"/>
      <c r="Y69" s="72"/>
      <c r="Z69" s="72"/>
      <c r="AA69" s="72"/>
    </row>
    <row r="70" spans="1:27" s="72" customFormat="1" ht="15" x14ac:dyDescent="0.4">
      <c r="A70" s="73" t="s">
        <v>242</v>
      </c>
      <c r="B70" s="87">
        <v>499</v>
      </c>
      <c r="C70" s="87">
        <v>335</v>
      </c>
      <c r="D70" s="87">
        <v>113</v>
      </c>
      <c r="E70" s="87">
        <v>51</v>
      </c>
      <c r="F70" s="87"/>
      <c r="G70" s="163">
        <v>0.998</v>
      </c>
      <c r="H70" s="163">
        <v>0.67134268537074149</v>
      </c>
      <c r="I70" s="163">
        <v>0.22645290581162325</v>
      </c>
      <c r="J70" s="163">
        <v>0.10220440881763528</v>
      </c>
      <c r="M70" s="6"/>
      <c r="N70" s="6"/>
      <c r="O70" s="113"/>
    </row>
    <row r="71" spans="1:27" s="72" customFormat="1" ht="15" x14ac:dyDescent="0.4">
      <c r="A71" s="73" t="s">
        <v>236</v>
      </c>
      <c r="B71" s="87">
        <v>499</v>
      </c>
      <c r="C71" s="86">
        <v>319</v>
      </c>
      <c r="D71" s="86">
        <v>126</v>
      </c>
      <c r="E71" s="87">
        <v>54</v>
      </c>
      <c r="G71" s="75">
        <v>0.998</v>
      </c>
      <c r="H71" s="75">
        <v>0.63927855711422843</v>
      </c>
      <c r="I71" s="75">
        <v>0.25250501002004005</v>
      </c>
      <c r="J71" s="75">
        <v>0.10821643286573146</v>
      </c>
      <c r="M71" s="6"/>
      <c r="N71" s="6"/>
      <c r="O71" s="113"/>
    </row>
    <row r="72" spans="1:27" s="72" customFormat="1" ht="13.15" x14ac:dyDescent="0.4">
      <c r="A72" s="73" t="s">
        <v>298</v>
      </c>
      <c r="B72" s="87">
        <v>499</v>
      </c>
      <c r="C72" s="86">
        <v>330</v>
      </c>
      <c r="D72" s="86">
        <v>116</v>
      </c>
      <c r="E72" s="87">
        <v>53</v>
      </c>
      <c r="G72" s="75">
        <v>0.998</v>
      </c>
      <c r="H72" s="75">
        <v>0.66132264529058116</v>
      </c>
      <c r="I72" s="75">
        <v>0.23246492985971945</v>
      </c>
      <c r="J72" s="75">
        <v>0.10621242484969939</v>
      </c>
      <c r="M72" s="142"/>
      <c r="N72" s="142"/>
      <c r="O72" s="142"/>
    </row>
    <row r="73" spans="1:27" s="72" customFormat="1" ht="13.15" x14ac:dyDescent="0.4">
      <c r="A73" s="73" t="s">
        <v>237</v>
      </c>
      <c r="B73" s="87">
        <v>500</v>
      </c>
      <c r="C73" s="86">
        <v>327</v>
      </c>
      <c r="D73" s="86">
        <v>134</v>
      </c>
      <c r="E73" s="87">
        <v>39</v>
      </c>
      <c r="G73" s="75">
        <v>1</v>
      </c>
      <c r="H73" s="75">
        <v>0.65400000000000003</v>
      </c>
      <c r="I73" s="75">
        <v>0.26800000000000002</v>
      </c>
      <c r="J73" s="75">
        <v>7.8E-2</v>
      </c>
      <c r="M73" s="6"/>
      <c r="N73" s="6"/>
      <c r="O73" s="6"/>
    </row>
    <row r="74" spans="1:27" s="72" customFormat="1" ht="13.15" x14ac:dyDescent="0.4">
      <c r="A74" s="73" t="s">
        <v>238</v>
      </c>
      <c r="B74" s="87">
        <v>499</v>
      </c>
      <c r="C74" s="86">
        <v>329</v>
      </c>
      <c r="D74" s="86">
        <v>129</v>
      </c>
      <c r="E74" s="87">
        <v>41</v>
      </c>
      <c r="G74" s="75">
        <v>0.998</v>
      </c>
      <c r="H74" s="75">
        <v>0.65931863727454909</v>
      </c>
      <c r="I74" s="75">
        <v>0.25851703406813625</v>
      </c>
      <c r="J74" s="75">
        <v>8.2164328657314628E-2</v>
      </c>
      <c r="M74" s="6"/>
      <c r="N74" s="6"/>
      <c r="O74" s="6"/>
    </row>
    <row r="75" spans="1:27" s="72" customFormat="1" ht="13.15" x14ac:dyDescent="0.4">
      <c r="A75" s="73" t="s">
        <v>241</v>
      </c>
      <c r="B75" s="87">
        <v>500</v>
      </c>
      <c r="C75" s="86">
        <v>324</v>
      </c>
      <c r="D75" s="86">
        <v>124</v>
      </c>
      <c r="E75" s="87">
        <v>52</v>
      </c>
      <c r="G75" s="75">
        <v>1</v>
      </c>
      <c r="H75" s="75">
        <v>0.64800000000000002</v>
      </c>
      <c r="I75" s="75">
        <v>0.248</v>
      </c>
      <c r="J75" s="75">
        <v>0.104</v>
      </c>
      <c r="M75" s="6"/>
      <c r="N75" s="6"/>
      <c r="O75" s="6"/>
    </row>
    <row r="76" spans="1:27" s="72" customFormat="1" ht="13.15" x14ac:dyDescent="0.4">
      <c r="A76" s="73" t="s">
        <v>240</v>
      </c>
      <c r="B76" s="87">
        <v>493</v>
      </c>
      <c r="C76" s="86">
        <v>312</v>
      </c>
      <c r="D76" s="86">
        <v>117</v>
      </c>
      <c r="E76" s="87">
        <v>64</v>
      </c>
      <c r="G76" s="75">
        <v>0.98599999999999999</v>
      </c>
      <c r="H76" s="75">
        <v>0.63286004056795131</v>
      </c>
      <c r="I76" s="75">
        <v>0.23732251521298176</v>
      </c>
      <c r="J76" s="75">
        <v>0.12981744421906694</v>
      </c>
      <c r="M76" s="6"/>
      <c r="N76" s="6"/>
      <c r="O76" s="6"/>
    </row>
    <row r="77" spans="1:27" s="72" customFormat="1" ht="13.15" x14ac:dyDescent="0.4">
      <c r="A77" s="73" t="s">
        <v>237</v>
      </c>
      <c r="B77" s="87">
        <v>499</v>
      </c>
      <c r="C77" s="86">
        <v>322</v>
      </c>
      <c r="D77" s="86">
        <v>123</v>
      </c>
      <c r="E77" s="87">
        <v>54</v>
      </c>
      <c r="G77" s="75">
        <v>0.998</v>
      </c>
      <c r="H77" s="75">
        <v>0.64529058116232463</v>
      </c>
      <c r="I77" s="75">
        <v>0.24649298597194388</v>
      </c>
      <c r="J77" s="75">
        <v>0.10821643286573146</v>
      </c>
      <c r="M77" s="6"/>
      <c r="N77" s="6"/>
      <c r="O77" s="6"/>
    </row>
    <row r="78" spans="1:27" s="72" customFormat="1" ht="13.15" x14ac:dyDescent="0.4">
      <c r="A78" s="73" t="s">
        <v>299</v>
      </c>
      <c r="B78" s="87">
        <f>AVERAGE(B27:B77)</f>
        <v>499.29411764705884</v>
      </c>
      <c r="C78" s="87">
        <f t="shared" ref="C78:E78" si="3">AVERAGE(C27:C77)</f>
        <v>363.35294117647061</v>
      </c>
      <c r="D78" s="87">
        <f t="shared" si="3"/>
        <v>100.25490196078431</v>
      </c>
      <c r="E78" s="87">
        <f t="shared" si="3"/>
        <v>35.686274509803923</v>
      </c>
      <c r="F78" s="87"/>
      <c r="G78" s="163">
        <f t="shared" ref="G78" si="4">AVERAGE(G27:G77)</f>
        <v>0.9917910266953589</v>
      </c>
      <c r="H78" s="163">
        <f t="shared" ref="H78" si="5">AVERAGE(H27:H77)</f>
        <v>0.72768645066338955</v>
      </c>
      <c r="I78" s="163">
        <f t="shared" ref="I78" si="6">AVERAGE(I27:I77)</f>
        <v>0.20081244631413714</v>
      </c>
      <c r="J78" s="163">
        <f t="shared" ref="J78" si="7">AVERAGE(J27:J77)</f>
        <v>7.1501103022473506E-2</v>
      </c>
      <c r="M78" s="6"/>
      <c r="N78" s="6"/>
      <c r="O78" s="6"/>
    </row>
    <row r="79" spans="1:27" s="72" customFormat="1" ht="13.15" x14ac:dyDescent="0.4">
      <c r="A79" s="73"/>
      <c r="B79" s="87"/>
      <c r="C79" s="87"/>
      <c r="D79" s="87"/>
      <c r="E79" s="87"/>
      <c r="G79" s="75"/>
      <c r="H79" s="75"/>
      <c r="I79" s="75"/>
      <c r="J79" s="75"/>
      <c r="M79" s="6"/>
      <c r="N79" s="6"/>
      <c r="O79" s="6"/>
    </row>
    <row r="80" spans="1:27" ht="13.15" x14ac:dyDescent="0.4">
      <c r="A80" s="73"/>
      <c r="B80" s="87"/>
      <c r="C80" s="87"/>
      <c r="D80" s="87"/>
      <c r="E80" s="87"/>
      <c r="F80" s="72"/>
      <c r="G80" s="75"/>
      <c r="H80" s="75"/>
      <c r="I80" s="75"/>
      <c r="J80" s="75"/>
      <c r="K80" s="72"/>
      <c r="L80" s="74"/>
      <c r="M80" s="6"/>
      <c r="N80" s="6"/>
      <c r="O80" s="6"/>
      <c r="P80" s="72"/>
      <c r="Q80" s="72"/>
      <c r="R80" s="73"/>
      <c r="S80" s="72"/>
      <c r="T80" s="72"/>
      <c r="U80" s="72"/>
      <c r="V80" s="72"/>
      <c r="W80" s="72"/>
      <c r="X80" s="72"/>
      <c r="Y80" s="72"/>
      <c r="Z80" s="72"/>
      <c r="AA80" s="72"/>
    </row>
    <row r="81" spans="1:27" ht="13.15" x14ac:dyDescent="0.4">
      <c r="A81" s="73"/>
      <c r="B81" s="87"/>
      <c r="C81" s="87"/>
      <c r="D81" s="87"/>
      <c r="E81" s="87"/>
      <c r="F81" s="72"/>
      <c r="G81" s="75"/>
      <c r="H81" s="75"/>
      <c r="I81" s="75"/>
      <c r="J81" s="75"/>
      <c r="K81" s="72"/>
      <c r="L81" s="72"/>
      <c r="M81" s="6"/>
      <c r="N81" s="6"/>
      <c r="O81" s="6"/>
      <c r="P81" s="72"/>
      <c r="Q81" s="72"/>
      <c r="R81" s="73"/>
      <c r="S81" s="72"/>
      <c r="T81" s="72"/>
      <c r="U81" s="72"/>
      <c r="V81" s="72"/>
      <c r="W81" s="72"/>
      <c r="X81" s="72"/>
      <c r="Y81" s="72"/>
      <c r="Z81" s="72"/>
      <c r="AA81" s="72"/>
    </row>
    <row r="82" spans="1:27" ht="12.75" customHeight="1" x14ac:dyDescent="0.4">
      <c r="A82" s="73" t="s">
        <v>739</v>
      </c>
      <c r="B82" s="72"/>
      <c r="C82" s="72"/>
      <c r="D82" s="72"/>
      <c r="E82" s="72"/>
      <c r="F82" s="72"/>
      <c r="G82" s="72"/>
      <c r="H82" s="72"/>
      <c r="I82" s="72"/>
      <c r="J82" s="72"/>
      <c r="K82" s="72"/>
      <c r="L82" s="72"/>
      <c r="M82" s="142"/>
      <c r="N82" s="142"/>
      <c r="O82" s="142"/>
      <c r="P82" s="72"/>
      <c r="Q82" s="72"/>
      <c r="R82" s="73"/>
      <c r="S82" s="72"/>
      <c r="T82" s="72"/>
      <c r="U82" s="72"/>
      <c r="V82" s="72"/>
      <c r="W82" s="72"/>
      <c r="X82" s="72"/>
      <c r="Y82" s="72"/>
      <c r="Z82" s="72"/>
      <c r="AA82" s="72"/>
    </row>
    <row r="83" spans="1:27" ht="12.75" customHeight="1" x14ac:dyDescent="0.4">
      <c r="A83" s="73" t="s">
        <v>767</v>
      </c>
      <c r="B83" s="72"/>
      <c r="C83" s="72"/>
      <c r="D83" s="72"/>
      <c r="E83" s="72"/>
      <c r="F83" s="72"/>
      <c r="G83" s="72"/>
      <c r="H83" s="72"/>
      <c r="I83" s="72"/>
      <c r="J83" s="72"/>
      <c r="K83" s="72"/>
      <c r="L83" s="72"/>
      <c r="M83" s="142"/>
      <c r="N83" s="142"/>
      <c r="O83" s="142"/>
      <c r="P83" s="72"/>
      <c r="Q83" s="72"/>
      <c r="R83" s="73"/>
      <c r="S83" s="72"/>
      <c r="T83" s="72"/>
      <c r="U83" s="72"/>
      <c r="V83" s="72"/>
      <c r="W83" s="72"/>
      <c r="X83" s="72"/>
      <c r="Y83" s="72"/>
      <c r="Z83" s="72"/>
      <c r="AA83" s="72"/>
    </row>
    <row r="84" spans="1:27" ht="12.75" customHeight="1" x14ac:dyDescent="0.4">
      <c r="A84" s="73" t="s">
        <v>768</v>
      </c>
      <c r="B84" s="72"/>
      <c r="C84" s="72"/>
      <c r="D84" s="72"/>
      <c r="E84" s="72"/>
      <c r="F84" s="72"/>
      <c r="G84" s="72"/>
      <c r="H84" s="72"/>
      <c r="I84" s="72"/>
      <c r="J84" s="72"/>
      <c r="K84" s="72"/>
      <c r="L84" s="72"/>
      <c r="M84" s="142"/>
      <c r="N84" s="142"/>
      <c r="O84" s="142"/>
      <c r="P84" s="72"/>
      <c r="R84" s="73"/>
      <c r="S84" s="72"/>
      <c r="T84" s="72"/>
      <c r="U84" s="72"/>
      <c r="V84" s="72"/>
      <c r="W84" s="86"/>
      <c r="X84" s="72"/>
      <c r="Y84" s="72"/>
      <c r="Z84" s="72"/>
      <c r="AA84" s="72"/>
    </row>
    <row r="85" spans="1:27" ht="12.75" customHeight="1" x14ac:dyDescent="0.4">
      <c r="A85" s="73"/>
      <c r="B85" s="72" t="s">
        <v>139</v>
      </c>
      <c r="C85" s="72"/>
      <c r="D85" s="72"/>
      <c r="E85" s="72"/>
      <c r="F85" s="86"/>
      <c r="G85" s="72" t="s">
        <v>146</v>
      </c>
      <c r="H85" s="72"/>
      <c r="I85" s="72"/>
      <c r="J85" s="72"/>
      <c r="K85" s="72"/>
      <c r="L85" s="74"/>
      <c r="M85" s="142"/>
      <c r="N85" s="142"/>
      <c r="O85" s="142"/>
      <c r="R85" s="73"/>
      <c r="S85" s="74"/>
      <c r="T85" s="74"/>
      <c r="U85" s="74"/>
      <c r="V85" s="74"/>
      <c r="W85" s="86"/>
      <c r="X85" s="74"/>
      <c r="Y85" s="74"/>
      <c r="Z85" s="74"/>
      <c r="AA85" s="74"/>
    </row>
    <row r="86" spans="1:27" ht="12.75" customHeight="1" thickBot="1" x14ac:dyDescent="0.45">
      <c r="A86" s="73" t="s">
        <v>136</v>
      </c>
      <c r="B86" s="74" t="s">
        <v>112</v>
      </c>
      <c r="C86" s="74" t="s">
        <v>113</v>
      </c>
      <c r="D86" s="74" t="s">
        <v>114</v>
      </c>
      <c r="E86" s="74" t="s">
        <v>115</v>
      </c>
      <c r="F86" s="86"/>
      <c r="G86" s="74" t="s">
        <v>112</v>
      </c>
      <c r="H86" s="74" t="s">
        <v>113</v>
      </c>
      <c r="I86" s="74" t="s">
        <v>114</v>
      </c>
      <c r="J86" s="74" t="s">
        <v>115</v>
      </c>
      <c r="K86" s="74"/>
      <c r="L86" s="75"/>
      <c r="M86" s="142" t="s">
        <v>739</v>
      </c>
      <c r="N86" s="166"/>
      <c r="O86" s="167"/>
      <c r="R86" s="73"/>
      <c r="S86" s="86"/>
      <c r="T86" s="86"/>
      <c r="U86" s="86"/>
      <c r="V86" s="86"/>
      <c r="W86" s="86"/>
      <c r="X86" s="75"/>
      <c r="Y86" s="75"/>
      <c r="Z86" s="75"/>
      <c r="AA86" s="75"/>
    </row>
    <row r="87" spans="1:27" ht="12.75" customHeight="1" x14ac:dyDescent="0.4">
      <c r="A87" s="73" t="s">
        <v>127</v>
      </c>
      <c r="B87" s="237">
        <v>22</v>
      </c>
      <c r="C87" s="238">
        <v>14</v>
      </c>
      <c r="D87" s="239">
        <v>6</v>
      </c>
      <c r="E87" s="237">
        <v>2</v>
      </c>
      <c r="F87" s="86"/>
      <c r="G87" s="75">
        <v>0.95652173913043481</v>
      </c>
      <c r="H87" s="75">
        <v>0.63636363636363635</v>
      </c>
      <c r="I87" s="75">
        <v>0.27272727272727271</v>
      </c>
      <c r="J87" s="75">
        <v>9.0909090909090912E-2</v>
      </c>
      <c r="K87" s="75"/>
      <c r="L87" s="75"/>
      <c r="M87" s="142" t="s">
        <v>740</v>
      </c>
      <c r="N87" s="142"/>
      <c r="O87" s="142"/>
      <c r="R87" s="73"/>
      <c r="S87" s="86"/>
      <c r="T87" s="86"/>
      <c r="U87" s="86"/>
      <c r="V87" s="86"/>
      <c r="W87" s="86"/>
      <c r="X87" s="75"/>
      <c r="Y87" s="75"/>
      <c r="Z87" s="75"/>
      <c r="AA87" s="75"/>
    </row>
    <row r="88" spans="1:27" ht="12.75" customHeight="1" x14ac:dyDescent="0.4">
      <c r="A88" s="73" t="s">
        <v>128</v>
      </c>
      <c r="B88" s="240">
        <v>26</v>
      </c>
      <c r="C88" s="241">
        <v>20</v>
      </c>
      <c r="D88" s="242">
        <v>4</v>
      </c>
      <c r="E88" s="240">
        <v>2</v>
      </c>
      <c r="F88" s="86"/>
      <c r="G88" s="75">
        <v>1</v>
      </c>
      <c r="H88" s="75">
        <v>0.76923076923076927</v>
      </c>
      <c r="I88" s="75">
        <v>0.15384615384615385</v>
      </c>
      <c r="J88" s="75">
        <v>7.6923076923076927E-2</v>
      </c>
      <c r="K88" s="75"/>
      <c r="L88" s="75"/>
      <c r="M88" s="142" t="s">
        <v>445</v>
      </c>
      <c r="N88" s="156"/>
      <c r="O88" s="168"/>
      <c r="P88" s="160"/>
      <c r="Q88" s="140"/>
      <c r="R88" s="73"/>
      <c r="S88" s="86"/>
      <c r="T88" s="86"/>
      <c r="U88" s="86"/>
      <c r="V88" s="86"/>
      <c r="W88" s="86"/>
      <c r="X88" s="75"/>
      <c r="Y88" s="75"/>
      <c r="Z88" s="75"/>
      <c r="AA88" s="75"/>
    </row>
    <row r="89" spans="1:27" ht="12.75" customHeight="1" x14ac:dyDescent="0.4">
      <c r="A89" s="73" t="s">
        <v>129</v>
      </c>
      <c r="B89" s="240">
        <v>77</v>
      </c>
      <c r="C89" s="241">
        <v>63</v>
      </c>
      <c r="D89" s="242">
        <v>10</v>
      </c>
      <c r="E89" s="240">
        <v>4</v>
      </c>
      <c r="F89" s="86"/>
      <c r="G89" s="75">
        <v>0.98717948717948723</v>
      </c>
      <c r="H89" s="75">
        <v>0.81818181818181823</v>
      </c>
      <c r="I89" s="75">
        <v>0.12987012987012986</v>
      </c>
      <c r="J89" s="75">
        <v>5.1948051948051951E-2</v>
      </c>
      <c r="K89" s="75"/>
      <c r="L89" s="75"/>
      <c r="M89" s="142" t="s">
        <v>201</v>
      </c>
      <c r="N89" s="166">
        <v>500</v>
      </c>
      <c r="O89" s="301" t="s">
        <v>202</v>
      </c>
      <c r="P89" s="160"/>
      <c r="Q89" s="140"/>
      <c r="R89" s="73"/>
      <c r="S89" s="86"/>
      <c r="T89" s="86"/>
      <c r="U89" s="86"/>
      <c r="V89" s="86"/>
      <c r="W89" s="86"/>
      <c r="X89" s="75"/>
      <c r="Y89" s="75"/>
      <c r="Z89" s="75"/>
      <c r="AA89" s="75"/>
    </row>
    <row r="90" spans="1:27" ht="12.75" customHeight="1" x14ac:dyDescent="0.4">
      <c r="A90" s="73" t="s">
        <v>130</v>
      </c>
      <c r="B90" s="240">
        <v>51</v>
      </c>
      <c r="C90" s="241">
        <v>32</v>
      </c>
      <c r="D90" s="242">
        <v>15</v>
      </c>
      <c r="E90" s="240">
        <v>4</v>
      </c>
      <c r="F90" s="86"/>
      <c r="G90" s="75">
        <v>1</v>
      </c>
      <c r="H90" s="75">
        <v>0.62745098039215685</v>
      </c>
      <c r="I90" s="75">
        <v>0.29411764705882354</v>
      </c>
      <c r="J90" s="75">
        <v>7.8431372549019607E-2</v>
      </c>
      <c r="K90" s="75"/>
      <c r="L90" s="75"/>
      <c r="M90" s="142" t="s">
        <v>741</v>
      </c>
      <c r="N90" s="166">
        <v>317</v>
      </c>
      <c r="O90" s="301">
        <v>0.63400000000000001</v>
      </c>
      <c r="P90" s="223"/>
      <c r="Q90" s="140"/>
      <c r="R90" s="73"/>
      <c r="S90" s="86"/>
      <c r="T90" s="86"/>
      <c r="U90" s="86"/>
      <c r="V90" s="86"/>
      <c r="W90" s="86"/>
      <c r="X90" s="75"/>
      <c r="Y90" s="75"/>
      <c r="Z90" s="75"/>
      <c r="AA90" s="75"/>
    </row>
    <row r="91" spans="1:27" s="53" customFormat="1" ht="12.75" customHeight="1" x14ac:dyDescent="0.4">
      <c r="A91" s="73" t="s">
        <v>131</v>
      </c>
      <c r="B91" s="240">
        <v>38</v>
      </c>
      <c r="C91" s="241">
        <v>28</v>
      </c>
      <c r="D91" s="242">
        <v>10</v>
      </c>
      <c r="E91" s="240">
        <v>0</v>
      </c>
      <c r="F91" s="86"/>
      <c r="G91" s="75">
        <v>1</v>
      </c>
      <c r="H91" s="75">
        <v>0.73684210526315785</v>
      </c>
      <c r="I91" s="75">
        <v>0.26315789473684209</v>
      </c>
      <c r="J91" s="75">
        <v>0</v>
      </c>
      <c r="K91" s="75"/>
      <c r="L91" s="75"/>
      <c r="M91" s="142" t="s">
        <v>226</v>
      </c>
      <c r="N91" s="166">
        <v>69</v>
      </c>
      <c r="O91" s="301">
        <v>0.13800000000000001</v>
      </c>
      <c r="P91" s="160"/>
      <c r="Q91" s="140"/>
      <c r="R91" s="73"/>
      <c r="S91" s="86"/>
      <c r="T91" s="86"/>
      <c r="U91" s="86"/>
      <c r="V91" s="86"/>
      <c r="W91" s="86"/>
      <c r="X91" s="75"/>
      <c r="Y91" s="75"/>
      <c r="Z91" s="75"/>
      <c r="AA91" s="75"/>
    </row>
    <row r="92" spans="1:27" s="53" customFormat="1" ht="12.75" customHeight="1" x14ac:dyDescent="0.4">
      <c r="A92" s="73" t="s">
        <v>132</v>
      </c>
      <c r="B92" s="240">
        <v>60</v>
      </c>
      <c r="C92" s="241">
        <v>54</v>
      </c>
      <c r="D92" s="242">
        <v>6</v>
      </c>
      <c r="E92" s="240">
        <v>0</v>
      </c>
      <c r="F92" s="86"/>
      <c r="G92" s="75">
        <v>1</v>
      </c>
      <c r="H92" s="75">
        <v>0.9</v>
      </c>
      <c r="I92" s="75">
        <v>0.1</v>
      </c>
      <c r="J92" s="75">
        <v>0</v>
      </c>
      <c r="K92" s="75"/>
      <c r="L92" s="75"/>
      <c r="M92" s="142" t="s">
        <v>742</v>
      </c>
      <c r="N92" s="166">
        <v>168</v>
      </c>
      <c r="O92" s="301">
        <v>0.33600000000000002</v>
      </c>
      <c r="P92" s="160"/>
      <c r="Q92"/>
      <c r="R92" s="73"/>
      <c r="S92" s="86"/>
      <c r="T92" s="86"/>
      <c r="U92" s="86"/>
      <c r="V92" s="86"/>
      <c r="W92" s="87"/>
      <c r="X92" s="75"/>
      <c r="Y92" s="75"/>
      <c r="Z92" s="75"/>
      <c r="AA92" s="75"/>
    </row>
    <row r="93" spans="1:27" s="53" customFormat="1" ht="12.75" customHeight="1" x14ac:dyDescent="0.4">
      <c r="A93" s="73" t="s">
        <v>133</v>
      </c>
      <c r="B93" s="240">
        <v>71</v>
      </c>
      <c r="C93" s="241">
        <v>53</v>
      </c>
      <c r="D93" s="242">
        <v>16</v>
      </c>
      <c r="E93" s="240">
        <v>2</v>
      </c>
      <c r="F93" s="87"/>
      <c r="G93" s="75">
        <v>0.9726027397260274</v>
      </c>
      <c r="H93" s="75">
        <v>0.74647887323943662</v>
      </c>
      <c r="I93" s="75">
        <v>0.22535211267605634</v>
      </c>
      <c r="J93" s="75">
        <v>2.8169014084507043E-2</v>
      </c>
      <c r="K93" s="75"/>
      <c r="L93" s="75"/>
      <c r="M93" s="142" t="s">
        <v>227</v>
      </c>
      <c r="N93" s="166">
        <v>29</v>
      </c>
      <c r="O93" s="167">
        <v>5.8000000000000003E-2</v>
      </c>
      <c r="P93"/>
      <c r="Q93"/>
      <c r="R93" s="73"/>
      <c r="S93" s="86"/>
      <c r="T93" s="86"/>
      <c r="U93" s="86"/>
      <c r="V93" s="86"/>
      <c r="W93" s="87"/>
      <c r="X93" s="75"/>
      <c r="Y93" s="75"/>
      <c r="Z93" s="75"/>
      <c r="AA93" s="75"/>
    </row>
    <row r="94" spans="1:27" s="53" customFormat="1" ht="12.75" customHeight="1" x14ac:dyDescent="0.4">
      <c r="A94" s="73" t="s">
        <v>134</v>
      </c>
      <c r="B94" s="240">
        <v>69</v>
      </c>
      <c r="C94" s="241">
        <v>61</v>
      </c>
      <c r="D94" s="242">
        <v>6</v>
      </c>
      <c r="E94" s="240">
        <v>2</v>
      </c>
      <c r="F94" s="87"/>
      <c r="G94" s="75">
        <v>1</v>
      </c>
      <c r="H94" s="75">
        <v>0.88405797101449279</v>
      </c>
      <c r="I94" s="75">
        <v>8.6956521739130432E-2</v>
      </c>
      <c r="J94" s="75">
        <v>2.8985507246376812E-2</v>
      </c>
      <c r="K94" s="75"/>
      <c r="L94" s="75"/>
      <c r="M94" s="142"/>
      <c r="N94" s="253"/>
      <c r="O94" s="168"/>
      <c r="P94"/>
      <c r="Q94"/>
      <c r="R94" s="73"/>
      <c r="S94" s="86"/>
      <c r="T94" s="86"/>
      <c r="U94" s="86"/>
      <c r="V94" s="86"/>
      <c r="W94" s="87"/>
      <c r="X94" s="75"/>
      <c r="Y94" s="75"/>
      <c r="Z94" s="75"/>
      <c r="AA94" s="75"/>
    </row>
    <row r="95" spans="1:27" s="53" customFormat="1" ht="12.75" customHeight="1" x14ac:dyDescent="0.4">
      <c r="A95" s="73" t="s">
        <v>376</v>
      </c>
      <c r="B95" s="240">
        <v>22</v>
      </c>
      <c r="C95" s="241">
        <v>20</v>
      </c>
      <c r="D95" s="242">
        <v>1</v>
      </c>
      <c r="E95" s="240">
        <v>1</v>
      </c>
      <c r="F95" s="87"/>
      <c r="G95" s="75">
        <v>0.95652173913043481</v>
      </c>
      <c r="H95" s="75">
        <v>0.90909090909090906</v>
      </c>
      <c r="I95" s="75">
        <v>4.5454545454545456E-2</v>
      </c>
      <c r="J95" s="75">
        <v>4.5454545454545456E-2</v>
      </c>
      <c r="K95" s="75"/>
      <c r="L95" s="75"/>
      <c r="M95" s="142" t="s">
        <v>743</v>
      </c>
      <c r="N95" s="254" t="s">
        <v>438</v>
      </c>
      <c r="O95" s="167" t="s">
        <v>202</v>
      </c>
      <c r="P95"/>
      <c r="Q95"/>
      <c r="R95" s="73"/>
      <c r="S95" s="86"/>
      <c r="T95" s="86"/>
      <c r="U95" s="86"/>
      <c r="V95" s="86"/>
      <c r="W95" s="87"/>
      <c r="X95" s="75"/>
      <c r="Y95" s="75"/>
      <c r="Z95" s="75"/>
      <c r="AA95" s="75"/>
    </row>
    <row r="96" spans="1:27" ht="12.75" customHeight="1" x14ac:dyDescent="0.4">
      <c r="A96" s="73" t="s">
        <v>135</v>
      </c>
      <c r="B96" s="240">
        <v>31</v>
      </c>
      <c r="C96" s="241">
        <v>20</v>
      </c>
      <c r="D96" s="242">
        <v>8</v>
      </c>
      <c r="E96" s="240">
        <v>3</v>
      </c>
      <c r="F96" s="87"/>
      <c r="G96" s="75">
        <v>1</v>
      </c>
      <c r="H96" s="75">
        <v>0.64516129032258063</v>
      </c>
      <c r="I96" s="75">
        <v>0.25806451612903225</v>
      </c>
      <c r="J96" s="75">
        <v>9.6774193548387094E-2</v>
      </c>
      <c r="K96" s="75"/>
      <c r="L96" s="75"/>
      <c r="M96" s="142" t="s">
        <v>744</v>
      </c>
      <c r="N96" s="166">
        <v>42</v>
      </c>
      <c r="O96" s="167">
        <v>8.4000000000000005E-2</v>
      </c>
      <c r="R96" s="73"/>
      <c r="S96" s="86"/>
      <c r="T96" s="86"/>
      <c r="U96" s="86"/>
      <c r="V96" s="86"/>
      <c r="W96" s="87"/>
      <c r="X96" s="75"/>
      <c r="Y96" s="75"/>
      <c r="Z96" s="75"/>
      <c r="AA96" s="75"/>
    </row>
    <row r="97" spans="1:27" ht="12.75" customHeight="1" thickBot="1" x14ac:dyDescent="0.45">
      <c r="A97" s="73" t="s">
        <v>303</v>
      </c>
      <c r="B97" s="243">
        <v>31</v>
      </c>
      <c r="C97" s="244">
        <v>19</v>
      </c>
      <c r="D97" s="245">
        <v>6</v>
      </c>
      <c r="E97" s="243">
        <v>6</v>
      </c>
      <c r="F97" s="87"/>
      <c r="G97" s="75">
        <v>1</v>
      </c>
      <c r="H97" s="75">
        <v>0.61290322580645162</v>
      </c>
      <c r="I97" s="75">
        <v>0.19354838709677419</v>
      </c>
      <c r="J97" s="75">
        <v>0.19354838709677419</v>
      </c>
      <c r="K97" s="75"/>
      <c r="L97" s="75"/>
      <c r="M97" s="142"/>
      <c r="N97" s="166"/>
      <c r="O97" s="167"/>
      <c r="R97" s="73"/>
      <c r="S97" s="86"/>
      <c r="T97" s="86"/>
      <c r="U97" s="86"/>
      <c r="V97" s="86"/>
      <c r="W97" s="87"/>
      <c r="X97" s="75"/>
      <c r="Y97" s="75"/>
      <c r="Z97" s="75"/>
      <c r="AA97" s="75"/>
    </row>
    <row r="98" spans="1:27" ht="12.75" customHeight="1" x14ac:dyDescent="0.4">
      <c r="A98" s="73" t="s">
        <v>23</v>
      </c>
      <c r="B98" s="246">
        <v>498</v>
      </c>
      <c r="C98" s="247">
        <v>384</v>
      </c>
      <c r="D98" s="248">
        <v>88</v>
      </c>
      <c r="E98" s="249">
        <v>26</v>
      </c>
      <c r="F98" s="72"/>
      <c r="G98" s="75">
        <v>0.99005964214711728</v>
      </c>
      <c r="H98" s="75">
        <v>0.77108433734939763</v>
      </c>
      <c r="I98" s="75">
        <v>0.17670682730923695</v>
      </c>
      <c r="J98" s="75">
        <v>5.2208835341365459E-2</v>
      </c>
      <c r="K98" s="75"/>
      <c r="L98" s="75"/>
      <c r="M98" s="142"/>
      <c r="N98" s="75"/>
      <c r="O98" s="75"/>
      <c r="P98" s="92"/>
      <c r="R98" s="73"/>
      <c r="S98" s="87"/>
      <c r="T98" s="86"/>
      <c r="U98" s="86"/>
      <c r="V98" s="87"/>
      <c r="W98" s="72"/>
      <c r="X98" s="75"/>
      <c r="Y98" s="75"/>
      <c r="Z98" s="75"/>
      <c r="AA98" s="75"/>
    </row>
    <row r="99" spans="1:27" ht="12.75" customHeight="1" x14ac:dyDescent="0.4">
      <c r="A99" s="73"/>
      <c r="B99" s="87"/>
      <c r="C99" s="86"/>
      <c r="D99" s="86"/>
      <c r="E99" s="87"/>
      <c r="F99" s="72"/>
      <c r="G99" s="75"/>
      <c r="H99" s="75"/>
      <c r="I99" s="75"/>
      <c r="J99" s="75"/>
      <c r="K99" s="75"/>
      <c r="L99" s="75"/>
      <c r="M99" s="142"/>
      <c r="N99" s="75"/>
      <c r="O99" s="75"/>
      <c r="R99" s="73"/>
      <c r="S99" s="87"/>
      <c r="T99" s="86"/>
      <c r="U99" s="86"/>
      <c r="V99" s="87"/>
      <c r="W99" s="72"/>
      <c r="X99" s="75"/>
      <c r="Y99" s="75"/>
      <c r="Z99" s="75"/>
      <c r="AA99" s="75"/>
    </row>
    <row r="100" spans="1:27" ht="12.75" customHeight="1" x14ac:dyDescent="0.4">
      <c r="A100" s="73"/>
      <c r="B100" s="87"/>
      <c r="C100" s="86"/>
      <c r="D100" s="86"/>
      <c r="E100" s="87"/>
      <c r="F100" s="72"/>
      <c r="G100" s="75"/>
      <c r="H100" s="75"/>
      <c r="I100" s="75"/>
      <c r="J100" s="75"/>
      <c r="K100" s="75"/>
      <c r="L100" s="75"/>
      <c r="M100" s="142"/>
      <c r="N100" s="75"/>
      <c r="O100" s="75"/>
      <c r="R100" s="73"/>
      <c r="S100" s="87"/>
      <c r="T100" s="86"/>
      <c r="U100" s="86"/>
      <c r="V100" s="87"/>
      <c r="W100" s="72"/>
      <c r="X100" s="75"/>
      <c r="Y100" s="75"/>
      <c r="Z100" s="75"/>
      <c r="AA100" s="75"/>
    </row>
    <row r="101" spans="1:27" ht="12.75" customHeight="1" x14ac:dyDescent="0.4">
      <c r="A101" s="73" t="s">
        <v>654</v>
      </c>
      <c r="B101" s="72"/>
      <c r="C101" s="72"/>
      <c r="D101" s="72"/>
      <c r="E101" s="72"/>
      <c r="F101" s="72"/>
      <c r="G101" s="72"/>
      <c r="H101" s="72"/>
      <c r="I101" s="72"/>
      <c r="J101" s="72"/>
      <c r="K101" s="72"/>
      <c r="L101" s="72"/>
      <c r="M101" s="6"/>
      <c r="N101" s="6"/>
      <c r="O101" s="6"/>
      <c r="P101" s="72"/>
      <c r="Q101" s="72"/>
      <c r="R101" s="73"/>
      <c r="S101" s="72"/>
      <c r="T101" s="72"/>
      <c r="U101" s="72"/>
      <c r="V101" s="72"/>
      <c r="W101" s="72"/>
      <c r="X101" s="72"/>
      <c r="Y101" s="72"/>
      <c r="Z101" s="72"/>
      <c r="AA101" s="72"/>
    </row>
    <row r="102" spans="1:27" ht="12.75" customHeight="1" x14ac:dyDescent="0.4">
      <c r="A102" s="73" t="s">
        <v>565</v>
      </c>
      <c r="B102" s="72"/>
      <c r="C102" s="72"/>
      <c r="D102" s="72"/>
      <c r="E102" s="72"/>
      <c r="F102" s="72"/>
      <c r="G102" s="72"/>
      <c r="H102" s="72"/>
      <c r="I102" s="72"/>
      <c r="J102" s="72"/>
      <c r="K102" s="72"/>
      <c r="L102" s="72"/>
      <c r="M102" s="6"/>
      <c r="N102" s="6"/>
      <c r="O102" s="6"/>
      <c r="P102" s="72"/>
      <c r="Q102" s="72"/>
      <c r="R102" s="73"/>
      <c r="S102" s="72"/>
      <c r="T102" s="72"/>
      <c r="U102" s="72"/>
      <c r="V102" s="72"/>
      <c r="W102" s="72"/>
      <c r="X102" s="72"/>
      <c r="Y102" s="72"/>
      <c r="Z102" s="72"/>
      <c r="AA102" s="72"/>
    </row>
    <row r="103" spans="1:27" ht="12.75" customHeight="1" x14ac:dyDescent="0.4">
      <c r="A103" s="73" t="s">
        <v>738</v>
      </c>
      <c r="B103" s="72"/>
      <c r="C103" s="72"/>
      <c r="D103" s="72"/>
      <c r="E103" s="72"/>
      <c r="F103" s="72"/>
      <c r="G103" s="72"/>
      <c r="H103" s="72"/>
      <c r="I103" s="72"/>
      <c r="J103" s="72"/>
      <c r="K103" s="72"/>
      <c r="L103" s="74"/>
      <c r="M103" s="6"/>
      <c r="N103" s="6"/>
      <c r="O103" s="6"/>
      <c r="R103" s="73"/>
      <c r="S103" s="72"/>
      <c r="T103" s="72"/>
      <c r="U103" s="72"/>
      <c r="V103" s="72"/>
      <c r="W103" s="86"/>
      <c r="X103" s="72"/>
      <c r="Y103" s="72"/>
      <c r="Z103" s="72"/>
      <c r="AA103" s="72"/>
    </row>
    <row r="104" spans="1:27" ht="12.75" customHeight="1" x14ac:dyDescent="0.4">
      <c r="A104" s="73"/>
      <c r="B104" s="72" t="s">
        <v>139</v>
      </c>
      <c r="C104" s="72"/>
      <c r="D104" s="72"/>
      <c r="E104" s="72"/>
      <c r="F104" s="86"/>
      <c r="G104" s="72" t="s">
        <v>146</v>
      </c>
      <c r="H104" s="72"/>
      <c r="I104" s="72"/>
      <c r="J104" s="72"/>
      <c r="K104" s="74"/>
      <c r="L104" s="75"/>
      <c r="M104" s="6"/>
      <c r="N104" s="6"/>
      <c r="O104" s="6"/>
      <c r="R104" s="73"/>
      <c r="S104" s="74"/>
      <c r="T104" s="74"/>
      <c r="U104" s="74"/>
      <c r="V104" s="74"/>
      <c r="W104" s="86"/>
      <c r="X104" s="74"/>
      <c r="Y104" s="74"/>
      <c r="Z104" s="74"/>
      <c r="AA104" s="74"/>
    </row>
    <row r="105" spans="1:27" ht="12.75" customHeight="1" thickBot="1" x14ac:dyDescent="0.45">
      <c r="A105" s="73" t="s">
        <v>136</v>
      </c>
      <c r="B105" s="74" t="s">
        <v>112</v>
      </c>
      <c r="C105" s="74" t="s">
        <v>113</v>
      </c>
      <c r="D105" s="74" t="s">
        <v>114</v>
      </c>
      <c r="E105" s="74" t="s">
        <v>115</v>
      </c>
      <c r="F105" s="86"/>
      <c r="G105" s="74" t="s">
        <v>112</v>
      </c>
      <c r="H105" s="74" t="s">
        <v>113</v>
      </c>
      <c r="I105" s="74" t="s">
        <v>114</v>
      </c>
      <c r="J105" s="74" t="s">
        <v>115</v>
      </c>
      <c r="K105" s="75"/>
      <c r="L105" s="75"/>
      <c r="M105" s="6" t="s">
        <v>654</v>
      </c>
      <c r="N105" s="139"/>
      <c r="O105" s="140"/>
      <c r="R105" s="73"/>
      <c r="S105" s="86"/>
      <c r="T105" s="86"/>
      <c r="U105" s="86"/>
      <c r="V105" s="86"/>
      <c r="W105" s="86"/>
      <c r="X105" s="75"/>
      <c r="Y105" s="75"/>
      <c r="Z105" s="75"/>
      <c r="AA105" s="75"/>
    </row>
    <row r="106" spans="1:27" ht="12.75" customHeight="1" x14ac:dyDescent="0.4">
      <c r="A106" s="73" t="s">
        <v>127</v>
      </c>
      <c r="B106" s="237">
        <v>21</v>
      </c>
      <c r="C106" s="238">
        <v>16</v>
      </c>
      <c r="D106" s="239">
        <v>4</v>
      </c>
      <c r="E106" s="237">
        <v>1</v>
      </c>
      <c r="F106" s="86"/>
      <c r="G106" s="75">
        <v>0.95454545454545459</v>
      </c>
      <c r="H106" s="75">
        <v>0.76190476190476186</v>
      </c>
      <c r="I106" s="75">
        <v>0.19047619047619047</v>
      </c>
      <c r="J106" s="75">
        <v>4.7619047619047616E-2</v>
      </c>
      <c r="K106" s="75"/>
      <c r="L106" s="75"/>
      <c r="M106" s="6" t="s">
        <v>704</v>
      </c>
      <c r="N106" s="6"/>
      <c r="O106" s="6"/>
      <c r="P106" s="160"/>
      <c r="R106" s="73"/>
      <c r="S106" s="86"/>
      <c r="T106" s="86"/>
      <c r="U106" s="86"/>
      <c r="V106" s="86"/>
      <c r="W106" s="86"/>
      <c r="X106" s="75"/>
      <c r="Y106" s="75"/>
      <c r="Z106" s="75"/>
      <c r="AA106" s="75"/>
    </row>
    <row r="107" spans="1:27" ht="12.75" customHeight="1" x14ac:dyDescent="0.4">
      <c r="A107" s="73" t="s">
        <v>128</v>
      </c>
      <c r="B107" s="240">
        <v>28</v>
      </c>
      <c r="C107" s="241">
        <v>19</v>
      </c>
      <c r="D107" s="242">
        <v>8</v>
      </c>
      <c r="E107" s="240">
        <v>1</v>
      </c>
      <c r="F107" s="86"/>
      <c r="G107" s="75">
        <v>1</v>
      </c>
      <c r="H107" s="75">
        <v>0.6785714285714286</v>
      </c>
      <c r="I107" s="75">
        <v>0.2857142857142857</v>
      </c>
      <c r="J107" s="75">
        <v>3.5714285714285712E-2</v>
      </c>
      <c r="K107" s="75"/>
      <c r="L107" s="75"/>
      <c r="M107" s="6" t="s">
        <v>445</v>
      </c>
      <c r="N107" s="76"/>
      <c r="O107" s="141"/>
      <c r="P107" s="160"/>
      <c r="Q107" s="140"/>
      <c r="R107" s="73"/>
      <c r="S107" s="86"/>
      <c r="T107" s="86"/>
      <c r="U107" s="86"/>
      <c r="V107" s="86"/>
      <c r="W107" s="86"/>
      <c r="X107" s="75"/>
      <c r="Y107" s="75"/>
      <c r="Z107" s="75"/>
      <c r="AA107" s="75"/>
    </row>
    <row r="108" spans="1:27" ht="12.75" customHeight="1" x14ac:dyDescent="0.4">
      <c r="A108" s="73" t="s">
        <v>129</v>
      </c>
      <c r="B108" s="240">
        <v>78</v>
      </c>
      <c r="C108" s="241">
        <v>61</v>
      </c>
      <c r="D108" s="242">
        <v>14</v>
      </c>
      <c r="E108" s="240">
        <v>3</v>
      </c>
      <c r="F108" s="86"/>
      <c r="G108" s="75">
        <v>1</v>
      </c>
      <c r="H108" s="75">
        <v>0.78205128205128205</v>
      </c>
      <c r="I108" s="75">
        <v>0.17948717948717949</v>
      </c>
      <c r="J108" s="75">
        <v>3.8461538461538464E-2</v>
      </c>
      <c r="K108" s="75"/>
      <c r="L108" s="75"/>
      <c r="M108" s="6" t="s">
        <v>201</v>
      </c>
      <c r="N108" s="139">
        <v>498</v>
      </c>
      <c r="O108" s="284" t="s">
        <v>202</v>
      </c>
      <c r="P108" s="223"/>
      <c r="Q108" s="140"/>
      <c r="R108" s="73"/>
      <c r="S108" s="86"/>
      <c r="T108" s="86"/>
      <c r="U108" s="86"/>
      <c r="V108" s="86"/>
      <c r="W108" s="86"/>
      <c r="X108" s="75"/>
      <c r="Y108" s="75"/>
      <c r="Z108" s="75"/>
      <c r="AA108" s="75"/>
    </row>
    <row r="109" spans="1:27" ht="12.75" customHeight="1" x14ac:dyDescent="0.4">
      <c r="A109" s="73" t="s">
        <v>130</v>
      </c>
      <c r="B109" s="240">
        <v>50</v>
      </c>
      <c r="C109" s="241">
        <v>38</v>
      </c>
      <c r="D109" s="242">
        <v>11</v>
      </c>
      <c r="E109" s="240">
        <v>1</v>
      </c>
      <c r="F109" s="86"/>
      <c r="G109" s="75">
        <v>1</v>
      </c>
      <c r="H109" s="75">
        <v>0.76</v>
      </c>
      <c r="I109" s="75">
        <v>0.22</v>
      </c>
      <c r="J109" s="75">
        <v>0.02</v>
      </c>
      <c r="K109" s="75"/>
      <c r="L109" s="75"/>
      <c r="M109" s="6" t="s">
        <v>705</v>
      </c>
      <c r="N109" s="139">
        <v>284</v>
      </c>
      <c r="O109" s="284">
        <v>0.57028112449799195</v>
      </c>
      <c r="P109" s="160"/>
      <c r="Q109" s="140"/>
      <c r="R109" s="73"/>
      <c r="S109" s="86"/>
      <c r="T109" s="86"/>
      <c r="U109" s="86"/>
      <c r="V109" s="86"/>
      <c r="W109" s="86"/>
      <c r="X109" s="75"/>
      <c r="Y109" s="75"/>
      <c r="Z109" s="75"/>
      <c r="AA109" s="75"/>
    </row>
    <row r="110" spans="1:27" s="53" customFormat="1" ht="12.75" customHeight="1" x14ac:dyDescent="0.4">
      <c r="A110" s="73" t="s">
        <v>131</v>
      </c>
      <c r="B110" s="240">
        <v>37</v>
      </c>
      <c r="C110" s="241">
        <v>26</v>
      </c>
      <c r="D110" s="242">
        <v>8</v>
      </c>
      <c r="E110" s="240">
        <v>3</v>
      </c>
      <c r="F110" s="86"/>
      <c r="G110" s="75">
        <v>0.97368421052631582</v>
      </c>
      <c r="H110" s="75">
        <v>0.70270270270270274</v>
      </c>
      <c r="I110" s="75">
        <v>0.21621621621621623</v>
      </c>
      <c r="J110" s="75">
        <v>8.1081081081081086E-2</v>
      </c>
      <c r="K110" s="75"/>
      <c r="L110" s="75"/>
      <c r="M110" s="6" t="s">
        <v>226</v>
      </c>
      <c r="N110" s="139">
        <v>60</v>
      </c>
      <c r="O110" s="284">
        <v>0.12048192771084337</v>
      </c>
      <c r="P110" s="160"/>
      <c r="Q110" s="140"/>
      <c r="R110" s="73"/>
      <c r="S110" s="86"/>
      <c r="T110" s="86"/>
      <c r="U110" s="86"/>
      <c r="V110" s="86"/>
      <c r="W110" s="86"/>
      <c r="X110" s="75"/>
      <c r="Y110" s="75"/>
      <c r="Z110" s="75"/>
      <c r="AA110" s="75"/>
    </row>
    <row r="111" spans="1:27" s="53" customFormat="1" ht="12.75" customHeight="1" x14ac:dyDescent="0.4">
      <c r="A111" s="73" t="s">
        <v>132</v>
      </c>
      <c r="B111" s="240">
        <v>61</v>
      </c>
      <c r="C111" s="241">
        <v>47</v>
      </c>
      <c r="D111" s="242">
        <v>12</v>
      </c>
      <c r="E111" s="240">
        <v>2</v>
      </c>
      <c r="F111" s="86"/>
      <c r="G111" s="75">
        <v>1</v>
      </c>
      <c r="H111" s="75">
        <v>0.77049180327868849</v>
      </c>
      <c r="I111" s="75">
        <v>0.19672131147540983</v>
      </c>
      <c r="J111" s="75">
        <v>3.2786885245901641E-2</v>
      </c>
      <c r="K111" s="75"/>
      <c r="L111" s="75"/>
      <c r="M111" s="6" t="s">
        <v>706</v>
      </c>
      <c r="N111" s="139">
        <v>187</v>
      </c>
      <c r="O111" s="284">
        <v>0.37550200803212852</v>
      </c>
      <c r="P111"/>
      <c r="Q111"/>
      <c r="R111" s="73"/>
      <c r="S111" s="86"/>
      <c r="T111" s="86"/>
      <c r="U111" s="86"/>
      <c r="V111" s="86"/>
      <c r="W111" s="87"/>
      <c r="X111" s="75"/>
      <c r="Y111" s="75"/>
      <c r="Z111" s="75"/>
      <c r="AA111" s="75"/>
    </row>
    <row r="112" spans="1:27" s="53" customFormat="1" ht="12.75" customHeight="1" x14ac:dyDescent="0.4">
      <c r="A112" s="73" t="s">
        <v>133</v>
      </c>
      <c r="B112" s="240">
        <v>72</v>
      </c>
      <c r="C112" s="241">
        <v>62</v>
      </c>
      <c r="D112" s="242">
        <v>8</v>
      </c>
      <c r="E112" s="240">
        <v>2</v>
      </c>
      <c r="F112" s="87"/>
      <c r="G112" s="75">
        <v>0.98630136986301364</v>
      </c>
      <c r="H112" s="75">
        <v>0.86111111111111116</v>
      </c>
      <c r="I112" s="75">
        <v>0.1111111111111111</v>
      </c>
      <c r="J112" s="75">
        <v>2.7777777777777776E-2</v>
      </c>
      <c r="K112" s="75"/>
      <c r="L112" s="75"/>
      <c r="M112" s="6" t="s">
        <v>227</v>
      </c>
      <c r="N112" s="139">
        <v>33</v>
      </c>
      <c r="O112" s="140">
        <v>6.6265060240963861E-2</v>
      </c>
      <c r="P112"/>
      <c r="Q112"/>
      <c r="R112" s="73"/>
      <c r="S112" s="86"/>
      <c r="T112" s="86"/>
      <c r="U112" s="86"/>
      <c r="V112" s="86"/>
      <c r="W112" s="87"/>
      <c r="X112" s="75"/>
      <c r="Y112" s="75"/>
      <c r="Z112" s="75"/>
      <c r="AA112" s="75"/>
    </row>
    <row r="113" spans="1:27" s="53" customFormat="1" ht="12.75" customHeight="1" x14ac:dyDescent="0.4">
      <c r="A113" s="73" t="s">
        <v>134</v>
      </c>
      <c r="B113" s="240">
        <v>69</v>
      </c>
      <c r="C113" s="241">
        <v>57</v>
      </c>
      <c r="D113" s="242">
        <v>8</v>
      </c>
      <c r="E113" s="240">
        <v>4</v>
      </c>
      <c r="F113" s="87"/>
      <c r="G113" s="75">
        <v>1</v>
      </c>
      <c r="H113" s="75">
        <v>0.82608695652173914</v>
      </c>
      <c r="I113" s="75">
        <v>0.11594202898550725</v>
      </c>
      <c r="J113" s="75">
        <v>5.7971014492753624E-2</v>
      </c>
      <c r="K113" s="75"/>
      <c r="L113" s="75"/>
      <c r="M113" s="6"/>
      <c r="N113" s="138"/>
      <c r="O113" s="141"/>
      <c r="P113"/>
      <c r="Q113"/>
      <c r="R113" s="73"/>
      <c r="S113" s="86"/>
      <c r="T113" s="86"/>
      <c r="U113" s="86"/>
      <c r="V113" s="86"/>
      <c r="W113" s="87"/>
      <c r="X113" s="75"/>
      <c r="Y113" s="75"/>
      <c r="Z113" s="75"/>
      <c r="AA113" s="75"/>
    </row>
    <row r="114" spans="1:27" ht="12.75" customHeight="1" x14ac:dyDescent="0.4">
      <c r="A114" s="73" t="s">
        <v>376</v>
      </c>
      <c r="B114" s="240">
        <v>21</v>
      </c>
      <c r="C114" s="241">
        <v>15</v>
      </c>
      <c r="D114" s="242">
        <v>5</v>
      </c>
      <c r="E114" s="240">
        <v>1</v>
      </c>
      <c r="F114" s="87"/>
      <c r="G114" s="75">
        <v>0.95454545454545459</v>
      </c>
      <c r="H114" s="75">
        <v>0.7142857142857143</v>
      </c>
      <c r="I114" s="75">
        <v>0.23809523809523808</v>
      </c>
      <c r="J114" s="75">
        <v>4.7619047619047616E-2</v>
      </c>
      <c r="K114" s="75"/>
      <c r="L114" s="75"/>
      <c r="M114" s="6" t="s">
        <v>707</v>
      </c>
      <c r="N114" s="229" t="s">
        <v>438</v>
      </c>
      <c r="O114" s="140" t="s">
        <v>202</v>
      </c>
      <c r="R114" s="73"/>
      <c r="S114" s="86"/>
      <c r="T114" s="86"/>
      <c r="U114" s="86"/>
      <c r="V114" s="86"/>
      <c r="W114" s="87"/>
      <c r="X114" s="75"/>
      <c r="Y114" s="75"/>
      <c r="Z114" s="75"/>
      <c r="AA114" s="75"/>
    </row>
    <row r="115" spans="1:27" ht="12.75" customHeight="1" x14ac:dyDescent="0.4">
      <c r="A115" s="73" t="s">
        <v>135</v>
      </c>
      <c r="B115" s="240">
        <v>31</v>
      </c>
      <c r="C115" s="241">
        <v>17</v>
      </c>
      <c r="D115" s="242">
        <v>9</v>
      </c>
      <c r="E115" s="240">
        <v>5</v>
      </c>
      <c r="F115" s="87"/>
      <c r="G115" s="75">
        <v>1</v>
      </c>
      <c r="H115" s="75">
        <v>0.54838709677419351</v>
      </c>
      <c r="I115" s="75">
        <v>0.29032258064516131</v>
      </c>
      <c r="J115" s="75">
        <v>0.16129032258064516</v>
      </c>
      <c r="K115" s="75"/>
      <c r="L115" s="75"/>
      <c r="M115" s="6" t="s">
        <v>708</v>
      </c>
      <c r="N115" s="139">
        <v>31</v>
      </c>
      <c r="O115" s="140">
        <v>6.224899598393574E-2</v>
      </c>
      <c r="R115" s="73"/>
      <c r="S115" s="86"/>
      <c r="T115" s="86"/>
      <c r="U115" s="86"/>
      <c r="V115" s="86"/>
      <c r="W115" s="87"/>
      <c r="X115" s="75"/>
      <c r="Y115" s="75"/>
      <c r="Z115" s="75"/>
      <c r="AA115" s="75"/>
    </row>
    <row r="116" spans="1:27" ht="12.75" customHeight="1" thickBot="1" x14ac:dyDescent="0.45">
      <c r="A116" s="73" t="s">
        <v>303</v>
      </c>
      <c r="B116" s="243">
        <v>31</v>
      </c>
      <c r="C116" s="244">
        <v>15</v>
      </c>
      <c r="D116" s="245">
        <v>12</v>
      </c>
      <c r="E116" s="243">
        <v>4</v>
      </c>
      <c r="F116" s="87"/>
      <c r="G116" s="75">
        <v>1</v>
      </c>
      <c r="H116" s="75">
        <v>0.4838709677419355</v>
      </c>
      <c r="I116" s="75">
        <v>0.38709677419354838</v>
      </c>
      <c r="J116" s="75">
        <v>0.12903225806451613</v>
      </c>
      <c r="K116" s="75"/>
      <c r="L116" s="75"/>
      <c r="M116" s="6"/>
      <c r="N116" s="139"/>
      <c r="O116" s="140"/>
      <c r="R116" s="73"/>
      <c r="S116" s="87"/>
      <c r="T116" s="86"/>
      <c r="U116" s="86"/>
      <c r="V116" s="87"/>
      <c r="W116" s="72"/>
      <c r="X116" s="75"/>
      <c r="Y116" s="75"/>
      <c r="Z116" s="75"/>
      <c r="AA116" s="75"/>
    </row>
    <row r="117" spans="1:27" ht="12.75" customHeight="1" x14ac:dyDescent="0.4">
      <c r="A117" s="73" t="s">
        <v>23</v>
      </c>
      <c r="B117" s="246">
        <v>499</v>
      </c>
      <c r="C117" s="247">
        <v>373</v>
      </c>
      <c r="D117" s="248">
        <v>99</v>
      </c>
      <c r="E117" s="249">
        <v>27</v>
      </c>
      <c r="F117" s="72"/>
      <c r="G117" s="75">
        <v>0.99204771371769385</v>
      </c>
      <c r="H117" s="75">
        <v>0.74749498997995989</v>
      </c>
      <c r="I117" s="75">
        <v>0.19839679358717435</v>
      </c>
      <c r="J117" s="75">
        <v>5.410821643286573E-2</v>
      </c>
      <c r="K117" s="75"/>
      <c r="L117" s="75"/>
      <c r="M117" s="6"/>
      <c r="N117" s="75"/>
      <c r="O117" s="75"/>
      <c r="P117" s="92"/>
      <c r="S117" s="53"/>
    </row>
    <row r="118" spans="1:27" ht="13.15" x14ac:dyDescent="0.4">
      <c r="A118" s="73"/>
      <c r="B118" s="87"/>
      <c r="C118" s="86"/>
      <c r="D118" s="86"/>
      <c r="E118" s="87"/>
      <c r="F118" s="72"/>
      <c r="G118" s="75"/>
      <c r="H118" s="75"/>
      <c r="I118" s="75"/>
      <c r="J118" s="75"/>
      <c r="K118" s="75"/>
      <c r="L118" s="75"/>
      <c r="M118" s="6"/>
      <c r="N118" s="75"/>
      <c r="O118" s="75"/>
      <c r="P118" s="92"/>
      <c r="Q118" s="72"/>
      <c r="R118" s="73"/>
      <c r="S118" s="72"/>
      <c r="T118" s="72"/>
      <c r="U118" s="72"/>
      <c r="V118" s="72"/>
      <c r="W118" s="72"/>
      <c r="X118" s="72"/>
      <c r="Y118" s="72"/>
      <c r="Z118" s="72"/>
      <c r="AA118" s="72"/>
    </row>
    <row r="119" spans="1:27" ht="12.75" customHeight="1" x14ac:dyDescent="0.4">
      <c r="A119" s="73"/>
      <c r="B119" s="87"/>
      <c r="C119" s="86"/>
      <c r="D119" s="86"/>
      <c r="E119" s="87"/>
      <c r="F119" s="72"/>
      <c r="G119" s="75"/>
      <c r="H119" s="75"/>
      <c r="I119" s="75"/>
      <c r="J119" s="75"/>
      <c r="K119" s="74"/>
      <c r="L119" s="75"/>
      <c r="M119" s="6"/>
      <c r="N119" s="75"/>
      <c r="O119" s="75"/>
      <c r="P119" s="92"/>
      <c r="Q119" s="72"/>
      <c r="R119" s="73"/>
      <c r="S119" s="72"/>
      <c r="T119" s="72"/>
      <c r="U119" s="72"/>
      <c r="V119" s="72"/>
      <c r="W119" s="72"/>
      <c r="X119" s="72"/>
      <c r="Y119" s="72"/>
      <c r="Z119" s="72"/>
      <c r="AA119" s="72"/>
    </row>
    <row r="120" spans="1:27" ht="12.75" customHeight="1" x14ac:dyDescent="0.4">
      <c r="A120" s="73" t="s">
        <v>653</v>
      </c>
      <c r="B120" s="72" t="s">
        <v>139</v>
      </c>
      <c r="C120" s="72"/>
      <c r="D120" s="72"/>
      <c r="E120" s="72"/>
      <c r="F120" s="86"/>
      <c r="G120" s="72" t="s">
        <v>146</v>
      </c>
      <c r="H120" s="72"/>
      <c r="I120" s="72"/>
      <c r="J120" s="72"/>
      <c r="K120" s="75"/>
      <c r="L120" s="75"/>
      <c r="M120" s="6"/>
      <c r="N120" s="6"/>
      <c r="O120" s="6"/>
      <c r="P120" s="72"/>
      <c r="Q120" s="72"/>
      <c r="R120" s="73"/>
      <c r="S120" s="72"/>
      <c r="T120" s="72"/>
      <c r="U120" s="72"/>
      <c r="V120" s="72"/>
      <c r="W120" s="72"/>
      <c r="X120" s="72"/>
      <c r="Y120" s="72"/>
      <c r="Z120" s="72"/>
      <c r="AA120" s="72"/>
    </row>
    <row r="121" spans="1:27" ht="12.75" customHeight="1" thickBot="1" x14ac:dyDescent="0.45">
      <c r="A121" s="73" t="s">
        <v>136</v>
      </c>
      <c r="B121" s="74" t="s">
        <v>112</v>
      </c>
      <c r="C121" s="74" t="s">
        <v>113</v>
      </c>
      <c r="D121" s="74" t="s">
        <v>114</v>
      </c>
      <c r="E121" s="74" t="s">
        <v>115</v>
      </c>
      <c r="F121" s="86"/>
      <c r="G121" s="74" t="s">
        <v>112</v>
      </c>
      <c r="H121" s="74" t="s">
        <v>113</v>
      </c>
      <c r="I121" s="74" t="s">
        <v>114</v>
      </c>
      <c r="J121" s="74" t="s">
        <v>115</v>
      </c>
      <c r="K121" s="75"/>
      <c r="L121" s="75"/>
      <c r="M121" s="6" t="s">
        <v>653</v>
      </c>
      <c r="N121" s="6"/>
      <c r="O121" s="6"/>
      <c r="P121" s="72"/>
      <c r="R121" s="73"/>
      <c r="S121" s="72"/>
      <c r="T121" s="72"/>
      <c r="U121" s="72"/>
      <c r="V121" s="72"/>
      <c r="W121" s="86"/>
      <c r="X121" s="72"/>
      <c r="Y121" s="72"/>
      <c r="Z121" s="72"/>
      <c r="AA121" s="72"/>
    </row>
    <row r="122" spans="1:27" ht="12.75" customHeight="1" x14ac:dyDescent="0.4">
      <c r="A122" s="73" t="s">
        <v>127</v>
      </c>
      <c r="B122" s="237">
        <v>1</v>
      </c>
      <c r="C122" s="238">
        <v>15</v>
      </c>
      <c r="D122" s="239">
        <v>5</v>
      </c>
      <c r="E122" s="237">
        <v>1</v>
      </c>
      <c r="F122" s="86"/>
      <c r="G122" s="75">
        <v>4.5454545454545456E-2</v>
      </c>
      <c r="H122" s="75">
        <v>15</v>
      </c>
      <c r="I122" s="75">
        <v>5</v>
      </c>
      <c r="J122" s="75">
        <v>1</v>
      </c>
      <c r="K122" s="75"/>
      <c r="L122" s="75"/>
      <c r="M122" s="6" t="s">
        <v>683</v>
      </c>
      <c r="N122" s="139"/>
      <c r="O122" s="140"/>
      <c r="R122" s="73"/>
      <c r="S122" s="74"/>
      <c r="T122" s="74"/>
      <c r="U122" s="74"/>
      <c r="V122" s="74"/>
      <c r="W122" s="86"/>
      <c r="X122" s="74"/>
      <c r="Y122" s="74"/>
      <c r="Z122" s="74"/>
      <c r="AA122" s="74"/>
    </row>
    <row r="123" spans="1:27" ht="12.75" customHeight="1" x14ac:dyDescent="0.4">
      <c r="A123" s="73" t="s">
        <v>128</v>
      </c>
      <c r="B123" s="240">
        <v>28</v>
      </c>
      <c r="C123" s="241">
        <v>13</v>
      </c>
      <c r="D123" s="242">
        <v>13</v>
      </c>
      <c r="E123" s="240">
        <v>2</v>
      </c>
      <c r="F123" s="86"/>
      <c r="G123" s="75">
        <v>1</v>
      </c>
      <c r="H123" s="75">
        <v>0.4642857142857143</v>
      </c>
      <c r="I123" s="75">
        <v>0.4642857142857143</v>
      </c>
      <c r="J123" s="75">
        <v>7.1428571428571425E-2</v>
      </c>
      <c r="K123" s="75"/>
      <c r="L123" s="75"/>
      <c r="M123" s="6" t="s">
        <v>445</v>
      </c>
      <c r="N123" s="6"/>
      <c r="O123" s="6"/>
      <c r="R123" s="73"/>
      <c r="S123" s="86"/>
      <c r="T123" s="86"/>
      <c r="U123" s="86"/>
      <c r="V123" s="86"/>
      <c r="W123" s="86"/>
      <c r="X123" s="75"/>
      <c r="Y123" s="75"/>
      <c r="Z123" s="75"/>
      <c r="AA123" s="75"/>
    </row>
    <row r="124" spans="1:27" ht="12.75" customHeight="1" x14ac:dyDescent="0.4">
      <c r="A124" s="73" t="s">
        <v>129</v>
      </c>
      <c r="B124" s="240">
        <v>77</v>
      </c>
      <c r="C124" s="241">
        <v>56</v>
      </c>
      <c r="D124" s="242">
        <v>16</v>
      </c>
      <c r="E124" s="240">
        <v>5</v>
      </c>
      <c r="F124" s="86"/>
      <c r="G124" s="75">
        <v>1</v>
      </c>
      <c r="H124" s="75">
        <v>0.72727272727272729</v>
      </c>
      <c r="I124" s="75">
        <v>0.20779220779220781</v>
      </c>
      <c r="J124" s="75">
        <v>6.4935064935064929E-2</v>
      </c>
      <c r="K124" s="75"/>
      <c r="L124" s="75"/>
      <c r="M124" s="6" t="s">
        <v>201</v>
      </c>
      <c r="N124" s="76">
        <v>499</v>
      </c>
      <c r="O124" s="141" t="s">
        <v>202</v>
      </c>
      <c r="R124" s="73"/>
      <c r="S124" s="86"/>
      <c r="T124" s="86"/>
      <c r="U124" s="86"/>
      <c r="V124" s="86"/>
      <c r="W124" s="86"/>
      <c r="X124" s="75"/>
      <c r="Y124" s="75"/>
      <c r="Z124" s="75"/>
      <c r="AA124" s="75"/>
    </row>
    <row r="125" spans="1:27" ht="12.75" customHeight="1" x14ac:dyDescent="0.4">
      <c r="A125" s="73" t="s">
        <v>130</v>
      </c>
      <c r="B125" s="240">
        <v>50</v>
      </c>
      <c r="C125" s="241">
        <v>31</v>
      </c>
      <c r="D125" s="242">
        <v>16</v>
      </c>
      <c r="E125" s="240">
        <v>3</v>
      </c>
      <c r="F125" s="86"/>
      <c r="G125" s="75">
        <v>0.98039215686274506</v>
      </c>
      <c r="H125" s="75">
        <v>0.62</v>
      </c>
      <c r="I125" s="75">
        <v>0.32</v>
      </c>
      <c r="J125" s="75">
        <v>0.06</v>
      </c>
      <c r="K125" s="75"/>
      <c r="L125" s="75"/>
      <c r="M125" s="6" t="s">
        <v>679</v>
      </c>
      <c r="N125" s="139">
        <v>297</v>
      </c>
      <c r="O125" s="284">
        <v>0.59519038076152309</v>
      </c>
      <c r="P125" s="160"/>
      <c r="Q125" s="140"/>
      <c r="R125" s="73"/>
      <c r="S125" s="86"/>
      <c r="T125" s="86"/>
      <c r="U125" s="86"/>
      <c r="V125" s="86"/>
      <c r="W125" s="86"/>
      <c r="X125" s="75"/>
      <c r="Y125" s="75"/>
      <c r="Z125" s="75"/>
      <c r="AA125" s="75"/>
    </row>
    <row r="126" spans="1:27" ht="12.75" customHeight="1" x14ac:dyDescent="0.4">
      <c r="A126" s="73" t="s">
        <v>131</v>
      </c>
      <c r="B126" s="240">
        <v>38</v>
      </c>
      <c r="C126" s="241">
        <v>28</v>
      </c>
      <c r="D126" s="242">
        <v>6</v>
      </c>
      <c r="E126" s="240">
        <v>4</v>
      </c>
      <c r="F126" s="86"/>
      <c r="G126" s="75">
        <v>1</v>
      </c>
      <c r="H126" s="75">
        <v>0.73684210526315785</v>
      </c>
      <c r="I126" s="75">
        <v>0.15789473684210525</v>
      </c>
      <c r="J126" s="75">
        <v>0.10526315789473684</v>
      </c>
      <c r="K126" s="75"/>
      <c r="L126" s="75"/>
      <c r="M126" s="6" t="s">
        <v>226</v>
      </c>
      <c r="N126" s="139">
        <v>68</v>
      </c>
      <c r="O126" s="284">
        <v>0.13627254509018036</v>
      </c>
      <c r="P126" s="160"/>
      <c r="Q126" s="140"/>
      <c r="R126" s="73"/>
      <c r="S126" s="86"/>
      <c r="T126" s="86"/>
      <c r="U126" s="86"/>
      <c r="V126" s="86"/>
      <c r="W126" s="86"/>
      <c r="X126" s="75"/>
      <c r="Y126" s="75"/>
      <c r="Z126" s="75"/>
      <c r="AA126" s="75"/>
    </row>
    <row r="127" spans="1:27" ht="12.75" customHeight="1" x14ac:dyDescent="0.4">
      <c r="A127" s="73" t="s">
        <v>132</v>
      </c>
      <c r="B127" s="240">
        <v>62</v>
      </c>
      <c r="C127" s="241">
        <v>52</v>
      </c>
      <c r="D127" s="242">
        <v>7</v>
      </c>
      <c r="E127" s="240">
        <v>3</v>
      </c>
      <c r="F127" s="86"/>
      <c r="G127" s="75">
        <v>1</v>
      </c>
      <c r="H127" s="75">
        <v>0.83870967741935487</v>
      </c>
      <c r="I127" s="75">
        <v>0.11290322580645161</v>
      </c>
      <c r="J127" s="75">
        <v>4.8387096774193547E-2</v>
      </c>
      <c r="K127" s="75"/>
      <c r="L127" s="75"/>
      <c r="M127" s="6" t="s">
        <v>680</v>
      </c>
      <c r="N127" s="139">
        <v>184</v>
      </c>
      <c r="O127" s="284">
        <v>0.36873747494989978</v>
      </c>
      <c r="P127" s="223"/>
      <c r="Q127" s="140"/>
      <c r="R127" s="73"/>
      <c r="S127" s="86"/>
      <c r="T127" s="86"/>
      <c r="U127" s="86"/>
      <c r="V127" s="86"/>
      <c r="W127" s="86"/>
      <c r="X127" s="75"/>
      <c r="Y127" s="75"/>
      <c r="Z127" s="75"/>
      <c r="AA127" s="75"/>
    </row>
    <row r="128" spans="1:27" s="53" customFormat="1" ht="12.75" customHeight="1" x14ac:dyDescent="0.4">
      <c r="A128" s="73" t="s">
        <v>133</v>
      </c>
      <c r="B128" s="240">
        <v>71</v>
      </c>
      <c r="C128" s="241">
        <v>55</v>
      </c>
      <c r="D128" s="242">
        <v>10</v>
      </c>
      <c r="E128" s="240">
        <v>6</v>
      </c>
      <c r="F128" s="87"/>
      <c r="G128" s="75">
        <v>0.98611111111111116</v>
      </c>
      <c r="H128" s="75">
        <v>0.77464788732394363</v>
      </c>
      <c r="I128" s="75">
        <v>0.14084507042253522</v>
      </c>
      <c r="J128" s="75">
        <v>8.4507042253521125E-2</v>
      </c>
      <c r="K128" s="75"/>
      <c r="L128" s="75"/>
      <c r="M128" s="6" t="s">
        <v>227</v>
      </c>
      <c r="N128" s="139">
        <v>25</v>
      </c>
      <c r="O128" s="284">
        <v>5.0100200400801605E-2</v>
      </c>
      <c r="P128" s="160"/>
      <c r="Q128" s="140"/>
      <c r="R128" s="73"/>
      <c r="S128" s="86"/>
      <c r="T128" s="86"/>
      <c r="U128" s="86"/>
      <c r="V128" s="86"/>
      <c r="W128" s="86"/>
      <c r="X128" s="75"/>
      <c r="Y128" s="75"/>
      <c r="Z128" s="75"/>
      <c r="AA128" s="75"/>
    </row>
    <row r="129" spans="1:27" s="53" customFormat="1" ht="12.75" customHeight="1" x14ac:dyDescent="0.4">
      <c r="A129" s="73" t="s">
        <v>134</v>
      </c>
      <c r="B129" s="240">
        <v>68</v>
      </c>
      <c r="C129" s="241">
        <v>59</v>
      </c>
      <c r="D129" s="242">
        <v>5</v>
      </c>
      <c r="E129" s="240">
        <v>4</v>
      </c>
      <c r="F129" s="87"/>
      <c r="G129" s="75">
        <v>0.98550724637681164</v>
      </c>
      <c r="H129" s="75">
        <v>0.86764705882352944</v>
      </c>
      <c r="I129" s="75">
        <v>7.3529411764705885E-2</v>
      </c>
      <c r="J129" s="75">
        <v>5.8823529411764705E-2</v>
      </c>
      <c r="K129" s="75"/>
      <c r="L129" s="75"/>
      <c r="M129" s="6"/>
      <c r="N129" s="139"/>
      <c r="O129" s="140"/>
      <c r="P129" s="160"/>
      <c r="Q129"/>
      <c r="R129" s="73"/>
      <c r="S129" s="86"/>
      <c r="T129" s="86"/>
      <c r="U129" s="86"/>
      <c r="V129" s="86"/>
      <c r="W129" s="87"/>
      <c r="X129" s="75"/>
      <c r="Y129" s="75"/>
      <c r="Z129" s="75"/>
      <c r="AA129" s="75"/>
    </row>
    <row r="130" spans="1:27" s="53" customFormat="1" ht="12.75" customHeight="1" x14ac:dyDescent="0.4">
      <c r="A130" s="73" t="s">
        <v>376</v>
      </c>
      <c r="B130" s="240">
        <v>21</v>
      </c>
      <c r="C130" s="241">
        <v>15</v>
      </c>
      <c r="D130" s="242">
        <v>2</v>
      </c>
      <c r="E130" s="240">
        <v>4</v>
      </c>
      <c r="F130" s="87"/>
      <c r="G130" s="75">
        <v>0.95454545454545459</v>
      </c>
      <c r="H130" s="75">
        <v>0.7142857142857143</v>
      </c>
      <c r="I130" s="75">
        <v>9.5238095238095233E-2</v>
      </c>
      <c r="J130" s="75">
        <v>0.19047619047619047</v>
      </c>
      <c r="K130" s="75"/>
      <c r="L130" s="75"/>
      <c r="M130" s="6" t="s">
        <v>681</v>
      </c>
      <c r="N130" s="138" t="s">
        <v>438</v>
      </c>
      <c r="O130" s="141" t="s">
        <v>202</v>
      </c>
      <c r="P130"/>
      <c r="Q130"/>
      <c r="R130" s="73"/>
      <c r="S130" s="86"/>
      <c r="T130" s="86"/>
      <c r="U130" s="86"/>
      <c r="V130" s="86"/>
      <c r="W130" s="87"/>
      <c r="X130" s="75"/>
      <c r="Y130" s="75"/>
      <c r="Z130" s="75"/>
      <c r="AA130" s="75"/>
    </row>
    <row r="131" spans="1:27" s="53" customFormat="1" ht="12.75" customHeight="1" x14ac:dyDescent="0.4">
      <c r="A131" s="73" t="s">
        <v>135</v>
      </c>
      <c r="B131" s="240">
        <v>31</v>
      </c>
      <c r="C131" s="241">
        <v>21</v>
      </c>
      <c r="D131" s="242">
        <v>8</v>
      </c>
      <c r="E131" s="240">
        <v>2</v>
      </c>
      <c r="F131" s="87"/>
      <c r="G131" s="75">
        <v>1</v>
      </c>
      <c r="H131" s="75">
        <v>0.67741935483870963</v>
      </c>
      <c r="I131" s="75">
        <v>0.25806451612903225</v>
      </c>
      <c r="J131" s="75">
        <v>6.4516129032258063E-2</v>
      </c>
      <c r="K131" s="75"/>
      <c r="L131" s="75"/>
      <c r="M131" s="6" t="s">
        <v>682</v>
      </c>
      <c r="N131" s="229">
        <v>36</v>
      </c>
      <c r="O131" s="140">
        <v>7.2144288577154311E-2</v>
      </c>
      <c r="P131"/>
      <c r="Q131"/>
      <c r="R131" s="73"/>
      <c r="S131" s="86"/>
      <c r="T131" s="86"/>
      <c r="U131" s="86"/>
      <c r="V131" s="86"/>
      <c r="W131" s="87"/>
      <c r="X131" s="75"/>
      <c r="Y131" s="75"/>
      <c r="Z131" s="75"/>
      <c r="AA131" s="75"/>
    </row>
    <row r="132" spans="1:27" ht="12.75" customHeight="1" thickBot="1" x14ac:dyDescent="0.45">
      <c r="A132" s="73" t="s">
        <v>303</v>
      </c>
      <c r="B132" s="243">
        <v>31</v>
      </c>
      <c r="C132" s="244">
        <v>14</v>
      </c>
      <c r="D132" s="245">
        <v>14</v>
      </c>
      <c r="E132" s="243">
        <v>3</v>
      </c>
      <c r="F132" s="87"/>
      <c r="G132" s="75">
        <v>1</v>
      </c>
      <c r="H132" s="75">
        <v>0.45161290322580644</v>
      </c>
      <c r="I132" s="75">
        <v>0.45161290322580644</v>
      </c>
      <c r="J132" s="75">
        <v>9.6774193548387094E-2</v>
      </c>
      <c r="K132" s="75"/>
      <c r="L132" s="75"/>
      <c r="M132" s="6"/>
      <c r="N132" s="139"/>
      <c r="O132" s="140"/>
      <c r="R132" s="73"/>
      <c r="S132" s="86"/>
      <c r="T132" s="86"/>
      <c r="U132" s="86"/>
      <c r="V132" s="86"/>
      <c r="W132" s="87"/>
      <c r="X132" s="75"/>
      <c r="Y132" s="75"/>
      <c r="Z132" s="75"/>
      <c r="AA132" s="75"/>
    </row>
    <row r="133" spans="1:27" ht="12.75" customHeight="1" x14ac:dyDescent="0.4">
      <c r="A133" s="73" t="s">
        <v>23</v>
      </c>
      <c r="B133" s="246">
        <v>498</v>
      </c>
      <c r="C133" s="247">
        <v>359</v>
      </c>
      <c r="D133" s="248">
        <v>102</v>
      </c>
      <c r="E133" s="249">
        <v>37</v>
      </c>
      <c r="F133" s="72"/>
      <c r="G133" s="75">
        <v>0.99005964214711728</v>
      </c>
      <c r="H133" s="75">
        <v>0.72088353413654616</v>
      </c>
      <c r="I133" s="75">
        <v>0.20481927710843373</v>
      </c>
      <c r="J133" s="75">
        <v>7.4297188755020074E-2</v>
      </c>
      <c r="K133" s="72"/>
      <c r="L133" s="72"/>
      <c r="M133" s="6"/>
      <c r="N133" s="75"/>
      <c r="O133" s="75"/>
      <c r="R133" s="73"/>
      <c r="S133" s="86"/>
      <c r="T133" s="86"/>
      <c r="U133" s="86"/>
      <c r="V133" s="86"/>
      <c r="W133" s="87"/>
      <c r="X133" s="75"/>
      <c r="Y133" s="75"/>
      <c r="Z133" s="75"/>
      <c r="AA133" s="75"/>
    </row>
    <row r="134" spans="1:27" ht="12.75" customHeight="1" x14ac:dyDescent="0.4">
      <c r="A134" s="73"/>
      <c r="B134" s="246"/>
      <c r="C134" s="247"/>
      <c r="D134" s="248"/>
      <c r="E134" s="249"/>
      <c r="F134" s="72"/>
      <c r="G134" s="75"/>
      <c r="H134" s="75"/>
      <c r="I134" s="75"/>
      <c r="J134" s="75"/>
      <c r="K134" s="72"/>
      <c r="L134" s="72"/>
      <c r="M134" s="6"/>
      <c r="N134" s="75"/>
      <c r="O134" s="75"/>
      <c r="R134" s="73"/>
      <c r="S134" s="87"/>
      <c r="T134" s="86"/>
      <c r="U134" s="86"/>
      <c r="V134" s="87"/>
      <c r="W134" s="72"/>
      <c r="X134" s="75"/>
      <c r="Y134" s="75"/>
      <c r="Z134" s="75"/>
      <c r="AA134" s="75"/>
    </row>
    <row r="135" spans="1:27" ht="12.75" customHeight="1" x14ac:dyDescent="0.4">
      <c r="A135" s="219"/>
      <c r="B135" s="72"/>
      <c r="C135" s="72"/>
      <c r="D135" s="72"/>
      <c r="E135" s="72"/>
      <c r="F135" s="72"/>
      <c r="G135" s="73"/>
      <c r="H135" s="72"/>
      <c r="I135" s="72"/>
      <c r="J135" s="72"/>
      <c r="K135" s="72"/>
      <c r="L135" s="72"/>
      <c r="M135" s="6"/>
      <c r="N135" s="6"/>
      <c r="O135" s="6"/>
      <c r="P135" s="92"/>
      <c r="S135" s="53"/>
    </row>
    <row r="136" spans="1:27" s="72" customFormat="1" ht="13.15" x14ac:dyDescent="0.4">
      <c r="A136" s="73" t="s">
        <v>652</v>
      </c>
      <c r="M136" s="6"/>
      <c r="N136" s="6"/>
      <c r="O136" s="6"/>
      <c r="P136"/>
    </row>
    <row r="137" spans="1:27" ht="13.15" x14ac:dyDescent="0.4">
      <c r="A137" s="73" t="s">
        <v>600</v>
      </c>
      <c r="B137" s="72"/>
      <c r="C137" s="72"/>
      <c r="D137" s="72"/>
      <c r="E137" s="72"/>
      <c r="F137" s="72"/>
      <c r="G137" s="72"/>
      <c r="H137" s="72"/>
      <c r="I137" s="72"/>
      <c r="J137" s="72"/>
      <c r="K137" s="72"/>
      <c r="L137" s="74"/>
      <c r="M137" s="6"/>
      <c r="N137" s="6"/>
      <c r="O137" s="6"/>
      <c r="P137" s="72"/>
      <c r="Q137" s="72"/>
      <c r="R137" s="73"/>
      <c r="S137" s="72"/>
      <c r="T137" s="72"/>
      <c r="U137" s="72"/>
      <c r="V137" s="72"/>
      <c r="W137" s="72"/>
      <c r="X137" s="72"/>
      <c r="Y137" s="72"/>
      <c r="Z137" s="72"/>
      <c r="AA137" s="72"/>
    </row>
    <row r="138" spans="1:27" ht="12.75" customHeight="1" x14ac:dyDescent="0.4">
      <c r="A138" s="73" t="s">
        <v>676</v>
      </c>
      <c r="B138" s="72"/>
      <c r="C138" s="72"/>
      <c r="D138" s="72"/>
      <c r="E138" s="72"/>
      <c r="F138" s="72"/>
      <c r="G138" s="72"/>
      <c r="H138" s="72"/>
      <c r="I138" s="72"/>
      <c r="J138" s="72"/>
      <c r="K138" s="74"/>
      <c r="L138" s="75"/>
      <c r="M138" s="6"/>
      <c r="N138" s="6"/>
      <c r="O138" s="6"/>
      <c r="P138" s="72"/>
      <c r="Q138" s="72"/>
      <c r="R138" s="73"/>
      <c r="S138" s="72"/>
      <c r="T138" s="72"/>
      <c r="U138" s="72"/>
      <c r="V138" s="72"/>
      <c r="W138" s="72"/>
      <c r="X138" s="72"/>
      <c r="Y138" s="72"/>
      <c r="Z138" s="72"/>
      <c r="AA138" s="72"/>
    </row>
    <row r="139" spans="1:27" ht="12.75" customHeight="1" x14ac:dyDescent="0.4">
      <c r="A139" s="73"/>
      <c r="B139" s="72" t="s">
        <v>139</v>
      </c>
      <c r="C139" s="72"/>
      <c r="D139" s="72"/>
      <c r="E139" s="72"/>
      <c r="F139" s="86"/>
      <c r="G139" s="72" t="s">
        <v>146</v>
      </c>
      <c r="H139" s="72"/>
      <c r="I139" s="72"/>
      <c r="J139" s="72"/>
      <c r="K139" s="75"/>
      <c r="L139" s="75"/>
      <c r="M139" s="6"/>
      <c r="N139" s="6"/>
      <c r="O139" s="6"/>
      <c r="P139" s="72"/>
      <c r="Q139" s="72"/>
      <c r="R139" s="73"/>
      <c r="S139" s="72"/>
      <c r="T139" s="72"/>
      <c r="U139" s="72"/>
      <c r="V139" s="72"/>
      <c r="W139" s="72"/>
      <c r="X139" s="72"/>
      <c r="Y139" s="72"/>
      <c r="Z139" s="72"/>
      <c r="AA139" s="72"/>
    </row>
    <row r="140" spans="1:27" ht="12.75" customHeight="1" thickBot="1" x14ac:dyDescent="0.45">
      <c r="A140" s="73" t="s">
        <v>136</v>
      </c>
      <c r="B140" s="74" t="s">
        <v>112</v>
      </c>
      <c r="C140" s="74" t="s">
        <v>113</v>
      </c>
      <c r="D140" s="74" t="s">
        <v>114</v>
      </c>
      <c r="E140" s="74" t="s">
        <v>115</v>
      </c>
      <c r="F140" s="86"/>
      <c r="G140" s="74" t="s">
        <v>112</v>
      </c>
      <c r="H140" s="74" t="s">
        <v>113</v>
      </c>
      <c r="I140" s="74" t="s">
        <v>114</v>
      </c>
      <c r="J140" s="74" t="s">
        <v>115</v>
      </c>
      <c r="K140" s="75"/>
      <c r="L140" s="75"/>
      <c r="M140" s="6" t="s">
        <v>652</v>
      </c>
      <c r="N140" s="6"/>
      <c r="O140" s="6"/>
      <c r="R140" s="73"/>
      <c r="S140" s="72"/>
      <c r="T140" s="72"/>
      <c r="U140" s="72"/>
      <c r="V140" s="72"/>
      <c r="W140" s="86"/>
      <c r="X140" s="72"/>
      <c r="Y140" s="72"/>
      <c r="Z140" s="72"/>
      <c r="AA140" s="72"/>
    </row>
    <row r="141" spans="1:27" ht="12.75" customHeight="1" x14ac:dyDescent="0.4">
      <c r="A141" s="73" t="s">
        <v>127</v>
      </c>
      <c r="B141" s="237">
        <v>22</v>
      </c>
      <c r="C141" s="238">
        <v>17</v>
      </c>
      <c r="D141" s="239">
        <v>3</v>
      </c>
      <c r="E141" s="237">
        <v>2</v>
      </c>
      <c r="F141" s="86"/>
      <c r="G141" s="75">
        <v>0.95652173913043481</v>
      </c>
      <c r="H141" s="75">
        <v>0.77272727272727271</v>
      </c>
      <c r="I141" s="75">
        <v>0.13636363636363635</v>
      </c>
      <c r="J141" s="75">
        <v>9.0909090909090912E-2</v>
      </c>
      <c r="K141" s="75"/>
      <c r="L141" s="75"/>
      <c r="M141" s="6" t="s">
        <v>659</v>
      </c>
      <c r="N141" s="139"/>
      <c r="O141" s="140"/>
      <c r="R141" s="73"/>
      <c r="S141" s="74"/>
      <c r="T141" s="74"/>
      <c r="U141" s="74"/>
      <c r="V141" s="74"/>
      <c r="W141" s="86"/>
      <c r="X141" s="74"/>
      <c r="Y141" s="74"/>
      <c r="Z141" s="74"/>
      <c r="AA141" s="74"/>
    </row>
    <row r="142" spans="1:27" ht="12.75" customHeight="1" x14ac:dyDescent="0.4">
      <c r="A142" s="73" t="s">
        <v>128</v>
      </c>
      <c r="B142" s="240">
        <v>28</v>
      </c>
      <c r="C142" s="241">
        <v>20</v>
      </c>
      <c r="D142" s="242">
        <v>6</v>
      </c>
      <c r="E142" s="240">
        <v>2</v>
      </c>
      <c r="F142" s="86"/>
      <c r="G142" s="75">
        <v>1</v>
      </c>
      <c r="H142" s="75">
        <v>0.7142857142857143</v>
      </c>
      <c r="I142" s="75">
        <v>0.21428571428571427</v>
      </c>
      <c r="J142" s="75">
        <v>7.1428571428571425E-2</v>
      </c>
      <c r="K142" s="75"/>
      <c r="L142" s="75"/>
      <c r="M142" s="6" t="s">
        <v>445</v>
      </c>
      <c r="N142" s="6"/>
      <c r="O142" s="6"/>
      <c r="R142" s="73"/>
      <c r="S142" s="86"/>
      <c r="T142" s="86"/>
      <c r="U142" s="86"/>
      <c r="V142" s="86"/>
      <c r="W142" s="86"/>
      <c r="X142" s="75"/>
      <c r="Y142" s="75"/>
      <c r="Z142" s="75"/>
      <c r="AA142" s="75"/>
    </row>
    <row r="143" spans="1:27" ht="12.75" customHeight="1" x14ac:dyDescent="0.4">
      <c r="A143" s="73" t="s">
        <v>129</v>
      </c>
      <c r="B143" s="240">
        <v>78</v>
      </c>
      <c r="C143" s="241">
        <v>63</v>
      </c>
      <c r="D143" s="242">
        <v>10</v>
      </c>
      <c r="E143" s="240">
        <v>5</v>
      </c>
      <c r="F143" s="86"/>
      <c r="G143" s="75">
        <v>1</v>
      </c>
      <c r="H143" s="75">
        <v>0.80769230769230771</v>
      </c>
      <c r="I143" s="75">
        <v>0.12820512820512819</v>
      </c>
      <c r="J143" s="75">
        <v>6.4102564102564097E-2</v>
      </c>
      <c r="K143" s="75"/>
      <c r="L143" s="75"/>
      <c r="M143" s="6" t="s">
        <v>201</v>
      </c>
      <c r="N143" s="76">
        <v>496</v>
      </c>
      <c r="O143" s="141" t="s">
        <v>202</v>
      </c>
      <c r="P143" s="160"/>
      <c r="R143" s="73"/>
      <c r="S143" s="86"/>
      <c r="T143" s="86"/>
      <c r="U143" s="86"/>
      <c r="V143" s="86"/>
      <c r="W143" s="86"/>
      <c r="X143" s="75"/>
      <c r="Y143" s="75"/>
      <c r="Z143" s="75"/>
      <c r="AA143" s="75"/>
    </row>
    <row r="144" spans="1:27" ht="12.75" customHeight="1" x14ac:dyDescent="0.4">
      <c r="A144" s="73" t="s">
        <v>130</v>
      </c>
      <c r="B144" s="240">
        <v>52</v>
      </c>
      <c r="C144" s="241">
        <v>39</v>
      </c>
      <c r="D144" s="242">
        <v>11</v>
      </c>
      <c r="E144" s="240">
        <v>2</v>
      </c>
      <c r="F144" s="86"/>
      <c r="G144" s="75">
        <v>0.98113207547169812</v>
      </c>
      <c r="H144" s="75">
        <v>0.75</v>
      </c>
      <c r="I144" s="75">
        <v>0.21153846153846154</v>
      </c>
      <c r="J144" s="75">
        <v>3.8461538461538464E-2</v>
      </c>
      <c r="K144" s="75"/>
      <c r="L144" s="75"/>
      <c r="M144" s="6" t="s">
        <v>660</v>
      </c>
      <c r="N144" s="139">
        <v>289</v>
      </c>
      <c r="O144" s="284">
        <v>0.58266129032258063</v>
      </c>
      <c r="P144" s="160"/>
      <c r="Q144" s="140"/>
      <c r="R144" s="73"/>
      <c r="S144" s="86"/>
      <c r="T144" s="86"/>
      <c r="U144" s="86"/>
      <c r="V144" s="86"/>
      <c r="W144" s="86"/>
      <c r="X144" s="75"/>
      <c r="Y144" s="75"/>
      <c r="Z144" s="75"/>
      <c r="AA144" s="75"/>
    </row>
    <row r="145" spans="1:27" ht="12.75" customHeight="1" x14ac:dyDescent="0.4">
      <c r="A145" s="73" t="s">
        <v>131</v>
      </c>
      <c r="B145" s="240">
        <v>37</v>
      </c>
      <c r="C145" s="241">
        <v>26</v>
      </c>
      <c r="D145" s="242">
        <v>10</v>
      </c>
      <c r="E145" s="240">
        <v>1</v>
      </c>
      <c r="F145" s="86"/>
      <c r="G145" s="75">
        <v>0.97368421052631582</v>
      </c>
      <c r="H145" s="75">
        <v>0.70270270270270274</v>
      </c>
      <c r="I145" s="75">
        <v>0.27027027027027029</v>
      </c>
      <c r="J145" s="75">
        <v>2.7027027027027029E-2</v>
      </c>
      <c r="K145" s="75"/>
      <c r="L145" s="75"/>
      <c r="M145" s="6" t="s">
        <v>226</v>
      </c>
      <c r="N145" s="139">
        <v>63</v>
      </c>
      <c r="O145" s="284">
        <v>0.12701612903225806</v>
      </c>
      <c r="P145" s="223"/>
      <c r="Q145" s="140"/>
      <c r="R145" s="73"/>
      <c r="S145" s="86"/>
      <c r="T145" s="86"/>
      <c r="U145" s="86"/>
      <c r="V145" s="86"/>
      <c r="W145" s="86"/>
      <c r="X145" s="75"/>
      <c r="Y145" s="75"/>
      <c r="Z145" s="75"/>
      <c r="AA145" s="75"/>
    </row>
    <row r="146" spans="1:27" ht="12.75" customHeight="1" x14ac:dyDescent="0.4">
      <c r="A146" s="73" t="s">
        <v>132</v>
      </c>
      <c r="B146" s="240">
        <v>63</v>
      </c>
      <c r="C146" s="241">
        <v>54</v>
      </c>
      <c r="D146" s="242">
        <v>7</v>
      </c>
      <c r="E146" s="240">
        <v>2</v>
      </c>
      <c r="F146" s="86"/>
      <c r="G146" s="75">
        <v>0.984375</v>
      </c>
      <c r="H146" s="75">
        <v>0.8571428571428571</v>
      </c>
      <c r="I146" s="75">
        <v>0.1111111111111111</v>
      </c>
      <c r="J146" s="75">
        <v>3.1746031746031744E-2</v>
      </c>
      <c r="K146" s="75"/>
      <c r="L146" s="75"/>
      <c r="M146" s="6" t="s">
        <v>661</v>
      </c>
      <c r="N146" s="139">
        <v>191</v>
      </c>
      <c r="O146" s="284">
        <v>0.38508064516129031</v>
      </c>
      <c r="P146" s="160"/>
      <c r="Q146" s="140"/>
      <c r="R146" s="73"/>
      <c r="S146" s="86"/>
      <c r="T146" s="86"/>
      <c r="U146" s="86"/>
      <c r="V146" s="86"/>
      <c r="W146" s="86"/>
      <c r="X146" s="75"/>
      <c r="Y146" s="75"/>
      <c r="Z146" s="75"/>
      <c r="AA146" s="75"/>
    </row>
    <row r="147" spans="1:27" s="53" customFormat="1" ht="12.75" customHeight="1" x14ac:dyDescent="0.4">
      <c r="A147" s="73" t="s">
        <v>133</v>
      </c>
      <c r="B147" s="240">
        <v>70</v>
      </c>
      <c r="C147" s="241">
        <v>61</v>
      </c>
      <c r="D147" s="242">
        <v>7</v>
      </c>
      <c r="E147" s="240">
        <v>2</v>
      </c>
      <c r="F147" s="87"/>
      <c r="G147" s="75">
        <v>0.9859154929577465</v>
      </c>
      <c r="H147" s="75">
        <v>0.87142857142857144</v>
      </c>
      <c r="I147" s="75">
        <v>0.1</v>
      </c>
      <c r="J147" s="75">
        <v>2.8571428571428571E-2</v>
      </c>
      <c r="K147" s="75"/>
      <c r="L147" s="75"/>
      <c r="M147" s="6" t="s">
        <v>227</v>
      </c>
      <c r="N147" s="139">
        <v>25</v>
      </c>
      <c r="O147" s="284">
        <v>5.040322580645161E-2</v>
      </c>
      <c r="P147" s="160"/>
      <c r="Q147" s="140"/>
      <c r="R147" s="73"/>
      <c r="S147" s="86"/>
      <c r="T147" s="86"/>
      <c r="U147" s="86"/>
      <c r="V147" s="86"/>
      <c r="W147" s="86"/>
      <c r="X147" s="75"/>
      <c r="Y147" s="75"/>
      <c r="Z147" s="75"/>
      <c r="AA147" s="75"/>
    </row>
    <row r="148" spans="1:27" s="53" customFormat="1" ht="12.75" customHeight="1" x14ac:dyDescent="0.4">
      <c r="A148" s="73" t="s">
        <v>134</v>
      </c>
      <c r="B148" s="240">
        <v>67</v>
      </c>
      <c r="C148" s="241">
        <v>53</v>
      </c>
      <c r="D148" s="242">
        <v>10</v>
      </c>
      <c r="E148" s="240">
        <v>4</v>
      </c>
      <c r="F148" s="87"/>
      <c r="G148" s="75">
        <v>1.0307692307692307</v>
      </c>
      <c r="H148" s="75">
        <v>0.79104477611940294</v>
      </c>
      <c r="I148" s="75">
        <v>0.14925373134328357</v>
      </c>
      <c r="J148" s="75">
        <v>5.9701492537313432E-2</v>
      </c>
      <c r="K148" s="75"/>
      <c r="L148" s="75"/>
      <c r="M148" s="6"/>
      <c r="N148" s="139"/>
      <c r="O148" s="140"/>
      <c r="P148"/>
      <c r="Q148"/>
      <c r="R148" s="73"/>
      <c r="S148" s="86"/>
      <c r="T148" s="86"/>
      <c r="U148" s="86"/>
      <c r="V148" s="86"/>
      <c r="W148" s="87"/>
      <c r="X148" s="75"/>
      <c r="Y148" s="75"/>
      <c r="Z148" s="75"/>
      <c r="AA148" s="75"/>
    </row>
    <row r="149" spans="1:27" s="53" customFormat="1" ht="12.75" customHeight="1" x14ac:dyDescent="0.4">
      <c r="A149" s="73" t="s">
        <v>376</v>
      </c>
      <c r="B149" s="240">
        <v>21</v>
      </c>
      <c r="C149" s="241">
        <v>16</v>
      </c>
      <c r="D149" s="242">
        <v>3</v>
      </c>
      <c r="E149" s="240">
        <v>2</v>
      </c>
      <c r="F149" s="87"/>
      <c r="G149" s="75">
        <v>0.95454545454545459</v>
      </c>
      <c r="H149" s="75">
        <v>0.76190476190476186</v>
      </c>
      <c r="I149" s="75">
        <v>0.14285714285714285</v>
      </c>
      <c r="J149" s="75">
        <v>9.5238095238095233E-2</v>
      </c>
      <c r="K149" s="75"/>
      <c r="L149" s="75"/>
      <c r="M149" s="6" t="s">
        <v>662</v>
      </c>
      <c r="N149" s="138" t="s">
        <v>438</v>
      </c>
      <c r="O149" s="141" t="s">
        <v>202</v>
      </c>
      <c r="P149"/>
      <c r="Q149"/>
      <c r="R149" s="73"/>
      <c r="S149" s="86"/>
      <c r="T149" s="86"/>
      <c r="U149" s="86"/>
      <c r="V149" s="86"/>
      <c r="W149" s="87"/>
      <c r="X149" s="75"/>
      <c r="Y149" s="75"/>
      <c r="Z149" s="75"/>
      <c r="AA149" s="75"/>
    </row>
    <row r="150" spans="1:27" s="53" customFormat="1" ht="12.75" customHeight="1" x14ac:dyDescent="0.4">
      <c r="A150" s="73" t="s">
        <v>135</v>
      </c>
      <c r="B150" s="240">
        <v>31</v>
      </c>
      <c r="C150" s="241">
        <v>23</v>
      </c>
      <c r="D150" s="242">
        <v>6</v>
      </c>
      <c r="E150" s="240">
        <v>2</v>
      </c>
      <c r="F150" s="87"/>
      <c r="G150" s="75">
        <v>1.0333333333333334</v>
      </c>
      <c r="H150" s="75">
        <v>0.74193548387096775</v>
      </c>
      <c r="I150" s="75">
        <v>0.19354838709677419</v>
      </c>
      <c r="J150" s="75">
        <v>6.4516129032258063E-2</v>
      </c>
      <c r="K150" s="75"/>
      <c r="L150" s="75"/>
      <c r="M150" s="6" t="s">
        <v>663</v>
      </c>
      <c r="N150" s="229">
        <v>46</v>
      </c>
      <c r="O150" s="140">
        <v>9.2741935483870969E-2</v>
      </c>
      <c r="P150"/>
      <c r="Q150"/>
      <c r="R150" s="73"/>
      <c r="S150" s="86"/>
      <c r="T150" s="86"/>
      <c r="U150" s="86"/>
      <c r="V150" s="86"/>
      <c r="W150" s="87"/>
      <c r="X150" s="75"/>
      <c r="Y150" s="75"/>
      <c r="Z150" s="75"/>
      <c r="AA150" s="75"/>
    </row>
    <row r="151" spans="1:27" ht="12.75" customHeight="1" thickBot="1" x14ac:dyDescent="0.45">
      <c r="A151" s="73" t="s">
        <v>303</v>
      </c>
      <c r="B151" s="243">
        <v>31</v>
      </c>
      <c r="C151" s="244">
        <v>22</v>
      </c>
      <c r="D151" s="245">
        <v>8</v>
      </c>
      <c r="E151" s="243">
        <v>1</v>
      </c>
      <c r="F151" s="87"/>
      <c r="G151" s="75">
        <v>1</v>
      </c>
      <c r="H151" s="75">
        <v>0.70967741935483875</v>
      </c>
      <c r="I151" s="75">
        <v>0.25806451612903225</v>
      </c>
      <c r="J151" s="75">
        <v>3.2258064516129031E-2</v>
      </c>
      <c r="K151" s="75"/>
      <c r="L151" s="75"/>
      <c r="M151" s="6"/>
      <c r="N151" s="139"/>
      <c r="O151" s="140"/>
      <c r="R151" s="73"/>
      <c r="S151" s="86"/>
      <c r="T151" s="86"/>
      <c r="U151" s="86"/>
      <c r="V151" s="86"/>
      <c r="W151" s="87"/>
      <c r="X151" s="75"/>
      <c r="Y151" s="75"/>
      <c r="Z151" s="75"/>
      <c r="AA151" s="75"/>
    </row>
    <row r="152" spans="1:27" ht="12.75" customHeight="1" x14ac:dyDescent="0.4">
      <c r="A152" s="73" t="s">
        <v>23</v>
      </c>
      <c r="B152" s="246">
        <v>500</v>
      </c>
      <c r="C152" s="247">
        <v>394</v>
      </c>
      <c r="D152" s="248">
        <v>81</v>
      </c>
      <c r="E152" s="249">
        <v>25</v>
      </c>
      <c r="F152" s="72"/>
      <c r="G152" s="75">
        <v>0.99403578528827041</v>
      </c>
      <c r="H152" s="75">
        <v>0.78800000000000003</v>
      </c>
      <c r="I152" s="75">
        <v>0.16200000000000001</v>
      </c>
      <c r="J152" s="75">
        <v>0.05</v>
      </c>
      <c r="K152" s="75"/>
      <c r="L152" s="75"/>
      <c r="M152" s="6"/>
      <c r="N152" s="75"/>
      <c r="O152" s="75"/>
      <c r="R152" s="73"/>
      <c r="S152" s="86"/>
      <c r="T152" s="86"/>
      <c r="U152" s="86"/>
      <c r="V152" s="86"/>
      <c r="W152" s="87"/>
      <c r="X152" s="75"/>
      <c r="Y152" s="75"/>
      <c r="Z152" s="75"/>
      <c r="AA152" s="75"/>
    </row>
    <row r="153" spans="1:27" ht="12.75" customHeight="1" x14ac:dyDescent="0.4">
      <c r="A153" s="73"/>
      <c r="B153" s="246"/>
      <c r="C153" s="247"/>
      <c r="D153" s="248"/>
      <c r="E153" s="249"/>
      <c r="F153" s="72"/>
      <c r="G153" s="75"/>
      <c r="H153" s="75"/>
      <c r="I153" s="75"/>
      <c r="J153" s="75"/>
      <c r="K153" s="72"/>
      <c r="L153" s="72"/>
      <c r="M153" s="6"/>
      <c r="N153" s="75"/>
      <c r="O153" s="75"/>
      <c r="P153" s="92"/>
      <c r="R153" s="73"/>
      <c r="S153" s="87"/>
      <c r="T153" s="86"/>
      <c r="U153" s="86"/>
      <c r="V153" s="87"/>
      <c r="W153" s="72"/>
      <c r="X153" s="75"/>
      <c r="Y153" s="75"/>
      <c r="Z153" s="75"/>
      <c r="AA153" s="75"/>
    </row>
    <row r="154" spans="1:27" ht="12.75" customHeight="1" x14ac:dyDescent="0.4">
      <c r="A154" s="73"/>
      <c r="B154" s="246"/>
      <c r="C154" s="247"/>
      <c r="D154" s="248"/>
      <c r="E154" s="249"/>
      <c r="F154" s="72"/>
      <c r="G154" s="75"/>
      <c r="H154" s="75"/>
      <c r="I154" s="75"/>
      <c r="J154" s="75"/>
      <c r="K154" s="72"/>
      <c r="L154" s="72"/>
      <c r="M154" s="6"/>
      <c r="N154" s="75"/>
      <c r="O154" s="75"/>
      <c r="S154" s="53"/>
    </row>
    <row r="155" spans="1:27" ht="12.75" customHeight="1" x14ac:dyDescent="0.4">
      <c r="A155" s="73" t="s">
        <v>646</v>
      </c>
      <c r="B155" s="72"/>
      <c r="C155" s="72"/>
      <c r="D155" s="72"/>
      <c r="E155" s="72"/>
      <c r="F155" s="72"/>
      <c r="G155" s="72"/>
      <c r="H155" s="72"/>
      <c r="I155" s="72"/>
      <c r="J155" s="72"/>
      <c r="K155" s="72"/>
      <c r="L155" s="74"/>
      <c r="M155" s="6"/>
      <c r="N155" s="6"/>
      <c r="O155" s="6"/>
      <c r="P155" s="72"/>
      <c r="S155" s="53"/>
    </row>
    <row r="156" spans="1:27" ht="13.15" x14ac:dyDescent="0.4">
      <c r="A156" s="73" t="s">
        <v>657</v>
      </c>
      <c r="B156" s="72"/>
      <c r="C156" s="72"/>
      <c r="D156" s="72"/>
      <c r="E156" s="72"/>
      <c r="F156" s="72"/>
      <c r="G156" s="72"/>
      <c r="H156" s="72"/>
      <c r="I156" s="72"/>
      <c r="J156" s="72"/>
      <c r="K156" s="74"/>
      <c r="L156" s="75"/>
      <c r="M156" s="6"/>
      <c r="N156" s="6"/>
      <c r="O156" s="6"/>
      <c r="P156" s="72"/>
      <c r="Q156" s="72"/>
      <c r="R156" s="73"/>
      <c r="S156" s="72"/>
      <c r="T156" s="72"/>
      <c r="U156" s="72"/>
      <c r="V156" s="72"/>
      <c r="W156" s="72"/>
      <c r="X156" s="72"/>
      <c r="Y156" s="72"/>
      <c r="Z156" s="72"/>
      <c r="AA156" s="72"/>
    </row>
    <row r="157" spans="1:27" ht="12.75" customHeight="1" x14ac:dyDescent="0.4">
      <c r="A157" s="73" t="s">
        <v>658</v>
      </c>
      <c r="B157" s="72"/>
      <c r="C157" s="72"/>
      <c r="D157" s="72"/>
      <c r="E157" s="72"/>
      <c r="F157" s="72"/>
      <c r="G157" s="72"/>
      <c r="H157" s="72"/>
      <c r="I157" s="72"/>
      <c r="J157" s="72"/>
      <c r="K157" s="75"/>
      <c r="L157" s="75"/>
      <c r="M157" s="6"/>
      <c r="N157" s="6"/>
      <c r="O157" s="6"/>
      <c r="P157" s="72"/>
      <c r="Q157" s="72"/>
      <c r="R157" s="73"/>
      <c r="S157" s="72"/>
      <c r="T157" s="72"/>
      <c r="U157" s="72"/>
      <c r="V157" s="72"/>
      <c r="W157" s="72"/>
      <c r="X157" s="72"/>
      <c r="Y157" s="72"/>
      <c r="Z157" s="72"/>
      <c r="AA157" s="72"/>
    </row>
    <row r="158" spans="1:27" ht="12.75" customHeight="1" x14ac:dyDescent="0.4">
      <c r="A158" s="73"/>
      <c r="B158" s="72" t="s">
        <v>139</v>
      </c>
      <c r="C158" s="72"/>
      <c r="D158" s="72"/>
      <c r="E158" s="72"/>
      <c r="F158" s="86"/>
      <c r="G158" s="72" t="s">
        <v>146</v>
      </c>
      <c r="H158" s="72"/>
      <c r="I158" s="72"/>
      <c r="J158" s="72"/>
      <c r="K158" s="75"/>
      <c r="L158" s="75"/>
      <c r="M158" s="6"/>
      <c r="N158" s="6"/>
      <c r="O158" s="6"/>
      <c r="Q158" s="72"/>
      <c r="R158" s="73"/>
      <c r="S158" s="72"/>
      <c r="T158" s="72"/>
      <c r="U158" s="72"/>
      <c r="V158" s="72"/>
      <c r="W158" s="72"/>
      <c r="X158" s="72"/>
      <c r="Y158" s="72"/>
      <c r="Z158" s="72"/>
      <c r="AA158" s="72"/>
    </row>
    <row r="159" spans="1:27" ht="12.75" customHeight="1" x14ac:dyDescent="0.4">
      <c r="A159" s="73" t="s">
        <v>136</v>
      </c>
      <c r="B159" s="74" t="s">
        <v>112</v>
      </c>
      <c r="C159" s="74" t="s">
        <v>113</v>
      </c>
      <c r="D159" s="74" t="s">
        <v>114</v>
      </c>
      <c r="E159" s="74" t="s">
        <v>115</v>
      </c>
      <c r="F159" s="86"/>
      <c r="G159" s="74" t="s">
        <v>112</v>
      </c>
      <c r="H159" s="74" t="s">
        <v>113</v>
      </c>
      <c r="I159" s="74" t="s">
        <v>114</v>
      </c>
      <c r="J159" s="74" t="s">
        <v>115</v>
      </c>
      <c r="K159" s="75"/>
      <c r="L159" s="75"/>
      <c r="M159" s="6" t="s">
        <v>646</v>
      </c>
      <c r="N159" s="139"/>
      <c r="O159" s="140"/>
      <c r="R159" s="73"/>
      <c r="S159" s="72"/>
      <c r="T159" s="72"/>
      <c r="U159" s="72"/>
      <c r="V159" s="72"/>
      <c r="W159" s="86"/>
      <c r="X159" s="72"/>
      <c r="Y159" s="72"/>
      <c r="Z159" s="72"/>
      <c r="AA159" s="72"/>
    </row>
    <row r="160" spans="1:27" ht="12.75" customHeight="1" x14ac:dyDescent="0.4">
      <c r="A160" s="73" t="s">
        <v>127</v>
      </c>
      <c r="B160" s="87">
        <v>23</v>
      </c>
      <c r="C160" s="87">
        <v>14</v>
      </c>
      <c r="D160" s="87">
        <v>4</v>
      </c>
      <c r="E160" s="87">
        <v>5</v>
      </c>
      <c r="F160" s="86"/>
      <c r="G160" s="75">
        <v>1</v>
      </c>
      <c r="H160" s="75">
        <v>0.60869565217391308</v>
      </c>
      <c r="I160" s="75">
        <v>0.17391304347826086</v>
      </c>
      <c r="J160" s="75">
        <v>0.21739130434782608</v>
      </c>
      <c r="K160" s="75"/>
      <c r="L160" s="75"/>
      <c r="M160" s="6" t="s">
        <v>647</v>
      </c>
      <c r="N160" s="6"/>
      <c r="O160" s="6"/>
      <c r="R160" s="73"/>
      <c r="S160" s="74"/>
      <c r="T160" s="74"/>
      <c r="U160" s="74"/>
      <c r="V160" s="74"/>
      <c r="W160" s="86"/>
      <c r="X160" s="74"/>
      <c r="Y160" s="74"/>
      <c r="Z160" s="74"/>
      <c r="AA160" s="74"/>
    </row>
    <row r="161" spans="1:27" ht="12.75" customHeight="1" x14ac:dyDescent="0.4">
      <c r="A161" s="73" t="s">
        <v>128</v>
      </c>
      <c r="B161" s="87">
        <v>28</v>
      </c>
      <c r="C161" s="87">
        <v>21</v>
      </c>
      <c r="D161" s="87">
        <v>6</v>
      </c>
      <c r="E161" s="87">
        <v>1</v>
      </c>
      <c r="F161" s="86"/>
      <c r="G161" s="75">
        <v>1</v>
      </c>
      <c r="H161" s="75">
        <v>0.75</v>
      </c>
      <c r="I161" s="75">
        <v>0.21428571428571427</v>
      </c>
      <c r="J161" s="75">
        <v>3.5714285714285712E-2</v>
      </c>
      <c r="K161" s="75"/>
      <c r="L161" s="75"/>
      <c r="M161" s="6" t="s">
        <v>445</v>
      </c>
      <c r="N161" s="76"/>
      <c r="O161" s="141"/>
      <c r="P161" s="160"/>
      <c r="R161" s="73"/>
      <c r="S161" s="86"/>
      <c r="T161" s="86"/>
      <c r="U161" s="86"/>
      <c r="V161" s="86"/>
      <c r="W161" s="86"/>
      <c r="X161" s="75"/>
      <c r="Y161" s="75"/>
      <c r="Z161" s="75"/>
      <c r="AA161" s="75"/>
    </row>
    <row r="162" spans="1:27" ht="12.75" customHeight="1" x14ac:dyDescent="0.4">
      <c r="A162" s="73" t="s">
        <v>129</v>
      </c>
      <c r="B162" s="87">
        <v>77</v>
      </c>
      <c r="C162" s="87">
        <v>65</v>
      </c>
      <c r="D162" s="87">
        <v>9</v>
      </c>
      <c r="E162" s="87">
        <v>3</v>
      </c>
      <c r="F162" s="86"/>
      <c r="G162" s="75">
        <v>0.98717948717948723</v>
      </c>
      <c r="H162" s="75">
        <v>0.8441558441558441</v>
      </c>
      <c r="I162" s="75">
        <v>0.11688311688311688</v>
      </c>
      <c r="J162" s="75">
        <v>3.896103896103896E-2</v>
      </c>
      <c r="K162" s="75"/>
      <c r="L162" s="75"/>
      <c r="M162" s="6" t="s">
        <v>201</v>
      </c>
      <c r="N162" s="139">
        <v>498</v>
      </c>
      <c r="O162" s="284" t="s">
        <v>202</v>
      </c>
      <c r="P162" s="160"/>
      <c r="R162" s="73"/>
      <c r="S162" s="86"/>
      <c r="T162" s="86"/>
      <c r="U162" s="86"/>
      <c r="V162" s="86"/>
      <c r="W162" s="86"/>
      <c r="X162" s="75"/>
      <c r="Y162" s="75"/>
      <c r="Z162" s="75"/>
      <c r="AA162" s="75"/>
    </row>
    <row r="163" spans="1:27" ht="12.75" customHeight="1" x14ac:dyDescent="0.4">
      <c r="A163" s="73" t="s">
        <v>130</v>
      </c>
      <c r="B163" s="87">
        <v>53</v>
      </c>
      <c r="C163" s="87">
        <v>40</v>
      </c>
      <c r="D163" s="87">
        <v>12</v>
      </c>
      <c r="E163" s="87">
        <v>1</v>
      </c>
      <c r="F163" s="86"/>
      <c r="G163" s="75">
        <v>1</v>
      </c>
      <c r="H163" s="75">
        <v>0.75471698113207553</v>
      </c>
      <c r="I163" s="75">
        <v>0.22641509433962265</v>
      </c>
      <c r="J163" s="75">
        <v>1.8867924528301886E-2</v>
      </c>
      <c r="K163" s="75"/>
      <c r="L163" s="75"/>
      <c r="M163" s="6" t="s">
        <v>656</v>
      </c>
      <c r="N163" s="139">
        <v>303</v>
      </c>
      <c r="O163" s="284">
        <v>0.60843373493975905</v>
      </c>
      <c r="P163" s="223"/>
      <c r="Q163" s="140"/>
      <c r="R163" s="73"/>
      <c r="S163" s="86"/>
      <c r="T163" s="86"/>
      <c r="U163" s="86"/>
      <c r="V163" s="86"/>
      <c r="W163" s="86"/>
      <c r="X163" s="75"/>
      <c r="Y163" s="75"/>
      <c r="Z163" s="75"/>
      <c r="AA163" s="75"/>
    </row>
    <row r="164" spans="1:27" ht="12.75" customHeight="1" x14ac:dyDescent="0.4">
      <c r="A164" s="73" t="s">
        <v>131</v>
      </c>
      <c r="B164" s="87">
        <v>38</v>
      </c>
      <c r="C164" s="87">
        <v>32</v>
      </c>
      <c r="D164" s="87">
        <v>3</v>
      </c>
      <c r="E164" s="87">
        <v>3</v>
      </c>
      <c r="F164" s="86"/>
      <c r="G164" s="75">
        <v>1</v>
      </c>
      <c r="H164" s="75">
        <v>0.84210526315789469</v>
      </c>
      <c r="I164" s="75">
        <v>7.8947368421052627E-2</v>
      </c>
      <c r="J164" s="75">
        <v>7.8947368421052627E-2</v>
      </c>
      <c r="K164" s="75"/>
      <c r="L164" s="75"/>
      <c r="M164" s="6" t="s">
        <v>226</v>
      </c>
      <c r="N164" s="139">
        <v>66</v>
      </c>
      <c r="O164" s="284">
        <v>0.13253012048192772</v>
      </c>
      <c r="P164" s="160"/>
      <c r="Q164" s="140"/>
      <c r="R164" s="73"/>
      <c r="S164" s="86"/>
      <c r="T164" s="86"/>
      <c r="U164" s="86"/>
      <c r="V164" s="86"/>
      <c r="W164" s="86"/>
      <c r="X164" s="75"/>
      <c r="Y164" s="75"/>
      <c r="Z164" s="75"/>
      <c r="AA164" s="75"/>
    </row>
    <row r="165" spans="1:27" ht="12.75" customHeight="1" x14ac:dyDescent="0.4">
      <c r="A165" s="73" t="s">
        <v>132</v>
      </c>
      <c r="B165" s="87">
        <v>64</v>
      </c>
      <c r="C165" s="87">
        <v>54</v>
      </c>
      <c r="D165" s="87">
        <v>7</v>
      </c>
      <c r="E165" s="87">
        <v>3</v>
      </c>
      <c r="F165" s="86"/>
      <c r="G165" s="75">
        <v>1</v>
      </c>
      <c r="H165" s="75">
        <v>0.84375</v>
      </c>
      <c r="I165" s="75">
        <v>0.109375</v>
      </c>
      <c r="J165" s="75">
        <v>4.6875E-2</v>
      </c>
      <c r="K165" s="75"/>
      <c r="L165" s="75"/>
      <c r="M165" s="6" t="s">
        <v>648</v>
      </c>
      <c r="N165" s="139">
        <v>182</v>
      </c>
      <c r="O165" s="284">
        <v>0.36546184738955823</v>
      </c>
      <c r="P165" s="160"/>
      <c r="Q165" s="140"/>
      <c r="R165" s="73"/>
      <c r="S165" s="86"/>
      <c r="T165" s="86"/>
      <c r="U165" s="86"/>
      <c r="V165" s="86"/>
      <c r="W165" s="86"/>
      <c r="X165" s="75"/>
      <c r="Y165" s="75"/>
      <c r="Z165" s="75"/>
      <c r="AA165" s="75"/>
    </row>
    <row r="166" spans="1:27" s="53" customFormat="1" ht="12.75" customHeight="1" x14ac:dyDescent="0.4">
      <c r="A166" s="73" t="s">
        <v>133</v>
      </c>
      <c r="B166" s="87">
        <v>71</v>
      </c>
      <c r="C166" s="87">
        <v>49</v>
      </c>
      <c r="D166" s="87">
        <v>20</v>
      </c>
      <c r="E166" s="87">
        <v>2</v>
      </c>
      <c r="F166" s="87"/>
      <c r="G166" s="75">
        <v>1</v>
      </c>
      <c r="H166" s="75">
        <v>0.6901408450704225</v>
      </c>
      <c r="I166" s="75">
        <v>0.28169014084507044</v>
      </c>
      <c r="J166" s="75">
        <v>2.8169014084507043E-2</v>
      </c>
      <c r="K166" s="75"/>
      <c r="L166" s="75"/>
      <c r="M166" s="6" t="s">
        <v>227</v>
      </c>
      <c r="N166" s="139">
        <v>23</v>
      </c>
      <c r="O166" s="140">
        <v>4.6184738955823292E-2</v>
      </c>
      <c r="P166"/>
      <c r="Q166" s="140"/>
      <c r="R166" s="73"/>
      <c r="S166" s="86"/>
      <c r="T166" s="86"/>
      <c r="U166" s="86"/>
      <c r="V166" s="86"/>
      <c r="W166" s="86"/>
      <c r="X166" s="75"/>
      <c r="Y166" s="75"/>
      <c r="Z166" s="75"/>
      <c r="AA166" s="75"/>
    </row>
    <row r="167" spans="1:27" s="53" customFormat="1" ht="12.75" customHeight="1" x14ac:dyDescent="0.4">
      <c r="A167" s="73" t="s">
        <v>134</v>
      </c>
      <c r="B167" s="87">
        <v>65</v>
      </c>
      <c r="C167" s="87">
        <v>57</v>
      </c>
      <c r="D167" s="87">
        <v>6</v>
      </c>
      <c r="E167" s="87">
        <v>2</v>
      </c>
      <c r="F167" s="87"/>
      <c r="G167" s="75">
        <v>1</v>
      </c>
      <c r="H167" s="75">
        <v>0.87692307692307692</v>
      </c>
      <c r="I167" s="75">
        <v>9.2307692307692313E-2</v>
      </c>
      <c r="J167" s="75">
        <v>3.0769230769230771E-2</v>
      </c>
      <c r="K167" s="75"/>
      <c r="L167" s="75"/>
      <c r="M167" s="6"/>
      <c r="N167" s="138"/>
      <c r="O167" s="141"/>
      <c r="P167"/>
      <c r="Q167"/>
      <c r="R167" s="73"/>
      <c r="S167" s="86"/>
      <c r="T167" s="86"/>
      <c r="U167" s="86"/>
      <c r="V167" s="86"/>
      <c r="W167" s="87"/>
      <c r="X167" s="75"/>
      <c r="Y167" s="75"/>
      <c r="Z167" s="75"/>
      <c r="AA167" s="75"/>
    </row>
    <row r="168" spans="1:27" s="53" customFormat="1" ht="12.75" customHeight="1" x14ac:dyDescent="0.4">
      <c r="A168" s="73" t="s">
        <v>376</v>
      </c>
      <c r="B168" s="87">
        <v>21</v>
      </c>
      <c r="C168" s="87">
        <v>15</v>
      </c>
      <c r="D168" s="87">
        <v>6</v>
      </c>
      <c r="E168" s="87">
        <v>0</v>
      </c>
      <c r="F168" s="87"/>
      <c r="G168" s="75">
        <v>0.95454545454545459</v>
      </c>
      <c r="H168" s="75">
        <v>0.7142857142857143</v>
      </c>
      <c r="I168" s="75">
        <v>0.2857142857142857</v>
      </c>
      <c r="J168" s="75">
        <v>0</v>
      </c>
      <c r="K168" s="75"/>
      <c r="L168" s="75"/>
      <c r="M168" s="6" t="s">
        <v>649</v>
      </c>
      <c r="N168" s="229" t="s">
        <v>438</v>
      </c>
      <c r="O168" s="140" t="s">
        <v>202</v>
      </c>
      <c r="P168"/>
      <c r="Q168"/>
      <c r="R168" s="73"/>
      <c r="S168" s="86"/>
      <c r="T168" s="86"/>
      <c r="U168" s="86"/>
      <c r="V168" s="86"/>
      <c r="W168" s="87"/>
      <c r="X168" s="75"/>
      <c r="Y168" s="75"/>
      <c r="Z168" s="75"/>
      <c r="AA168" s="75"/>
    </row>
    <row r="169" spans="1:27" s="53" customFormat="1" ht="12.75" customHeight="1" x14ac:dyDescent="0.4">
      <c r="A169" s="73" t="s">
        <v>135</v>
      </c>
      <c r="B169" s="87">
        <v>30</v>
      </c>
      <c r="C169" s="87">
        <v>21</v>
      </c>
      <c r="D169" s="87">
        <v>7</v>
      </c>
      <c r="E169" s="87">
        <v>2</v>
      </c>
      <c r="F169" s="87"/>
      <c r="G169" s="75">
        <v>1</v>
      </c>
      <c r="H169" s="75">
        <v>0.7</v>
      </c>
      <c r="I169" s="75">
        <v>0.23333333333333334</v>
      </c>
      <c r="J169" s="75">
        <v>6.6666666666666666E-2</v>
      </c>
      <c r="K169" s="75"/>
      <c r="L169" s="75"/>
      <c r="M169" s="6" t="s">
        <v>664</v>
      </c>
      <c r="N169" s="139">
        <v>37</v>
      </c>
      <c r="O169" s="140">
        <v>7.4297188755020074E-2</v>
      </c>
      <c r="P169"/>
      <c r="Q169"/>
      <c r="R169" s="73"/>
      <c r="S169" s="86"/>
      <c r="T169" s="86"/>
      <c r="U169" s="86"/>
      <c r="V169" s="86"/>
      <c r="W169" s="87"/>
      <c r="X169" s="75"/>
      <c r="Y169" s="75"/>
      <c r="Z169" s="75"/>
      <c r="AA169" s="75"/>
    </row>
    <row r="170" spans="1:27" ht="12.75" customHeight="1" x14ac:dyDescent="0.4">
      <c r="A170" s="73" t="s">
        <v>303</v>
      </c>
      <c r="B170" s="87">
        <v>31</v>
      </c>
      <c r="C170" s="87">
        <v>18</v>
      </c>
      <c r="D170" s="87">
        <v>10</v>
      </c>
      <c r="E170" s="87">
        <v>3</v>
      </c>
      <c r="F170" s="87"/>
      <c r="G170" s="75">
        <v>1</v>
      </c>
      <c r="H170" s="75">
        <v>0.58064516129032262</v>
      </c>
      <c r="I170" s="75">
        <v>0.32258064516129031</v>
      </c>
      <c r="J170" s="75">
        <v>9.6774193548387094E-2</v>
      </c>
      <c r="K170" s="72"/>
      <c r="L170" s="72"/>
      <c r="M170" s="6"/>
      <c r="N170" s="139"/>
      <c r="O170" s="140"/>
      <c r="R170" s="73"/>
      <c r="S170" s="86"/>
      <c r="T170" s="86"/>
      <c r="U170" s="86"/>
      <c r="V170" s="86"/>
      <c r="W170" s="87"/>
      <c r="X170" s="75"/>
      <c r="Y170" s="75"/>
      <c r="Z170" s="75"/>
      <c r="AA170" s="75"/>
    </row>
    <row r="171" spans="1:27" ht="12.75" customHeight="1" x14ac:dyDescent="0.4">
      <c r="A171" s="73" t="s">
        <v>23</v>
      </c>
      <c r="B171" s="87">
        <v>501</v>
      </c>
      <c r="C171" s="87">
        <v>386</v>
      </c>
      <c r="D171" s="87">
        <v>90</v>
      </c>
      <c r="E171" s="87">
        <v>25</v>
      </c>
      <c r="F171" s="72"/>
      <c r="G171" s="75">
        <v>0.99602385685884687</v>
      </c>
      <c r="H171" s="75">
        <v>0.77045908183632739</v>
      </c>
      <c r="I171" s="75">
        <v>0.17964071856287425</v>
      </c>
      <c r="J171" s="75">
        <v>4.9900199600798403E-2</v>
      </c>
      <c r="K171" s="72"/>
      <c r="L171" s="72"/>
      <c r="M171" s="6"/>
      <c r="N171" s="75"/>
      <c r="O171" s="75"/>
      <c r="P171" s="92"/>
      <c r="R171" s="73"/>
      <c r="S171" s="86"/>
      <c r="T171" s="86"/>
      <c r="U171" s="86"/>
      <c r="V171" s="86"/>
      <c r="W171" s="87"/>
      <c r="X171" s="75"/>
      <c r="Y171" s="75"/>
      <c r="Z171" s="75"/>
      <c r="AA171" s="75"/>
    </row>
    <row r="172" spans="1:27" ht="12.75" customHeight="1" x14ac:dyDescent="0.4">
      <c r="A172" s="73"/>
      <c r="B172" s="87"/>
      <c r="C172" s="86"/>
      <c r="D172" s="86"/>
      <c r="E172" s="87"/>
      <c r="F172" s="72"/>
      <c r="G172" s="75"/>
      <c r="H172" s="75"/>
      <c r="I172" s="75"/>
      <c r="J172" s="75"/>
      <c r="K172" s="72"/>
      <c r="L172" s="72"/>
      <c r="M172" s="6" t="s">
        <v>320</v>
      </c>
      <c r="N172" s="75" t="s">
        <v>318</v>
      </c>
      <c r="O172" s="75" t="s">
        <v>319</v>
      </c>
      <c r="Q172" s="72"/>
      <c r="R172" s="73"/>
      <c r="S172" s="72"/>
      <c r="T172" s="72"/>
      <c r="U172" s="72"/>
      <c r="V172" s="72"/>
      <c r="W172" s="72"/>
      <c r="X172" s="72"/>
      <c r="Y172" s="72"/>
      <c r="Z172" s="72"/>
      <c r="AA172" s="72"/>
    </row>
    <row r="173" spans="1:27" ht="12.75" customHeight="1" x14ac:dyDescent="0.4">
      <c r="A173" s="73" t="s">
        <v>591</v>
      </c>
      <c r="B173" s="72"/>
      <c r="C173" s="72"/>
      <c r="D173" s="72"/>
      <c r="E173" s="72"/>
      <c r="F173" s="72"/>
      <c r="G173" s="72"/>
      <c r="H173" s="72"/>
      <c r="I173" s="72"/>
      <c r="J173" s="72"/>
      <c r="K173" s="72"/>
      <c r="L173" s="74"/>
      <c r="M173" s="6" t="s">
        <v>321</v>
      </c>
      <c r="N173" s="6" t="s">
        <v>316</v>
      </c>
      <c r="O173" s="6" t="s">
        <v>317</v>
      </c>
      <c r="P173" s="72"/>
      <c r="Q173" s="72"/>
      <c r="R173" s="73"/>
      <c r="S173" s="72"/>
      <c r="T173" s="72"/>
      <c r="U173" s="72"/>
      <c r="V173" s="72"/>
      <c r="W173" s="72"/>
      <c r="X173" s="72"/>
      <c r="Y173" s="72"/>
      <c r="Z173" s="72"/>
      <c r="AA173" s="72"/>
    </row>
    <row r="174" spans="1:27" ht="12.75" customHeight="1" x14ac:dyDescent="0.4">
      <c r="A174" s="73" t="s">
        <v>565</v>
      </c>
      <c r="B174" s="72"/>
      <c r="C174" s="72"/>
      <c r="D174" s="72"/>
      <c r="E174" s="72"/>
      <c r="F174" s="72"/>
      <c r="G174" s="72"/>
      <c r="H174" s="72"/>
      <c r="I174" s="72"/>
      <c r="J174" s="72"/>
      <c r="K174" s="74"/>
      <c r="L174" s="75"/>
      <c r="M174" s="6"/>
      <c r="N174" s="6"/>
      <c r="O174" s="6"/>
      <c r="P174" s="72"/>
      <c r="R174" s="73"/>
      <c r="S174" s="72"/>
      <c r="T174" s="72"/>
      <c r="U174" s="72"/>
      <c r="V174" s="72"/>
      <c r="W174" s="86"/>
      <c r="X174" s="72"/>
      <c r="Y174" s="72"/>
      <c r="Z174" s="72"/>
      <c r="AA174" s="72"/>
    </row>
    <row r="175" spans="1:27" ht="12.75" customHeight="1" x14ac:dyDescent="0.4">
      <c r="A175" s="73" t="s">
        <v>645</v>
      </c>
      <c r="B175" s="72"/>
      <c r="C175" s="72"/>
      <c r="D175" s="72"/>
      <c r="E175" s="72"/>
      <c r="F175" s="72"/>
      <c r="G175" s="72"/>
      <c r="H175" s="72"/>
      <c r="I175" s="72"/>
      <c r="J175" s="72"/>
      <c r="K175" s="75"/>
      <c r="L175" s="75"/>
      <c r="M175" s="6"/>
      <c r="N175" s="6"/>
      <c r="O175" s="6"/>
      <c r="P175" s="72"/>
      <c r="R175" s="73"/>
      <c r="S175" s="74"/>
      <c r="T175" s="74"/>
      <c r="U175" s="74"/>
      <c r="V175" s="74"/>
      <c r="W175" s="86"/>
      <c r="X175" s="74"/>
      <c r="Y175" s="74"/>
      <c r="Z175" s="74"/>
      <c r="AA175" s="74"/>
    </row>
    <row r="176" spans="1:27" ht="12.75" customHeight="1" x14ac:dyDescent="0.4">
      <c r="A176" s="73"/>
      <c r="B176" s="72" t="s">
        <v>139</v>
      </c>
      <c r="C176" s="72"/>
      <c r="D176" s="72"/>
      <c r="E176" s="72"/>
      <c r="F176" s="86"/>
      <c r="G176" s="72" t="s">
        <v>146</v>
      </c>
      <c r="H176" s="72"/>
      <c r="I176" s="72"/>
      <c r="J176" s="72"/>
      <c r="K176" s="75"/>
      <c r="L176" s="75"/>
      <c r="M176" s="6"/>
      <c r="N176" s="6"/>
      <c r="O176" s="6"/>
      <c r="P176" s="72"/>
      <c r="R176" s="73"/>
      <c r="S176" s="86"/>
      <c r="T176" s="86"/>
      <c r="U176" s="86"/>
      <c r="V176" s="86"/>
      <c r="W176" s="86"/>
      <c r="X176" s="75"/>
      <c r="Y176" s="75"/>
      <c r="Z176" s="75"/>
      <c r="AA176" s="75"/>
    </row>
    <row r="177" spans="1:27" ht="12.75" customHeight="1" x14ac:dyDescent="0.4">
      <c r="A177" s="73" t="s">
        <v>136</v>
      </c>
      <c r="B177" s="74" t="s">
        <v>112</v>
      </c>
      <c r="C177" s="74" t="s">
        <v>113</v>
      </c>
      <c r="D177" s="74" t="s">
        <v>114</v>
      </c>
      <c r="E177" s="74" t="s">
        <v>115</v>
      </c>
      <c r="F177" s="86"/>
      <c r="G177" s="74" t="s">
        <v>112</v>
      </c>
      <c r="H177" s="74" t="s">
        <v>113</v>
      </c>
      <c r="I177" s="74" t="s">
        <v>114</v>
      </c>
      <c r="J177" s="74" t="s">
        <v>115</v>
      </c>
      <c r="K177" s="75"/>
      <c r="L177" s="75"/>
      <c r="M177" s="6" t="s">
        <v>591</v>
      </c>
      <c r="N177" s="6"/>
      <c r="O177" s="6"/>
      <c r="R177" s="73"/>
      <c r="S177" s="86"/>
      <c r="T177" s="86"/>
      <c r="U177" s="86"/>
      <c r="V177" s="86"/>
      <c r="W177" s="86"/>
      <c r="X177" s="75"/>
      <c r="Y177" s="75"/>
      <c r="Z177" s="75"/>
      <c r="AA177" s="75"/>
    </row>
    <row r="178" spans="1:27" ht="12.75" customHeight="1" x14ac:dyDescent="0.4">
      <c r="A178" s="73" t="s">
        <v>127</v>
      </c>
      <c r="B178" s="87">
        <v>23</v>
      </c>
      <c r="C178" s="87">
        <v>17</v>
      </c>
      <c r="D178" s="87">
        <v>6</v>
      </c>
      <c r="E178" s="87">
        <v>0</v>
      </c>
      <c r="F178" s="86"/>
      <c r="G178" s="75">
        <v>1</v>
      </c>
      <c r="H178" s="75">
        <v>0.73913043478260865</v>
      </c>
      <c r="I178" s="75">
        <v>0.2608695652173913</v>
      </c>
      <c r="J178" s="75">
        <v>0</v>
      </c>
      <c r="K178" s="75"/>
      <c r="L178" s="75"/>
      <c r="M178" s="6" t="s">
        <v>627</v>
      </c>
      <c r="N178" s="139"/>
      <c r="O178" s="140"/>
      <c r="Q178" s="140"/>
      <c r="R178" s="73"/>
      <c r="S178" s="86"/>
      <c r="T178" s="86"/>
      <c r="U178" s="86"/>
      <c r="V178" s="86"/>
      <c r="W178" s="86"/>
      <c r="X178" s="75"/>
      <c r="Y178" s="75"/>
      <c r="Z178" s="75"/>
      <c r="AA178" s="75"/>
    </row>
    <row r="179" spans="1:27" ht="12.75" customHeight="1" x14ac:dyDescent="0.4">
      <c r="A179" s="73" t="s">
        <v>128</v>
      </c>
      <c r="B179" s="87">
        <v>28</v>
      </c>
      <c r="C179" s="87">
        <v>19</v>
      </c>
      <c r="D179" s="87">
        <v>8</v>
      </c>
      <c r="E179" s="87">
        <v>1</v>
      </c>
      <c r="F179" s="86"/>
      <c r="G179" s="75">
        <v>1</v>
      </c>
      <c r="H179" s="75">
        <v>0.6785714285714286</v>
      </c>
      <c r="I179" s="75">
        <v>0.2857142857142857</v>
      </c>
      <c r="J179" s="75">
        <v>3.5714285714285712E-2</v>
      </c>
      <c r="K179" s="75"/>
      <c r="L179" s="75"/>
      <c r="M179" s="6" t="s">
        <v>445</v>
      </c>
      <c r="N179" s="6"/>
      <c r="O179" s="6"/>
      <c r="Q179" s="140"/>
      <c r="R179" s="73"/>
      <c r="S179" s="86"/>
      <c r="T179" s="86"/>
      <c r="U179" s="86"/>
      <c r="V179" s="86"/>
      <c r="W179" s="86"/>
      <c r="X179" s="75"/>
      <c r="Y179" s="75"/>
      <c r="Z179" s="75"/>
      <c r="AA179" s="75"/>
    </row>
    <row r="180" spans="1:27" ht="12.75" customHeight="1" x14ac:dyDescent="0.4">
      <c r="A180" s="73" t="s">
        <v>129</v>
      </c>
      <c r="B180" s="87">
        <v>78</v>
      </c>
      <c r="C180" s="87">
        <v>64</v>
      </c>
      <c r="D180" s="87">
        <v>12</v>
      </c>
      <c r="E180" s="87">
        <v>2</v>
      </c>
      <c r="F180" s="86"/>
      <c r="G180" s="75">
        <v>1</v>
      </c>
      <c r="H180" s="75">
        <v>0.82051282051282048</v>
      </c>
      <c r="I180" s="75">
        <v>0.15384615384615385</v>
      </c>
      <c r="J180" s="75">
        <v>2.564102564102564E-2</v>
      </c>
      <c r="K180" s="75"/>
      <c r="L180" s="75"/>
      <c r="M180" s="6" t="s">
        <v>201</v>
      </c>
      <c r="N180" s="76">
        <v>499</v>
      </c>
      <c r="O180" s="141" t="s">
        <v>202</v>
      </c>
      <c r="P180" s="160"/>
      <c r="Q180" s="140"/>
      <c r="R180" s="73"/>
      <c r="S180" s="86"/>
      <c r="T180" s="86"/>
      <c r="U180" s="86"/>
      <c r="V180" s="86"/>
      <c r="W180" s="86"/>
      <c r="X180" s="75"/>
      <c r="Y180" s="75"/>
      <c r="Z180" s="75"/>
      <c r="AA180" s="75"/>
    </row>
    <row r="181" spans="1:27" s="53" customFormat="1" ht="12.75" customHeight="1" x14ac:dyDescent="0.4">
      <c r="A181" s="73" t="s">
        <v>130</v>
      </c>
      <c r="B181" s="87">
        <v>53</v>
      </c>
      <c r="C181" s="87">
        <v>41</v>
      </c>
      <c r="D181" s="87">
        <v>12</v>
      </c>
      <c r="E181" s="87">
        <v>0</v>
      </c>
      <c r="F181" s="86"/>
      <c r="G181" s="75">
        <v>1</v>
      </c>
      <c r="H181" s="75">
        <v>0.77358490566037741</v>
      </c>
      <c r="I181" s="75">
        <v>0.22641509433962265</v>
      </c>
      <c r="J181" s="75">
        <v>0</v>
      </c>
      <c r="K181" s="75"/>
      <c r="L181" s="75"/>
      <c r="M181" s="6" t="s">
        <v>628</v>
      </c>
      <c r="N181" s="139">
        <v>311</v>
      </c>
      <c r="O181" s="284">
        <v>0.6232464929859719</v>
      </c>
      <c r="P181" s="160"/>
      <c r="Q181" s="140"/>
      <c r="R181" s="73"/>
      <c r="S181" s="86"/>
      <c r="T181" s="86"/>
      <c r="U181" s="86"/>
      <c r="V181" s="86"/>
      <c r="W181" s="86"/>
      <c r="X181" s="75"/>
      <c r="Y181" s="75"/>
      <c r="Z181" s="75"/>
      <c r="AA181" s="75"/>
    </row>
    <row r="182" spans="1:27" s="53" customFormat="1" ht="12.75" customHeight="1" x14ac:dyDescent="0.4">
      <c r="A182" s="73" t="s">
        <v>131</v>
      </c>
      <c r="B182" s="87">
        <v>38</v>
      </c>
      <c r="C182" s="87">
        <v>30</v>
      </c>
      <c r="D182" s="87">
        <v>5</v>
      </c>
      <c r="E182" s="87">
        <v>3</v>
      </c>
      <c r="F182" s="86"/>
      <c r="G182" s="75">
        <v>1</v>
      </c>
      <c r="H182" s="75">
        <v>0.78947368421052633</v>
      </c>
      <c r="I182" s="75">
        <v>0.13157894736842105</v>
      </c>
      <c r="J182" s="75">
        <v>7.8947368421052627E-2</v>
      </c>
      <c r="K182" s="75"/>
      <c r="L182" s="75"/>
      <c r="M182" s="6" t="s">
        <v>226</v>
      </c>
      <c r="N182" s="139">
        <v>63</v>
      </c>
      <c r="O182" s="284">
        <v>0.12625250501002003</v>
      </c>
      <c r="P182" s="223"/>
      <c r="Q182"/>
      <c r="R182" s="73"/>
      <c r="S182" s="86"/>
      <c r="T182" s="86"/>
      <c r="U182" s="86"/>
      <c r="V182" s="86"/>
      <c r="W182" s="87"/>
      <c r="X182" s="75"/>
      <c r="Y182" s="75"/>
      <c r="Z182" s="75"/>
      <c r="AA182" s="75"/>
    </row>
    <row r="183" spans="1:27" s="53" customFormat="1" ht="12.75" customHeight="1" x14ac:dyDescent="0.4">
      <c r="A183" s="73" t="s">
        <v>132</v>
      </c>
      <c r="B183" s="87">
        <v>64</v>
      </c>
      <c r="C183" s="87">
        <v>49</v>
      </c>
      <c r="D183" s="87">
        <v>11</v>
      </c>
      <c r="E183" s="87">
        <v>4</v>
      </c>
      <c r="F183" s="86"/>
      <c r="G183" s="75">
        <v>1</v>
      </c>
      <c r="H183" s="75">
        <v>0.765625</v>
      </c>
      <c r="I183" s="75">
        <v>0.171875</v>
      </c>
      <c r="J183" s="75">
        <v>6.25E-2</v>
      </c>
      <c r="K183" s="75"/>
      <c r="L183" s="75"/>
      <c r="M183" s="6" t="s">
        <v>629</v>
      </c>
      <c r="N183" s="139">
        <v>166</v>
      </c>
      <c r="O183" s="284">
        <v>0.33266533066132264</v>
      </c>
      <c r="P183" s="160"/>
      <c r="Q183"/>
      <c r="R183" s="73"/>
      <c r="S183" s="86"/>
      <c r="T183" s="86"/>
      <c r="U183" s="86"/>
      <c r="V183" s="86"/>
      <c r="W183" s="87"/>
      <c r="X183" s="75"/>
      <c r="Y183" s="75"/>
      <c r="Z183" s="75"/>
      <c r="AA183" s="75"/>
    </row>
    <row r="184" spans="1:27" s="53" customFormat="1" ht="12.75" customHeight="1" x14ac:dyDescent="0.4">
      <c r="A184" s="73" t="s">
        <v>133</v>
      </c>
      <c r="B184" s="87">
        <v>71</v>
      </c>
      <c r="C184" s="87">
        <v>50</v>
      </c>
      <c r="D184" s="87">
        <v>17</v>
      </c>
      <c r="E184" s="87">
        <v>4</v>
      </c>
      <c r="F184" s="87"/>
      <c r="G184" s="75">
        <v>0.98611111111111116</v>
      </c>
      <c r="H184" s="75">
        <v>0.70422535211267601</v>
      </c>
      <c r="I184" s="75">
        <v>0.23943661971830985</v>
      </c>
      <c r="J184" s="75">
        <v>5.6338028169014086E-2</v>
      </c>
      <c r="K184" s="75"/>
      <c r="L184" s="75"/>
      <c r="M184" s="6" t="s">
        <v>227</v>
      </c>
      <c r="N184" s="139">
        <v>19</v>
      </c>
      <c r="O184" s="284">
        <v>3.8076152304609222E-2</v>
      </c>
      <c r="P184" s="160"/>
      <c r="Q184"/>
      <c r="R184" s="73"/>
      <c r="S184" s="86"/>
      <c r="T184" s="86"/>
      <c r="U184" s="86"/>
      <c r="V184" s="86"/>
      <c r="W184" s="87"/>
      <c r="X184" s="75"/>
      <c r="Y184" s="75"/>
      <c r="Z184" s="75"/>
      <c r="AA184" s="75"/>
    </row>
    <row r="185" spans="1:27" ht="12.75" customHeight="1" x14ac:dyDescent="0.4">
      <c r="A185" s="73" t="s">
        <v>134</v>
      </c>
      <c r="B185" s="87">
        <v>63</v>
      </c>
      <c r="C185" s="87">
        <v>56</v>
      </c>
      <c r="D185" s="87">
        <v>5</v>
      </c>
      <c r="E185" s="87">
        <v>2</v>
      </c>
      <c r="F185" s="87"/>
      <c r="G185" s="75">
        <v>0.984375</v>
      </c>
      <c r="H185" s="75">
        <v>0.88888888888888884</v>
      </c>
      <c r="I185" s="75">
        <v>7.9365079365079361E-2</v>
      </c>
      <c r="J185" s="75">
        <v>3.1746031746031744E-2</v>
      </c>
      <c r="K185" s="75"/>
      <c r="L185" s="75"/>
      <c r="M185" s="6"/>
      <c r="N185" s="139"/>
      <c r="O185" s="140"/>
      <c r="R185" s="73"/>
      <c r="S185" s="86"/>
      <c r="T185" s="86"/>
      <c r="U185" s="86"/>
      <c r="V185" s="86"/>
      <c r="W185" s="87"/>
      <c r="X185" s="75"/>
      <c r="Y185" s="75"/>
      <c r="Z185" s="75"/>
      <c r="AA185" s="75"/>
    </row>
    <row r="186" spans="1:27" ht="12.75" customHeight="1" x14ac:dyDescent="0.4">
      <c r="A186" s="73" t="s">
        <v>376</v>
      </c>
      <c r="B186" s="87">
        <v>21</v>
      </c>
      <c r="C186" s="87">
        <v>13</v>
      </c>
      <c r="D186" s="87">
        <v>7</v>
      </c>
      <c r="E186" s="87">
        <v>1</v>
      </c>
      <c r="F186" s="87"/>
      <c r="G186" s="75">
        <v>0.95454545454545459</v>
      </c>
      <c r="H186" s="75">
        <v>0.61904761904761907</v>
      </c>
      <c r="I186" s="75">
        <v>0.33333333333333331</v>
      </c>
      <c r="J186" s="75">
        <v>4.7619047619047616E-2</v>
      </c>
      <c r="K186" s="75"/>
      <c r="L186" s="75"/>
      <c r="M186" s="6" t="s">
        <v>630</v>
      </c>
      <c r="N186" s="138" t="s">
        <v>438</v>
      </c>
      <c r="O186" s="141" t="s">
        <v>202</v>
      </c>
      <c r="R186" s="73"/>
      <c r="S186" s="86"/>
      <c r="T186" s="86"/>
      <c r="U186" s="86"/>
      <c r="V186" s="86"/>
      <c r="W186" s="87"/>
      <c r="X186" s="75"/>
      <c r="Y186" s="75"/>
      <c r="Z186" s="75"/>
      <c r="AA186" s="75"/>
    </row>
    <row r="187" spans="1:27" ht="12.75" customHeight="1" x14ac:dyDescent="0.4">
      <c r="A187" s="73" t="s">
        <v>135</v>
      </c>
      <c r="B187" s="87">
        <v>30</v>
      </c>
      <c r="C187" s="87">
        <v>17</v>
      </c>
      <c r="D187" s="87">
        <v>10</v>
      </c>
      <c r="E187" s="87">
        <v>3</v>
      </c>
      <c r="F187" s="87"/>
      <c r="G187" s="75">
        <v>1</v>
      </c>
      <c r="H187" s="75">
        <v>0.56666666666666665</v>
      </c>
      <c r="I187" s="75">
        <v>0.33333333333333331</v>
      </c>
      <c r="J187" s="75">
        <v>0.1</v>
      </c>
      <c r="K187" s="75"/>
      <c r="L187" s="75"/>
      <c r="M187" s="6" t="s">
        <v>631</v>
      </c>
      <c r="N187" s="229">
        <v>43</v>
      </c>
      <c r="O187" s="140">
        <v>8.617234468937876E-2</v>
      </c>
      <c r="R187" s="73"/>
      <c r="S187" s="87"/>
      <c r="T187" s="86"/>
      <c r="U187" s="86"/>
      <c r="V187" s="87"/>
      <c r="W187" s="72"/>
      <c r="X187" s="75"/>
      <c r="Y187" s="75"/>
      <c r="Z187" s="75"/>
      <c r="AA187" s="75"/>
    </row>
    <row r="188" spans="1:27" ht="12.75" customHeight="1" x14ac:dyDescent="0.4">
      <c r="A188" s="73" t="s">
        <v>303</v>
      </c>
      <c r="B188" s="87">
        <v>30</v>
      </c>
      <c r="C188" s="87">
        <v>13</v>
      </c>
      <c r="D188" s="87">
        <v>13</v>
      </c>
      <c r="E188" s="87">
        <v>4</v>
      </c>
      <c r="F188" s="87"/>
      <c r="G188" s="75">
        <v>0.967741935483871</v>
      </c>
      <c r="H188" s="75">
        <v>0.43333333333333335</v>
      </c>
      <c r="I188" s="75">
        <v>0.43333333333333335</v>
      </c>
      <c r="J188" s="75">
        <v>0.13333333333333333</v>
      </c>
      <c r="K188" s="72"/>
      <c r="L188" s="72"/>
      <c r="M188" s="6"/>
      <c r="N188" s="139"/>
      <c r="O188" s="140"/>
      <c r="R188" s="73"/>
      <c r="S188" s="87"/>
      <c r="T188" s="86"/>
      <c r="U188" s="86"/>
      <c r="V188" s="87"/>
      <c r="W188" s="72"/>
      <c r="X188" s="75"/>
      <c r="Y188" s="75"/>
      <c r="Z188" s="75"/>
      <c r="AA188" s="75"/>
    </row>
    <row r="189" spans="1:27" ht="13.15" x14ac:dyDescent="0.4">
      <c r="A189" s="73" t="s">
        <v>23</v>
      </c>
      <c r="B189" s="87">
        <v>499</v>
      </c>
      <c r="C189" s="87">
        <v>369</v>
      </c>
      <c r="D189" s="87">
        <v>106</v>
      </c>
      <c r="E189" s="87">
        <v>24</v>
      </c>
      <c r="F189" s="72"/>
      <c r="G189" s="75">
        <v>0.99204771371769385</v>
      </c>
      <c r="H189" s="75">
        <v>0.73947895791583163</v>
      </c>
      <c r="I189" s="75">
        <v>0.21242484969939879</v>
      </c>
      <c r="J189" s="75">
        <v>4.8096192384769539E-2</v>
      </c>
      <c r="K189" s="72"/>
      <c r="L189" s="72"/>
      <c r="M189" s="6"/>
      <c r="N189" s="139"/>
      <c r="O189" s="140"/>
      <c r="Q189" s="72"/>
      <c r="R189" s="73"/>
      <c r="S189" s="72"/>
      <c r="T189" s="72"/>
      <c r="U189" s="72"/>
      <c r="V189" s="72"/>
      <c r="W189" s="72"/>
      <c r="X189" s="72"/>
      <c r="Y189" s="72"/>
      <c r="Z189" s="72"/>
      <c r="AA189" s="72"/>
    </row>
    <row r="190" spans="1:27" ht="12.75" customHeight="1" x14ac:dyDescent="0.4">
      <c r="A190" s="73"/>
      <c r="B190" s="87"/>
      <c r="C190" s="86"/>
      <c r="D190" s="86"/>
      <c r="E190" s="87"/>
      <c r="F190" s="72"/>
      <c r="G190" s="75"/>
      <c r="H190" s="75"/>
      <c r="I190" s="75"/>
      <c r="J190" s="75"/>
      <c r="K190" s="72"/>
      <c r="L190" s="72"/>
      <c r="M190" s="6" t="s">
        <v>320</v>
      </c>
      <c r="N190" s="75" t="s">
        <v>318</v>
      </c>
      <c r="O190" s="75" t="s">
        <v>319</v>
      </c>
      <c r="P190" s="92"/>
      <c r="Q190" s="72"/>
      <c r="R190" s="73"/>
      <c r="S190" s="72"/>
      <c r="T190" s="72"/>
      <c r="U190" s="72"/>
      <c r="V190" s="72"/>
      <c r="W190" s="72"/>
      <c r="X190" s="72"/>
      <c r="Y190" s="72"/>
      <c r="Z190" s="72"/>
      <c r="AA190" s="72"/>
    </row>
    <row r="191" spans="1:27" ht="12.75" customHeight="1" x14ac:dyDescent="0.4">
      <c r="A191" s="73" t="s">
        <v>590</v>
      </c>
      <c r="B191" s="72"/>
      <c r="C191" s="72"/>
      <c r="D191" s="72"/>
      <c r="E191" s="72"/>
      <c r="F191" s="72"/>
      <c r="G191" s="72"/>
      <c r="H191" s="72"/>
      <c r="I191" s="72"/>
      <c r="J191" s="72"/>
      <c r="K191" s="72"/>
      <c r="L191" s="74"/>
      <c r="M191" s="6" t="s">
        <v>321</v>
      </c>
      <c r="N191" s="75" t="s">
        <v>316</v>
      </c>
      <c r="O191" s="75" t="s">
        <v>317</v>
      </c>
      <c r="P191" s="72"/>
      <c r="Q191" s="72"/>
      <c r="R191" s="73"/>
      <c r="S191" s="72"/>
      <c r="T191" s="72"/>
      <c r="U191" s="72"/>
      <c r="V191" s="72"/>
      <c r="W191" s="72"/>
      <c r="X191" s="72"/>
      <c r="Y191" s="72"/>
      <c r="Z191" s="72"/>
      <c r="AA191" s="72"/>
    </row>
    <row r="192" spans="1:27" ht="12.75" customHeight="1" x14ac:dyDescent="0.4">
      <c r="A192" s="73" t="s">
        <v>565</v>
      </c>
      <c r="B192" s="72"/>
      <c r="C192" s="72"/>
      <c r="D192" s="72"/>
      <c r="E192" s="72"/>
      <c r="F192" s="72"/>
      <c r="G192" s="72"/>
      <c r="H192" s="72"/>
      <c r="I192" s="72"/>
      <c r="J192" s="72"/>
      <c r="K192" s="74"/>
      <c r="L192" s="75"/>
      <c r="M192" s="6"/>
      <c r="N192" s="6"/>
      <c r="O192" s="6"/>
      <c r="P192" s="72"/>
      <c r="R192" s="73"/>
      <c r="S192" s="72"/>
      <c r="T192" s="72"/>
      <c r="U192" s="72"/>
      <c r="V192" s="72"/>
      <c r="W192" s="86"/>
      <c r="X192" s="72"/>
      <c r="Y192" s="72"/>
      <c r="Z192" s="72"/>
      <c r="AA192" s="72"/>
    </row>
    <row r="193" spans="1:27" ht="12.75" customHeight="1" x14ac:dyDescent="0.4">
      <c r="A193" s="73" t="s">
        <v>620</v>
      </c>
      <c r="B193" s="72"/>
      <c r="C193" s="72"/>
      <c r="D193" s="72"/>
      <c r="E193" s="72"/>
      <c r="F193" s="72"/>
      <c r="G193" s="72"/>
      <c r="H193" s="72"/>
      <c r="I193" s="72"/>
      <c r="J193" s="72"/>
      <c r="K193" s="75"/>
      <c r="L193" s="75"/>
      <c r="M193" s="6"/>
      <c r="N193" s="6"/>
      <c r="O193" s="6"/>
      <c r="P193" s="72"/>
      <c r="R193" s="73"/>
      <c r="S193" s="74"/>
      <c r="T193" s="74"/>
      <c r="U193" s="74"/>
      <c r="V193" s="74"/>
      <c r="W193" s="86"/>
      <c r="X193" s="74"/>
      <c r="Y193" s="74"/>
      <c r="Z193" s="74"/>
      <c r="AA193" s="74"/>
    </row>
    <row r="194" spans="1:27" ht="12.75" customHeight="1" x14ac:dyDescent="0.4">
      <c r="A194" s="73"/>
      <c r="B194" s="72" t="s">
        <v>139</v>
      </c>
      <c r="C194" s="72"/>
      <c r="D194" s="72"/>
      <c r="E194" s="72"/>
      <c r="F194" s="86"/>
      <c r="G194" s="72" t="s">
        <v>146</v>
      </c>
      <c r="H194" s="72"/>
      <c r="I194" s="72"/>
      <c r="J194" s="72"/>
      <c r="K194" s="75"/>
      <c r="L194" s="75"/>
      <c r="M194" s="6"/>
      <c r="N194" s="6"/>
      <c r="O194" s="6"/>
      <c r="P194" s="72"/>
      <c r="R194" s="73"/>
      <c r="S194" s="86"/>
      <c r="T194" s="86"/>
      <c r="U194" s="86"/>
      <c r="V194" s="86"/>
      <c r="W194" s="86"/>
      <c r="X194" s="75"/>
      <c r="Y194" s="75"/>
      <c r="Z194" s="75"/>
      <c r="AA194" s="75"/>
    </row>
    <row r="195" spans="1:27" ht="12.75" customHeight="1" x14ac:dyDescent="0.4">
      <c r="A195" s="73" t="s">
        <v>136</v>
      </c>
      <c r="B195" s="74" t="s">
        <v>112</v>
      </c>
      <c r="C195" s="74" t="s">
        <v>113</v>
      </c>
      <c r="D195" s="74" t="s">
        <v>114</v>
      </c>
      <c r="E195" s="74" t="s">
        <v>115</v>
      </c>
      <c r="F195" s="86"/>
      <c r="G195" s="74" t="s">
        <v>112</v>
      </c>
      <c r="H195" s="74" t="s">
        <v>113</v>
      </c>
      <c r="I195" s="74" t="s">
        <v>114</v>
      </c>
      <c r="J195" s="74" t="s">
        <v>115</v>
      </c>
      <c r="K195" s="75"/>
      <c r="L195" s="75"/>
      <c r="M195" s="6" t="s">
        <v>590</v>
      </c>
      <c r="N195" s="6"/>
      <c r="O195" s="6"/>
      <c r="R195" s="73"/>
      <c r="S195" s="86"/>
      <c r="T195" s="86"/>
      <c r="U195" s="86"/>
      <c r="V195" s="86"/>
      <c r="W195" s="86"/>
      <c r="X195" s="75"/>
      <c r="Y195" s="75"/>
      <c r="Z195" s="75"/>
      <c r="AA195" s="75"/>
    </row>
    <row r="196" spans="1:27" ht="12.75" customHeight="1" x14ac:dyDescent="0.4">
      <c r="A196" s="73" t="s">
        <v>127</v>
      </c>
      <c r="B196" s="87">
        <v>23</v>
      </c>
      <c r="C196" s="87">
        <v>17</v>
      </c>
      <c r="D196" s="87">
        <v>5</v>
      </c>
      <c r="E196" s="87">
        <v>1</v>
      </c>
      <c r="F196" s="86"/>
      <c r="G196" s="75">
        <v>1</v>
      </c>
      <c r="H196" s="75">
        <v>0.73913043478260865</v>
      </c>
      <c r="I196" s="75">
        <v>0.21739130434782608</v>
      </c>
      <c r="J196" s="75">
        <v>4.3478260869565216E-2</v>
      </c>
      <c r="K196" s="75"/>
      <c r="L196" s="75"/>
      <c r="M196" s="6" t="s">
        <v>617</v>
      </c>
      <c r="N196" s="139"/>
      <c r="O196" s="140"/>
      <c r="Q196" s="140"/>
      <c r="R196" s="73"/>
      <c r="S196" s="86"/>
      <c r="T196" s="86"/>
      <c r="U196" s="86"/>
      <c r="V196" s="86"/>
      <c r="W196" s="86"/>
      <c r="X196" s="75"/>
      <c r="Y196" s="75"/>
      <c r="Z196" s="75"/>
      <c r="AA196" s="75"/>
    </row>
    <row r="197" spans="1:27" ht="12.75" customHeight="1" x14ac:dyDescent="0.4">
      <c r="A197" s="73" t="s">
        <v>128</v>
      </c>
      <c r="B197" s="87">
        <v>29</v>
      </c>
      <c r="C197" s="87">
        <v>23</v>
      </c>
      <c r="D197" s="87">
        <v>5</v>
      </c>
      <c r="E197" s="87">
        <v>1</v>
      </c>
      <c r="F197" s="86"/>
      <c r="G197" s="75">
        <v>1</v>
      </c>
      <c r="H197" s="75">
        <v>0.7931034482758621</v>
      </c>
      <c r="I197" s="75">
        <v>0.17241379310344829</v>
      </c>
      <c r="J197" s="75">
        <v>3.4482758620689655E-2</v>
      </c>
      <c r="K197" s="75"/>
      <c r="L197" s="75"/>
      <c r="M197" s="6" t="s">
        <v>445</v>
      </c>
      <c r="N197" s="6"/>
      <c r="O197" s="6"/>
      <c r="Q197" s="140"/>
      <c r="R197" s="73"/>
      <c r="S197" s="86"/>
      <c r="T197" s="86"/>
      <c r="U197" s="86"/>
      <c r="V197" s="86"/>
      <c r="W197" s="86"/>
      <c r="X197" s="75"/>
      <c r="Y197" s="75"/>
      <c r="Z197" s="75"/>
      <c r="AA197" s="75"/>
    </row>
    <row r="198" spans="1:27" ht="12.75" customHeight="1" x14ac:dyDescent="0.4">
      <c r="A198" s="73" t="s">
        <v>129</v>
      </c>
      <c r="B198" s="87">
        <v>74</v>
      </c>
      <c r="C198" s="87">
        <v>62</v>
      </c>
      <c r="D198" s="87">
        <v>11</v>
      </c>
      <c r="E198" s="87">
        <v>1</v>
      </c>
      <c r="F198" s="86"/>
      <c r="G198" s="75">
        <v>0.98666666666666669</v>
      </c>
      <c r="H198" s="75">
        <v>0.83783783783783783</v>
      </c>
      <c r="I198" s="75">
        <v>0.14864864864864866</v>
      </c>
      <c r="J198" s="75">
        <v>1.3513513513513514E-2</v>
      </c>
      <c r="K198" s="75"/>
      <c r="L198" s="75"/>
      <c r="M198" s="6" t="s">
        <v>201</v>
      </c>
      <c r="N198" s="76">
        <v>500</v>
      </c>
      <c r="O198" s="141" t="s">
        <v>202</v>
      </c>
      <c r="P198" s="160"/>
      <c r="Q198" s="140"/>
      <c r="R198" s="73"/>
      <c r="S198" s="86"/>
      <c r="T198" s="86"/>
      <c r="U198" s="86"/>
      <c r="V198" s="86"/>
      <c r="W198" s="86"/>
      <c r="X198" s="75"/>
      <c r="Y198" s="75"/>
      <c r="Z198" s="75"/>
      <c r="AA198" s="75"/>
    </row>
    <row r="199" spans="1:27" s="53" customFormat="1" ht="12.75" customHeight="1" x14ac:dyDescent="0.4">
      <c r="A199" s="73" t="s">
        <v>130</v>
      </c>
      <c r="B199" s="87">
        <v>52</v>
      </c>
      <c r="C199" s="87">
        <v>45</v>
      </c>
      <c r="D199" s="87">
        <v>6</v>
      </c>
      <c r="E199" s="87">
        <v>1</v>
      </c>
      <c r="F199" s="86"/>
      <c r="G199" s="75">
        <v>1</v>
      </c>
      <c r="H199" s="75">
        <v>0.86538461538461542</v>
      </c>
      <c r="I199" s="75">
        <v>0.11538461538461539</v>
      </c>
      <c r="J199" s="75">
        <v>1.9230769230769232E-2</v>
      </c>
      <c r="K199" s="75"/>
      <c r="L199" s="75"/>
      <c r="M199" s="6" t="s">
        <v>613</v>
      </c>
      <c r="N199" s="139">
        <v>320</v>
      </c>
      <c r="O199" s="284">
        <v>0.64</v>
      </c>
      <c r="P199" s="160"/>
      <c r="Q199" s="140"/>
      <c r="R199" s="73"/>
      <c r="S199" s="86"/>
      <c r="T199" s="86"/>
      <c r="U199" s="86"/>
      <c r="V199" s="86"/>
      <c r="W199" s="86"/>
      <c r="X199" s="75"/>
      <c r="Y199" s="75"/>
      <c r="Z199" s="75"/>
      <c r="AA199" s="75"/>
    </row>
    <row r="200" spans="1:27" s="53" customFormat="1" ht="12.75" customHeight="1" x14ac:dyDescent="0.4">
      <c r="A200" s="73" t="s">
        <v>131</v>
      </c>
      <c r="B200" s="87">
        <v>38</v>
      </c>
      <c r="C200" s="87">
        <v>31</v>
      </c>
      <c r="D200" s="87">
        <v>5</v>
      </c>
      <c r="E200" s="87">
        <v>2</v>
      </c>
      <c r="F200" s="86"/>
      <c r="G200" s="75">
        <v>1</v>
      </c>
      <c r="H200" s="75">
        <v>0.81578947368421051</v>
      </c>
      <c r="I200" s="75">
        <v>0.13157894736842105</v>
      </c>
      <c r="J200" s="75">
        <v>5.2631578947368418E-2</v>
      </c>
      <c r="K200" s="75"/>
      <c r="L200" s="75"/>
      <c r="M200" s="6" t="s">
        <v>226</v>
      </c>
      <c r="N200" s="139">
        <v>69</v>
      </c>
      <c r="O200" s="284">
        <v>0.13800000000000001</v>
      </c>
      <c r="P200" s="223"/>
      <c r="Q200"/>
      <c r="R200" s="73"/>
      <c r="S200" s="86"/>
      <c r="T200" s="86"/>
      <c r="U200" s="86"/>
      <c r="V200" s="86"/>
      <c r="W200" s="87"/>
      <c r="X200" s="75"/>
      <c r="Y200" s="75"/>
      <c r="Z200" s="75"/>
      <c r="AA200" s="75"/>
    </row>
    <row r="201" spans="1:27" s="53" customFormat="1" ht="12.75" customHeight="1" x14ac:dyDescent="0.4">
      <c r="A201" s="73" t="s">
        <v>132</v>
      </c>
      <c r="B201" s="87">
        <v>65</v>
      </c>
      <c r="C201" s="87">
        <v>50</v>
      </c>
      <c r="D201" s="87">
        <v>11</v>
      </c>
      <c r="E201" s="87">
        <v>4</v>
      </c>
      <c r="F201" s="86"/>
      <c r="G201" s="75">
        <v>1</v>
      </c>
      <c r="H201" s="75">
        <v>0.76923076923076927</v>
      </c>
      <c r="I201" s="75">
        <v>0.16923076923076924</v>
      </c>
      <c r="J201" s="75">
        <v>6.1538461538461542E-2</v>
      </c>
      <c r="K201" s="75"/>
      <c r="L201" s="75"/>
      <c r="M201" s="6" t="s">
        <v>614</v>
      </c>
      <c r="N201" s="139">
        <v>162</v>
      </c>
      <c r="O201" s="284">
        <v>0.32400000000000001</v>
      </c>
      <c r="P201" s="160"/>
      <c r="Q201"/>
      <c r="R201" s="73"/>
      <c r="S201" s="86"/>
      <c r="T201" s="86"/>
      <c r="U201" s="86"/>
      <c r="V201" s="86"/>
      <c r="W201" s="87"/>
      <c r="X201" s="75"/>
      <c r="Y201" s="75"/>
      <c r="Z201" s="75"/>
      <c r="AA201" s="75"/>
    </row>
    <row r="202" spans="1:27" s="53" customFormat="1" ht="12.75" customHeight="1" x14ac:dyDescent="0.4">
      <c r="A202" s="73" t="s">
        <v>133</v>
      </c>
      <c r="B202" s="87">
        <v>71</v>
      </c>
      <c r="C202" s="87">
        <v>56</v>
      </c>
      <c r="D202" s="87">
        <v>13</v>
      </c>
      <c r="E202" s="87">
        <v>2</v>
      </c>
      <c r="F202" s="87"/>
      <c r="G202" s="75">
        <v>0.98611111111111116</v>
      </c>
      <c r="H202" s="75">
        <v>0.78873239436619713</v>
      </c>
      <c r="I202" s="75">
        <v>0.18309859154929578</v>
      </c>
      <c r="J202" s="75">
        <v>2.8169014084507043E-2</v>
      </c>
      <c r="K202" s="75"/>
      <c r="L202" s="75"/>
      <c r="M202" s="6" t="s">
        <v>227</v>
      </c>
      <c r="N202" s="139">
        <v>23</v>
      </c>
      <c r="O202" s="284">
        <v>4.5999999999999999E-2</v>
      </c>
      <c r="P202" s="160"/>
      <c r="Q202"/>
      <c r="R202" s="73"/>
      <c r="S202" s="86"/>
      <c r="T202" s="86"/>
      <c r="U202" s="86"/>
      <c r="V202" s="86"/>
      <c r="W202" s="87"/>
      <c r="X202" s="75"/>
      <c r="Y202" s="75"/>
      <c r="Z202" s="75"/>
      <c r="AA202" s="75"/>
    </row>
    <row r="203" spans="1:27" ht="12.75" customHeight="1" x14ac:dyDescent="0.4">
      <c r="A203" s="73" t="s">
        <v>134</v>
      </c>
      <c r="B203" s="87">
        <v>65</v>
      </c>
      <c r="C203" s="87">
        <v>58</v>
      </c>
      <c r="D203" s="87">
        <v>4</v>
      </c>
      <c r="E203" s="87">
        <v>3</v>
      </c>
      <c r="F203" s="87"/>
      <c r="G203" s="75">
        <v>1</v>
      </c>
      <c r="H203" s="75">
        <v>0.89230769230769236</v>
      </c>
      <c r="I203" s="75">
        <v>6.1538461538461542E-2</v>
      </c>
      <c r="J203" s="75">
        <v>4.6153846153846156E-2</v>
      </c>
      <c r="K203" s="75"/>
      <c r="L203" s="75"/>
      <c r="M203" s="6"/>
      <c r="N203" s="139"/>
      <c r="O203" s="140"/>
      <c r="R203" s="73"/>
      <c r="S203" s="86"/>
      <c r="T203" s="86"/>
      <c r="U203" s="86"/>
      <c r="V203" s="86"/>
      <c r="W203" s="87"/>
      <c r="X203" s="75"/>
      <c r="Y203" s="75"/>
      <c r="Z203" s="75"/>
      <c r="AA203" s="75"/>
    </row>
    <row r="204" spans="1:27" ht="12.75" customHeight="1" x14ac:dyDescent="0.4">
      <c r="A204" s="73" t="s">
        <v>376</v>
      </c>
      <c r="B204" s="87">
        <v>21</v>
      </c>
      <c r="C204" s="87">
        <v>18</v>
      </c>
      <c r="D204" s="87">
        <v>3</v>
      </c>
      <c r="E204" s="87">
        <v>0</v>
      </c>
      <c r="F204" s="87"/>
      <c r="G204" s="75">
        <v>0.91304347826086951</v>
      </c>
      <c r="H204" s="75">
        <v>0.8571428571428571</v>
      </c>
      <c r="I204" s="75">
        <v>0.14285714285714285</v>
      </c>
      <c r="J204" s="75">
        <v>0</v>
      </c>
      <c r="K204" s="75"/>
      <c r="L204" s="75"/>
      <c r="M204" s="6" t="s">
        <v>615</v>
      </c>
      <c r="N204" s="138" t="s">
        <v>438</v>
      </c>
      <c r="O204" s="141" t="s">
        <v>202</v>
      </c>
      <c r="R204" s="73"/>
      <c r="S204" s="86"/>
      <c r="T204" s="86"/>
      <c r="U204" s="86"/>
      <c r="V204" s="86"/>
      <c r="W204" s="87"/>
      <c r="X204" s="75"/>
      <c r="Y204" s="75"/>
      <c r="Z204" s="75"/>
      <c r="AA204" s="75"/>
    </row>
    <row r="205" spans="1:27" ht="12.75" customHeight="1" x14ac:dyDescent="0.4">
      <c r="A205" s="73" t="s">
        <v>135</v>
      </c>
      <c r="B205" s="87">
        <v>30</v>
      </c>
      <c r="C205" s="87">
        <v>21</v>
      </c>
      <c r="D205" s="87">
        <v>6</v>
      </c>
      <c r="E205" s="87">
        <v>3</v>
      </c>
      <c r="F205" s="87"/>
      <c r="G205" s="75">
        <v>1</v>
      </c>
      <c r="H205" s="75">
        <v>0.7</v>
      </c>
      <c r="I205" s="75">
        <v>0.2</v>
      </c>
      <c r="J205" s="75">
        <v>0.1</v>
      </c>
      <c r="K205" s="75"/>
      <c r="L205" s="75"/>
      <c r="M205" s="6" t="s">
        <v>616</v>
      </c>
      <c r="N205" s="229">
        <v>39</v>
      </c>
      <c r="O205" s="140">
        <v>7.8E-2</v>
      </c>
      <c r="R205" s="73"/>
      <c r="S205" s="87"/>
      <c r="T205" s="86"/>
      <c r="U205" s="86"/>
      <c r="V205" s="87"/>
      <c r="W205" s="72"/>
      <c r="X205" s="75"/>
      <c r="Y205" s="75"/>
      <c r="Z205" s="75"/>
      <c r="AA205" s="75"/>
    </row>
    <row r="206" spans="1:27" ht="12.75" customHeight="1" x14ac:dyDescent="0.4">
      <c r="A206" s="73" t="s">
        <v>303</v>
      </c>
      <c r="B206" s="87">
        <v>31</v>
      </c>
      <c r="C206" s="87">
        <v>16</v>
      </c>
      <c r="D206" s="87">
        <v>12</v>
      </c>
      <c r="E206" s="87">
        <v>3</v>
      </c>
      <c r="F206" s="87"/>
      <c r="G206" s="75">
        <v>1</v>
      </c>
      <c r="H206" s="75">
        <v>0.5161290322580645</v>
      </c>
      <c r="I206" s="75">
        <v>0.38709677419354838</v>
      </c>
      <c r="J206" s="75">
        <v>9.6774193548387094E-2</v>
      </c>
      <c r="K206" s="72"/>
      <c r="L206" s="72"/>
      <c r="M206" s="6"/>
      <c r="N206" s="139"/>
      <c r="O206" s="140"/>
      <c r="R206" s="73"/>
      <c r="S206" s="87"/>
      <c r="T206" s="86"/>
      <c r="U206" s="86"/>
      <c r="V206" s="87"/>
      <c r="W206" s="72"/>
      <c r="X206" s="75"/>
      <c r="Y206" s="75"/>
      <c r="Z206" s="75"/>
      <c r="AA206" s="75"/>
    </row>
    <row r="207" spans="1:27" ht="12.75" customHeight="1" x14ac:dyDescent="0.4">
      <c r="A207" s="73" t="s">
        <v>23</v>
      </c>
      <c r="B207" s="87">
        <v>499</v>
      </c>
      <c r="C207" s="87">
        <v>397</v>
      </c>
      <c r="D207" s="87">
        <v>81</v>
      </c>
      <c r="E207" s="87">
        <v>21</v>
      </c>
      <c r="F207" s="72"/>
      <c r="G207" s="75">
        <v>0.99204771371769385</v>
      </c>
      <c r="H207" s="75">
        <v>0.79559118236472948</v>
      </c>
      <c r="I207" s="75">
        <v>0.16232464929859719</v>
      </c>
      <c r="J207" s="75">
        <v>4.2084168336673347E-2</v>
      </c>
      <c r="K207" s="72"/>
      <c r="L207" s="72"/>
      <c r="M207" s="6"/>
      <c r="N207" s="139"/>
      <c r="O207" s="140"/>
      <c r="R207" s="73"/>
      <c r="S207" s="87"/>
      <c r="T207" s="86"/>
      <c r="U207" s="86"/>
      <c r="V207" s="87"/>
      <c r="W207" s="72"/>
      <c r="X207" s="75"/>
      <c r="Y207" s="75"/>
      <c r="Z207" s="75"/>
      <c r="AA207" s="75"/>
    </row>
    <row r="208" spans="1:27" ht="12.75" customHeight="1" x14ac:dyDescent="0.4">
      <c r="A208" s="73"/>
      <c r="B208" s="87"/>
      <c r="C208" s="86"/>
      <c r="D208" s="86"/>
      <c r="E208" s="87"/>
      <c r="F208" s="72"/>
      <c r="G208" s="75"/>
      <c r="H208" s="75"/>
      <c r="I208" s="75"/>
      <c r="J208" s="75"/>
      <c r="K208" s="72"/>
      <c r="L208" s="72"/>
      <c r="M208" s="6" t="s">
        <v>320</v>
      </c>
      <c r="N208" s="75" t="s">
        <v>318</v>
      </c>
      <c r="O208" s="75" t="s">
        <v>319</v>
      </c>
      <c r="P208" s="92"/>
      <c r="Q208" s="72"/>
      <c r="R208" s="73"/>
      <c r="S208" s="72"/>
      <c r="T208" s="72"/>
      <c r="U208" s="72"/>
      <c r="V208" s="72"/>
      <c r="W208" s="72"/>
      <c r="X208" s="72"/>
      <c r="Y208" s="72"/>
      <c r="Z208" s="72"/>
      <c r="AA208" s="72"/>
    </row>
    <row r="209" spans="1:27" ht="12.75" customHeight="1" x14ac:dyDescent="0.4">
      <c r="A209" s="73"/>
      <c r="B209" s="87"/>
      <c r="C209" s="87"/>
      <c r="D209" s="87"/>
      <c r="E209" s="87"/>
      <c r="F209" s="72"/>
      <c r="G209" s="75"/>
      <c r="H209" s="75"/>
      <c r="I209" s="75"/>
      <c r="J209" s="75"/>
      <c r="K209" s="72"/>
      <c r="L209" s="72"/>
      <c r="M209" s="6" t="s">
        <v>321</v>
      </c>
      <c r="N209" s="75" t="s">
        <v>316</v>
      </c>
      <c r="O209" s="75" t="s">
        <v>317</v>
      </c>
      <c r="P209" s="72"/>
      <c r="Q209" s="72"/>
      <c r="R209" s="73"/>
      <c r="S209" s="72"/>
      <c r="T209" s="72"/>
      <c r="U209" s="72"/>
      <c r="V209" s="72"/>
      <c r="W209" s="72"/>
      <c r="X209" s="72"/>
      <c r="Y209" s="72"/>
      <c r="Z209" s="72"/>
      <c r="AA209" s="72"/>
    </row>
    <row r="210" spans="1:27" ht="12.75" customHeight="1" x14ac:dyDescent="0.4">
      <c r="A210" s="73" t="s">
        <v>589</v>
      </c>
      <c r="B210" s="72"/>
      <c r="C210" s="72"/>
      <c r="D210" s="72"/>
      <c r="E210" s="72"/>
      <c r="F210" s="72"/>
      <c r="G210" s="72"/>
      <c r="H210" s="72"/>
      <c r="I210" s="72"/>
      <c r="J210" s="72"/>
      <c r="K210" s="72"/>
      <c r="L210" s="74"/>
      <c r="M210" s="6"/>
      <c r="N210" s="6"/>
      <c r="O210" s="6"/>
      <c r="P210" s="72"/>
      <c r="R210" s="73"/>
      <c r="S210" s="72"/>
      <c r="T210" s="72"/>
      <c r="U210" s="72"/>
      <c r="V210" s="72"/>
      <c r="W210" s="86"/>
      <c r="X210" s="72"/>
      <c r="Y210" s="72"/>
      <c r="Z210" s="72"/>
      <c r="AA210" s="72"/>
    </row>
    <row r="211" spans="1:27" ht="12.75" customHeight="1" x14ac:dyDescent="0.4">
      <c r="A211" s="73" t="s">
        <v>565</v>
      </c>
      <c r="B211" s="72"/>
      <c r="C211" s="72"/>
      <c r="D211" s="72"/>
      <c r="E211" s="72"/>
      <c r="F211" s="72"/>
      <c r="G211" s="72"/>
      <c r="H211" s="72"/>
      <c r="I211" s="72"/>
      <c r="J211" s="72"/>
      <c r="K211" s="74"/>
      <c r="L211" s="75"/>
      <c r="M211" s="6"/>
      <c r="N211" s="6"/>
      <c r="O211" s="6"/>
      <c r="R211" s="73"/>
      <c r="S211" s="74"/>
      <c r="T211" s="74"/>
      <c r="U211" s="74"/>
      <c r="V211" s="74"/>
      <c r="W211" s="86"/>
      <c r="X211" s="74"/>
      <c r="Y211" s="74"/>
      <c r="Z211" s="74"/>
      <c r="AA211" s="74"/>
    </row>
    <row r="212" spans="1:27" ht="12.75" customHeight="1" x14ac:dyDescent="0.4">
      <c r="A212" s="73" t="s">
        <v>610</v>
      </c>
      <c r="B212" s="72"/>
      <c r="C212" s="72"/>
      <c r="D212" s="72"/>
      <c r="E212" s="72"/>
      <c r="F212" s="72"/>
      <c r="G212" s="72"/>
      <c r="H212" s="72"/>
      <c r="I212" s="72"/>
      <c r="J212" s="72"/>
      <c r="K212" s="75"/>
      <c r="L212" s="75"/>
      <c r="M212" s="6"/>
      <c r="N212" s="6"/>
      <c r="O212" s="6"/>
      <c r="R212" s="73"/>
      <c r="S212" s="86"/>
      <c r="T212" s="86"/>
      <c r="U212" s="86"/>
      <c r="V212" s="86"/>
      <c r="W212" s="86"/>
      <c r="X212" s="75"/>
      <c r="Y212" s="75"/>
      <c r="Z212" s="75"/>
      <c r="AA212" s="75"/>
    </row>
    <row r="213" spans="1:27" ht="12.75" customHeight="1" x14ac:dyDescent="0.4">
      <c r="A213" s="73"/>
      <c r="B213" s="72" t="s">
        <v>139</v>
      </c>
      <c r="C213" s="72"/>
      <c r="D213" s="72"/>
      <c r="E213" s="72"/>
      <c r="F213" s="86"/>
      <c r="G213" s="72" t="s">
        <v>146</v>
      </c>
      <c r="H213" s="72"/>
      <c r="I213" s="72"/>
      <c r="J213" s="72"/>
      <c r="K213" s="75"/>
      <c r="L213" s="75"/>
      <c r="M213" s="6"/>
      <c r="N213" s="6"/>
      <c r="O213" s="6"/>
      <c r="R213" s="73"/>
      <c r="S213" s="86"/>
      <c r="T213" s="86"/>
      <c r="U213" s="86"/>
      <c r="V213" s="86"/>
      <c r="W213" s="86"/>
      <c r="X213" s="75"/>
      <c r="Y213" s="75"/>
      <c r="Z213" s="75"/>
      <c r="AA213" s="75"/>
    </row>
    <row r="214" spans="1:27" ht="12.75" customHeight="1" x14ac:dyDescent="0.4">
      <c r="A214" s="73" t="s">
        <v>136</v>
      </c>
      <c r="B214" s="74" t="s">
        <v>112</v>
      </c>
      <c r="C214" s="74" t="s">
        <v>113</v>
      </c>
      <c r="D214" s="74" t="s">
        <v>114</v>
      </c>
      <c r="E214" s="74" t="s">
        <v>115</v>
      </c>
      <c r="F214" s="86"/>
      <c r="G214" s="74" t="s">
        <v>112</v>
      </c>
      <c r="H214" s="74" t="s">
        <v>113</v>
      </c>
      <c r="I214" s="74" t="s">
        <v>114</v>
      </c>
      <c r="J214" s="74" t="s">
        <v>115</v>
      </c>
      <c r="K214" s="75"/>
      <c r="L214" s="75"/>
      <c r="M214" s="6" t="s">
        <v>589</v>
      </c>
      <c r="N214" s="6"/>
      <c r="O214" s="6"/>
      <c r="P214" s="160"/>
      <c r="Q214" s="140"/>
      <c r="R214" s="73"/>
      <c r="S214" s="86"/>
      <c r="T214" s="86"/>
      <c r="U214" s="86"/>
      <c r="V214" s="86"/>
      <c r="W214" s="86"/>
      <c r="X214" s="75"/>
      <c r="Y214" s="75"/>
      <c r="Z214" s="75"/>
      <c r="AA214" s="75"/>
    </row>
    <row r="215" spans="1:27" ht="12.75" customHeight="1" x14ac:dyDescent="0.4">
      <c r="A215" s="73" t="s">
        <v>127</v>
      </c>
      <c r="B215" s="87">
        <v>23</v>
      </c>
      <c r="C215" s="87">
        <v>16</v>
      </c>
      <c r="D215" s="87">
        <v>6</v>
      </c>
      <c r="E215" s="87">
        <v>1</v>
      </c>
      <c r="F215" s="86"/>
      <c r="G215" s="75">
        <v>1</v>
      </c>
      <c r="H215" s="75">
        <v>0.69565217391304346</v>
      </c>
      <c r="I215" s="75">
        <v>0.2608695652173913</v>
      </c>
      <c r="J215" s="75">
        <v>4.3478260869565216E-2</v>
      </c>
      <c r="K215" s="75"/>
      <c r="L215" s="75"/>
      <c r="M215" s="6" t="s">
        <v>592</v>
      </c>
      <c r="N215" s="139"/>
      <c r="O215" s="140"/>
      <c r="P215" s="160"/>
      <c r="Q215" s="140"/>
      <c r="R215" s="73"/>
      <c r="S215" s="86"/>
      <c r="T215" s="86"/>
      <c r="U215" s="86"/>
      <c r="V215" s="86"/>
      <c r="W215" s="86"/>
      <c r="X215" s="75"/>
      <c r="Y215" s="75"/>
      <c r="Z215" s="75"/>
      <c r="AA215" s="75"/>
    </row>
    <row r="216" spans="1:27" ht="12.75" customHeight="1" x14ac:dyDescent="0.4">
      <c r="A216" s="73" t="s">
        <v>128</v>
      </c>
      <c r="B216" s="87">
        <v>29</v>
      </c>
      <c r="C216" s="87">
        <v>21</v>
      </c>
      <c r="D216" s="87">
        <v>6</v>
      </c>
      <c r="E216" s="87">
        <v>2</v>
      </c>
      <c r="F216" s="86"/>
      <c r="G216" s="75">
        <v>1</v>
      </c>
      <c r="H216" s="75">
        <v>0.72413793103448276</v>
      </c>
      <c r="I216" s="75">
        <v>0.20689655172413793</v>
      </c>
      <c r="J216" s="75">
        <v>6.8965517241379309E-2</v>
      </c>
      <c r="K216" s="75"/>
      <c r="L216" s="75"/>
      <c r="M216" s="6" t="s">
        <v>445</v>
      </c>
      <c r="N216" s="6"/>
      <c r="O216" s="6"/>
      <c r="P216" s="223"/>
      <c r="Q216" s="140"/>
      <c r="R216" s="73"/>
      <c r="S216" s="86"/>
      <c r="T216" s="86"/>
      <c r="U216" s="86"/>
      <c r="V216" s="86"/>
      <c r="W216" s="86"/>
      <c r="X216" s="75"/>
      <c r="Y216" s="75"/>
      <c r="Z216" s="75"/>
      <c r="AA216" s="75"/>
    </row>
    <row r="217" spans="1:27" s="53" customFormat="1" ht="12.75" customHeight="1" x14ac:dyDescent="0.4">
      <c r="A217" s="73" t="s">
        <v>129</v>
      </c>
      <c r="B217" s="87">
        <v>75</v>
      </c>
      <c r="C217" s="87">
        <v>55</v>
      </c>
      <c r="D217" s="87">
        <v>14</v>
      </c>
      <c r="E217" s="87">
        <v>6</v>
      </c>
      <c r="F217" s="86"/>
      <c r="G217" s="75">
        <v>0.98684210526315785</v>
      </c>
      <c r="H217" s="75">
        <v>0.73333333333333328</v>
      </c>
      <c r="I217" s="75">
        <v>0.18666666666666668</v>
      </c>
      <c r="J217" s="75">
        <v>0.08</v>
      </c>
      <c r="K217" s="75"/>
      <c r="L217" s="75"/>
      <c r="M217" s="6" t="s">
        <v>201</v>
      </c>
      <c r="N217" s="76">
        <v>498</v>
      </c>
      <c r="O217" s="141" t="s">
        <v>202</v>
      </c>
      <c r="P217" s="160"/>
      <c r="Q217" s="140"/>
      <c r="R217" s="73"/>
      <c r="S217" s="86"/>
      <c r="T217" s="86"/>
      <c r="U217" s="86"/>
      <c r="V217" s="86"/>
      <c r="W217" s="86"/>
      <c r="X217" s="75"/>
      <c r="Y217" s="75"/>
      <c r="Z217" s="75"/>
      <c r="AA217" s="75"/>
    </row>
    <row r="218" spans="1:27" s="53" customFormat="1" ht="12.75" customHeight="1" x14ac:dyDescent="0.4">
      <c r="A218" s="73" t="s">
        <v>130</v>
      </c>
      <c r="B218" s="87">
        <v>53</v>
      </c>
      <c r="C218" s="87">
        <v>45</v>
      </c>
      <c r="D218" s="87">
        <v>8</v>
      </c>
      <c r="E218" s="87">
        <v>0</v>
      </c>
      <c r="F218" s="86"/>
      <c r="G218" s="75">
        <v>1</v>
      </c>
      <c r="H218" s="75">
        <v>0.84905660377358494</v>
      </c>
      <c r="I218" s="75">
        <v>0.15094339622641509</v>
      </c>
      <c r="J218" s="75">
        <v>0</v>
      </c>
      <c r="K218" s="75"/>
      <c r="L218" s="75"/>
      <c r="M218" s="6" t="s">
        <v>602</v>
      </c>
      <c r="N218" s="139">
        <v>338</v>
      </c>
      <c r="O218" s="284">
        <v>0.67871485943775101</v>
      </c>
      <c r="P218" s="160"/>
      <c r="Q218"/>
      <c r="R218" s="73"/>
      <c r="S218" s="86"/>
      <c r="T218" s="86"/>
      <c r="U218" s="86"/>
      <c r="V218" s="86"/>
      <c r="W218" s="87"/>
      <c r="X218" s="75"/>
      <c r="Y218" s="75"/>
      <c r="Z218" s="75"/>
      <c r="AA218" s="75"/>
    </row>
    <row r="219" spans="1:27" s="53" customFormat="1" ht="12.75" customHeight="1" x14ac:dyDescent="0.4">
      <c r="A219" s="73" t="s">
        <v>131</v>
      </c>
      <c r="B219" s="87">
        <v>37</v>
      </c>
      <c r="C219" s="87">
        <v>29</v>
      </c>
      <c r="D219" s="87">
        <v>6</v>
      </c>
      <c r="E219" s="87">
        <v>2</v>
      </c>
      <c r="F219" s="86"/>
      <c r="G219" s="75">
        <v>1</v>
      </c>
      <c r="H219" s="75">
        <v>0.78378378378378377</v>
      </c>
      <c r="I219" s="75">
        <v>0.16216216216216217</v>
      </c>
      <c r="J219" s="75">
        <v>5.4054054054054057E-2</v>
      </c>
      <c r="K219" s="75"/>
      <c r="L219" s="75"/>
      <c r="M219" s="6" t="s">
        <v>226</v>
      </c>
      <c r="N219" s="139">
        <v>81</v>
      </c>
      <c r="O219" s="284">
        <v>0.16265060240963855</v>
      </c>
      <c r="P219"/>
      <c r="Q219"/>
      <c r="R219" s="73"/>
      <c r="S219" s="86"/>
      <c r="T219" s="86"/>
      <c r="U219" s="86"/>
      <c r="V219" s="86"/>
      <c r="W219" s="87"/>
      <c r="X219" s="75"/>
      <c r="Y219" s="75"/>
      <c r="Z219" s="75"/>
      <c r="AA219" s="75"/>
    </row>
    <row r="220" spans="1:27" s="53" customFormat="1" ht="12.75" customHeight="1" x14ac:dyDescent="0.4">
      <c r="A220" s="73" t="s">
        <v>132</v>
      </c>
      <c r="B220" s="87">
        <v>65</v>
      </c>
      <c r="C220" s="87">
        <v>56</v>
      </c>
      <c r="D220" s="87">
        <v>7</v>
      </c>
      <c r="E220" s="87">
        <v>2</v>
      </c>
      <c r="F220" s="86"/>
      <c r="G220" s="75">
        <v>1</v>
      </c>
      <c r="H220" s="75">
        <v>0.86153846153846159</v>
      </c>
      <c r="I220" s="75">
        <v>0.1076923076923077</v>
      </c>
      <c r="J220" s="75">
        <v>3.0769230769230771E-2</v>
      </c>
      <c r="K220" s="75"/>
      <c r="L220" s="75"/>
      <c r="M220" s="6" t="s">
        <v>603</v>
      </c>
      <c r="N220" s="139">
        <v>144</v>
      </c>
      <c r="O220" s="284">
        <v>0.28915662650602408</v>
      </c>
      <c r="P220"/>
      <c r="Q220"/>
      <c r="R220" s="73"/>
      <c r="S220" s="86"/>
      <c r="T220" s="86"/>
      <c r="U220" s="86"/>
      <c r="V220" s="86"/>
      <c r="W220" s="87"/>
      <c r="X220" s="75"/>
      <c r="Y220" s="75"/>
      <c r="Z220" s="75"/>
      <c r="AA220" s="75"/>
    </row>
    <row r="221" spans="1:27" ht="12.75" customHeight="1" x14ac:dyDescent="0.4">
      <c r="A221" s="73" t="s">
        <v>133</v>
      </c>
      <c r="B221" s="87">
        <v>70</v>
      </c>
      <c r="C221" s="87">
        <v>49</v>
      </c>
      <c r="D221" s="87">
        <v>17</v>
      </c>
      <c r="E221" s="87">
        <v>4</v>
      </c>
      <c r="F221" s="87"/>
      <c r="G221" s="75">
        <v>0.97222222222222221</v>
      </c>
      <c r="H221" s="75">
        <v>0.7</v>
      </c>
      <c r="I221" s="75">
        <v>0.24285714285714285</v>
      </c>
      <c r="J221" s="75">
        <v>5.7142857142857141E-2</v>
      </c>
      <c r="K221" s="75"/>
      <c r="L221" s="75"/>
      <c r="M221" s="6" t="s">
        <v>227</v>
      </c>
      <c r="N221" s="139">
        <v>21</v>
      </c>
      <c r="O221" s="284">
        <v>4.2168674698795178E-2</v>
      </c>
      <c r="R221" s="73"/>
      <c r="S221" s="86"/>
      <c r="T221" s="86"/>
      <c r="U221" s="86"/>
      <c r="V221" s="86"/>
      <c r="W221" s="87"/>
      <c r="X221" s="75"/>
      <c r="Y221" s="75"/>
      <c r="Z221" s="75"/>
      <c r="AA221" s="75"/>
    </row>
    <row r="222" spans="1:27" ht="12.75" customHeight="1" x14ac:dyDescent="0.4">
      <c r="A222" s="73" t="s">
        <v>134</v>
      </c>
      <c r="B222" s="87">
        <v>65</v>
      </c>
      <c r="C222" s="87">
        <v>57</v>
      </c>
      <c r="D222" s="87">
        <v>2</v>
      </c>
      <c r="E222" s="87">
        <v>6</v>
      </c>
      <c r="F222" s="87"/>
      <c r="G222" s="75">
        <v>1</v>
      </c>
      <c r="H222" s="75">
        <v>0.87692307692307692</v>
      </c>
      <c r="I222" s="75">
        <v>3.0769230769230771E-2</v>
      </c>
      <c r="J222" s="75">
        <v>9.2307692307692313E-2</v>
      </c>
      <c r="K222" s="75"/>
      <c r="L222" s="75"/>
      <c r="M222" s="6"/>
      <c r="N222" s="139"/>
      <c r="O222" s="140"/>
      <c r="R222" s="73"/>
      <c r="S222" s="86"/>
      <c r="T222" s="86"/>
      <c r="U222" s="86"/>
      <c r="V222" s="86"/>
      <c r="W222" s="87"/>
      <c r="X222" s="75"/>
      <c r="Y222" s="75"/>
      <c r="Z222" s="75"/>
      <c r="AA222" s="75"/>
    </row>
    <row r="223" spans="1:27" ht="12.75" customHeight="1" x14ac:dyDescent="0.4">
      <c r="A223" s="73" t="s">
        <v>376</v>
      </c>
      <c r="B223" s="87">
        <v>22</v>
      </c>
      <c r="C223" s="87">
        <v>17</v>
      </c>
      <c r="D223" s="87">
        <v>4</v>
      </c>
      <c r="E223" s="87">
        <v>1</v>
      </c>
      <c r="F223" s="87"/>
      <c r="G223" s="75">
        <v>0.95652173913043481</v>
      </c>
      <c r="H223" s="75">
        <v>0.77272727272727271</v>
      </c>
      <c r="I223" s="75">
        <v>0.18181818181818182</v>
      </c>
      <c r="J223" s="75">
        <v>4.5454545454545456E-2</v>
      </c>
      <c r="K223" s="75"/>
      <c r="L223" s="75"/>
      <c r="M223" s="6" t="s">
        <v>604</v>
      </c>
      <c r="N223" s="138" t="s">
        <v>438</v>
      </c>
      <c r="O223" s="141" t="s">
        <v>202</v>
      </c>
      <c r="R223" s="73"/>
      <c r="S223" s="87"/>
      <c r="T223" s="86"/>
      <c r="U223" s="86"/>
      <c r="V223" s="87"/>
      <c r="W223" s="72"/>
      <c r="X223" s="75"/>
      <c r="Y223" s="75"/>
      <c r="Z223" s="75"/>
      <c r="AA223" s="75"/>
    </row>
    <row r="224" spans="1:27" ht="12.75" customHeight="1" x14ac:dyDescent="0.4">
      <c r="A224" s="73" t="s">
        <v>135</v>
      </c>
      <c r="B224" s="87">
        <v>30</v>
      </c>
      <c r="C224" s="87">
        <v>19</v>
      </c>
      <c r="D224" s="87">
        <v>9</v>
      </c>
      <c r="E224" s="87">
        <v>2</v>
      </c>
      <c r="F224" s="87"/>
      <c r="G224" s="75">
        <v>1</v>
      </c>
      <c r="H224" s="75">
        <v>0.6333333333333333</v>
      </c>
      <c r="I224" s="75">
        <v>0.3</v>
      </c>
      <c r="J224" s="75">
        <v>6.6666666666666666E-2</v>
      </c>
      <c r="K224" s="72"/>
      <c r="L224" s="72"/>
      <c r="M224" s="6" t="s">
        <v>605</v>
      </c>
      <c r="N224" s="229">
        <v>47</v>
      </c>
      <c r="O224" s="140">
        <v>9.4377510040160636E-2</v>
      </c>
      <c r="P224" s="92"/>
      <c r="R224" s="73"/>
      <c r="S224" s="87"/>
      <c r="T224" s="86"/>
      <c r="U224" s="86"/>
      <c r="V224" s="87"/>
      <c r="W224" s="72"/>
      <c r="X224" s="75"/>
      <c r="Y224" s="75"/>
      <c r="Z224" s="75"/>
      <c r="AA224" s="75"/>
    </row>
    <row r="225" spans="1:27" ht="12.75" customHeight="1" x14ac:dyDescent="0.4">
      <c r="A225" s="73" t="s">
        <v>303</v>
      </c>
      <c r="B225" s="87">
        <v>30</v>
      </c>
      <c r="C225" s="87">
        <v>16</v>
      </c>
      <c r="D225" s="87">
        <v>9</v>
      </c>
      <c r="E225" s="87">
        <v>5</v>
      </c>
      <c r="F225" s="87"/>
      <c r="G225" s="75">
        <v>1</v>
      </c>
      <c r="H225" s="75">
        <v>0.53333333333333333</v>
      </c>
      <c r="I225" s="75">
        <v>0.3</v>
      </c>
      <c r="J225" s="75">
        <v>0.16666666666666666</v>
      </c>
      <c r="K225" s="72"/>
      <c r="L225" s="72"/>
      <c r="M225" s="6"/>
      <c r="N225" s="139"/>
      <c r="O225" s="140"/>
      <c r="P225" s="72"/>
      <c r="R225" s="73"/>
      <c r="S225" s="87"/>
      <c r="T225" s="86"/>
      <c r="U225" s="86"/>
      <c r="V225" s="87"/>
      <c r="W225" s="72"/>
      <c r="X225" s="75"/>
      <c r="Y225" s="75"/>
      <c r="Z225" s="75"/>
      <c r="AA225" s="75"/>
    </row>
    <row r="226" spans="1:27" ht="12.75" customHeight="1" x14ac:dyDescent="0.4">
      <c r="A226" s="73" t="s">
        <v>23</v>
      </c>
      <c r="B226" s="87">
        <v>499</v>
      </c>
      <c r="C226" s="87">
        <v>380</v>
      </c>
      <c r="D226" s="87">
        <v>88</v>
      </c>
      <c r="E226" s="87">
        <v>31</v>
      </c>
      <c r="F226" s="72"/>
      <c r="G226" s="75">
        <v>0.98811881188118811</v>
      </c>
      <c r="H226" s="75">
        <v>0.76152304609218435</v>
      </c>
      <c r="I226" s="75">
        <v>0.17635270541082165</v>
      </c>
      <c r="J226" s="75">
        <v>6.2124248496993988E-2</v>
      </c>
      <c r="K226" s="72"/>
      <c r="L226" s="72"/>
      <c r="M226" s="6"/>
      <c r="N226" s="139"/>
      <c r="O226" s="140"/>
      <c r="P226" s="72"/>
      <c r="Q226" s="72"/>
      <c r="R226" s="73"/>
      <c r="S226" s="72"/>
      <c r="T226" s="72"/>
      <c r="U226" s="72"/>
      <c r="V226" s="72"/>
      <c r="W226" s="72"/>
      <c r="X226" s="72"/>
      <c r="Y226" s="72"/>
      <c r="Z226" s="72"/>
      <c r="AA226" s="72"/>
    </row>
    <row r="227" spans="1:27" ht="12.75" customHeight="1" x14ac:dyDescent="0.4">
      <c r="A227" s="73"/>
      <c r="B227" s="87"/>
      <c r="C227" s="87"/>
      <c r="D227" s="87"/>
      <c r="E227" s="87"/>
      <c r="F227" s="72"/>
      <c r="G227" s="75"/>
      <c r="H227" s="75"/>
      <c r="I227" s="75"/>
      <c r="J227" s="75"/>
      <c r="K227" s="72"/>
      <c r="L227" s="72"/>
      <c r="M227" s="6"/>
      <c r="N227" s="75"/>
      <c r="O227" s="75"/>
      <c r="P227" s="72"/>
      <c r="Q227" s="72"/>
      <c r="R227" s="73"/>
      <c r="S227" s="72"/>
      <c r="T227" s="72"/>
      <c r="U227" s="72"/>
      <c r="V227" s="72"/>
      <c r="W227" s="72"/>
      <c r="X227" s="72"/>
      <c r="Y227" s="72"/>
      <c r="Z227" s="72"/>
      <c r="AA227" s="72"/>
    </row>
    <row r="228" spans="1:27" ht="12.75" customHeight="1" x14ac:dyDescent="0.4">
      <c r="A228" s="73" t="s">
        <v>588</v>
      </c>
      <c r="B228" s="72"/>
      <c r="C228" s="72"/>
      <c r="D228" s="72"/>
      <c r="E228" s="72"/>
      <c r="F228" s="72"/>
      <c r="G228" s="72"/>
      <c r="H228" s="72"/>
      <c r="I228" s="72"/>
      <c r="J228" s="72"/>
      <c r="K228" s="72"/>
      <c r="L228" s="74"/>
      <c r="M228" s="6"/>
      <c r="N228" s="6"/>
      <c r="O228" s="6"/>
      <c r="P228" s="72"/>
      <c r="R228" s="73"/>
      <c r="S228" s="72"/>
      <c r="T228" s="72"/>
      <c r="U228" s="72"/>
      <c r="V228" s="72"/>
      <c r="W228" s="86"/>
      <c r="X228" s="72"/>
      <c r="Y228" s="72"/>
      <c r="Z228" s="72"/>
      <c r="AA228" s="72"/>
    </row>
    <row r="229" spans="1:27" ht="12.75" customHeight="1" x14ac:dyDescent="0.4">
      <c r="A229" s="73" t="s">
        <v>600</v>
      </c>
      <c r="B229" s="72"/>
      <c r="C229" s="72"/>
      <c r="D229" s="72"/>
      <c r="E229" s="72"/>
      <c r="F229" s="72"/>
      <c r="G229" s="72"/>
      <c r="H229" s="72"/>
      <c r="I229" s="72"/>
      <c r="J229" s="72"/>
      <c r="K229" s="74"/>
      <c r="L229" s="75"/>
      <c r="M229" s="6"/>
      <c r="N229" s="6"/>
      <c r="O229" s="6"/>
      <c r="R229" s="73"/>
      <c r="S229" s="74"/>
      <c r="T229" s="74"/>
      <c r="U229" s="74"/>
      <c r="V229" s="74"/>
      <c r="W229" s="86"/>
      <c r="X229" s="74"/>
      <c r="Y229" s="74"/>
      <c r="Z229" s="74"/>
      <c r="AA229" s="74"/>
    </row>
    <row r="230" spans="1:27" ht="12.75" customHeight="1" x14ac:dyDescent="0.4">
      <c r="A230" s="73" t="s">
        <v>601</v>
      </c>
      <c r="B230" s="72"/>
      <c r="C230" s="72"/>
      <c r="D230" s="72"/>
      <c r="E230" s="72"/>
      <c r="F230" s="72"/>
      <c r="G230" s="72"/>
      <c r="H230" s="72"/>
      <c r="I230" s="72"/>
      <c r="J230" s="72"/>
      <c r="K230" s="75"/>
      <c r="L230" s="75"/>
      <c r="M230" s="6"/>
      <c r="N230" s="6"/>
      <c r="O230" s="6"/>
      <c r="R230" s="73"/>
      <c r="S230" s="86"/>
      <c r="T230" s="86"/>
      <c r="U230" s="86"/>
      <c r="V230" s="86"/>
      <c r="W230" s="86"/>
      <c r="X230" s="75"/>
      <c r="Y230" s="75"/>
      <c r="Z230" s="75"/>
      <c r="AA230" s="75"/>
    </row>
    <row r="231" spans="1:27" ht="12.75" customHeight="1" x14ac:dyDescent="0.4">
      <c r="A231" s="73"/>
      <c r="B231" s="72" t="s">
        <v>139</v>
      </c>
      <c r="C231" s="72"/>
      <c r="D231" s="72"/>
      <c r="E231" s="72"/>
      <c r="F231" s="86"/>
      <c r="G231" s="72" t="s">
        <v>146</v>
      </c>
      <c r="H231" s="72"/>
      <c r="I231" s="72"/>
      <c r="J231" s="72"/>
      <c r="K231" s="75"/>
      <c r="L231" s="75"/>
      <c r="M231" s="6"/>
      <c r="N231" s="6"/>
      <c r="O231" s="6"/>
      <c r="R231" s="73"/>
      <c r="S231" s="86"/>
      <c r="T231" s="86"/>
      <c r="U231" s="86"/>
      <c r="V231" s="86"/>
      <c r="W231" s="86"/>
      <c r="X231" s="75"/>
      <c r="Y231" s="75"/>
      <c r="Z231" s="75"/>
      <c r="AA231" s="75"/>
    </row>
    <row r="232" spans="1:27" ht="12.75" customHeight="1" x14ac:dyDescent="0.4">
      <c r="A232" s="73" t="s">
        <v>136</v>
      </c>
      <c r="B232" s="74" t="s">
        <v>112</v>
      </c>
      <c r="C232" s="74" t="s">
        <v>113</v>
      </c>
      <c r="D232" s="74" t="s">
        <v>114</v>
      </c>
      <c r="E232" s="74" t="s">
        <v>115</v>
      </c>
      <c r="F232" s="86"/>
      <c r="G232" s="74" t="s">
        <v>112</v>
      </c>
      <c r="H232" s="74" t="s">
        <v>113</v>
      </c>
      <c r="I232" s="74" t="s">
        <v>114</v>
      </c>
      <c r="J232" s="74" t="s">
        <v>115</v>
      </c>
      <c r="K232" s="75"/>
      <c r="L232" s="75"/>
      <c r="M232" s="6" t="s">
        <v>588</v>
      </c>
      <c r="N232" s="6"/>
      <c r="O232" s="6"/>
      <c r="P232" s="160"/>
      <c r="Q232" s="140"/>
      <c r="R232" s="73"/>
      <c r="S232" s="86"/>
      <c r="T232" s="86"/>
      <c r="U232" s="86"/>
      <c r="V232" s="86"/>
      <c r="W232" s="86"/>
      <c r="X232" s="75"/>
      <c r="Y232" s="75"/>
      <c r="Z232" s="75"/>
      <c r="AA232" s="75"/>
    </row>
    <row r="233" spans="1:27" ht="12.75" customHeight="1" x14ac:dyDescent="0.4">
      <c r="A233" s="73" t="s">
        <v>127</v>
      </c>
      <c r="B233" s="87">
        <v>23</v>
      </c>
      <c r="C233" s="87">
        <v>20</v>
      </c>
      <c r="D233" s="87">
        <v>3</v>
      </c>
      <c r="E233" s="87">
        <v>0</v>
      </c>
      <c r="F233" s="86"/>
      <c r="G233" s="75">
        <v>1</v>
      </c>
      <c r="H233" s="75">
        <v>0.86956521739130432</v>
      </c>
      <c r="I233" s="75">
        <v>0.13043478260869565</v>
      </c>
      <c r="J233" s="75">
        <v>0</v>
      </c>
      <c r="K233" s="75"/>
      <c r="L233" s="75"/>
      <c r="M233" s="6" t="s">
        <v>592</v>
      </c>
      <c r="N233" s="139"/>
      <c r="O233" s="140"/>
      <c r="P233" s="160"/>
      <c r="Q233" s="140"/>
      <c r="R233" s="73"/>
      <c r="S233" s="86"/>
      <c r="T233" s="86"/>
      <c r="U233" s="86"/>
      <c r="V233" s="86"/>
      <c r="W233" s="86"/>
      <c r="X233" s="75"/>
      <c r="Y233" s="75"/>
      <c r="Z233" s="75"/>
      <c r="AA233" s="75"/>
    </row>
    <row r="234" spans="1:27" ht="12.75" customHeight="1" x14ac:dyDescent="0.4">
      <c r="A234" s="73" t="s">
        <v>128</v>
      </c>
      <c r="B234" s="87">
        <v>29</v>
      </c>
      <c r="C234" s="87">
        <v>24</v>
      </c>
      <c r="D234" s="87">
        <v>4</v>
      </c>
      <c r="E234" s="87">
        <v>1</v>
      </c>
      <c r="F234" s="86"/>
      <c r="G234" s="75">
        <v>1</v>
      </c>
      <c r="H234" s="75">
        <v>0.82758620689655171</v>
      </c>
      <c r="I234" s="75">
        <v>0.13793103448275862</v>
      </c>
      <c r="J234" s="75">
        <v>3.4482758620689655E-2</v>
      </c>
      <c r="K234" s="75"/>
      <c r="L234" s="75"/>
      <c r="M234" s="6" t="s">
        <v>445</v>
      </c>
      <c r="N234" s="6"/>
      <c r="O234" s="6"/>
      <c r="P234" s="223"/>
      <c r="Q234" s="140"/>
      <c r="R234" s="73"/>
      <c r="S234" s="86"/>
      <c r="T234" s="86"/>
      <c r="U234" s="86"/>
      <c r="V234" s="86"/>
      <c r="W234" s="86"/>
      <c r="X234" s="75"/>
      <c r="Y234" s="75"/>
      <c r="Z234" s="75"/>
      <c r="AA234" s="75"/>
    </row>
    <row r="235" spans="1:27" s="53" customFormat="1" ht="12.75" customHeight="1" x14ac:dyDescent="0.4">
      <c r="A235" s="73" t="s">
        <v>129</v>
      </c>
      <c r="B235" s="87">
        <v>72</v>
      </c>
      <c r="C235" s="87">
        <v>60</v>
      </c>
      <c r="D235" s="87">
        <v>11</v>
      </c>
      <c r="E235" s="87">
        <v>1</v>
      </c>
      <c r="F235" s="86"/>
      <c r="G235" s="75">
        <v>0.98630136986301364</v>
      </c>
      <c r="H235" s="75">
        <v>0.83333333333333337</v>
      </c>
      <c r="I235" s="75">
        <v>0.15277777777777779</v>
      </c>
      <c r="J235" s="75">
        <v>1.3888888888888888E-2</v>
      </c>
      <c r="K235" s="75"/>
      <c r="L235" s="75"/>
      <c r="M235" s="6" t="s">
        <v>201</v>
      </c>
      <c r="N235" s="76">
        <v>498</v>
      </c>
      <c r="O235" s="141" t="s">
        <v>202</v>
      </c>
      <c r="P235" s="160"/>
      <c r="Q235" s="140"/>
      <c r="R235" s="73"/>
      <c r="S235" s="86"/>
      <c r="T235" s="86"/>
      <c r="U235" s="86"/>
      <c r="V235" s="86"/>
      <c r="W235" s="86"/>
      <c r="X235" s="75"/>
      <c r="Y235" s="75"/>
      <c r="Z235" s="75"/>
      <c r="AA235" s="75"/>
    </row>
    <row r="236" spans="1:27" s="53" customFormat="1" ht="12.75" customHeight="1" x14ac:dyDescent="0.4">
      <c r="A236" s="73" t="s">
        <v>130</v>
      </c>
      <c r="B236" s="87">
        <v>53</v>
      </c>
      <c r="C236" s="87">
        <v>44</v>
      </c>
      <c r="D236" s="87">
        <v>8</v>
      </c>
      <c r="E236" s="87">
        <v>1</v>
      </c>
      <c r="F236" s="86"/>
      <c r="G236" s="75">
        <v>1</v>
      </c>
      <c r="H236" s="75">
        <v>0.83018867924528306</v>
      </c>
      <c r="I236" s="75">
        <v>0.15094339622641509</v>
      </c>
      <c r="J236" s="75">
        <v>1.8867924528301886E-2</v>
      </c>
      <c r="K236" s="75"/>
      <c r="L236" s="75"/>
      <c r="M236" s="6" t="s">
        <v>593</v>
      </c>
      <c r="N236" s="139">
        <v>354</v>
      </c>
      <c r="O236" s="284">
        <v>0.71084337349397586</v>
      </c>
      <c r="P236" s="160"/>
      <c r="Q236"/>
      <c r="R236" s="73"/>
      <c r="S236" s="86"/>
      <c r="T236" s="86"/>
      <c r="U236" s="86"/>
      <c r="V236" s="86"/>
      <c r="W236" s="87"/>
      <c r="X236" s="75"/>
      <c r="Y236" s="75"/>
      <c r="Z236" s="75"/>
      <c r="AA236" s="75"/>
    </row>
    <row r="237" spans="1:27" s="53" customFormat="1" ht="12.75" customHeight="1" x14ac:dyDescent="0.4">
      <c r="A237" s="73" t="s">
        <v>131</v>
      </c>
      <c r="B237" s="87">
        <v>37</v>
      </c>
      <c r="C237" s="87">
        <v>31</v>
      </c>
      <c r="D237" s="87">
        <v>5</v>
      </c>
      <c r="E237" s="87">
        <v>1</v>
      </c>
      <c r="F237" s="86"/>
      <c r="G237" s="75">
        <v>1</v>
      </c>
      <c r="H237" s="75">
        <v>0.83783783783783783</v>
      </c>
      <c r="I237" s="75">
        <v>0.13513513513513514</v>
      </c>
      <c r="J237" s="75">
        <v>2.7027027027027029E-2</v>
      </c>
      <c r="K237" s="75"/>
      <c r="L237" s="75"/>
      <c r="M237" s="6" t="s">
        <v>226</v>
      </c>
      <c r="N237" s="139">
        <v>92</v>
      </c>
      <c r="O237" s="284">
        <v>0.18473895582329317</v>
      </c>
      <c r="P237"/>
      <c r="Q237"/>
      <c r="R237" s="73"/>
      <c r="S237" s="86"/>
      <c r="T237" s="86"/>
      <c r="U237" s="86"/>
      <c r="V237" s="86"/>
      <c r="W237" s="87"/>
      <c r="X237" s="75"/>
      <c r="Y237" s="75"/>
      <c r="Z237" s="75"/>
      <c r="AA237" s="75"/>
    </row>
    <row r="238" spans="1:27" s="53" customFormat="1" ht="12.75" customHeight="1" x14ac:dyDescent="0.4">
      <c r="A238" s="73" t="s">
        <v>132</v>
      </c>
      <c r="B238" s="87">
        <v>65</v>
      </c>
      <c r="C238" s="87">
        <v>53</v>
      </c>
      <c r="D238" s="87">
        <v>9</v>
      </c>
      <c r="E238" s="87">
        <v>3</v>
      </c>
      <c r="F238" s="86"/>
      <c r="G238" s="75">
        <v>1</v>
      </c>
      <c r="H238" s="75">
        <v>0.81538461538461537</v>
      </c>
      <c r="I238" s="75">
        <v>0.13846153846153847</v>
      </c>
      <c r="J238" s="75">
        <v>4.6153846153846156E-2</v>
      </c>
      <c r="K238" s="75"/>
      <c r="L238" s="75"/>
      <c r="M238" s="6" t="s">
        <v>594</v>
      </c>
      <c r="N238" s="139">
        <v>133</v>
      </c>
      <c r="O238" s="284">
        <v>0.26706827309236947</v>
      </c>
      <c r="P238"/>
      <c r="Q238"/>
      <c r="R238" s="73"/>
      <c r="S238" s="86"/>
      <c r="T238" s="86"/>
      <c r="U238" s="86"/>
      <c r="V238" s="86"/>
      <c r="W238" s="87"/>
      <c r="X238" s="75"/>
      <c r="Y238" s="75"/>
      <c r="Z238" s="75"/>
      <c r="AA238" s="75"/>
    </row>
    <row r="239" spans="1:27" ht="12.75" customHeight="1" x14ac:dyDescent="0.4">
      <c r="A239" s="73" t="s">
        <v>133</v>
      </c>
      <c r="B239" s="87">
        <v>72</v>
      </c>
      <c r="C239" s="87">
        <v>47</v>
      </c>
      <c r="D239" s="87">
        <v>23</v>
      </c>
      <c r="E239" s="87">
        <v>2</v>
      </c>
      <c r="F239" s="87"/>
      <c r="G239" s="75">
        <v>0.98630136986301364</v>
      </c>
      <c r="H239" s="75">
        <v>0.65277777777777779</v>
      </c>
      <c r="I239" s="75">
        <v>0.31944444444444442</v>
      </c>
      <c r="J239" s="75">
        <v>2.7777777777777776E-2</v>
      </c>
      <c r="K239" s="75"/>
      <c r="L239" s="75"/>
      <c r="M239" s="6" t="s">
        <v>227</v>
      </c>
      <c r="N239" s="139">
        <v>20</v>
      </c>
      <c r="O239" s="284">
        <v>4.0160642570281124E-2</v>
      </c>
      <c r="R239" s="73"/>
      <c r="S239" s="86"/>
      <c r="T239" s="86"/>
      <c r="U239" s="86"/>
      <c r="V239" s="86"/>
      <c r="W239" s="87"/>
      <c r="X239" s="75"/>
      <c r="Y239" s="75"/>
      <c r="Z239" s="75"/>
      <c r="AA239" s="75"/>
    </row>
    <row r="240" spans="1:27" ht="12.75" customHeight="1" x14ac:dyDescent="0.4">
      <c r="A240" s="73" t="s">
        <v>134</v>
      </c>
      <c r="B240" s="87">
        <v>66</v>
      </c>
      <c r="C240" s="87">
        <v>54</v>
      </c>
      <c r="D240" s="87">
        <v>10</v>
      </c>
      <c r="E240" s="87">
        <v>2</v>
      </c>
      <c r="F240" s="87"/>
      <c r="G240" s="75">
        <v>1</v>
      </c>
      <c r="H240" s="75">
        <v>0.81818181818181823</v>
      </c>
      <c r="I240" s="75">
        <v>0.15151515151515152</v>
      </c>
      <c r="J240" s="75">
        <v>3.0303030303030304E-2</v>
      </c>
      <c r="K240" s="75"/>
      <c r="L240" s="75"/>
      <c r="M240" s="6"/>
      <c r="N240" s="139"/>
      <c r="O240" s="140"/>
      <c r="R240" s="73"/>
      <c r="S240" s="86"/>
      <c r="T240" s="86"/>
      <c r="U240" s="86"/>
      <c r="V240" s="86"/>
      <c r="W240" s="87"/>
      <c r="X240" s="75"/>
      <c r="Y240" s="75"/>
      <c r="Z240" s="75"/>
      <c r="AA240" s="75"/>
    </row>
    <row r="241" spans="1:27" ht="12.75" customHeight="1" x14ac:dyDescent="0.4">
      <c r="A241" s="73" t="s">
        <v>376</v>
      </c>
      <c r="B241" s="87">
        <v>23</v>
      </c>
      <c r="C241" s="87">
        <v>15</v>
      </c>
      <c r="D241" s="87">
        <v>8</v>
      </c>
      <c r="E241" s="87">
        <v>0</v>
      </c>
      <c r="F241" s="87"/>
      <c r="G241" s="75">
        <v>0.95833333333333337</v>
      </c>
      <c r="H241" s="75">
        <v>0.65217391304347827</v>
      </c>
      <c r="I241" s="75">
        <v>0.34782608695652173</v>
      </c>
      <c r="J241" s="75">
        <v>0</v>
      </c>
      <c r="K241" s="75"/>
      <c r="L241" s="75"/>
      <c r="M241" s="6" t="s">
        <v>595</v>
      </c>
      <c r="N241" s="138" t="s">
        <v>438</v>
      </c>
      <c r="O241" s="141" t="s">
        <v>202</v>
      </c>
      <c r="R241" s="73"/>
      <c r="S241" s="87"/>
      <c r="T241" s="86"/>
      <c r="U241" s="86"/>
      <c r="V241" s="87"/>
      <c r="W241" s="72"/>
      <c r="X241" s="75"/>
      <c r="Y241" s="75"/>
      <c r="Z241" s="75"/>
      <c r="AA241" s="75"/>
    </row>
    <row r="242" spans="1:27" ht="12.75" customHeight="1" x14ac:dyDescent="0.4">
      <c r="A242" s="73" t="s">
        <v>135</v>
      </c>
      <c r="B242" s="87">
        <v>30</v>
      </c>
      <c r="C242" s="87">
        <v>17</v>
      </c>
      <c r="D242" s="87">
        <v>10</v>
      </c>
      <c r="E242" s="87">
        <v>3</v>
      </c>
      <c r="F242" s="87"/>
      <c r="G242" s="75">
        <v>1</v>
      </c>
      <c r="H242" s="75">
        <v>0.56666666666666665</v>
      </c>
      <c r="I242" s="75">
        <v>0.33333333333333331</v>
      </c>
      <c r="J242" s="75">
        <v>0.1</v>
      </c>
      <c r="K242" s="72"/>
      <c r="L242" s="72"/>
      <c r="M242" s="6" t="s">
        <v>596</v>
      </c>
      <c r="N242" s="229">
        <v>63</v>
      </c>
      <c r="O242" s="140">
        <v>0.12650602409638553</v>
      </c>
      <c r="P242" s="92"/>
      <c r="S242" s="53"/>
    </row>
    <row r="243" spans="1:27" ht="12.75" customHeight="1" x14ac:dyDescent="0.4">
      <c r="A243" s="73" t="s">
        <v>303</v>
      </c>
      <c r="B243" s="87">
        <v>30</v>
      </c>
      <c r="C243" s="87">
        <v>18</v>
      </c>
      <c r="D243" s="87">
        <v>10</v>
      </c>
      <c r="E243" s="87">
        <v>2</v>
      </c>
      <c r="F243" s="87"/>
      <c r="G243" s="75">
        <v>1</v>
      </c>
      <c r="H243" s="75">
        <v>0.6</v>
      </c>
      <c r="I243" s="75">
        <v>0.33333333333333331</v>
      </c>
      <c r="J243" s="75">
        <v>6.6666666666666666E-2</v>
      </c>
      <c r="K243" s="72"/>
      <c r="L243" s="74"/>
      <c r="M243" s="6"/>
      <c r="N243" s="139"/>
      <c r="O243" s="140"/>
      <c r="P243" s="72"/>
      <c r="S243" s="53"/>
    </row>
    <row r="244" spans="1:27" ht="13.15" x14ac:dyDescent="0.4">
      <c r="A244" s="73" t="s">
        <v>23</v>
      </c>
      <c r="B244" s="87">
        <v>500</v>
      </c>
      <c r="C244" s="87">
        <v>383</v>
      </c>
      <c r="D244" s="87">
        <v>101</v>
      </c>
      <c r="E244" s="87">
        <v>16</v>
      </c>
      <c r="F244" s="72"/>
      <c r="G244" s="75">
        <v>0.99009900990099009</v>
      </c>
      <c r="H244" s="75">
        <v>0.76600000000000001</v>
      </c>
      <c r="I244" s="75">
        <v>0.20200000000000001</v>
      </c>
      <c r="J244" s="75">
        <v>3.2000000000000001E-2</v>
      </c>
      <c r="K244" s="72"/>
      <c r="L244" s="75"/>
      <c r="M244" s="6"/>
      <c r="N244" s="139"/>
      <c r="O244" s="140"/>
      <c r="P244" s="72"/>
      <c r="Q244" s="72"/>
      <c r="R244" s="73"/>
      <c r="S244" s="72"/>
      <c r="T244" s="72"/>
      <c r="U244" s="72"/>
      <c r="V244" s="72"/>
      <c r="W244" s="72"/>
      <c r="X244" s="72"/>
      <c r="Y244" s="72"/>
      <c r="Z244" s="72"/>
      <c r="AA244" s="72"/>
    </row>
    <row r="245" spans="1:27" ht="12.75" customHeight="1" x14ac:dyDescent="0.4">
      <c r="A245" s="219"/>
      <c r="B245" s="72"/>
      <c r="C245" s="72"/>
      <c r="D245" s="72"/>
      <c r="E245" s="72"/>
      <c r="F245" s="72"/>
      <c r="G245" s="73"/>
      <c r="H245" s="72"/>
      <c r="I245" s="72"/>
      <c r="J245" s="72"/>
      <c r="K245" s="74"/>
      <c r="L245" s="75"/>
      <c r="M245" s="6"/>
      <c r="N245" s="75"/>
      <c r="O245" s="75"/>
      <c r="P245" s="72"/>
      <c r="Q245" s="72"/>
      <c r="R245" s="73"/>
      <c r="S245" s="72"/>
      <c r="T245" s="72"/>
      <c r="U245" s="72"/>
      <c r="V245" s="72"/>
      <c r="W245" s="72"/>
      <c r="X245" s="72"/>
      <c r="Y245" s="72"/>
      <c r="Z245" s="72"/>
      <c r="AA245" s="72"/>
    </row>
    <row r="246" spans="1:27" ht="12.75" customHeight="1" x14ac:dyDescent="0.4">
      <c r="A246" s="73" t="s">
        <v>579</v>
      </c>
      <c r="B246" s="72"/>
      <c r="C246" s="72"/>
      <c r="D246" s="72"/>
      <c r="E246" s="72"/>
      <c r="F246" s="72"/>
      <c r="G246" s="72"/>
      <c r="H246" s="72"/>
      <c r="I246" s="72"/>
      <c r="J246" s="72"/>
      <c r="K246" s="75"/>
      <c r="L246" s="75"/>
      <c r="M246" s="6"/>
      <c r="N246" s="6"/>
      <c r="O246" s="6"/>
      <c r="P246" s="72"/>
      <c r="Q246" s="72"/>
      <c r="R246" s="73"/>
      <c r="S246" s="72"/>
      <c r="T246" s="72"/>
      <c r="U246" s="72"/>
      <c r="V246" s="72"/>
      <c r="W246" s="72"/>
      <c r="X246" s="72"/>
      <c r="Y246" s="72"/>
      <c r="Z246" s="72"/>
      <c r="AA246" s="72"/>
    </row>
    <row r="247" spans="1:27" ht="12.75" customHeight="1" x14ac:dyDescent="0.4">
      <c r="A247" s="73" t="s">
        <v>600</v>
      </c>
      <c r="B247" s="72"/>
      <c r="C247" s="72"/>
      <c r="D247" s="72"/>
      <c r="E247" s="72"/>
      <c r="F247" s="72"/>
      <c r="G247" s="72"/>
      <c r="H247" s="72"/>
      <c r="I247" s="72"/>
      <c r="J247" s="72"/>
      <c r="K247" s="75"/>
      <c r="L247" s="75"/>
      <c r="M247" s="6"/>
      <c r="N247" s="6"/>
      <c r="O247" s="6"/>
      <c r="R247" s="73"/>
      <c r="S247" s="72"/>
      <c r="T247" s="72"/>
      <c r="U247" s="72"/>
      <c r="V247" s="72"/>
      <c r="W247" s="86"/>
      <c r="X247" s="72"/>
      <c r="Y247" s="72"/>
      <c r="Z247" s="72"/>
      <c r="AA247" s="72"/>
    </row>
    <row r="248" spans="1:27" ht="12.75" customHeight="1" x14ac:dyDescent="0.4">
      <c r="A248" s="73" t="s">
        <v>684</v>
      </c>
      <c r="B248" s="72"/>
      <c r="C248" s="72"/>
      <c r="D248" s="72"/>
      <c r="E248" s="72"/>
      <c r="F248" s="72"/>
      <c r="G248" s="72"/>
      <c r="H248" s="72"/>
      <c r="I248" s="72"/>
      <c r="J248" s="72"/>
      <c r="K248" s="75"/>
      <c r="L248" s="75"/>
      <c r="M248" s="6"/>
      <c r="N248" s="6"/>
      <c r="O248" s="6"/>
      <c r="R248" s="73"/>
      <c r="S248" s="74"/>
      <c r="T248" s="74"/>
      <c r="U248" s="74"/>
      <c r="V248" s="74"/>
      <c r="W248" s="86"/>
      <c r="X248" s="74"/>
      <c r="Y248" s="74"/>
      <c r="Z248" s="74"/>
      <c r="AA248" s="74"/>
    </row>
    <row r="249" spans="1:27" ht="12.75" customHeight="1" x14ac:dyDescent="0.4">
      <c r="A249" s="73"/>
      <c r="B249" s="72" t="s">
        <v>139</v>
      </c>
      <c r="C249" s="72"/>
      <c r="D249" s="72"/>
      <c r="E249" s="72"/>
      <c r="F249" s="86"/>
      <c r="G249" s="72" t="s">
        <v>146</v>
      </c>
      <c r="H249" s="72"/>
      <c r="I249" s="72"/>
      <c r="J249" s="72"/>
      <c r="K249" s="75"/>
      <c r="L249" s="75"/>
      <c r="M249" s="6"/>
      <c r="N249" s="6"/>
      <c r="O249" s="6"/>
      <c r="R249" s="73"/>
      <c r="S249" s="86"/>
      <c r="T249" s="86"/>
      <c r="U249" s="86"/>
      <c r="V249" s="86"/>
      <c r="W249" s="86"/>
      <c r="X249" s="75"/>
      <c r="Y249" s="75"/>
      <c r="Z249" s="75"/>
      <c r="AA249" s="75"/>
    </row>
    <row r="250" spans="1:27" ht="12.75" customHeight="1" x14ac:dyDescent="0.4">
      <c r="A250" s="73" t="s">
        <v>136</v>
      </c>
      <c r="B250" s="74" t="s">
        <v>112</v>
      </c>
      <c r="C250" s="74" t="s">
        <v>113</v>
      </c>
      <c r="D250" s="74" t="s">
        <v>114</v>
      </c>
      <c r="E250" s="74" t="s">
        <v>115</v>
      </c>
      <c r="F250" s="86"/>
      <c r="G250" s="74" t="s">
        <v>112</v>
      </c>
      <c r="H250" s="74" t="s">
        <v>113</v>
      </c>
      <c r="I250" s="74" t="s">
        <v>114</v>
      </c>
      <c r="J250" s="74" t="s">
        <v>115</v>
      </c>
      <c r="K250" s="75"/>
      <c r="L250" s="75"/>
      <c r="M250" s="6" t="s">
        <v>579</v>
      </c>
      <c r="N250" s="6"/>
      <c r="O250" s="6"/>
      <c r="P250" s="160"/>
      <c r="R250" s="73"/>
      <c r="S250" s="86"/>
      <c r="T250" s="86"/>
      <c r="U250" s="86"/>
      <c r="V250" s="86"/>
      <c r="W250" s="86"/>
      <c r="X250" s="75"/>
      <c r="Y250" s="75"/>
      <c r="Z250" s="75"/>
      <c r="AA250" s="75"/>
    </row>
    <row r="251" spans="1:27" ht="12.75" customHeight="1" x14ac:dyDescent="0.4">
      <c r="A251" s="73" t="s">
        <v>127</v>
      </c>
      <c r="B251" s="87">
        <v>23</v>
      </c>
      <c r="C251" s="87">
        <v>15</v>
      </c>
      <c r="D251" s="87">
        <v>7</v>
      </c>
      <c r="E251" s="87">
        <v>1</v>
      </c>
      <c r="F251" s="86"/>
      <c r="G251" s="75">
        <v>1</v>
      </c>
      <c r="H251" s="75">
        <v>0.65217391304347827</v>
      </c>
      <c r="I251" s="75">
        <v>0.30434782608695654</v>
      </c>
      <c r="J251" s="75">
        <v>4.3478260869565216E-2</v>
      </c>
      <c r="K251" s="75"/>
      <c r="L251" s="75"/>
      <c r="M251" s="6" t="s">
        <v>685</v>
      </c>
      <c r="N251" s="139"/>
      <c r="O251" s="140"/>
      <c r="P251" s="160"/>
      <c r="Q251" s="140"/>
      <c r="R251" s="73"/>
      <c r="S251" s="86"/>
      <c r="T251" s="86"/>
      <c r="U251" s="86"/>
      <c r="V251" s="86"/>
      <c r="W251" s="86"/>
      <c r="X251" s="75"/>
      <c r="Y251" s="75"/>
      <c r="Z251" s="75"/>
      <c r="AA251" s="75"/>
    </row>
    <row r="252" spans="1:27" ht="12.75" customHeight="1" x14ac:dyDescent="0.4">
      <c r="A252" s="73" t="s">
        <v>128</v>
      </c>
      <c r="B252" s="87">
        <v>29</v>
      </c>
      <c r="C252" s="87">
        <v>18</v>
      </c>
      <c r="D252" s="87">
        <v>10</v>
      </c>
      <c r="E252" s="87">
        <v>1</v>
      </c>
      <c r="F252" s="86"/>
      <c r="G252" s="75">
        <v>1</v>
      </c>
      <c r="H252" s="75">
        <v>0.62068965517241381</v>
      </c>
      <c r="I252" s="75">
        <v>0.34482758620689657</v>
      </c>
      <c r="J252" s="75">
        <v>3.4482758620689655E-2</v>
      </c>
      <c r="K252" s="75"/>
      <c r="L252" s="75"/>
      <c r="M252" s="6" t="s">
        <v>445</v>
      </c>
      <c r="N252" s="6"/>
      <c r="O252" s="6"/>
      <c r="P252" s="223"/>
      <c r="Q252" s="140"/>
      <c r="R252" s="73"/>
      <c r="S252" s="86"/>
      <c r="T252" s="86"/>
      <c r="U252" s="86"/>
      <c r="V252" s="86"/>
      <c r="W252" s="86"/>
      <c r="X252" s="75"/>
      <c r="Y252" s="75"/>
      <c r="Z252" s="75"/>
      <c r="AA252" s="75"/>
    </row>
    <row r="253" spans="1:27" ht="12.75" customHeight="1" x14ac:dyDescent="0.4">
      <c r="A253" s="73" t="s">
        <v>129</v>
      </c>
      <c r="B253" s="87">
        <v>70</v>
      </c>
      <c r="C253" s="87">
        <v>45</v>
      </c>
      <c r="D253" s="87">
        <v>19</v>
      </c>
      <c r="E253" s="87">
        <v>6</v>
      </c>
      <c r="F253" s="86"/>
      <c r="G253" s="75">
        <v>1</v>
      </c>
      <c r="H253" s="75">
        <v>0.6428571428571429</v>
      </c>
      <c r="I253" s="75">
        <v>0.27142857142857141</v>
      </c>
      <c r="J253" s="75">
        <v>8.5714285714285715E-2</v>
      </c>
      <c r="K253" s="75"/>
      <c r="L253" s="75"/>
      <c r="M253" s="6" t="s">
        <v>201</v>
      </c>
      <c r="N253" s="76">
        <v>499</v>
      </c>
      <c r="O253" s="141" t="s">
        <v>202</v>
      </c>
      <c r="P253" s="160"/>
      <c r="Q253" s="140"/>
      <c r="R253" s="73"/>
      <c r="S253" s="86"/>
      <c r="T253" s="86"/>
      <c r="U253" s="86"/>
      <c r="V253" s="86"/>
      <c r="W253" s="86"/>
      <c r="X253" s="75"/>
      <c r="Y253" s="75"/>
      <c r="Z253" s="75"/>
      <c r="AA253" s="75"/>
    </row>
    <row r="254" spans="1:27" s="53" customFormat="1" ht="12.75" customHeight="1" x14ac:dyDescent="0.4">
      <c r="A254" s="73" t="s">
        <v>130</v>
      </c>
      <c r="B254" s="87">
        <v>56</v>
      </c>
      <c r="C254" s="87">
        <v>43</v>
      </c>
      <c r="D254" s="87">
        <v>11</v>
      </c>
      <c r="E254" s="87">
        <v>2</v>
      </c>
      <c r="F254" s="86"/>
      <c r="G254" s="75">
        <v>1</v>
      </c>
      <c r="H254" s="75">
        <v>0.7678571428571429</v>
      </c>
      <c r="I254" s="75">
        <v>0.19642857142857142</v>
      </c>
      <c r="J254" s="75">
        <v>3.5714285714285712E-2</v>
      </c>
      <c r="K254" s="75"/>
      <c r="L254" s="75"/>
      <c r="M254" s="6" t="s">
        <v>686</v>
      </c>
      <c r="N254" s="139">
        <v>356</v>
      </c>
      <c r="O254" s="140">
        <v>0.71342685370741488</v>
      </c>
      <c r="P254" s="160"/>
      <c r="Q254" s="140"/>
      <c r="R254" s="73"/>
      <c r="S254" s="86"/>
      <c r="T254" s="86"/>
      <c r="U254" s="86"/>
      <c r="V254" s="86"/>
      <c r="W254" s="86"/>
      <c r="X254" s="75"/>
      <c r="Y254" s="75"/>
      <c r="Z254" s="75"/>
      <c r="AA254" s="75"/>
    </row>
    <row r="255" spans="1:27" s="53" customFormat="1" ht="12.75" customHeight="1" x14ac:dyDescent="0.4">
      <c r="A255" s="73" t="s">
        <v>131</v>
      </c>
      <c r="B255" s="87">
        <v>33</v>
      </c>
      <c r="C255" s="87">
        <v>21</v>
      </c>
      <c r="D255" s="87">
        <v>9</v>
      </c>
      <c r="E255" s="87">
        <v>3</v>
      </c>
      <c r="F255" s="86"/>
      <c r="G255" s="75">
        <v>1</v>
      </c>
      <c r="H255" s="75">
        <v>0.63636363636363635</v>
      </c>
      <c r="I255" s="75">
        <v>0.27272727272727271</v>
      </c>
      <c r="J255" s="75">
        <v>9.0909090909090912E-2</v>
      </c>
      <c r="K255" s="75"/>
      <c r="L255" s="75"/>
      <c r="M255" s="6" t="s">
        <v>226</v>
      </c>
      <c r="N255" s="139">
        <v>97</v>
      </c>
      <c r="O255" s="140">
        <v>0.19438877755511022</v>
      </c>
      <c r="P255"/>
      <c r="Q255"/>
      <c r="R255" s="73"/>
      <c r="S255" s="86"/>
      <c r="T255" s="86"/>
      <c r="U255" s="86"/>
      <c r="V255" s="86"/>
      <c r="W255" s="87"/>
      <c r="X255" s="75"/>
      <c r="Y255" s="75"/>
      <c r="Z255" s="75"/>
      <c r="AA255" s="75"/>
    </row>
    <row r="256" spans="1:27" s="53" customFormat="1" ht="12.75" customHeight="1" x14ac:dyDescent="0.4">
      <c r="A256" s="73" t="s">
        <v>132</v>
      </c>
      <c r="B256" s="87">
        <v>63</v>
      </c>
      <c r="C256" s="87">
        <v>48</v>
      </c>
      <c r="D256" s="87">
        <v>12</v>
      </c>
      <c r="E256" s="87">
        <v>3</v>
      </c>
      <c r="F256" s="86"/>
      <c r="G256" s="75">
        <v>1</v>
      </c>
      <c r="H256" s="75">
        <v>0.76190476190476186</v>
      </c>
      <c r="I256" s="75">
        <v>0.19047619047619047</v>
      </c>
      <c r="J256" s="75">
        <v>4.7619047619047616E-2</v>
      </c>
      <c r="K256" s="75"/>
      <c r="L256" s="75"/>
      <c r="M256" s="6" t="s">
        <v>687</v>
      </c>
      <c r="N256" s="139">
        <v>116</v>
      </c>
      <c r="O256" s="140">
        <v>0.23246492985971945</v>
      </c>
      <c r="P256"/>
      <c r="Q256"/>
      <c r="R256" s="73"/>
      <c r="S256" s="86"/>
      <c r="T256" s="86"/>
      <c r="U256" s="86"/>
      <c r="V256" s="86"/>
      <c r="W256" s="87"/>
      <c r="X256" s="75"/>
      <c r="Y256" s="75"/>
      <c r="Z256" s="75"/>
      <c r="AA256" s="75"/>
    </row>
    <row r="257" spans="1:27" s="53" customFormat="1" ht="12.75" customHeight="1" x14ac:dyDescent="0.4">
      <c r="A257" s="73" t="s">
        <v>133</v>
      </c>
      <c r="B257" s="87">
        <v>66</v>
      </c>
      <c r="C257" s="87">
        <v>43</v>
      </c>
      <c r="D257" s="87">
        <v>21</v>
      </c>
      <c r="E257" s="87">
        <v>2</v>
      </c>
      <c r="F257" s="87"/>
      <c r="G257" s="75">
        <v>0.9850746268656716</v>
      </c>
      <c r="H257" s="75">
        <v>0.65151515151515149</v>
      </c>
      <c r="I257" s="75">
        <v>0.31818181818181818</v>
      </c>
      <c r="J257" s="75">
        <v>3.0303030303030304E-2</v>
      </c>
      <c r="K257" s="75"/>
      <c r="L257" s="72"/>
      <c r="M257" s="6" t="s">
        <v>227</v>
      </c>
      <c r="N257" s="139">
        <v>25</v>
      </c>
      <c r="O257" s="140">
        <v>5.0100200400801605E-2</v>
      </c>
      <c r="P257"/>
      <c r="Q257"/>
      <c r="R257" s="73"/>
      <c r="S257" s="86"/>
      <c r="T257" s="86"/>
      <c r="U257" s="86"/>
      <c r="V257" s="86"/>
      <c r="W257" s="87"/>
      <c r="X257" s="75"/>
      <c r="Y257" s="75"/>
      <c r="Z257" s="75"/>
      <c r="AA257" s="75"/>
    </row>
    <row r="258" spans="1:27" ht="12.75" customHeight="1" x14ac:dyDescent="0.4">
      <c r="A258" s="73" t="s">
        <v>134</v>
      </c>
      <c r="B258" s="87">
        <v>76</v>
      </c>
      <c r="C258" s="87">
        <v>59</v>
      </c>
      <c r="D258" s="87">
        <v>11</v>
      </c>
      <c r="E258" s="87">
        <v>6</v>
      </c>
      <c r="F258" s="87"/>
      <c r="G258" s="75">
        <v>1</v>
      </c>
      <c r="H258" s="75">
        <v>0.77631578947368418</v>
      </c>
      <c r="I258" s="75">
        <v>0.14473684210526316</v>
      </c>
      <c r="J258" s="75">
        <v>7.8947368421052627E-2</v>
      </c>
      <c r="K258" s="72"/>
      <c r="L258" s="72"/>
      <c r="M258" s="6"/>
      <c r="N258" s="139"/>
      <c r="O258" s="140"/>
      <c r="R258" s="73"/>
      <c r="S258" s="86"/>
      <c r="T258" s="86"/>
      <c r="U258" s="86"/>
      <c r="V258" s="86"/>
      <c r="W258" s="87"/>
      <c r="X258" s="75"/>
      <c r="Y258" s="75"/>
      <c r="Z258" s="75"/>
      <c r="AA258" s="75"/>
    </row>
    <row r="259" spans="1:27" ht="12.75" customHeight="1" x14ac:dyDescent="0.4">
      <c r="A259" s="73" t="s">
        <v>376</v>
      </c>
      <c r="B259" s="87">
        <v>23</v>
      </c>
      <c r="C259" s="87">
        <v>11</v>
      </c>
      <c r="D259" s="87">
        <v>11</v>
      </c>
      <c r="E259" s="87">
        <v>1</v>
      </c>
      <c r="F259" s="87"/>
      <c r="G259" s="75">
        <v>0.92</v>
      </c>
      <c r="H259" s="75">
        <v>0.47826086956521741</v>
      </c>
      <c r="I259" s="75">
        <v>0.47826086956521741</v>
      </c>
      <c r="J259" s="75">
        <v>4.3478260869565216E-2</v>
      </c>
      <c r="K259" s="72"/>
      <c r="L259" s="72"/>
      <c r="M259" s="6" t="s">
        <v>688</v>
      </c>
      <c r="N259" s="138" t="s">
        <v>438</v>
      </c>
      <c r="O259" s="141" t="s">
        <v>202</v>
      </c>
      <c r="R259" s="73"/>
      <c r="S259" s="86"/>
      <c r="T259" s="86"/>
      <c r="U259" s="86"/>
      <c r="V259" s="86"/>
      <c r="W259" s="87"/>
      <c r="X259" s="75"/>
      <c r="Y259" s="75"/>
      <c r="Z259" s="75"/>
      <c r="AA259" s="75"/>
    </row>
    <row r="260" spans="1:27" ht="12.75" customHeight="1" x14ac:dyDescent="0.4">
      <c r="A260" s="73" t="s">
        <v>135</v>
      </c>
      <c r="B260" s="87">
        <v>30</v>
      </c>
      <c r="C260" s="87">
        <v>19</v>
      </c>
      <c r="D260" s="87">
        <v>10</v>
      </c>
      <c r="E260" s="87">
        <v>1</v>
      </c>
      <c r="F260" s="87"/>
      <c r="G260" s="75">
        <v>1</v>
      </c>
      <c r="H260" s="75">
        <v>0.6333333333333333</v>
      </c>
      <c r="I260" s="75">
        <v>0.33333333333333331</v>
      </c>
      <c r="J260" s="75">
        <v>3.3333333333333333E-2</v>
      </c>
      <c r="K260" s="72"/>
      <c r="L260" s="72"/>
      <c r="M260" s="6" t="s">
        <v>689</v>
      </c>
      <c r="N260" s="229">
        <v>73</v>
      </c>
      <c r="O260" s="140">
        <v>0.14629258517034069</v>
      </c>
      <c r="P260" s="92"/>
      <c r="R260" s="73"/>
      <c r="S260" s="87"/>
      <c r="T260" s="86"/>
      <c r="U260" s="86"/>
      <c r="V260" s="87"/>
      <c r="W260" s="72"/>
      <c r="X260" s="75"/>
      <c r="Y260" s="75"/>
      <c r="Z260" s="75"/>
      <c r="AA260" s="75"/>
    </row>
    <row r="261" spans="1:27" ht="12.75" customHeight="1" x14ac:dyDescent="0.4">
      <c r="A261" s="73" t="s">
        <v>303</v>
      </c>
      <c r="B261" s="87">
        <v>31</v>
      </c>
      <c r="C261" s="87">
        <v>15</v>
      </c>
      <c r="D261" s="87">
        <v>13</v>
      </c>
      <c r="E261" s="87">
        <v>3</v>
      </c>
      <c r="F261" s="87"/>
      <c r="G261" s="75">
        <v>1</v>
      </c>
      <c r="H261" s="75">
        <v>0.4838709677419355</v>
      </c>
      <c r="I261" s="75">
        <v>0.41935483870967744</v>
      </c>
      <c r="J261" s="75">
        <v>9.6774193548387094E-2</v>
      </c>
      <c r="K261" s="72"/>
      <c r="L261" s="74"/>
      <c r="M261" s="6"/>
      <c r="N261" s="139"/>
      <c r="O261" s="140"/>
      <c r="P261" s="92"/>
      <c r="R261" s="73"/>
      <c r="S261" s="87"/>
      <c r="T261" s="86"/>
      <c r="U261" s="86"/>
      <c r="V261" s="87"/>
      <c r="W261" s="72"/>
      <c r="X261" s="75"/>
      <c r="Y261" s="75"/>
      <c r="Z261" s="75"/>
      <c r="AA261" s="75"/>
    </row>
    <row r="262" spans="1:27" ht="12.75" customHeight="1" x14ac:dyDescent="0.4">
      <c r="A262" s="73" t="s">
        <v>23</v>
      </c>
      <c r="B262" s="87">
        <v>500</v>
      </c>
      <c r="C262" s="87">
        <v>337</v>
      </c>
      <c r="D262" s="87">
        <v>134</v>
      </c>
      <c r="E262" s="87">
        <v>29</v>
      </c>
      <c r="F262" s="72"/>
      <c r="G262" s="75">
        <v>0.99403578528827041</v>
      </c>
      <c r="H262" s="75">
        <v>0.67400000000000004</v>
      </c>
      <c r="I262" s="75">
        <v>0.26800000000000002</v>
      </c>
      <c r="J262" s="75">
        <v>5.8000000000000003E-2</v>
      </c>
      <c r="K262" s="72"/>
      <c r="L262" s="75"/>
      <c r="M262" s="6"/>
      <c r="N262" s="139"/>
      <c r="O262" s="140"/>
      <c r="P262" s="72"/>
      <c r="S262" s="53"/>
    </row>
    <row r="263" spans="1:27" ht="12.75" customHeight="1" x14ac:dyDescent="0.4">
      <c r="A263" s="262"/>
      <c r="B263" s="72"/>
      <c r="C263" s="72"/>
      <c r="D263" s="72"/>
      <c r="E263" s="72"/>
      <c r="F263" s="72"/>
      <c r="G263" s="73"/>
      <c r="H263" s="72"/>
      <c r="I263" s="72"/>
      <c r="J263" s="72"/>
      <c r="K263" s="74"/>
      <c r="L263" s="75"/>
      <c r="M263" s="6"/>
      <c r="N263" s="75"/>
      <c r="O263" s="75"/>
      <c r="P263" s="72"/>
      <c r="R263" s="73"/>
      <c r="S263" s="72"/>
      <c r="T263" s="72"/>
      <c r="U263" s="72"/>
      <c r="V263" s="72"/>
      <c r="W263" s="86"/>
      <c r="X263" s="72"/>
      <c r="Y263" s="72"/>
      <c r="Z263" s="72"/>
      <c r="AA263" s="72"/>
    </row>
    <row r="264" spans="1:27" ht="12.75" customHeight="1" x14ac:dyDescent="0.4">
      <c r="A264" s="73" t="s">
        <v>569</v>
      </c>
      <c r="B264" s="72"/>
      <c r="C264" s="72"/>
      <c r="D264" s="72"/>
      <c r="E264" s="72"/>
      <c r="F264" s="72"/>
      <c r="G264" s="72"/>
      <c r="H264" s="72"/>
      <c r="I264" s="72"/>
      <c r="J264" s="72"/>
      <c r="K264" s="75"/>
      <c r="L264" s="75"/>
      <c r="M264" s="6"/>
      <c r="N264" s="6"/>
      <c r="O264" s="6"/>
      <c r="P264" s="72"/>
      <c r="R264" s="73"/>
      <c r="S264" s="74"/>
      <c r="T264" s="74"/>
      <c r="U264" s="74"/>
      <c r="V264" s="74"/>
      <c r="W264" s="86"/>
      <c r="X264" s="74"/>
      <c r="Y264" s="74"/>
      <c r="Z264" s="74"/>
      <c r="AA264" s="74"/>
    </row>
    <row r="265" spans="1:27" ht="12.75" customHeight="1" x14ac:dyDescent="0.4">
      <c r="A265" s="73" t="s">
        <v>576</v>
      </c>
      <c r="B265" s="72"/>
      <c r="C265" s="72"/>
      <c r="D265" s="72"/>
      <c r="E265" s="72"/>
      <c r="F265" s="72"/>
      <c r="G265" s="72"/>
      <c r="H265" s="72"/>
      <c r="I265" s="72"/>
      <c r="J265" s="72"/>
      <c r="K265" s="75"/>
      <c r="L265" s="75"/>
      <c r="M265" s="6"/>
      <c r="N265" s="6"/>
      <c r="O265" s="6"/>
      <c r="R265" s="73"/>
      <c r="S265" s="86"/>
      <c r="T265" s="86"/>
      <c r="U265" s="86"/>
      <c r="V265" s="86"/>
      <c r="W265" s="86"/>
      <c r="X265" s="75"/>
      <c r="Y265" s="75"/>
      <c r="Z265" s="75"/>
      <c r="AA265" s="75"/>
    </row>
    <row r="266" spans="1:27" ht="12.75" customHeight="1" x14ac:dyDescent="0.4">
      <c r="A266" s="73" t="s">
        <v>577</v>
      </c>
      <c r="B266" s="72"/>
      <c r="C266" s="72"/>
      <c r="D266" s="72"/>
      <c r="E266" s="72"/>
      <c r="F266" s="72"/>
      <c r="G266" s="72"/>
      <c r="H266" s="72"/>
      <c r="I266" s="72"/>
      <c r="J266" s="72"/>
      <c r="K266" s="75"/>
      <c r="L266" s="75"/>
      <c r="M266" s="6"/>
      <c r="N266" s="6"/>
      <c r="O266" s="6"/>
      <c r="R266" s="73"/>
      <c r="S266" s="86"/>
      <c r="T266" s="86"/>
      <c r="U266" s="86"/>
      <c r="V266" s="86"/>
      <c r="W266" s="86"/>
      <c r="X266" s="75"/>
      <c r="Y266" s="75"/>
      <c r="Z266" s="75"/>
      <c r="AA266" s="75"/>
    </row>
    <row r="267" spans="1:27" ht="12.75" customHeight="1" x14ac:dyDescent="0.4">
      <c r="A267" s="73"/>
      <c r="B267" s="72" t="s">
        <v>139</v>
      </c>
      <c r="C267" s="72"/>
      <c r="D267" s="72"/>
      <c r="E267" s="72"/>
      <c r="F267" s="86"/>
      <c r="G267" s="72" t="s">
        <v>146</v>
      </c>
      <c r="H267" s="72"/>
      <c r="I267" s="72"/>
      <c r="J267" s="72"/>
      <c r="K267" s="75"/>
      <c r="L267" s="75"/>
      <c r="M267" s="6"/>
      <c r="N267" s="6"/>
      <c r="O267" s="6"/>
      <c r="Q267" s="140"/>
      <c r="R267" s="73"/>
      <c r="S267" s="86"/>
      <c r="T267" s="86"/>
      <c r="U267" s="86"/>
      <c r="V267" s="86"/>
      <c r="W267" s="86"/>
      <c r="X267" s="75"/>
      <c r="Y267" s="75"/>
      <c r="Z267" s="75"/>
      <c r="AA267" s="75"/>
    </row>
    <row r="268" spans="1:27" ht="12.75" customHeight="1" x14ac:dyDescent="0.4">
      <c r="A268" s="73" t="s">
        <v>136</v>
      </c>
      <c r="B268" s="74" t="s">
        <v>112</v>
      </c>
      <c r="C268" s="74" t="s">
        <v>113</v>
      </c>
      <c r="D268" s="74" t="s">
        <v>114</v>
      </c>
      <c r="E268" s="74" t="s">
        <v>115</v>
      </c>
      <c r="F268" s="86"/>
      <c r="G268" s="74" t="s">
        <v>112</v>
      </c>
      <c r="H268" s="74" t="s">
        <v>113</v>
      </c>
      <c r="I268" s="74" t="s">
        <v>114</v>
      </c>
      <c r="J268" s="74" t="s">
        <v>115</v>
      </c>
      <c r="K268" s="75"/>
      <c r="L268" s="75"/>
      <c r="M268" s="6" t="s">
        <v>569</v>
      </c>
      <c r="N268" s="6"/>
      <c r="O268" s="6"/>
      <c r="P268" s="160"/>
      <c r="Q268" s="140"/>
      <c r="R268" s="73"/>
      <c r="S268" s="86"/>
      <c r="T268" s="86"/>
      <c r="U268" s="86"/>
      <c r="V268" s="86"/>
      <c r="W268" s="86"/>
      <c r="X268" s="75"/>
      <c r="Y268" s="75"/>
      <c r="Z268" s="75"/>
      <c r="AA268" s="75"/>
    </row>
    <row r="269" spans="1:27" ht="12.75" customHeight="1" x14ac:dyDescent="0.4">
      <c r="A269" s="73" t="s">
        <v>127</v>
      </c>
      <c r="B269" s="87">
        <v>21</v>
      </c>
      <c r="C269" s="87">
        <v>16</v>
      </c>
      <c r="D269" s="87">
        <v>3</v>
      </c>
      <c r="E269" s="87">
        <v>2</v>
      </c>
      <c r="F269" s="86"/>
      <c r="G269" s="75">
        <v>1</v>
      </c>
      <c r="H269" s="75">
        <v>0.76190476190476186</v>
      </c>
      <c r="I269" s="75">
        <v>0.14285714285714285</v>
      </c>
      <c r="J269" s="75">
        <v>9.5238095238095233E-2</v>
      </c>
      <c r="K269" s="75"/>
      <c r="L269" s="75"/>
      <c r="M269" s="6" t="s">
        <v>570</v>
      </c>
      <c r="N269" s="139"/>
      <c r="O269" s="140"/>
      <c r="P269" s="160"/>
      <c r="Q269" s="140"/>
      <c r="R269" s="73"/>
      <c r="S269" s="86"/>
      <c r="T269" s="86"/>
      <c r="U269" s="86"/>
      <c r="V269" s="86"/>
      <c r="W269" s="86"/>
      <c r="X269" s="75"/>
      <c r="Y269" s="75"/>
      <c r="Z269" s="75"/>
      <c r="AA269" s="75"/>
    </row>
    <row r="270" spans="1:27" s="53" customFormat="1" ht="12.75" customHeight="1" x14ac:dyDescent="0.4">
      <c r="A270" s="73" t="s">
        <v>128</v>
      </c>
      <c r="B270" s="87">
        <v>28</v>
      </c>
      <c r="C270" s="87">
        <v>15</v>
      </c>
      <c r="D270" s="87">
        <v>11</v>
      </c>
      <c r="E270" s="87">
        <v>2</v>
      </c>
      <c r="F270" s="86"/>
      <c r="G270" s="75">
        <v>1</v>
      </c>
      <c r="H270" s="75">
        <v>0.5357142857142857</v>
      </c>
      <c r="I270" s="75">
        <v>0.39285714285714285</v>
      </c>
      <c r="J270" s="75">
        <v>7.1428571428571425E-2</v>
      </c>
      <c r="K270" s="75"/>
      <c r="L270" s="75"/>
      <c r="M270" s="6" t="s">
        <v>445</v>
      </c>
      <c r="N270" s="6"/>
      <c r="O270" s="6"/>
      <c r="P270" s="223"/>
      <c r="Q270" s="140"/>
      <c r="R270" s="73"/>
      <c r="S270" s="86"/>
      <c r="T270" s="86"/>
      <c r="U270" s="86"/>
      <c r="V270" s="86"/>
      <c r="W270" s="86"/>
      <c r="X270" s="75"/>
      <c r="Y270" s="75"/>
      <c r="Z270" s="75"/>
      <c r="AA270" s="75"/>
    </row>
    <row r="271" spans="1:27" s="53" customFormat="1" ht="12.75" customHeight="1" x14ac:dyDescent="0.4">
      <c r="A271" s="73" t="s">
        <v>129</v>
      </c>
      <c r="B271" s="87">
        <v>71</v>
      </c>
      <c r="C271" s="87">
        <v>54</v>
      </c>
      <c r="D271" s="87">
        <v>14</v>
      </c>
      <c r="E271" s="87">
        <v>3</v>
      </c>
      <c r="F271" s="86"/>
      <c r="G271" s="75">
        <v>0.98611111111111116</v>
      </c>
      <c r="H271" s="75">
        <v>0.76056338028169013</v>
      </c>
      <c r="I271" s="75">
        <v>0.19718309859154928</v>
      </c>
      <c r="J271" s="75">
        <v>4.2253521126760563E-2</v>
      </c>
      <c r="K271" s="75"/>
      <c r="L271" s="75"/>
      <c r="M271" s="6" t="s">
        <v>201</v>
      </c>
      <c r="N271" s="76">
        <v>499</v>
      </c>
      <c r="O271" s="141" t="s">
        <v>202</v>
      </c>
      <c r="P271" s="160"/>
      <c r="Q271"/>
      <c r="R271" s="73"/>
      <c r="S271" s="86"/>
      <c r="T271" s="86"/>
      <c r="U271" s="86"/>
      <c r="V271" s="86"/>
      <c r="W271" s="87"/>
      <c r="X271" s="75"/>
      <c r="Y271" s="75"/>
      <c r="Z271" s="75"/>
      <c r="AA271" s="75"/>
    </row>
    <row r="272" spans="1:27" s="53" customFormat="1" ht="12.75" customHeight="1" x14ac:dyDescent="0.4">
      <c r="A272" s="73" t="s">
        <v>130</v>
      </c>
      <c r="B272" s="87">
        <v>56</v>
      </c>
      <c r="C272" s="87">
        <v>36</v>
      </c>
      <c r="D272" s="87">
        <v>18</v>
      </c>
      <c r="E272" s="87">
        <v>2</v>
      </c>
      <c r="F272" s="86"/>
      <c r="G272" s="75">
        <v>1</v>
      </c>
      <c r="H272" s="75">
        <v>0.6428571428571429</v>
      </c>
      <c r="I272" s="75">
        <v>0.32142857142857145</v>
      </c>
      <c r="J272" s="75">
        <v>3.5714285714285712E-2</v>
      </c>
      <c r="K272" s="75"/>
      <c r="L272" s="75"/>
      <c r="M272" s="6" t="s">
        <v>571</v>
      </c>
      <c r="N272" s="139">
        <v>352</v>
      </c>
      <c r="O272" s="140">
        <v>0.70541082164328661</v>
      </c>
      <c r="P272" s="160"/>
      <c r="Q272"/>
      <c r="R272" s="73"/>
      <c r="S272" s="86"/>
      <c r="T272" s="86"/>
      <c r="U272" s="86"/>
      <c r="V272" s="86"/>
      <c r="W272" s="87"/>
      <c r="X272" s="75"/>
      <c r="Y272" s="75"/>
      <c r="Z272" s="75"/>
      <c r="AA272" s="75"/>
    </row>
    <row r="273" spans="1:27" s="53" customFormat="1" ht="12.75" customHeight="1" x14ac:dyDescent="0.4">
      <c r="A273" s="73" t="s">
        <v>131</v>
      </c>
      <c r="B273" s="87">
        <v>33</v>
      </c>
      <c r="C273" s="87">
        <v>25</v>
      </c>
      <c r="D273" s="87">
        <v>6</v>
      </c>
      <c r="E273" s="87">
        <v>2</v>
      </c>
      <c r="F273" s="86"/>
      <c r="G273" s="75">
        <v>1</v>
      </c>
      <c r="H273" s="75">
        <v>0.75757575757575757</v>
      </c>
      <c r="I273" s="75">
        <v>0.18181818181818182</v>
      </c>
      <c r="J273" s="75">
        <v>6.0606060606060608E-2</v>
      </c>
      <c r="K273" s="75"/>
      <c r="L273" s="75"/>
      <c r="M273" s="6" t="s">
        <v>226</v>
      </c>
      <c r="N273" s="139">
        <v>106</v>
      </c>
      <c r="O273" s="140">
        <v>0.21242484969939879</v>
      </c>
      <c r="P273"/>
      <c r="Q273"/>
      <c r="R273" s="73"/>
      <c r="S273" s="86"/>
      <c r="T273" s="86"/>
      <c r="U273" s="86"/>
      <c r="V273" s="86"/>
      <c r="W273" s="87"/>
      <c r="X273" s="75"/>
      <c r="Y273" s="75"/>
      <c r="Z273" s="75"/>
      <c r="AA273" s="75"/>
    </row>
    <row r="274" spans="1:27" ht="12.75" customHeight="1" x14ac:dyDescent="0.4">
      <c r="A274" s="73" t="s">
        <v>132</v>
      </c>
      <c r="B274" s="87">
        <v>64</v>
      </c>
      <c r="C274" s="87">
        <v>47</v>
      </c>
      <c r="D274" s="87">
        <v>16</v>
      </c>
      <c r="E274" s="87">
        <v>1</v>
      </c>
      <c r="F274" s="86"/>
      <c r="G274" s="75">
        <v>1</v>
      </c>
      <c r="H274" s="75">
        <v>0.734375</v>
      </c>
      <c r="I274" s="75">
        <v>0.25</v>
      </c>
      <c r="J274" s="75">
        <v>1.5625E-2</v>
      </c>
      <c r="K274" s="75"/>
      <c r="L274" s="75"/>
      <c r="M274" s="6" t="s">
        <v>572</v>
      </c>
      <c r="N274" s="139">
        <v>127</v>
      </c>
      <c r="O274" s="140">
        <v>0.25450901803607212</v>
      </c>
      <c r="R274" s="73"/>
      <c r="S274" s="86"/>
      <c r="T274" s="86"/>
      <c r="U274" s="86"/>
      <c r="V274" s="86"/>
      <c r="W274" s="87"/>
      <c r="X274" s="75"/>
      <c r="Y274" s="75"/>
      <c r="Z274" s="75"/>
      <c r="AA274" s="75"/>
    </row>
    <row r="275" spans="1:27" ht="12.75" customHeight="1" x14ac:dyDescent="0.4">
      <c r="A275" s="73" t="s">
        <v>133</v>
      </c>
      <c r="B275" s="87">
        <v>64</v>
      </c>
      <c r="C275" s="87">
        <v>46</v>
      </c>
      <c r="D275" s="87">
        <v>16</v>
      </c>
      <c r="E275" s="87">
        <v>2</v>
      </c>
      <c r="F275" s="87"/>
      <c r="G275" s="75">
        <v>0.96969696969696972</v>
      </c>
      <c r="H275" s="75">
        <v>0.71875</v>
      </c>
      <c r="I275" s="75">
        <v>0.25</v>
      </c>
      <c r="J275" s="75">
        <v>3.125E-2</v>
      </c>
      <c r="K275" s="75"/>
      <c r="L275" s="72"/>
      <c r="M275" s="6" t="s">
        <v>227</v>
      </c>
      <c r="N275" s="139">
        <v>36</v>
      </c>
      <c r="O275" s="140">
        <v>7.2144288577154311E-2</v>
      </c>
      <c r="R275" s="73"/>
      <c r="S275" s="86"/>
      <c r="T275" s="86"/>
      <c r="U275" s="86"/>
      <c r="V275" s="86"/>
      <c r="W275" s="87"/>
      <c r="X275" s="75"/>
      <c r="Y275" s="75"/>
      <c r="Z275" s="75"/>
      <c r="AA275" s="75"/>
    </row>
    <row r="276" spans="1:27" ht="12.75" customHeight="1" x14ac:dyDescent="0.4">
      <c r="A276" s="73" t="s">
        <v>134</v>
      </c>
      <c r="B276" s="87">
        <v>75</v>
      </c>
      <c r="C276" s="87">
        <v>55</v>
      </c>
      <c r="D276" s="87">
        <v>10</v>
      </c>
      <c r="E276" s="87">
        <v>10</v>
      </c>
      <c r="F276" s="87"/>
      <c r="G276" s="75">
        <v>0.98684210526315785</v>
      </c>
      <c r="H276" s="75">
        <v>0.73333333333333328</v>
      </c>
      <c r="I276" s="75">
        <v>0.13333333333333333</v>
      </c>
      <c r="J276" s="75">
        <v>0.13333333333333333</v>
      </c>
      <c r="K276" s="72"/>
      <c r="L276" s="72"/>
      <c r="M276" s="6"/>
      <c r="N276" s="139"/>
      <c r="O276" s="140"/>
      <c r="R276" s="73"/>
      <c r="S276" s="87"/>
      <c r="T276" s="86"/>
      <c r="U276" s="86"/>
      <c r="V276" s="87"/>
      <c r="W276" s="72"/>
      <c r="X276" s="75"/>
      <c r="Y276" s="75"/>
      <c r="Z276" s="75"/>
      <c r="AA276" s="75"/>
    </row>
    <row r="277" spans="1:27" ht="12.75" customHeight="1" x14ac:dyDescent="0.4">
      <c r="A277" s="73" t="s">
        <v>376</v>
      </c>
      <c r="B277" s="87">
        <v>24</v>
      </c>
      <c r="C277" s="87">
        <v>12</v>
      </c>
      <c r="D277" s="87">
        <v>12</v>
      </c>
      <c r="E277" s="87">
        <v>0</v>
      </c>
      <c r="F277" s="87"/>
      <c r="G277" s="75">
        <v>0.92307692307692313</v>
      </c>
      <c r="H277" s="75">
        <v>0.5</v>
      </c>
      <c r="I277" s="75">
        <v>0.5</v>
      </c>
      <c r="J277" s="75">
        <v>0</v>
      </c>
      <c r="K277" s="72"/>
      <c r="L277" s="72"/>
      <c r="M277" s="6" t="s">
        <v>573</v>
      </c>
      <c r="N277" s="138" t="s">
        <v>438</v>
      </c>
      <c r="O277" s="141" t="s">
        <v>202</v>
      </c>
      <c r="R277" s="73"/>
      <c r="S277" s="87"/>
      <c r="T277" s="86"/>
      <c r="U277" s="86"/>
      <c r="V277" s="87"/>
      <c r="W277" s="72"/>
      <c r="X277" s="75"/>
      <c r="Y277" s="75"/>
      <c r="Z277" s="75"/>
      <c r="AA277" s="75"/>
    </row>
    <row r="278" spans="1:27" s="72" customFormat="1" ht="13.15" x14ac:dyDescent="0.4">
      <c r="A278" s="73" t="s">
        <v>135</v>
      </c>
      <c r="B278" s="87">
        <v>29</v>
      </c>
      <c r="C278" s="87">
        <v>18</v>
      </c>
      <c r="D278" s="87">
        <v>7</v>
      </c>
      <c r="E278" s="87">
        <v>4</v>
      </c>
      <c r="F278" s="87"/>
      <c r="G278" s="75">
        <v>1</v>
      </c>
      <c r="H278" s="75">
        <v>0.62068965517241381</v>
      </c>
      <c r="I278" s="75">
        <v>0.2413793103448276</v>
      </c>
      <c r="J278" s="75">
        <v>0.13793103448275862</v>
      </c>
      <c r="M278" s="6" t="s">
        <v>574</v>
      </c>
      <c r="N278" s="229">
        <v>75</v>
      </c>
      <c r="O278" s="140">
        <v>0.15030060120240482</v>
      </c>
      <c r="P278" s="92"/>
    </row>
    <row r="279" spans="1:27" ht="13.15" x14ac:dyDescent="0.4">
      <c r="A279" s="73" t="s">
        <v>303</v>
      </c>
      <c r="B279" s="87">
        <v>31</v>
      </c>
      <c r="C279" s="87">
        <v>15</v>
      </c>
      <c r="D279" s="87">
        <v>13</v>
      </c>
      <c r="E279" s="87">
        <v>3</v>
      </c>
      <c r="F279" s="87"/>
      <c r="G279" s="75">
        <v>0.96875</v>
      </c>
      <c r="H279" s="75">
        <v>0.4838709677419355</v>
      </c>
      <c r="I279" s="75">
        <v>0.41935483870967744</v>
      </c>
      <c r="J279" s="75">
        <v>9.6774193548387094E-2</v>
      </c>
      <c r="K279" s="72"/>
      <c r="L279" s="74"/>
      <c r="M279" s="6"/>
      <c r="N279" s="139"/>
      <c r="O279" s="140"/>
      <c r="P279" s="92"/>
      <c r="Q279" s="72"/>
      <c r="R279" s="73"/>
      <c r="S279" s="72"/>
      <c r="T279" s="72"/>
      <c r="U279" s="72"/>
      <c r="V279" s="72"/>
      <c r="W279" s="72"/>
      <c r="X279" s="72"/>
      <c r="Y279" s="72"/>
      <c r="Z279" s="72"/>
      <c r="AA279" s="72"/>
    </row>
    <row r="280" spans="1:27" ht="13.15" x14ac:dyDescent="0.4">
      <c r="A280" s="73" t="s">
        <v>23</v>
      </c>
      <c r="B280" s="87">
        <v>496</v>
      </c>
      <c r="C280" s="87">
        <v>339</v>
      </c>
      <c r="D280" s="87">
        <v>126</v>
      </c>
      <c r="E280" s="87">
        <v>31</v>
      </c>
      <c r="F280" s="72"/>
      <c r="G280" s="75">
        <v>0.98608349900596426</v>
      </c>
      <c r="H280" s="75">
        <v>0.68346774193548387</v>
      </c>
      <c r="I280" s="75">
        <v>0.25403225806451613</v>
      </c>
      <c r="J280" s="75">
        <v>6.25E-2</v>
      </c>
      <c r="K280" s="72"/>
      <c r="L280" s="75"/>
      <c r="M280" s="6"/>
      <c r="N280" s="139"/>
      <c r="O280" s="140"/>
      <c r="P280" s="92"/>
      <c r="Q280" s="72"/>
      <c r="R280" s="73"/>
      <c r="S280" s="72"/>
      <c r="T280" s="72"/>
      <c r="U280" s="72"/>
      <c r="V280" s="72"/>
      <c r="W280" s="72"/>
      <c r="X280" s="72"/>
      <c r="Y280" s="72"/>
      <c r="Z280" s="72"/>
      <c r="AA280" s="72"/>
    </row>
    <row r="281" spans="1:27" ht="12.75" customHeight="1" x14ac:dyDescent="0.4">
      <c r="A281" s="262"/>
      <c r="B281" s="72"/>
      <c r="C281" s="72"/>
      <c r="D281" s="72"/>
      <c r="E281" s="72"/>
      <c r="F281" s="72"/>
      <c r="G281" s="73"/>
      <c r="H281" s="72"/>
      <c r="I281" s="72"/>
      <c r="J281" s="72"/>
      <c r="K281" s="74"/>
      <c r="L281" s="75"/>
      <c r="M281" s="6"/>
      <c r="N281" s="75"/>
      <c r="O281" s="75"/>
      <c r="P281" s="72"/>
      <c r="Q281" s="72"/>
      <c r="R281" s="73"/>
      <c r="S281" s="72"/>
      <c r="T281" s="72"/>
      <c r="U281" s="72"/>
      <c r="V281" s="72"/>
      <c r="W281" s="72"/>
      <c r="X281" s="72"/>
      <c r="Y281" s="72"/>
      <c r="Z281" s="72"/>
      <c r="AA281" s="72"/>
    </row>
    <row r="282" spans="1:27" ht="12.75" customHeight="1" x14ac:dyDescent="0.4">
      <c r="A282" s="73" t="s">
        <v>558</v>
      </c>
      <c r="B282" s="72"/>
      <c r="C282" s="72"/>
      <c r="D282" s="72"/>
      <c r="E282" s="72"/>
      <c r="F282" s="72"/>
      <c r="G282" s="72"/>
      <c r="H282" s="72"/>
      <c r="I282" s="72"/>
      <c r="J282" s="72"/>
      <c r="K282" s="75"/>
      <c r="L282" s="75"/>
      <c r="M282" s="6"/>
      <c r="N282" s="6"/>
      <c r="O282" s="6"/>
      <c r="P282" s="72"/>
      <c r="Q282" s="72"/>
      <c r="R282" s="73"/>
      <c r="S282" s="72"/>
      <c r="T282" s="72"/>
      <c r="U282" s="72"/>
      <c r="V282" s="72"/>
      <c r="W282" s="72"/>
      <c r="X282" s="72"/>
      <c r="Y282" s="72"/>
      <c r="Z282" s="72"/>
      <c r="AA282" s="72"/>
    </row>
    <row r="283" spans="1:27" ht="12.75" customHeight="1" x14ac:dyDescent="0.4">
      <c r="A283" s="73" t="s">
        <v>565</v>
      </c>
      <c r="B283" s="72"/>
      <c r="C283" s="72"/>
      <c r="D283" s="72"/>
      <c r="E283" s="72"/>
      <c r="F283" s="72"/>
      <c r="G283" s="72"/>
      <c r="H283" s="72"/>
      <c r="I283" s="72"/>
      <c r="J283" s="72"/>
      <c r="K283" s="75"/>
      <c r="L283" s="75"/>
      <c r="M283" s="6"/>
      <c r="N283" s="6"/>
      <c r="O283" s="6"/>
      <c r="R283" s="73"/>
      <c r="S283" s="72"/>
      <c r="T283" s="72"/>
      <c r="U283" s="72"/>
      <c r="V283" s="72"/>
      <c r="W283" s="86"/>
      <c r="X283" s="72"/>
      <c r="Y283" s="72"/>
      <c r="Z283" s="72"/>
      <c r="AA283" s="72"/>
    </row>
    <row r="284" spans="1:27" ht="12.75" customHeight="1" x14ac:dyDescent="0.4">
      <c r="A284" s="73" t="s">
        <v>566</v>
      </c>
      <c r="B284" s="72"/>
      <c r="C284" s="72"/>
      <c r="D284" s="72"/>
      <c r="E284" s="72"/>
      <c r="F284" s="72"/>
      <c r="G284" s="72"/>
      <c r="H284" s="72"/>
      <c r="I284" s="72"/>
      <c r="J284" s="72"/>
      <c r="K284" s="75"/>
      <c r="L284" s="75"/>
      <c r="M284" s="6"/>
      <c r="N284" s="6"/>
      <c r="O284" s="6"/>
      <c r="R284" s="73"/>
      <c r="S284" s="74"/>
      <c r="T284" s="74"/>
      <c r="U284" s="74"/>
      <c r="V284" s="74"/>
      <c r="W284" s="86"/>
      <c r="X284" s="74"/>
      <c r="Y284" s="74"/>
      <c r="Z284" s="74"/>
      <c r="AA284" s="74"/>
    </row>
    <row r="285" spans="1:27" ht="12.75" customHeight="1" x14ac:dyDescent="0.4">
      <c r="A285" s="73"/>
      <c r="B285" s="72" t="s">
        <v>139</v>
      </c>
      <c r="C285" s="72"/>
      <c r="D285" s="72"/>
      <c r="E285" s="72"/>
      <c r="F285" s="86"/>
      <c r="G285" s="72" t="s">
        <v>146</v>
      </c>
      <c r="H285" s="72"/>
      <c r="I285" s="72"/>
      <c r="J285" s="72"/>
      <c r="K285" s="75"/>
      <c r="L285" s="75"/>
      <c r="M285" s="6"/>
      <c r="N285" s="6"/>
      <c r="O285" s="6"/>
      <c r="R285" s="73"/>
      <c r="S285" s="86"/>
      <c r="T285" s="86"/>
      <c r="U285" s="86"/>
      <c r="V285" s="86"/>
      <c r="W285" s="86"/>
      <c r="X285" s="75"/>
      <c r="Y285" s="75"/>
      <c r="Z285" s="75"/>
      <c r="AA285" s="75"/>
    </row>
    <row r="286" spans="1:27" ht="12.75" customHeight="1" x14ac:dyDescent="0.4">
      <c r="A286" s="73" t="s">
        <v>136</v>
      </c>
      <c r="B286" s="74" t="s">
        <v>112</v>
      </c>
      <c r="C286" s="74" t="s">
        <v>113</v>
      </c>
      <c r="D286" s="74" t="s">
        <v>114</v>
      </c>
      <c r="E286" s="74" t="s">
        <v>115</v>
      </c>
      <c r="F286" s="86"/>
      <c r="G286" s="74" t="s">
        <v>112</v>
      </c>
      <c r="H286" s="74" t="s">
        <v>113</v>
      </c>
      <c r="I286" s="74" t="s">
        <v>114</v>
      </c>
      <c r="J286" s="74" t="s">
        <v>115</v>
      </c>
      <c r="K286" s="75"/>
      <c r="L286" s="75"/>
      <c r="M286" s="6" t="s">
        <v>558</v>
      </c>
      <c r="N286" s="6"/>
      <c r="O286" s="6"/>
      <c r="P286" s="160"/>
      <c r="R286" s="73"/>
      <c r="S286" s="86"/>
      <c r="T286" s="86"/>
      <c r="U286" s="86"/>
      <c r="V286" s="86"/>
      <c r="W286" s="86"/>
      <c r="X286" s="75"/>
      <c r="Y286" s="75"/>
      <c r="Z286" s="75"/>
      <c r="AA286" s="75"/>
    </row>
    <row r="287" spans="1:27" ht="12.75" customHeight="1" x14ac:dyDescent="0.4">
      <c r="A287" s="73" t="s">
        <v>127</v>
      </c>
      <c r="B287" s="87">
        <v>21</v>
      </c>
      <c r="C287" s="87">
        <v>15</v>
      </c>
      <c r="D287" s="87">
        <v>3</v>
      </c>
      <c r="E287" s="87">
        <v>3</v>
      </c>
      <c r="F287" s="86"/>
      <c r="G287" s="75">
        <v>1</v>
      </c>
      <c r="H287" s="75">
        <v>0.7142857142857143</v>
      </c>
      <c r="I287" s="75">
        <v>0.14285714285714285</v>
      </c>
      <c r="J287" s="75">
        <v>0.14285714285714285</v>
      </c>
      <c r="K287" s="75"/>
      <c r="L287" s="75"/>
      <c r="M287" s="6" t="s">
        <v>551</v>
      </c>
      <c r="N287" s="139"/>
      <c r="O287" s="140"/>
      <c r="P287" s="160"/>
      <c r="Q287" s="167"/>
      <c r="R287" s="73"/>
      <c r="S287" s="86"/>
      <c r="T287" s="86"/>
      <c r="U287" s="86"/>
      <c r="V287" s="86"/>
      <c r="W287" s="86"/>
      <c r="X287" s="75"/>
      <c r="Y287" s="75"/>
      <c r="Z287" s="75"/>
      <c r="AA287" s="75"/>
    </row>
    <row r="288" spans="1:27" ht="12.75" customHeight="1" x14ac:dyDescent="0.4">
      <c r="A288" s="73" t="s">
        <v>128</v>
      </c>
      <c r="B288" s="87">
        <v>28</v>
      </c>
      <c r="C288" s="87">
        <v>21</v>
      </c>
      <c r="D288" s="87">
        <v>6</v>
      </c>
      <c r="E288" s="87">
        <v>1</v>
      </c>
      <c r="F288" s="86"/>
      <c r="G288" s="75">
        <v>1</v>
      </c>
      <c r="H288" s="75">
        <v>0.75</v>
      </c>
      <c r="I288" s="75">
        <v>0.21428571428571427</v>
      </c>
      <c r="J288" s="75">
        <v>3.5714285714285712E-2</v>
      </c>
      <c r="K288" s="75"/>
      <c r="L288" s="75"/>
      <c r="M288" s="6" t="s">
        <v>445</v>
      </c>
      <c r="N288" s="6"/>
      <c r="O288" s="6"/>
      <c r="P288" s="223"/>
      <c r="Q288" s="167"/>
      <c r="R288" s="73"/>
      <c r="S288" s="86"/>
      <c r="T288" s="86"/>
      <c r="U288" s="86"/>
      <c r="V288" s="86"/>
      <c r="W288" s="86"/>
      <c r="X288" s="75"/>
      <c r="Y288" s="75"/>
      <c r="Z288" s="75"/>
      <c r="AA288" s="75"/>
    </row>
    <row r="289" spans="1:27" ht="12.75" customHeight="1" x14ac:dyDescent="0.4">
      <c r="A289" s="73" t="s">
        <v>129</v>
      </c>
      <c r="B289" s="87">
        <v>71</v>
      </c>
      <c r="C289" s="87">
        <v>59</v>
      </c>
      <c r="D289" s="87">
        <v>10</v>
      </c>
      <c r="E289" s="87">
        <v>2</v>
      </c>
      <c r="F289" s="86"/>
      <c r="G289" s="75">
        <v>1</v>
      </c>
      <c r="H289" s="75">
        <v>0.83098591549295775</v>
      </c>
      <c r="I289" s="75">
        <v>0.14084507042253522</v>
      </c>
      <c r="J289" s="75">
        <v>2.8169014084507043E-2</v>
      </c>
      <c r="K289" s="75"/>
      <c r="L289" s="75"/>
      <c r="M289" s="6" t="s">
        <v>201</v>
      </c>
      <c r="N289" s="76">
        <v>499</v>
      </c>
      <c r="O289" s="141" t="s">
        <v>202</v>
      </c>
      <c r="P289" s="160"/>
      <c r="Q289" s="167"/>
      <c r="R289" s="73"/>
      <c r="S289" s="86"/>
      <c r="T289" s="86"/>
      <c r="U289" s="86"/>
      <c r="V289" s="86"/>
      <c r="W289" s="86"/>
      <c r="X289" s="75"/>
      <c r="Y289" s="75"/>
      <c r="Z289" s="75"/>
      <c r="AA289" s="75"/>
    </row>
    <row r="290" spans="1:27" s="82" customFormat="1" ht="12.75" customHeight="1" x14ac:dyDescent="0.4">
      <c r="A290" s="73" t="s">
        <v>130</v>
      </c>
      <c r="B290" s="87">
        <v>58</v>
      </c>
      <c r="C290" s="87">
        <v>42</v>
      </c>
      <c r="D290" s="87">
        <v>16</v>
      </c>
      <c r="E290" s="87">
        <v>0</v>
      </c>
      <c r="F290" s="86"/>
      <c r="G290" s="75">
        <v>1</v>
      </c>
      <c r="H290" s="75">
        <v>0.72413793103448276</v>
      </c>
      <c r="I290" s="75">
        <v>0.27586206896551724</v>
      </c>
      <c r="J290" s="75">
        <v>0</v>
      </c>
      <c r="K290" s="75"/>
      <c r="L290" s="75"/>
      <c r="M290" s="6" t="s">
        <v>559</v>
      </c>
      <c r="N290" s="139">
        <v>324</v>
      </c>
      <c r="O290" s="140">
        <v>0.64929859719438876</v>
      </c>
      <c r="P290" s="160"/>
      <c r="Q290" s="167"/>
      <c r="R290" s="73"/>
      <c r="S290" s="86"/>
      <c r="T290" s="86"/>
      <c r="U290" s="86"/>
      <c r="V290" s="86"/>
      <c r="W290" s="86"/>
      <c r="X290" s="75"/>
      <c r="Y290" s="75"/>
      <c r="Z290" s="75"/>
      <c r="AA290" s="75"/>
    </row>
    <row r="291" spans="1:27" s="82" customFormat="1" ht="12.75" customHeight="1" x14ac:dyDescent="0.4">
      <c r="A291" s="73" t="s">
        <v>131</v>
      </c>
      <c r="B291" s="87">
        <v>33</v>
      </c>
      <c r="C291" s="87">
        <v>23</v>
      </c>
      <c r="D291" s="87">
        <v>6</v>
      </c>
      <c r="E291" s="87">
        <v>4</v>
      </c>
      <c r="F291" s="86"/>
      <c r="G291" s="75">
        <v>1</v>
      </c>
      <c r="H291" s="75">
        <v>0.69696969696969702</v>
      </c>
      <c r="I291" s="75">
        <v>0.18181818181818182</v>
      </c>
      <c r="J291" s="75">
        <v>0.12121212121212122</v>
      </c>
      <c r="K291" s="75"/>
      <c r="L291" s="75"/>
      <c r="M291" s="6" t="s">
        <v>226</v>
      </c>
      <c r="N291" s="139">
        <v>99</v>
      </c>
      <c r="O291" s="140">
        <v>0.19839679358717435</v>
      </c>
      <c r="P291"/>
      <c r="Q291"/>
      <c r="R291" s="73"/>
      <c r="S291" s="86"/>
      <c r="T291" s="86"/>
      <c r="U291" s="86"/>
      <c r="V291" s="86"/>
      <c r="W291" s="87"/>
      <c r="X291" s="75"/>
      <c r="Y291" s="75"/>
      <c r="Z291" s="75"/>
      <c r="AA291" s="75"/>
    </row>
    <row r="292" spans="1:27" s="82" customFormat="1" ht="12.75" customHeight="1" x14ac:dyDescent="0.4">
      <c r="A292" s="73" t="s">
        <v>132</v>
      </c>
      <c r="B292" s="87">
        <v>63</v>
      </c>
      <c r="C292" s="87">
        <v>48</v>
      </c>
      <c r="D292" s="87">
        <v>12</v>
      </c>
      <c r="E292" s="87">
        <v>3</v>
      </c>
      <c r="F292" s="86"/>
      <c r="G292" s="75">
        <v>0.984375</v>
      </c>
      <c r="H292" s="75">
        <v>0.76190476190476186</v>
      </c>
      <c r="I292" s="75">
        <v>0.19047619047619047</v>
      </c>
      <c r="J292" s="75">
        <v>4.7619047619047616E-2</v>
      </c>
      <c r="K292" s="75"/>
      <c r="L292" s="75"/>
      <c r="M292" s="6" t="s">
        <v>560</v>
      </c>
      <c r="N292" s="139">
        <v>254</v>
      </c>
      <c r="O292" s="140">
        <v>0.50901803607214424</v>
      </c>
      <c r="P292"/>
      <c r="Q292"/>
      <c r="R292" s="73"/>
      <c r="S292" s="86"/>
      <c r="T292" s="86"/>
      <c r="U292" s="86"/>
      <c r="V292" s="86"/>
      <c r="W292" s="87"/>
      <c r="X292" s="75"/>
      <c r="Y292" s="75"/>
      <c r="Z292" s="75"/>
      <c r="AA292" s="75"/>
    </row>
    <row r="293" spans="1:27" s="82" customFormat="1" ht="12.75" customHeight="1" x14ac:dyDescent="0.4">
      <c r="A293" s="73" t="s">
        <v>133</v>
      </c>
      <c r="B293" s="87">
        <v>65</v>
      </c>
      <c r="C293" s="87">
        <v>44</v>
      </c>
      <c r="D293" s="87">
        <v>21</v>
      </c>
      <c r="E293" s="87">
        <v>0</v>
      </c>
      <c r="F293" s="87"/>
      <c r="G293" s="75">
        <v>0.98484848484848486</v>
      </c>
      <c r="H293" s="75">
        <v>0.67692307692307696</v>
      </c>
      <c r="I293" s="75">
        <v>0.32307692307692309</v>
      </c>
      <c r="J293" s="75">
        <v>0</v>
      </c>
      <c r="K293" s="75"/>
      <c r="L293" s="75"/>
      <c r="M293" s="6" t="s">
        <v>227</v>
      </c>
      <c r="N293" s="139">
        <v>42</v>
      </c>
      <c r="O293" s="140">
        <v>8.4168336673346694E-2</v>
      </c>
      <c r="P293"/>
      <c r="Q293"/>
      <c r="R293" s="73"/>
      <c r="S293" s="86"/>
      <c r="T293" s="86"/>
      <c r="U293" s="86"/>
      <c r="V293" s="86"/>
      <c r="W293" s="87"/>
      <c r="X293" s="75"/>
      <c r="Y293" s="75"/>
      <c r="Z293" s="75"/>
      <c r="AA293" s="75"/>
    </row>
    <row r="294" spans="1:27" ht="12.75" customHeight="1" x14ac:dyDescent="0.4">
      <c r="A294" s="73" t="s">
        <v>134</v>
      </c>
      <c r="B294" s="87">
        <v>76</v>
      </c>
      <c r="C294" s="87">
        <v>66</v>
      </c>
      <c r="D294" s="87">
        <v>8</v>
      </c>
      <c r="E294" s="87">
        <v>2</v>
      </c>
      <c r="F294" s="87"/>
      <c r="G294" s="75">
        <v>1</v>
      </c>
      <c r="H294" s="75">
        <v>0.86842105263157898</v>
      </c>
      <c r="I294" s="75">
        <v>0.10526315789473684</v>
      </c>
      <c r="J294" s="75">
        <v>2.6315789473684209E-2</v>
      </c>
      <c r="K294" s="75"/>
      <c r="L294" s="72"/>
      <c r="M294" s="6"/>
      <c r="N294" s="139"/>
      <c r="O294" s="140"/>
      <c r="R294" s="73"/>
      <c r="S294" s="86"/>
      <c r="T294" s="86"/>
      <c r="U294" s="86"/>
      <c r="V294" s="86"/>
      <c r="W294" s="87"/>
      <c r="X294" s="75"/>
      <c r="Y294" s="75"/>
      <c r="Z294" s="75"/>
      <c r="AA294" s="75"/>
    </row>
    <row r="295" spans="1:27" ht="12.75" customHeight="1" x14ac:dyDescent="0.4">
      <c r="A295" s="73" t="s">
        <v>376</v>
      </c>
      <c r="B295" s="87">
        <v>24</v>
      </c>
      <c r="C295" s="87">
        <v>15</v>
      </c>
      <c r="D295" s="87">
        <v>9</v>
      </c>
      <c r="E295" s="87">
        <v>0</v>
      </c>
      <c r="F295" s="87"/>
      <c r="G295" s="75">
        <v>0.92307692307692313</v>
      </c>
      <c r="H295" s="75">
        <v>0.625</v>
      </c>
      <c r="I295" s="75">
        <v>0.375</v>
      </c>
      <c r="J295" s="75">
        <v>0</v>
      </c>
      <c r="K295" s="72"/>
      <c r="L295" s="72"/>
      <c r="M295" s="6" t="s">
        <v>561</v>
      </c>
      <c r="N295" s="138" t="s">
        <v>438</v>
      </c>
      <c r="O295" s="141" t="s">
        <v>202</v>
      </c>
      <c r="R295" s="73"/>
      <c r="S295" s="86"/>
      <c r="T295" s="86"/>
      <c r="U295" s="86"/>
      <c r="V295" s="86"/>
      <c r="W295" s="87"/>
      <c r="X295" s="75"/>
      <c r="Y295" s="75"/>
      <c r="Z295" s="75"/>
      <c r="AA295" s="75"/>
    </row>
    <row r="296" spans="1:27" ht="12.75" customHeight="1" x14ac:dyDescent="0.4">
      <c r="A296" s="73" t="s">
        <v>135</v>
      </c>
      <c r="B296" s="87">
        <v>29</v>
      </c>
      <c r="C296" s="87">
        <v>21</v>
      </c>
      <c r="D296" s="87">
        <v>3</v>
      </c>
      <c r="E296" s="87">
        <v>5</v>
      </c>
      <c r="F296" s="87"/>
      <c r="G296" s="75">
        <v>1</v>
      </c>
      <c r="H296" s="75">
        <v>0.72413793103448276</v>
      </c>
      <c r="I296" s="75">
        <v>0.10344827586206896</v>
      </c>
      <c r="J296" s="75">
        <v>0.17241379310344829</v>
      </c>
      <c r="K296" s="72"/>
      <c r="L296" s="72"/>
      <c r="M296" s="6" t="s">
        <v>562</v>
      </c>
      <c r="N296" s="229">
        <v>77</v>
      </c>
      <c r="O296" s="140">
        <v>0.15430861723446893</v>
      </c>
      <c r="P296" s="92"/>
      <c r="R296" s="73"/>
      <c r="S296" s="87"/>
      <c r="T296" s="86"/>
      <c r="U296" s="86"/>
      <c r="V296" s="87"/>
      <c r="W296" s="72"/>
      <c r="X296" s="75"/>
      <c r="Y296" s="75"/>
      <c r="Z296" s="75"/>
      <c r="AA296" s="75"/>
    </row>
    <row r="297" spans="1:27" ht="12.75" customHeight="1" x14ac:dyDescent="0.4">
      <c r="A297" s="73" t="s">
        <v>303</v>
      </c>
      <c r="B297" s="87">
        <v>31</v>
      </c>
      <c r="C297" s="87">
        <v>18</v>
      </c>
      <c r="D297" s="87">
        <v>8</v>
      </c>
      <c r="E297" s="87">
        <v>5</v>
      </c>
      <c r="F297" s="87"/>
      <c r="G297" s="75">
        <v>1</v>
      </c>
      <c r="H297" s="75">
        <v>0.58064516129032262</v>
      </c>
      <c r="I297" s="75">
        <v>0.25806451612903225</v>
      </c>
      <c r="J297" s="75">
        <v>0.16129032258064516</v>
      </c>
      <c r="K297" s="72"/>
      <c r="L297" s="74"/>
      <c r="M297" s="6"/>
      <c r="N297" s="139"/>
      <c r="O297" s="140"/>
      <c r="S297" s="82"/>
    </row>
    <row r="298" spans="1:27" ht="12.75" customHeight="1" x14ac:dyDescent="0.4">
      <c r="A298" s="73" t="s">
        <v>23</v>
      </c>
      <c r="B298" s="87">
        <v>499</v>
      </c>
      <c r="C298" s="87">
        <v>372</v>
      </c>
      <c r="D298" s="87">
        <v>102</v>
      </c>
      <c r="E298" s="87">
        <v>25</v>
      </c>
      <c r="F298" s="72"/>
      <c r="G298" s="75">
        <v>0.98811881188118811</v>
      </c>
      <c r="H298" s="75">
        <v>0.74549098196392782</v>
      </c>
      <c r="I298" s="75">
        <v>0.20440881763527055</v>
      </c>
      <c r="J298" s="75">
        <v>5.0100200400801605E-2</v>
      </c>
      <c r="K298" s="72"/>
      <c r="L298" s="75"/>
      <c r="M298" s="6"/>
      <c r="N298" s="139"/>
      <c r="O298" s="140"/>
      <c r="S298" s="82"/>
    </row>
    <row r="299" spans="1:27" ht="12.75" customHeight="1" x14ac:dyDescent="0.4">
      <c r="A299" s="73"/>
      <c r="B299" s="87"/>
      <c r="C299" s="87"/>
      <c r="D299" s="87"/>
      <c r="E299" s="87"/>
      <c r="F299" s="72"/>
      <c r="G299" s="75"/>
      <c r="H299" s="75"/>
      <c r="I299" s="75"/>
      <c r="J299" s="75"/>
      <c r="K299" s="74"/>
      <c r="L299" s="75"/>
      <c r="M299" s="6"/>
      <c r="N299" s="75"/>
      <c r="O299" s="75"/>
      <c r="P299" s="72"/>
      <c r="Q299" s="72"/>
      <c r="R299" s="73"/>
      <c r="S299" s="72"/>
      <c r="T299" s="72"/>
      <c r="U299" s="72"/>
      <c r="V299" s="72"/>
      <c r="W299" s="72"/>
      <c r="X299" s="72"/>
      <c r="Y299" s="72"/>
      <c r="Z299" s="72"/>
      <c r="AA299" s="72"/>
    </row>
    <row r="300" spans="1:27" ht="12.75" customHeight="1" x14ac:dyDescent="0.4">
      <c r="A300" s="73" t="s">
        <v>556</v>
      </c>
      <c r="B300" s="72"/>
      <c r="C300" s="72"/>
      <c r="D300" s="72"/>
      <c r="E300" s="72"/>
      <c r="F300" s="72"/>
      <c r="G300" s="72"/>
      <c r="H300" s="72"/>
      <c r="I300" s="72"/>
      <c r="J300" s="72"/>
      <c r="K300" s="75"/>
      <c r="L300" s="75"/>
      <c r="M300" s="6"/>
      <c r="N300" s="75"/>
      <c r="O300" s="75"/>
      <c r="P300" s="72"/>
      <c r="Q300" s="72"/>
      <c r="R300" s="73"/>
      <c r="S300" s="72"/>
      <c r="T300" s="72"/>
      <c r="U300" s="72"/>
      <c r="V300" s="72"/>
      <c r="W300" s="72"/>
      <c r="X300" s="72"/>
      <c r="Y300" s="72"/>
      <c r="Z300" s="72"/>
      <c r="AA300" s="72"/>
    </row>
    <row r="301" spans="1:27" ht="12.75" customHeight="1" x14ac:dyDescent="0.4">
      <c r="A301" s="73" t="s">
        <v>366</v>
      </c>
      <c r="B301" s="72"/>
      <c r="C301" s="72"/>
      <c r="D301" s="72"/>
      <c r="E301" s="72"/>
      <c r="F301" s="72"/>
      <c r="G301" s="72"/>
      <c r="H301" s="72"/>
      <c r="I301" s="72"/>
      <c r="J301" s="72"/>
      <c r="K301" s="75"/>
      <c r="L301" s="75"/>
      <c r="M301" s="6"/>
      <c r="N301" s="6"/>
      <c r="O301" s="6"/>
      <c r="P301" s="72"/>
      <c r="R301" s="73"/>
      <c r="S301" s="72"/>
      <c r="T301" s="72"/>
      <c r="U301" s="72"/>
      <c r="V301" s="72"/>
      <c r="W301" s="86"/>
      <c r="X301" s="72"/>
      <c r="Y301" s="72"/>
      <c r="Z301" s="72"/>
      <c r="AA301" s="72"/>
    </row>
    <row r="302" spans="1:27" ht="12.75" customHeight="1" x14ac:dyDescent="0.4">
      <c r="A302" s="73" t="s">
        <v>557</v>
      </c>
      <c r="B302" s="72"/>
      <c r="C302" s="72"/>
      <c r="D302" s="72"/>
      <c r="E302" s="72"/>
      <c r="F302" s="72"/>
      <c r="G302" s="72"/>
      <c r="H302" s="72"/>
      <c r="I302" s="72"/>
      <c r="J302" s="72"/>
      <c r="K302" s="75"/>
      <c r="L302" s="75"/>
      <c r="M302" s="6"/>
      <c r="N302" s="6"/>
      <c r="O302" s="6"/>
      <c r="R302" s="73"/>
      <c r="S302" s="74"/>
      <c r="T302" s="74"/>
      <c r="U302" s="74"/>
      <c r="V302" s="74"/>
      <c r="W302" s="86"/>
      <c r="X302" s="74"/>
      <c r="Y302" s="74"/>
      <c r="Z302" s="74"/>
      <c r="AA302" s="74"/>
    </row>
    <row r="303" spans="1:27" ht="12.75" customHeight="1" x14ac:dyDescent="0.4">
      <c r="A303" s="73"/>
      <c r="B303" s="72" t="s">
        <v>139</v>
      </c>
      <c r="C303" s="72"/>
      <c r="D303" s="72"/>
      <c r="E303" s="72"/>
      <c r="F303" s="86"/>
      <c r="G303" s="72" t="s">
        <v>146</v>
      </c>
      <c r="H303" s="72"/>
      <c r="I303" s="72"/>
      <c r="J303" s="72"/>
      <c r="K303" s="75"/>
      <c r="L303" s="75"/>
      <c r="M303" s="6"/>
      <c r="N303" s="6"/>
      <c r="O303" s="6"/>
      <c r="R303" s="73"/>
      <c r="S303" s="86"/>
      <c r="T303" s="86"/>
      <c r="U303" s="86"/>
      <c r="V303" s="86"/>
      <c r="W303" s="86"/>
      <c r="X303" s="75"/>
      <c r="Y303" s="75"/>
      <c r="Z303" s="75"/>
      <c r="AA303" s="75"/>
    </row>
    <row r="304" spans="1:27" ht="12.75" customHeight="1" x14ac:dyDescent="0.4">
      <c r="A304" s="73" t="s">
        <v>136</v>
      </c>
      <c r="B304" s="74" t="s">
        <v>112</v>
      </c>
      <c r="C304" s="74" t="s">
        <v>113</v>
      </c>
      <c r="D304" s="74" t="s">
        <v>114</v>
      </c>
      <c r="E304" s="74" t="s">
        <v>115</v>
      </c>
      <c r="F304" s="86"/>
      <c r="G304" s="74" t="s">
        <v>112</v>
      </c>
      <c r="H304" s="74" t="s">
        <v>113</v>
      </c>
      <c r="I304" s="74" t="s">
        <v>114</v>
      </c>
      <c r="J304" s="74" t="s">
        <v>115</v>
      </c>
      <c r="K304" s="75"/>
      <c r="L304" s="75"/>
      <c r="M304" s="6" t="s">
        <v>556</v>
      </c>
      <c r="N304" s="6"/>
      <c r="O304" s="6"/>
      <c r="R304" s="73"/>
      <c r="S304" s="86"/>
      <c r="T304" s="86"/>
      <c r="U304" s="86"/>
      <c r="V304" s="86"/>
      <c r="W304" s="86"/>
      <c r="X304" s="75"/>
      <c r="Y304" s="75"/>
      <c r="Z304" s="75"/>
      <c r="AA304" s="75"/>
    </row>
    <row r="305" spans="1:27" ht="12.75" customHeight="1" x14ac:dyDescent="0.4">
      <c r="A305" s="73" t="s">
        <v>127</v>
      </c>
      <c r="B305" s="87">
        <v>21</v>
      </c>
      <c r="C305" s="87">
        <v>16</v>
      </c>
      <c r="D305" s="87">
        <v>5</v>
      </c>
      <c r="E305" s="87">
        <v>0</v>
      </c>
      <c r="F305" s="86"/>
      <c r="G305" s="75">
        <v>1</v>
      </c>
      <c r="H305" s="75">
        <v>0.76190476190476186</v>
      </c>
      <c r="I305" s="75">
        <v>0.23809523809523808</v>
      </c>
      <c r="J305" s="75">
        <v>0</v>
      </c>
      <c r="K305" s="75"/>
      <c r="L305" s="75"/>
      <c r="M305" s="6" t="s">
        <v>551</v>
      </c>
      <c r="N305" s="139"/>
      <c r="O305" s="140"/>
      <c r="P305" s="160"/>
      <c r="Q305" s="140"/>
      <c r="R305" s="73"/>
      <c r="S305" s="86"/>
      <c r="T305" s="86"/>
      <c r="U305" s="86"/>
      <c r="V305" s="86"/>
      <c r="W305" s="86"/>
      <c r="X305" s="75"/>
      <c r="Y305" s="75"/>
      <c r="Z305" s="75"/>
      <c r="AA305" s="75"/>
    </row>
    <row r="306" spans="1:27" ht="12.75" customHeight="1" x14ac:dyDescent="0.4">
      <c r="A306" s="73" t="s">
        <v>128</v>
      </c>
      <c r="B306" s="87">
        <v>28</v>
      </c>
      <c r="C306" s="87">
        <v>21</v>
      </c>
      <c r="D306" s="87">
        <v>7</v>
      </c>
      <c r="E306" s="87">
        <v>0</v>
      </c>
      <c r="F306" s="86"/>
      <c r="G306" s="75">
        <v>1</v>
      </c>
      <c r="H306" s="75">
        <v>0.75</v>
      </c>
      <c r="I306" s="75">
        <v>0.25</v>
      </c>
      <c r="J306" s="75">
        <v>0</v>
      </c>
      <c r="K306" s="75"/>
      <c r="L306" s="75"/>
      <c r="M306" s="6" t="s">
        <v>445</v>
      </c>
      <c r="N306" s="6"/>
      <c r="O306" s="6"/>
      <c r="P306" s="160"/>
      <c r="Q306" s="140"/>
      <c r="R306" s="73"/>
      <c r="S306" s="86"/>
      <c r="T306" s="86"/>
      <c r="U306" s="86"/>
      <c r="V306" s="86"/>
      <c r="W306" s="86"/>
      <c r="X306" s="75"/>
      <c r="Y306" s="75"/>
      <c r="Z306" s="75"/>
      <c r="AA306" s="75"/>
    </row>
    <row r="307" spans="1:27" ht="12.75" customHeight="1" x14ac:dyDescent="0.4">
      <c r="A307" s="73" t="s">
        <v>129</v>
      </c>
      <c r="B307" s="87">
        <v>71</v>
      </c>
      <c r="C307" s="87">
        <v>62</v>
      </c>
      <c r="D307" s="87">
        <v>7</v>
      </c>
      <c r="E307" s="87">
        <v>2</v>
      </c>
      <c r="F307" s="86"/>
      <c r="G307" s="75">
        <v>0.98611111111111116</v>
      </c>
      <c r="H307" s="75">
        <v>0.87323943661971826</v>
      </c>
      <c r="I307" s="75">
        <v>9.8591549295774641E-2</v>
      </c>
      <c r="J307" s="75">
        <v>2.8169014084507043E-2</v>
      </c>
      <c r="K307" s="75"/>
      <c r="L307" s="75"/>
      <c r="M307" s="6" t="s">
        <v>201</v>
      </c>
      <c r="N307" s="76">
        <v>499</v>
      </c>
      <c r="O307" s="141" t="s">
        <v>202</v>
      </c>
      <c r="P307" s="223"/>
      <c r="Q307" s="140"/>
      <c r="R307" s="73"/>
      <c r="S307" s="86"/>
      <c r="T307" s="86"/>
      <c r="U307" s="86"/>
      <c r="V307" s="86"/>
      <c r="W307" s="86"/>
      <c r="X307" s="75"/>
      <c r="Y307" s="75"/>
      <c r="Z307" s="75"/>
      <c r="AA307" s="75"/>
    </row>
    <row r="308" spans="1:27" s="53" customFormat="1" ht="12.75" customHeight="1" x14ac:dyDescent="0.4">
      <c r="A308" s="73" t="s">
        <v>130</v>
      </c>
      <c r="B308" s="87">
        <v>60</v>
      </c>
      <c r="C308" s="87">
        <v>40</v>
      </c>
      <c r="D308" s="87">
        <v>19</v>
      </c>
      <c r="E308" s="87">
        <v>1</v>
      </c>
      <c r="F308" s="86"/>
      <c r="G308" s="75">
        <v>1</v>
      </c>
      <c r="H308" s="75">
        <v>0.66666666666666663</v>
      </c>
      <c r="I308" s="75">
        <v>0.31666666666666665</v>
      </c>
      <c r="J308" s="75">
        <v>1.6666666666666666E-2</v>
      </c>
      <c r="K308" s="75"/>
      <c r="L308" s="75"/>
      <c r="M308" s="6" t="s">
        <v>552</v>
      </c>
      <c r="N308" s="139">
        <v>297</v>
      </c>
      <c r="O308" s="140">
        <v>0.59519038076152309</v>
      </c>
      <c r="P308" s="160"/>
      <c r="Q308" s="140"/>
      <c r="R308" s="73"/>
      <c r="S308" s="86"/>
      <c r="T308" s="86"/>
      <c r="U308" s="86"/>
      <c r="V308" s="86"/>
      <c r="W308" s="86"/>
      <c r="X308" s="75"/>
      <c r="Y308" s="75"/>
      <c r="Z308" s="75"/>
      <c r="AA308" s="75"/>
    </row>
    <row r="309" spans="1:27" s="53" customFormat="1" ht="12.75" customHeight="1" x14ac:dyDescent="0.4">
      <c r="A309" s="73" t="s">
        <v>131</v>
      </c>
      <c r="B309" s="87">
        <v>32</v>
      </c>
      <c r="C309" s="87">
        <v>28</v>
      </c>
      <c r="D309" s="87">
        <v>3</v>
      </c>
      <c r="E309" s="87">
        <v>1</v>
      </c>
      <c r="F309" s="86"/>
      <c r="G309" s="75">
        <v>1</v>
      </c>
      <c r="H309" s="75">
        <v>0.875</v>
      </c>
      <c r="I309" s="75">
        <v>9.375E-2</v>
      </c>
      <c r="J309" s="75">
        <v>3.125E-2</v>
      </c>
      <c r="K309" s="75"/>
      <c r="L309" s="75"/>
      <c r="M309" s="6" t="s">
        <v>226</v>
      </c>
      <c r="N309" s="139">
        <v>88</v>
      </c>
      <c r="O309" s="140">
        <v>0.17635270541082165</v>
      </c>
      <c r="P309" s="160"/>
      <c r="Q309"/>
      <c r="R309" s="73"/>
      <c r="S309" s="86"/>
      <c r="T309" s="86"/>
      <c r="U309" s="86"/>
      <c r="V309" s="86"/>
      <c r="W309" s="87"/>
      <c r="X309" s="75"/>
      <c r="Y309" s="75"/>
      <c r="Z309" s="75"/>
      <c r="AA309" s="75"/>
    </row>
    <row r="310" spans="1:27" s="53" customFormat="1" ht="12.75" customHeight="1" x14ac:dyDescent="0.4">
      <c r="A310" s="73" t="s">
        <v>132</v>
      </c>
      <c r="B310" s="87">
        <v>65</v>
      </c>
      <c r="C310" s="87">
        <v>50</v>
      </c>
      <c r="D310" s="87">
        <v>14</v>
      </c>
      <c r="E310" s="87">
        <v>1</v>
      </c>
      <c r="F310" s="86"/>
      <c r="G310" s="75">
        <v>1</v>
      </c>
      <c r="H310" s="75">
        <v>0.76923076923076927</v>
      </c>
      <c r="I310" s="75">
        <v>0.2153846153846154</v>
      </c>
      <c r="J310" s="75">
        <v>1.5384615384615385E-2</v>
      </c>
      <c r="K310" s="75"/>
      <c r="L310" s="75"/>
      <c r="M310" s="6" t="s">
        <v>553</v>
      </c>
      <c r="N310" s="139">
        <v>189</v>
      </c>
      <c r="O310" s="140">
        <v>0.37875751503006011</v>
      </c>
      <c r="P310"/>
      <c r="Q310"/>
      <c r="R310" s="73"/>
      <c r="S310" s="86"/>
      <c r="T310" s="86"/>
      <c r="U310" s="86"/>
      <c r="V310" s="86"/>
      <c r="W310" s="87"/>
      <c r="X310" s="75"/>
      <c r="Y310" s="75"/>
      <c r="Z310" s="75"/>
      <c r="AA310" s="75"/>
    </row>
    <row r="311" spans="1:27" s="53" customFormat="1" ht="12.75" customHeight="1" x14ac:dyDescent="0.4">
      <c r="A311" s="73" t="s">
        <v>133</v>
      </c>
      <c r="B311" s="87">
        <v>64</v>
      </c>
      <c r="C311" s="87">
        <v>49</v>
      </c>
      <c r="D311" s="87">
        <v>11</v>
      </c>
      <c r="E311" s="87">
        <v>4</v>
      </c>
      <c r="F311" s="87"/>
      <c r="G311" s="75">
        <v>0.95522388059701491</v>
      </c>
      <c r="H311" s="75">
        <v>0.765625</v>
      </c>
      <c r="I311" s="75">
        <v>0.171875</v>
      </c>
      <c r="J311" s="75">
        <v>6.25E-2</v>
      </c>
      <c r="K311" s="75"/>
      <c r="L311" s="75"/>
      <c r="M311" s="6" t="s">
        <v>227</v>
      </c>
      <c r="N311" s="139">
        <v>38</v>
      </c>
      <c r="O311" s="140">
        <v>7.6152304609218444E-2</v>
      </c>
      <c r="P311"/>
      <c r="Q311"/>
      <c r="R311" s="73"/>
      <c r="S311" s="86"/>
      <c r="T311" s="86"/>
      <c r="U311" s="86"/>
      <c r="V311" s="86"/>
      <c r="W311" s="87"/>
      <c r="X311" s="75"/>
      <c r="Y311" s="75"/>
      <c r="Z311" s="75"/>
      <c r="AA311" s="75"/>
    </row>
    <row r="312" spans="1:27" ht="12.75" customHeight="1" x14ac:dyDescent="0.4">
      <c r="A312" s="73" t="s">
        <v>134</v>
      </c>
      <c r="B312" s="87">
        <v>75</v>
      </c>
      <c r="C312" s="87">
        <v>63</v>
      </c>
      <c r="D312" s="87">
        <v>10</v>
      </c>
      <c r="E312" s="87">
        <v>2</v>
      </c>
      <c r="F312" s="87"/>
      <c r="G312" s="75">
        <v>1</v>
      </c>
      <c r="H312" s="75">
        <v>0.84</v>
      </c>
      <c r="I312" s="75">
        <v>0.13333333333333333</v>
      </c>
      <c r="J312" s="75">
        <v>2.6666666666666668E-2</v>
      </c>
      <c r="K312" s="75"/>
      <c r="L312" s="75"/>
      <c r="M312" s="6"/>
      <c r="N312" s="139"/>
      <c r="O312" s="140"/>
      <c r="R312" s="73"/>
      <c r="S312" s="86"/>
      <c r="T312" s="86"/>
      <c r="U312" s="86"/>
      <c r="V312" s="86"/>
      <c r="W312" s="87"/>
      <c r="X312" s="75"/>
      <c r="Y312" s="75"/>
      <c r="Z312" s="75"/>
      <c r="AA312" s="75"/>
    </row>
    <row r="313" spans="1:27" ht="12.75" customHeight="1" x14ac:dyDescent="0.4">
      <c r="A313" s="73" t="s">
        <v>376</v>
      </c>
      <c r="B313" s="87">
        <v>26</v>
      </c>
      <c r="C313" s="87">
        <v>19</v>
      </c>
      <c r="D313" s="87">
        <v>7</v>
      </c>
      <c r="E313" s="87">
        <v>0</v>
      </c>
      <c r="F313" s="87"/>
      <c r="G313" s="75">
        <v>0.96296296296296291</v>
      </c>
      <c r="H313" s="75">
        <v>0.73076923076923073</v>
      </c>
      <c r="I313" s="75">
        <v>0.26923076923076922</v>
      </c>
      <c r="J313" s="75">
        <v>0</v>
      </c>
      <c r="K313" s="75"/>
      <c r="L313" s="72"/>
      <c r="M313" s="6" t="s">
        <v>554</v>
      </c>
      <c r="N313" s="138" t="s">
        <v>438</v>
      </c>
      <c r="O313" s="141" t="s">
        <v>202</v>
      </c>
      <c r="R313" s="73"/>
      <c r="S313" s="86"/>
      <c r="T313" s="86"/>
      <c r="U313" s="86"/>
      <c r="V313" s="86"/>
      <c r="W313" s="87"/>
      <c r="X313" s="75"/>
      <c r="Y313" s="75"/>
      <c r="Z313" s="75"/>
      <c r="AA313" s="75"/>
    </row>
    <row r="314" spans="1:27" ht="12.75" customHeight="1" x14ac:dyDescent="0.4">
      <c r="A314" s="73" t="s">
        <v>135</v>
      </c>
      <c r="B314" s="87">
        <v>29</v>
      </c>
      <c r="C314" s="87">
        <v>19</v>
      </c>
      <c r="D314" s="87">
        <v>9</v>
      </c>
      <c r="E314" s="87">
        <v>1</v>
      </c>
      <c r="F314" s="87"/>
      <c r="G314" s="75">
        <v>1</v>
      </c>
      <c r="H314" s="75">
        <v>0.65517241379310343</v>
      </c>
      <c r="I314" s="75">
        <v>0.31034482758620691</v>
      </c>
      <c r="J314" s="75">
        <v>3.4482758620689655E-2</v>
      </c>
      <c r="K314" s="72"/>
      <c r="L314" s="72"/>
      <c r="M314" s="6" t="s">
        <v>555</v>
      </c>
      <c r="N314" s="229">
        <v>74</v>
      </c>
      <c r="O314" s="140">
        <v>0.14829659318637275</v>
      </c>
      <c r="R314" s="73"/>
      <c r="S314" s="87"/>
      <c r="T314" s="86"/>
      <c r="U314" s="86"/>
      <c r="V314" s="87"/>
      <c r="W314" s="72"/>
      <c r="X314" s="75"/>
      <c r="Y314" s="75"/>
      <c r="Z314" s="75"/>
      <c r="AA314" s="75"/>
    </row>
    <row r="315" spans="1:27" ht="12.75" customHeight="1" x14ac:dyDescent="0.4">
      <c r="A315" s="73" t="s">
        <v>303</v>
      </c>
      <c r="B315" s="87">
        <v>29</v>
      </c>
      <c r="C315" s="87">
        <v>18</v>
      </c>
      <c r="D315" s="87">
        <v>9</v>
      </c>
      <c r="E315" s="87">
        <v>2</v>
      </c>
      <c r="F315" s="87"/>
      <c r="G315" s="75">
        <v>1</v>
      </c>
      <c r="H315" s="75">
        <v>0.62068965517241381</v>
      </c>
      <c r="I315" s="75">
        <v>0.31034482758620691</v>
      </c>
      <c r="J315" s="75">
        <v>6.8965517241379309E-2</v>
      </c>
      <c r="K315" s="72"/>
      <c r="L315" s="74"/>
      <c r="M315" s="6"/>
      <c r="N315" s="229"/>
      <c r="O315" s="140"/>
      <c r="P315" s="92"/>
      <c r="S315" s="53"/>
    </row>
    <row r="316" spans="1:27" ht="12.75" customHeight="1" x14ac:dyDescent="0.4">
      <c r="A316" s="73" t="s">
        <v>23</v>
      </c>
      <c r="B316" s="87">
        <v>500</v>
      </c>
      <c r="C316" s="87">
        <v>385</v>
      </c>
      <c r="D316" s="87">
        <v>101</v>
      </c>
      <c r="E316" s="87">
        <v>14</v>
      </c>
      <c r="F316" s="72"/>
      <c r="G316" s="75">
        <v>0.99009900990099009</v>
      </c>
      <c r="H316" s="75">
        <v>0.77</v>
      </c>
      <c r="I316" s="75">
        <v>0.20200000000000001</v>
      </c>
      <c r="J316" s="75">
        <v>2.8000000000000001E-2</v>
      </c>
      <c r="K316" s="72"/>
      <c r="L316" s="75"/>
      <c r="M316" s="6"/>
      <c r="N316" s="139"/>
      <c r="O316" s="140"/>
      <c r="P316" s="92"/>
      <c r="S316" s="53"/>
    </row>
    <row r="317" spans="1:27" ht="12.75" customHeight="1" x14ac:dyDescent="0.4">
      <c r="A317" s="73"/>
      <c r="B317" s="87"/>
      <c r="C317" s="87"/>
      <c r="D317" s="87"/>
      <c r="E317" s="87"/>
      <c r="F317" s="72"/>
      <c r="G317" s="75"/>
      <c r="H317" s="75"/>
      <c r="I317" s="75"/>
      <c r="J317" s="75"/>
      <c r="K317" s="74"/>
      <c r="L317" s="75"/>
      <c r="M317" s="6"/>
      <c r="N317" s="139"/>
      <c r="O317" s="140"/>
      <c r="Q317" s="72"/>
      <c r="R317" s="73"/>
      <c r="S317" s="72"/>
      <c r="T317" s="72"/>
      <c r="U317" s="72"/>
      <c r="V317" s="72"/>
      <c r="W317" s="72"/>
      <c r="X317" s="72"/>
      <c r="Y317" s="72"/>
      <c r="Z317" s="72"/>
      <c r="AA317" s="72"/>
    </row>
    <row r="318" spans="1:27" ht="12.75" customHeight="1" x14ac:dyDescent="0.4">
      <c r="A318" s="73"/>
      <c r="B318" s="87"/>
      <c r="C318" s="87"/>
      <c r="D318" s="87"/>
      <c r="E318" s="87"/>
      <c r="F318" s="72"/>
      <c r="G318" s="75"/>
      <c r="H318" s="75"/>
      <c r="I318" s="75"/>
      <c r="J318" s="75"/>
      <c r="K318" s="75"/>
      <c r="L318" s="75"/>
      <c r="M318" s="6"/>
      <c r="N318" s="75"/>
      <c r="O318" s="75"/>
      <c r="R318" s="73"/>
      <c r="S318" s="72"/>
      <c r="T318" s="72"/>
      <c r="U318" s="72"/>
      <c r="V318" s="72"/>
      <c r="W318" s="86"/>
      <c r="X318" s="72"/>
      <c r="Y318" s="72"/>
      <c r="Z318" s="72"/>
      <c r="AA318" s="72"/>
    </row>
    <row r="319" spans="1:27" ht="12.75" customHeight="1" x14ac:dyDescent="0.4">
      <c r="A319" s="73" t="s">
        <v>539</v>
      </c>
      <c r="B319" s="72"/>
      <c r="C319" s="72"/>
      <c r="D319" s="72"/>
      <c r="E319" s="72"/>
      <c r="F319" s="72"/>
      <c r="G319" s="72"/>
      <c r="H319" s="72"/>
      <c r="I319" s="72"/>
      <c r="J319" s="72"/>
      <c r="K319" s="75"/>
      <c r="L319" s="75"/>
      <c r="M319" s="6"/>
      <c r="N319" s="75"/>
      <c r="O319" s="75"/>
      <c r="R319" s="73"/>
      <c r="S319" s="74"/>
      <c r="T319" s="74"/>
      <c r="U319" s="74"/>
      <c r="V319" s="74"/>
      <c r="W319" s="86"/>
      <c r="X319" s="74"/>
      <c r="Y319" s="74"/>
      <c r="Z319" s="74"/>
      <c r="AA319" s="74"/>
    </row>
    <row r="320" spans="1:27" ht="12.75" customHeight="1" x14ac:dyDescent="0.4">
      <c r="A320" s="73" t="s">
        <v>366</v>
      </c>
      <c r="B320" s="72"/>
      <c r="C320" s="72"/>
      <c r="D320" s="72"/>
      <c r="E320" s="72"/>
      <c r="F320" s="72"/>
      <c r="G320" s="72"/>
      <c r="H320" s="72"/>
      <c r="I320" s="72"/>
      <c r="J320" s="72"/>
      <c r="K320" s="75"/>
      <c r="L320" s="75"/>
      <c r="M320" s="6"/>
      <c r="N320" s="75"/>
      <c r="O320" s="75"/>
      <c r="R320" s="73"/>
      <c r="S320" s="86"/>
      <c r="T320" s="86"/>
      <c r="U320" s="86"/>
      <c r="V320" s="86"/>
      <c r="W320" s="86"/>
      <c r="X320" s="75"/>
      <c r="Y320" s="75"/>
      <c r="Z320" s="75"/>
      <c r="AA320" s="75"/>
    </row>
    <row r="321" spans="1:27" ht="12.75" customHeight="1" x14ac:dyDescent="0.4">
      <c r="A321" s="73" t="s">
        <v>546</v>
      </c>
      <c r="B321" s="72"/>
      <c r="C321" s="72"/>
      <c r="D321" s="72"/>
      <c r="E321" s="72"/>
      <c r="F321" s="72"/>
      <c r="G321" s="72"/>
      <c r="H321" s="72"/>
      <c r="I321" s="72"/>
      <c r="J321" s="72"/>
      <c r="K321" s="75"/>
      <c r="L321" s="75"/>
      <c r="M321" s="6"/>
      <c r="N321" s="6"/>
      <c r="O321" s="6"/>
      <c r="P321" s="160"/>
      <c r="R321" s="73"/>
      <c r="S321" s="86"/>
      <c r="T321" s="86"/>
      <c r="U321" s="86"/>
      <c r="V321" s="86"/>
      <c r="W321" s="86"/>
      <c r="X321" s="75"/>
      <c r="Y321" s="75"/>
      <c r="Z321" s="75"/>
      <c r="AA321" s="75"/>
    </row>
    <row r="322" spans="1:27" ht="12.75" customHeight="1" x14ac:dyDescent="0.4">
      <c r="A322" s="73"/>
      <c r="B322" s="72" t="s">
        <v>139</v>
      </c>
      <c r="C322" s="72"/>
      <c r="D322" s="72"/>
      <c r="E322" s="72"/>
      <c r="F322" s="86"/>
      <c r="G322" s="72" t="s">
        <v>146</v>
      </c>
      <c r="H322" s="72"/>
      <c r="I322" s="72"/>
      <c r="J322" s="72"/>
      <c r="K322" s="75"/>
      <c r="L322" s="75"/>
      <c r="M322" s="6"/>
      <c r="N322" s="6"/>
      <c r="O322" s="6"/>
      <c r="P322" s="160"/>
      <c r="Q322" s="167"/>
      <c r="R322" s="73"/>
      <c r="S322" s="86"/>
      <c r="T322" s="86"/>
      <c r="U322" s="86"/>
      <c r="V322" s="86"/>
      <c r="W322" s="86"/>
      <c r="X322" s="75"/>
      <c r="Y322" s="75"/>
      <c r="Z322" s="75"/>
      <c r="AA322" s="75"/>
    </row>
    <row r="323" spans="1:27" ht="12.75" customHeight="1" x14ac:dyDescent="0.4">
      <c r="A323" s="73" t="s">
        <v>136</v>
      </c>
      <c r="B323" s="74" t="s">
        <v>112</v>
      </c>
      <c r="C323" s="74" t="s">
        <v>113</v>
      </c>
      <c r="D323" s="74" t="s">
        <v>114</v>
      </c>
      <c r="E323" s="74" t="s">
        <v>115</v>
      </c>
      <c r="F323" s="86"/>
      <c r="G323" s="74" t="s">
        <v>112</v>
      </c>
      <c r="H323" s="74" t="s">
        <v>113</v>
      </c>
      <c r="I323" s="74" t="s">
        <v>114</v>
      </c>
      <c r="J323" s="74" t="s">
        <v>115</v>
      </c>
      <c r="K323" s="75"/>
      <c r="L323" s="75"/>
      <c r="M323" s="6" t="s">
        <v>539</v>
      </c>
      <c r="N323" s="6"/>
      <c r="O323" s="6"/>
      <c r="P323" s="223"/>
      <c r="Q323" s="167"/>
      <c r="R323" s="73"/>
      <c r="S323" s="86"/>
      <c r="T323" s="86"/>
      <c r="U323" s="86"/>
      <c r="V323" s="86"/>
      <c r="W323" s="86"/>
      <c r="X323" s="75"/>
      <c r="Y323" s="75"/>
      <c r="Z323" s="75"/>
      <c r="AA323" s="75"/>
    </row>
    <row r="324" spans="1:27" ht="12.75" customHeight="1" x14ac:dyDescent="0.4">
      <c r="A324" s="73" t="s">
        <v>127</v>
      </c>
      <c r="B324" s="87">
        <v>21</v>
      </c>
      <c r="C324" s="87">
        <v>15</v>
      </c>
      <c r="D324" s="87">
        <v>6</v>
      </c>
      <c r="E324" s="87">
        <v>0</v>
      </c>
      <c r="F324" s="86"/>
      <c r="G324" s="75">
        <v>1</v>
      </c>
      <c r="H324" s="75">
        <v>0.7142857142857143</v>
      </c>
      <c r="I324" s="75">
        <v>0.2857142857142857</v>
      </c>
      <c r="J324" s="75">
        <v>0</v>
      </c>
      <c r="K324" s="75"/>
      <c r="L324" s="75"/>
      <c r="M324" s="6" t="s">
        <v>540</v>
      </c>
      <c r="N324" s="139"/>
      <c r="O324" s="140"/>
      <c r="P324" s="160"/>
      <c r="Q324" s="167"/>
      <c r="R324" s="73"/>
      <c r="S324" s="86"/>
      <c r="T324" s="86"/>
      <c r="U324" s="86"/>
      <c r="V324" s="86"/>
      <c r="W324" s="86"/>
      <c r="X324" s="75"/>
      <c r="Y324" s="75"/>
      <c r="Z324" s="75"/>
      <c r="AA324" s="75"/>
    </row>
    <row r="325" spans="1:27" s="82" customFormat="1" ht="12.75" customHeight="1" x14ac:dyDescent="0.4">
      <c r="A325" s="73" t="s">
        <v>128</v>
      </c>
      <c r="B325" s="87">
        <v>28</v>
      </c>
      <c r="C325" s="87">
        <v>18</v>
      </c>
      <c r="D325" s="87">
        <v>9</v>
      </c>
      <c r="E325" s="87">
        <v>1</v>
      </c>
      <c r="F325" s="86"/>
      <c r="G325" s="75">
        <v>1</v>
      </c>
      <c r="H325" s="75">
        <v>0.6428571428571429</v>
      </c>
      <c r="I325" s="75">
        <v>0.32142857142857145</v>
      </c>
      <c r="J325" s="75">
        <v>3.5714285714285712E-2</v>
      </c>
      <c r="K325" s="75"/>
      <c r="L325" s="75"/>
      <c r="M325" s="6" t="s">
        <v>445</v>
      </c>
      <c r="N325" s="6"/>
      <c r="O325" s="6"/>
      <c r="P325" s="160"/>
      <c r="Q325" s="167"/>
      <c r="R325" s="73"/>
      <c r="S325" s="86"/>
      <c r="T325" s="86"/>
      <c r="U325" s="86"/>
      <c r="V325" s="86"/>
      <c r="W325" s="86"/>
      <c r="X325" s="75"/>
      <c r="Y325" s="75"/>
      <c r="Z325" s="75"/>
      <c r="AA325" s="75"/>
    </row>
    <row r="326" spans="1:27" s="82" customFormat="1" ht="12.75" customHeight="1" x14ac:dyDescent="0.4">
      <c r="A326" s="73" t="s">
        <v>129</v>
      </c>
      <c r="B326" s="87">
        <v>71</v>
      </c>
      <c r="C326" s="87">
        <v>58</v>
      </c>
      <c r="D326" s="87">
        <v>11</v>
      </c>
      <c r="E326" s="87">
        <v>2</v>
      </c>
      <c r="F326" s="86"/>
      <c r="G326" s="75">
        <v>0.98611111111111116</v>
      </c>
      <c r="H326" s="75">
        <v>0.81690140845070425</v>
      </c>
      <c r="I326" s="75">
        <v>0.15492957746478872</v>
      </c>
      <c r="J326" s="75">
        <v>2.8169014084507043E-2</v>
      </c>
      <c r="K326" s="75"/>
      <c r="L326" s="75"/>
      <c r="M326" s="6" t="s">
        <v>201</v>
      </c>
      <c r="N326" s="76">
        <v>497</v>
      </c>
      <c r="O326" s="141" t="s">
        <v>202</v>
      </c>
      <c r="P326"/>
      <c r="Q326"/>
      <c r="R326" s="73"/>
      <c r="S326" s="86"/>
      <c r="T326" s="86"/>
      <c r="U326" s="86"/>
      <c r="V326" s="86"/>
      <c r="W326" s="87"/>
      <c r="X326" s="75"/>
      <c r="Y326" s="75"/>
      <c r="Z326" s="75"/>
      <c r="AA326" s="75"/>
    </row>
    <row r="327" spans="1:27" s="82" customFormat="1" ht="12.75" customHeight="1" x14ac:dyDescent="0.4">
      <c r="A327" s="73" t="s">
        <v>130</v>
      </c>
      <c r="B327" s="87">
        <v>61</v>
      </c>
      <c r="C327" s="87">
        <v>45</v>
      </c>
      <c r="D327" s="87">
        <v>14</v>
      </c>
      <c r="E327" s="87">
        <v>2</v>
      </c>
      <c r="F327" s="86"/>
      <c r="G327" s="75">
        <v>1</v>
      </c>
      <c r="H327" s="75">
        <v>0.73770491803278693</v>
      </c>
      <c r="I327" s="75">
        <v>0.22950819672131148</v>
      </c>
      <c r="J327" s="75">
        <v>3.2786885245901641E-2</v>
      </c>
      <c r="K327" s="75"/>
      <c r="L327" s="75"/>
      <c r="M327" s="6" t="s">
        <v>541</v>
      </c>
      <c r="N327" s="139">
        <v>259</v>
      </c>
      <c r="O327" s="140">
        <v>0.52112676056338025</v>
      </c>
      <c r="P327"/>
      <c r="Q327"/>
      <c r="R327" s="73"/>
      <c r="S327" s="86"/>
      <c r="T327" s="86"/>
      <c r="U327" s="86"/>
      <c r="V327" s="86"/>
      <c r="W327" s="87"/>
      <c r="X327" s="75"/>
      <c r="Y327" s="75"/>
      <c r="Z327" s="75"/>
      <c r="AA327" s="75"/>
    </row>
    <row r="328" spans="1:27" s="82" customFormat="1" ht="12.75" customHeight="1" x14ac:dyDescent="0.4">
      <c r="A328" s="73" t="s">
        <v>131</v>
      </c>
      <c r="B328" s="87">
        <v>32</v>
      </c>
      <c r="C328" s="87">
        <v>22</v>
      </c>
      <c r="D328" s="87">
        <v>8</v>
      </c>
      <c r="E328" s="87">
        <v>2</v>
      </c>
      <c r="F328" s="86"/>
      <c r="G328" s="75">
        <v>1</v>
      </c>
      <c r="H328" s="75">
        <v>0.6875</v>
      </c>
      <c r="I328" s="75">
        <v>0.25</v>
      </c>
      <c r="J328" s="75">
        <v>6.25E-2</v>
      </c>
      <c r="K328" s="75"/>
      <c r="L328" s="75"/>
      <c r="M328" s="6" t="s">
        <v>226</v>
      </c>
      <c r="N328" s="139">
        <v>74</v>
      </c>
      <c r="O328" s="140">
        <v>0.1488933601609658</v>
      </c>
      <c r="P328"/>
      <c r="Q328"/>
      <c r="R328" s="73"/>
      <c r="S328" s="86"/>
      <c r="T328" s="86"/>
      <c r="U328" s="86"/>
      <c r="V328" s="86"/>
      <c r="W328" s="87"/>
      <c r="X328" s="75"/>
      <c r="Y328" s="75"/>
      <c r="Z328" s="75"/>
      <c r="AA328" s="75"/>
    </row>
    <row r="329" spans="1:27" ht="12.75" customHeight="1" x14ac:dyDescent="0.4">
      <c r="A329" s="73" t="s">
        <v>132</v>
      </c>
      <c r="B329" s="87">
        <v>64</v>
      </c>
      <c r="C329" s="87">
        <v>51</v>
      </c>
      <c r="D329" s="87">
        <v>10</v>
      </c>
      <c r="E329" s="87">
        <v>3</v>
      </c>
      <c r="F329" s="86"/>
      <c r="G329" s="75">
        <v>1</v>
      </c>
      <c r="H329" s="75">
        <v>0.796875</v>
      </c>
      <c r="I329" s="75">
        <v>0.15625</v>
      </c>
      <c r="J329" s="75">
        <v>4.6875E-2</v>
      </c>
      <c r="K329" s="75"/>
      <c r="L329" s="75"/>
      <c r="M329" s="6" t="s">
        <v>542</v>
      </c>
      <c r="N329" s="139">
        <v>223</v>
      </c>
      <c r="O329" s="140">
        <v>0.44869215291750503</v>
      </c>
      <c r="R329" s="73"/>
      <c r="S329" s="86"/>
      <c r="T329" s="86"/>
      <c r="U329" s="86"/>
      <c r="V329" s="86"/>
      <c r="W329" s="87"/>
      <c r="X329" s="75"/>
      <c r="Y329" s="75"/>
      <c r="Z329" s="75"/>
      <c r="AA329" s="75"/>
    </row>
    <row r="330" spans="1:27" ht="12.75" customHeight="1" x14ac:dyDescent="0.4">
      <c r="A330" s="73" t="s">
        <v>133</v>
      </c>
      <c r="B330" s="87">
        <v>65</v>
      </c>
      <c r="C330" s="87">
        <v>50</v>
      </c>
      <c r="D330" s="87">
        <v>14</v>
      </c>
      <c r="E330" s="87">
        <v>1</v>
      </c>
      <c r="F330" s="87"/>
      <c r="G330" s="75">
        <v>0.97014925373134331</v>
      </c>
      <c r="H330" s="75">
        <v>0.76923076923076927</v>
      </c>
      <c r="I330" s="75">
        <v>0.2153846153846154</v>
      </c>
      <c r="J330" s="75">
        <v>1.5384615384615385E-2</v>
      </c>
      <c r="K330" s="75"/>
      <c r="L330" s="75"/>
      <c r="M330" s="6" t="s">
        <v>227</v>
      </c>
      <c r="N330" s="139">
        <v>50</v>
      </c>
      <c r="O330" s="140">
        <v>0.1006036217303823</v>
      </c>
      <c r="R330" s="73"/>
      <c r="S330" s="86"/>
      <c r="T330" s="86"/>
      <c r="U330" s="86"/>
      <c r="V330" s="86"/>
      <c r="W330" s="87"/>
      <c r="X330" s="75"/>
      <c r="Y330" s="75"/>
      <c r="Z330" s="75"/>
      <c r="AA330" s="75"/>
    </row>
    <row r="331" spans="1:27" ht="12.75" customHeight="1" x14ac:dyDescent="0.4">
      <c r="A331" s="73" t="s">
        <v>134</v>
      </c>
      <c r="B331" s="87">
        <v>76</v>
      </c>
      <c r="C331" s="87">
        <v>68</v>
      </c>
      <c r="D331" s="87">
        <v>5</v>
      </c>
      <c r="E331" s="87">
        <v>3</v>
      </c>
      <c r="F331" s="87"/>
      <c r="G331" s="75">
        <v>1</v>
      </c>
      <c r="H331" s="75">
        <v>0.89473684210526316</v>
      </c>
      <c r="I331" s="75">
        <v>6.5789473684210523E-2</v>
      </c>
      <c r="J331" s="75">
        <v>3.9473684210526314E-2</v>
      </c>
      <c r="K331" s="75"/>
      <c r="L331" s="72"/>
      <c r="M331" s="6"/>
      <c r="N331" s="139"/>
      <c r="O331" s="140"/>
      <c r="P331" s="92"/>
      <c r="R331" s="73"/>
      <c r="S331" s="87"/>
      <c r="T331" s="86"/>
      <c r="U331" s="86"/>
      <c r="V331" s="87"/>
      <c r="W331" s="72"/>
      <c r="X331" s="75"/>
      <c r="Y331" s="75"/>
      <c r="Z331" s="75"/>
      <c r="AA331" s="75"/>
    </row>
    <row r="332" spans="1:27" ht="12.75" customHeight="1" x14ac:dyDescent="0.4">
      <c r="A332" s="73" t="s">
        <v>376</v>
      </c>
      <c r="B332" s="87">
        <v>25</v>
      </c>
      <c r="C332" s="87">
        <v>14</v>
      </c>
      <c r="D332" s="87">
        <v>9</v>
      </c>
      <c r="E332" s="87">
        <v>2</v>
      </c>
      <c r="F332" s="87"/>
      <c r="G332" s="75">
        <v>0.92592592592592593</v>
      </c>
      <c r="H332" s="75">
        <v>0.56000000000000005</v>
      </c>
      <c r="I332" s="75">
        <v>0.36</v>
      </c>
      <c r="J332" s="75">
        <v>0.08</v>
      </c>
      <c r="K332" s="72"/>
      <c r="L332" s="72"/>
      <c r="M332" s="6" t="s">
        <v>543</v>
      </c>
      <c r="N332" s="138" t="s">
        <v>438</v>
      </c>
      <c r="O332" s="141" t="s">
        <v>202</v>
      </c>
      <c r="P332" s="92"/>
      <c r="S332" s="82"/>
    </row>
    <row r="333" spans="1:27" ht="12.75" customHeight="1" x14ac:dyDescent="0.4">
      <c r="A333" s="73" t="s">
        <v>135</v>
      </c>
      <c r="B333" s="87">
        <v>28</v>
      </c>
      <c r="C333" s="87">
        <v>19</v>
      </c>
      <c r="D333" s="87">
        <v>7</v>
      </c>
      <c r="E333" s="87">
        <v>2</v>
      </c>
      <c r="F333" s="87"/>
      <c r="G333" s="75">
        <v>1</v>
      </c>
      <c r="H333" s="75">
        <v>0.6785714285714286</v>
      </c>
      <c r="I333" s="75">
        <v>0.25</v>
      </c>
      <c r="J333" s="75">
        <v>7.1428571428571425E-2</v>
      </c>
      <c r="K333" s="72"/>
      <c r="L333" s="72"/>
      <c r="M333" s="6" t="s">
        <v>544</v>
      </c>
      <c r="N333" s="229">
        <v>62</v>
      </c>
      <c r="O333" s="140">
        <v>0.12474849094567404</v>
      </c>
      <c r="P333" s="72"/>
      <c r="S333" s="82"/>
    </row>
    <row r="334" spans="1:27" ht="13.15" x14ac:dyDescent="0.4">
      <c r="A334" s="73" t="s">
        <v>303</v>
      </c>
      <c r="B334" s="87">
        <v>29</v>
      </c>
      <c r="C334" s="87">
        <v>18</v>
      </c>
      <c r="D334" s="87">
        <v>9</v>
      </c>
      <c r="E334" s="87">
        <v>2</v>
      </c>
      <c r="F334" s="87"/>
      <c r="G334" s="75">
        <v>1</v>
      </c>
      <c r="H334" s="75">
        <v>0.62068965517241381</v>
      </c>
      <c r="I334" s="75">
        <v>0.31034482758620691</v>
      </c>
      <c r="J334" s="75">
        <v>6.8965517241379309E-2</v>
      </c>
      <c r="K334" s="72"/>
      <c r="L334" s="74"/>
      <c r="M334" s="6"/>
      <c r="N334" s="139"/>
      <c r="O334" s="140"/>
      <c r="P334" s="72"/>
      <c r="Q334" s="72"/>
      <c r="R334" s="73"/>
      <c r="S334" s="72"/>
      <c r="T334" s="72"/>
      <c r="U334" s="72"/>
      <c r="V334" s="72"/>
      <c r="W334" s="72"/>
      <c r="X334" s="72"/>
      <c r="Y334" s="72"/>
      <c r="Z334" s="72"/>
      <c r="AA334" s="72"/>
    </row>
    <row r="335" spans="1:27" ht="12.75" customHeight="1" x14ac:dyDescent="0.4">
      <c r="A335" s="73" t="s">
        <v>23</v>
      </c>
      <c r="B335" s="87">
        <v>500</v>
      </c>
      <c r="C335" s="87">
        <v>378</v>
      </c>
      <c r="D335" s="87">
        <v>102</v>
      </c>
      <c r="E335" s="87">
        <v>20</v>
      </c>
      <c r="F335" s="72"/>
      <c r="G335" s="75">
        <v>0.99009900990099009</v>
      </c>
      <c r="H335" s="75">
        <v>0.75600000000000001</v>
      </c>
      <c r="I335" s="75">
        <v>0.20399999999999999</v>
      </c>
      <c r="J335" s="75">
        <v>0.04</v>
      </c>
      <c r="K335" s="72"/>
      <c r="L335" s="75"/>
      <c r="M335" s="6"/>
      <c r="N335" s="139"/>
      <c r="O335" s="140"/>
      <c r="P335" s="72"/>
      <c r="Q335" s="72"/>
      <c r="R335" s="73"/>
      <c r="S335" s="72"/>
      <c r="T335" s="72"/>
      <c r="U335" s="72"/>
      <c r="V335" s="72"/>
      <c r="W335" s="72"/>
      <c r="X335" s="72"/>
      <c r="Y335" s="72"/>
      <c r="Z335" s="72"/>
      <c r="AA335" s="72"/>
    </row>
    <row r="336" spans="1:27" ht="12.75" customHeight="1" x14ac:dyDescent="0.4">
      <c r="A336" s="73"/>
      <c r="B336" s="87"/>
      <c r="C336" s="86"/>
      <c r="D336" s="86"/>
      <c r="E336" s="87"/>
      <c r="F336" s="72"/>
      <c r="G336" s="75"/>
      <c r="H336" s="75"/>
      <c r="I336" s="75"/>
      <c r="J336" s="75"/>
      <c r="K336" s="74"/>
      <c r="L336" s="75"/>
      <c r="M336" s="6"/>
      <c r="N336" s="75"/>
      <c r="O336" s="75"/>
      <c r="P336" s="72"/>
      <c r="Q336" s="72"/>
      <c r="R336" s="73"/>
      <c r="S336" s="72"/>
      <c r="T336" s="72"/>
      <c r="U336" s="72"/>
      <c r="V336" s="72"/>
      <c r="W336" s="72"/>
      <c r="X336" s="72"/>
      <c r="Y336" s="72"/>
      <c r="Z336" s="72"/>
      <c r="AA336" s="72"/>
    </row>
    <row r="337" spans="1:27" ht="12.75" customHeight="1" x14ac:dyDescent="0.4">
      <c r="A337" s="73"/>
      <c r="B337" s="87"/>
      <c r="C337" s="86"/>
      <c r="D337" s="86"/>
      <c r="E337" s="87"/>
      <c r="F337" s="72"/>
      <c r="G337" s="75"/>
      <c r="H337" s="75"/>
      <c r="I337" s="75"/>
      <c r="J337" s="75"/>
      <c r="K337" s="75"/>
      <c r="L337" s="75"/>
      <c r="M337" s="6"/>
      <c r="N337" s="75"/>
      <c r="O337" s="75"/>
      <c r="P337" s="72"/>
      <c r="R337" s="73"/>
      <c r="S337" s="72"/>
      <c r="T337" s="72"/>
      <c r="U337" s="72"/>
      <c r="V337" s="72"/>
      <c r="W337" s="86"/>
      <c r="X337" s="72"/>
      <c r="Y337" s="72"/>
      <c r="Z337" s="72"/>
      <c r="AA337" s="72"/>
    </row>
    <row r="338" spans="1:27" ht="12.75" customHeight="1" x14ac:dyDescent="0.4">
      <c r="A338" s="73" t="s">
        <v>527</v>
      </c>
      <c r="B338" s="72"/>
      <c r="C338" s="72"/>
      <c r="D338" s="72"/>
      <c r="E338" s="72"/>
      <c r="F338" s="72"/>
      <c r="G338" s="72"/>
      <c r="H338" s="72"/>
      <c r="I338" s="72"/>
      <c r="J338" s="72"/>
      <c r="K338" s="75"/>
      <c r="L338" s="75"/>
      <c r="M338" s="73"/>
      <c r="N338" s="165"/>
      <c r="O338" s="75"/>
      <c r="R338" s="73"/>
      <c r="S338" s="74"/>
      <c r="T338" s="74"/>
      <c r="U338" s="74"/>
      <c r="V338" s="74"/>
      <c r="W338" s="86"/>
      <c r="X338" s="74"/>
      <c r="Y338" s="74"/>
      <c r="Z338" s="74"/>
      <c r="AA338" s="74"/>
    </row>
    <row r="339" spans="1:27" ht="12.75" customHeight="1" x14ac:dyDescent="0.4">
      <c r="A339" s="73" t="s">
        <v>535</v>
      </c>
      <c r="B339" s="72"/>
      <c r="C339" s="72"/>
      <c r="D339" s="72"/>
      <c r="E339" s="72"/>
      <c r="F339" s="72"/>
      <c r="G339" s="72"/>
      <c r="H339" s="72"/>
      <c r="I339" s="72"/>
      <c r="J339" s="72"/>
      <c r="K339" s="75"/>
      <c r="L339" s="75"/>
      <c r="M339" s="6"/>
      <c r="N339" s="6"/>
      <c r="O339" s="6"/>
      <c r="R339" s="73"/>
      <c r="S339" s="86"/>
      <c r="T339" s="86"/>
      <c r="U339" s="86"/>
      <c r="V339" s="86"/>
      <c r="W339" s="86"/>
      <c r="X339" s="75"/>
      <c r="Y339" s="75"/>
      <c r="Z339" s="75"/>
      <c r="AA339" s="75"/>
    </row>
    <row r="340" spans="1:27" ht="12.75" customHeight="1" x14ac:dyDescent="0.4">
      <c r="A340" s="73" t="s">
        <v>536</v>
      </c>
      <c r="B340" s="72"/>
      <c r="C340" s="72"/>
      <c r="D340" s="72"/>
      <c r="E340" s="72"/>
      <c r="F340" s="72"/>
      <c r="G340" s="72"/>
      <c r="H340" s="72"/>
      <c r="I340" s="72"/>
      <c r="J340" s="72"/>
      <c r="K340" s="75"/>
      <c r="L340" s="75"/>
      <c r="M340" s="6"/>
      <c r="N340" s="6"/>
      <c r="O340" s="6"/>
      <c r="R340" s="73"/>
      <c r="S340" s="86"/>
      <c r="T340" s="86"/>
      <c r="U340" s="86"/>
      <c r="V340" s="86"/>
      <c r="W340" s="86"/>
      <c r="X340" s="75"/>
      <c r="Y340" s="75"/>
      <c r="Z340" s="75"/>
      <c r="AA340" s="75"/>
    </row>
    <row r="341" spans="1:27" ht="12.75" customHeight="1" x14ac:dyDescent="0.4">
      <c r="A341" s="73"/>
      <c r="B341" s="72" t="s">
        <v>139</v>
      </c>
      <c r="C341" s="72"/>
      <c r="D341" s="72"/>
      <c r="E341" s="72"/>
      <c r="F341" s="86"/>
      <c r="G341" s="72" t="s">
        <v>146</v>
      </c>
      <c r="H341" s="72"/>
      <c r="I341" s="72"/>
      <c r="J341" s="72"/>
      <c r="K341" s="75"/>
      <c r="L341" s="75"/>
      <c r="M341" s="6"/>
      <c r="N341" s="6"/>
      <c r="O341" s="6"/>
      <c r="P341" s="160"/>
      <c r="Q341" s="167"/>
      <c r="R341" s="73"/>
      <c r="S341" s="86"/>
      <c r="T341" s="86"/>
      <c r="U341" s="86"/>
      <c r="V341" s="86"/>
      <c r="W341" s="86"/>
      <c r="X341" s="75"/>
      <c r="Y341" s="75"/>
      <c r="Z341" s="75"/>
      <c r="AA341" s="75"/>
    </row>
    <row r="342" spans="1:27" ht="12.75" customHeight="1" x14ac:dyDescent="0.4">
      <c r="A342" s="73" t="s">
        <v>136</v>
      </c>
      <c r="B342" s="74" t="s">
        <v>112</v>
      </c>
      <c r="C342" s="74" t="s">
        <v>113</v>
      </c>
      <c r="D342" s="74" t="s">
        <v>114</v>
      </c>
      <c r="E342" s="74" t="s">
        <v>115</v>
      </c>
      <c r="F342" s="86"/>
      <c r="G342" s="74" t="s">
        <v>112</v>
      </c>
      <c r="H342" s="74" t="s">
        <v>113</v>
      </c>
      <c r="I342" s="74" t="s">
        <v>114</v>
      </c>
      <c r="J342" s="74" t="s">
        <v>115</v>
      </c>
      <c r="K342" s="75"/>
      <c r="L342" s="75"/>
      <c r="M342" s="6" t="s">
        <v>527</v>
      </c>
      <c r="N342" s="6"/>
      <c r="O342" s="6"/>
      <c r="P342" s="160"/>
      <c r="Q342" s="167"/>
      <c r="R342" s="73"/>
      <c r="S342" s="86"/>
      <c r="T342" s="86"/>
      <c r="U342" s="86"/>
      <c r="V342" s="86"/>
      <c r="W342" s="86"/>
      <c r="X342" s="75"/>
      <c r="Y342" s="75"/>
      <c r="Z342" s="75"/>
      <c r="AA342" s="75"/>
    </row>
    <row r="343" spans="1:27" ht="12.75" customHeight="1" x14ac:dyDescent="0.4">
      <c r="A343" s="73" t="s">
        <v>127</v>
      </c>
      <c r="B343" s="87">
        <v>20</v>
      </c>
      <c r="C343" s="87">
        <v>16</v>
      </c>
      <c r="D343" s="87">
        <v>2</v>
      </c>
      <c r="E343" s="87">
        <v>2</v>
      </c>
      <c r="F343" s="86"/>
      <c r="G343" s="75">
        <v>0.95238095238095233</v>
      </c>
      <c r="H343" s="75">
        <v>0.8</v>
      </c>
      <c r="I343" s="75">
        <v>0.1</v>
      </c>
      <c r="J343" s="75">
        <v>0.1</v>
      </c>
      <c r="K343" s="75"/>
      <c r="L343" s="75"/>
      <c r="M343" s="6" t="s">
        <v>528</v>
      </c>
      <c r="N343" s="139"/>
      <c r="O343" s="140"/>
      <c r="P343" s="223"/>
      <c r="Q343" s="167"/>
      <c r="R343" s="73"/>
      <c r="S343" s="86"/>
      <c r="T343" s="86"/>
      <c r="U343" s="86"/>
      <c r="V343" s="86"/>
      <c r="W343" s="86"/>
      <c r="X343" s="75"/>
      <c r="Y343" s="75"/>
      <c r="Z343" s="75"/>
      <c r="AA343" s="75"/>
    </row>
    <row r="344" spans="1:27" s="82" customFormat="1" ht="12.75" customHeight="1" x14ac:dyDescent="0.4">
      <c r="A344" s="73" t="s">
        <v>128</v>
      </c>
      <c r="B344" s="87">
        <v>28</v>
      </c>
      <c r="C344" s="87">
        <v>17</v>
      </c>
      <c r="D344" s="87">
        <v>9</v>
      </c>
      <c r="E344" s="87">
        <v>2</v>
      </c>
      <c r="F344" s="86"/>
      <c r="G344" s="75">
        <v>1</v>
      </c>
      <c r="H344" s="75">
        <v>0.6071428571428571</v>
      </c>
      <c r="I344" s="75">
        <v>0.32142857142857145</v>
      </c>
      <c r="J344" s="75">
        <v>7.1428571428571425E-2</v>
      </c>
      <c r="K344" s="75"/>
      <c r="L344" s="75"/>
      <c r="M344" s="6" t="s">
        <v>445</v>
      </c>
      <c r="N344" s="6"/>
      <c r="O344" s="6"/>
      <c r="P344" s="160"/>
      <c r="Q344" s="167"/>
      <c r="R344" s="73"/>
      <c r="S344" s="86"/>
      <c r="T344" s="86"/>
      <c r="U344" s="86"/>
      <c r="V344" s="86"/>
      <c r="W344" s="86"/>
      <c r="X344" s="75"/>
      <c r="Y344" s="75"/>
      <c r="Z344" s="75"/>
      <c r="AA344" s="75"/>
    </row>
    <row r="345" spans="1:27" s="82" customFormat="1" ht="12.75" customHeight="1" x14ac:dyDescent="0.4">
      <c r="A345" s="73" t="s">
        <v>129</v>
      </c>
      <c r="B345" s="87">
        <v>73</v>
      </c>
      <c r="C345" s="87">
        <v>61</v>
      </c>
      <c r="D345" s="87">
        <v>11</v>
      </c>
      <c r="E345" s="87">
        <v>1</v>
      </c>
      <c r="F345" s="86"/>
      <c r="G345" s="75">
        <v>1</v>
      </c>
      <c r="H345" s="75">
        <v>0.83561643835616439</v>
      </c>
      <c r="I345" s="75">
        <v>0.15068493150684931</v>
      </c>
      <c r="J345" s="75">
        <v>1.3698630136986301E-2</v>
      </c>
      <c r="K345" s="75"/>
      <c r="L345" s="75"/>
      <c r="M345" s="6" t="s">
        <v>201</v>
      </c>
      <c r="N345" s="76">
        <v>499</v>
      </c>
      <c r="O345" s="141" t="s">
        <v>202</v>
      </c>
      <c r="P345" s="160"/>
      <c r="Q345"/>
      <c r="R345" s="73"/>
      <c r="S345" s="86"/>
      <c r="T345" s="86"/>
      <c r="U345" s="86"/>
      <c r="V345" s="86"/>
      <c r="W345" s="87"/>
      <c r="X345" s="75"/>
      <c r="Y345" s="75"/>
      <c r="Z345" s="75"/>
      <c r="AA345" s="75"/>
    </row>
    <row r="346" spans="1:27" s="82" customFormat="1" ht="12.75" customHeight="1" x14ac:dyDescent="0.4">
      <c r="A346" s="73" t="s">
        <v>130</v>
      </c>
      <c r="B346" s="87">
        <v>63</v>
      </c>
      <c r="C346" s="87">
        <v>47</v>
      </c>
      <c r="D346" s="87">
        <v>13</v>
      </c>
      <c r="E346" s="87">
        <v>3</v>
      </c>
      <c r="F346" s="86"/>
      <c r="G346" s="75">
        <v>1</v>
      </c>
      <c r="H346" s="75">
        <v>0.74603174603174605</v>
      </c>
      <c r="I346" s="75">
        <v>0.20634920634920634</v>
      </c>
      <c r="J346" s="75">
        <v>4.7619047619047616E-2</v>
      </c>
      <c r="K346" s="75"/>
      <c r="L346" s="75"/>
      <c r="M346" s="6" t="s">
        <v>529</v>
      </c>
      <c r="N346" s="139">
        <v>230</v>
      </c>
      <c r="O346" s="140">
        <v>0.46092184368737477</v>
      </c>
      <c r="P346"/>
      <c r="Q346"/>
      <c r="R346" s="73"/>
      <c r="S346" s="86"/>
      <c r="T346" s="86"/>
      <c r="U346" s="86"/>
      <c r="V346" s="86"/>
      <c r="W346" s="87"/>
      <c r="X346" s="75"/>
      <c r="Y346" s="75"/>
      <c r="Z346" s="75"/>
      <c r="AA346" s="75"/>
    </row>
    <row r="347" spans="1:27" s="82" customFormat="1" ht="12.75" customHeight="1" x14ac:dyDescent="0.4">
      <c r="A347" s="73" t="s">
        <v>131</v>
      </c>
      <c r="B347" s="87">
        <v>32</v>
      </c>
      <c r="C347" s="87">
        <v>25</v>
      </c>
      <c r="D347" s="87">
        <v>7</v>
      </c>
      <c r="E347" s="87">
        <v>0</v>
      </c>
      <c r="F347" s="86"/>
      <c r="G347" s="75">
        <v>1</v>
      </c>
      <c r="H347" s="75">
        <v>0.78125</v>
      </c>
      <c r="I347" s="75">
        <v>0.21875</v>
      </c>
      <c r="J347" s="75">
        <v>0</v>
      </c>
      <c r="K347" s="75"/>
      <c r="L347" s="75"/>
      <c r="M347" s="6" t="s">
        <v>226</v>
      </c>
      <c r="N347" s="139">
        <v>37</v>
      </c>
      <c r="O347" s="140">
        <v>7.4148296593186377E-2</v>
      </c>
      <c r="P347"/>
      <c r="Q347"/>
      <c r="R347" s="73"/>
      <c r="S347" s="86"/>
      <c r="T347" s="86"/>
      <c r="U347" s="86"/>
      <c r="V347" s="86"/>
      <c r="W347" s="87"/>
      <c r="X347" s="75"/>
      <c r="Y347" s="75"/>
      <c r="Z347" s="75"/>
      <c r="AA347" s="75"/>
    </row>
    <row r="348" spans="1:27" ht="12.75" customHeight="1" x14ac:dyDescent="0.4">
      <c r="A348" s="73" t="s">
        <v>132</v>
      </c>
      <c r="B348" s="87">
        <v>64</v>
      </c>
      <c r="C348" s="87">
        <v>58</v>
      </c>
      <c r="D348" s="87">
        <v>6</v>
      </c>
      <c r="E348" s="87">
        <v>0</v>
      </c>
      <c r="F348" s="86"/>
      <c r="G348" s="75">
        <v>1</v>
      </c>
      <c r="H348" s="75">
        <v>0.90625</v>
      </c>
      <c r="I348" s="75">
        <v>9.375E-2</v>
      </c>
      <c r="J348" s="75">
        <v>0</v>
      </c>
      <c r="K348" s="75"/>
      <c r="L348" s="75"/>
      <c r="M348" s="6" t="s">
        <v>530</v>
      </c>
      <c r="N348" s="139">
        <v>256</v>
      </c>
      <c r="O348" s="140">
        <v>0.51302605210420837</v>
      </c>
      <c r="R348" s="73"/>
      <c r="S348" s="86"/>
      <c r="T348" s="86"/>
      <c r="U348" s="86"/>
      <c r="V348" s="86"/>
      <c r="W348" s="87"/>
      <c r="X348" s="75"/>
      <c r="Y348" s="75"/>
      <c r="Z348" s="75"/>
      <c r="AA348" s="75"/>
    </row>
    <row r="349" spans="1:27" ht="12.75" customHeight="1" x14ac:dyDescent="0.4">
      <c r="A349" s="73" t="s">
        <v>133</v>
      </c>
      <c r="B349" s="87">
        <v>63</v>
      </c>
      <c r="C349" s="87">
        <v>55</v>
      </c>
      <c r="D349" s="87">
        <v>8</v>
      </c>
      <c r="E349" s="87">
        <v>0</v>
      </c>
      <c r="F349" s="87"/>
      <c r="G349" s="75">
        <v>0.96923076923076923</v>
      </c>
      <c r="H349" s="75">
        <v>0.87301587301587302</v>
      </c>
      <c r="I349" s="75">
        <v>0.12698412698412698</v>
      </c>
      <c r="J349" s="75">
        <v>0</v>
      </c>
      <c r="K349" s="75"/>
      <c r="L349" s="75"/>
      <c r="M349" s="6" t="s">
        <v>227</v>
      </c>
      <c r="N349" s="139">
        <v>51</v>
      </c>
      <c r="O349" s="140">
        <v>0.10220440881763528</v>
      </c>
      <c r="R349" s="73"/>
      <c r="S349" s="86"/>
      <c r="T349" s="86"/>
      <c r="U349" s="86"/>
      <c r="V349" s="86"/>
      <c r="W349" s="87"/>
      <c r="X349" s="75"/>
      <c r="Y349" s="75"/>
      <c r="Z349" s="75"/>
      <c r="AA349" s="75"/>
    </row>
    <row r="350" spans="1:27" ht="12.75" customHeight="1" x14ac:dyDescent="0.4">
      <c r="A350" s="73" t="s">
        <v>134</v>
      </c>
      <c r="B350" s="87">
        <v>74</v>
      </c>
      <c r="C350" s="87">
        <v>70</v>
      </c>
      <c r="D350" s="87">
        <v>2</v>
      </c>
      <c r="E350" s="87">
        <v>2</v>
      </c>
      <c r="F350" s="87"/>
      <c r="G350" s="75">
        <v>0.98666666666666669</v>
      </c>
      <c r="H350" s="75">
        <v>0.94594594594594594</v>
      </c>
      <c r="I350" s="75">
        <v>2.7027027027027029E-2</v>
      </c>
      <c r="J350" s="75">
        <v>2.7027027027027029E-2</v>
      </c>
      <c r="K350" s="75"/>
      <c r="L350" s="72"/>
      <c r="M350" s="6"/>
      <c r="N350" s="139"/>
      <c r="O350" s="140"/>
      <c r="R350" s="73"/>
      <c r="S350" s="87"/>
      <c r="T350" s="86"/>
      <c r="U350" s="86"/>
      <c r="V350" s="87"/>
      <c r="W350" s="72"/>
      <c r="X350" s="75"/>
      <c r="Y350" s="75"/>
      <c r="Z350" s="75"/>
      <c r="AA350" s="75"/>
    </row>
    <row r="351" spans="1:27" ht="12.75" customHeight="1" x14ac:dyDescent="0.4">
      <c r="A351" s="73" t="s">
        <v>376</v>
      </c>
      <c r="B351" s="87">
        <v>26</v>
      </c>
      <c r="C351" s="87">
        <v>19</v>
      </c>
      <c r="D351" s="87">
        <v>6</v>
      </c>
      <c r="E351" s="87">
        <v>1</v>
      </c>
      <c r="F351" s="87"/>
      <c r="G351" s="75">
        <v>0.96296296296296291</v>
      </c>
      <c r="H351" s="75">
        <v>0.73076923076923073</v>
      </c>
      <c r="I351" s="75">
        <v>0.23076923076923078</v>
      </c>
      <c r="J351" s="75">
        <v>3.8461538461538464E-2</v>
      </c>
      <c r="K351" s="72"/>
      <c r="L351" s="72"/>
      <c r="M351" s="6" t="s">
        <v>531</v>
      </c>
      <c r="N351" s="138" t="s">
        <v>438</v>
      </c>
      <c r="O351" s="141" t="s">
        <v>202</v>
      </c>
      <c r="P351" s="92"/>
      <c r="S351" s="82"/>
    </row>
    <row r="352" spans="1:27" ht="12.75" customHeight="1" x14ac:dyDescent="0.4">
      <c r="A352" s="73" t="s">
        <v>135</v>
      </c>
      <c r="B352" s="87">
        <v>28</v>
      </c>
      <c r="C352" s="87">
        <v>17</v>
      </c>
      <c r="D352" s="87">
        <v>10</v>
      </c>
      <c r="E352" s="87">
        <v>1</v>
      </c>
      <c r="F352" s="87"/>
      <c r="G352" s="75">
        <v>1</v>
      </c>
      <c r="H352" s="75">
        <v>0.6071428571428571</v>
      </c>
      <c r="I352" s="75">
        <v>0.35714285714285715</v>
      </c>
      <c r="J352" s="75">
        <v>3.5714285714285712E-2</v>
      </c>
      <c r="K352" s="72"/>
      <c r="L352" s="72"/>
      <c r="M352" s="6" t="s">
        <v>532</v>
      </c>
      <c r="N352" s="229">
        <v>33</v>
      </c>
      <c r="O352" s="140">
        <v>6.6132264529058113E-2</v>
      </c>
      <c r="S352" s="82"/>
    </row>
    <row r="353" spans="1:27" ht="12.75" customHeight="1" x14ac:dyDescent="0.4">
      <c r="A353" s="73" t="s">
        <v>303</v>
      </c>
      <c r="B353" s="87">
        <v>29</v>
      </c>
      <c r="C353" s="87">
        <v>16</v>
      </c>
      <c r="D353" s="87">
        <v>10</v>
      </c>
      <c r="E353" s="87">
        <v>3</v>
      </c>
      <c r="F353" s="87"/>
      <c r="G353" s="75">
        <v>1</v>
      </c>
      <c r="H353" s="75">
        <v>0.55172413793103448</v>
      </c>
      <c r="I353" s="75">
        <v>0.34482758620689657</v>
      </c>
      <c r="J353" s="75">
        <v>0.10344827586206896</v>
      </c>
      <c r="K353" s="72"/>
      <c r="L353" s="74"/>
      <c r="M353" s="6"/>
      <c r="N353" s="139"/>
      <c r="O353" s="140"/>
      <c r="Q353" s="72"/>
      <c r="R353" s="73"/>
      <c r="S353" s="72"/>
      <c r="T353" s="72"/>
      <c r="U353" s="72"/>
      <c r="V353" s="72"/>
      <c r="W353" s="72"/>
      <c r="X353" s="72"/>
      <c r="Y353" s="72"/>
      <c r="Z353" s="72"/>
      <c r="AA353" s="72"/>
    </row>
    <row r="354" spans="1:27" ht="12.75" customHeight="1" x14ac:dyDescent="0.4">
      <c r="A354" s="73" t="s">
        <v>23</v>
      </c>
      <c r="B354" s="87">
        <v>500</v>
      </c>
      <c r="C354" s="87">
        <v>401</v>
      </c>
      <c r="D354" s="87">
        <v>84</v>
      </c>
      <c r="E354" s="87">
        <v>15</v>
      </c>
      <c r="F354" s="72"/>
      <c r="G354" s="75">
        <v>0.99009900990099009</v>
      </c>
      <c r="H354" s="75">
        <v>0.80200000000000005</v>
      </c>
      <c r="I354" s="75">
        <v>0.16800000000000001</v>
      </c>
      <c r="J354" s="75">
        <v>0.03</v>
      </c>
      <c r="K354" s="72"/>
      <c r="L354" s="75"/>
      <c r="M354" s="6"/>
      <c r="N354" s="139"/>
      <c r="O354" s="140"/>
      <c r="P354" s="72"/>
      <c r="R354" s="73"/>
      <c r="S354" s="72"/>
      <c r="T354" s="72"/>
      <c r="U354" s="72"/>
      <c r="V354" s="72"/>
      <c r="W354" s="86"/>
      <c r="X354" s="72"/>
      <c r="Y354" s="72"/>
      <c r="Z354" s="72"/>
      <c r="AA354" s="72"/>
    </row>
    <row r="355" spans="1:27" ht="12.75" customHeight="1" x14ac:dyDescent="0.4">
      <c r="A355" s="73"/>
      <c r="B355" s="87"/>
      <c r="C355" s="87"/>
      <c r="D355" s="87"/>
      <c r="E355" s="87"/>
      <c r="F355" s="72"/>
      <c r="G355" s="75"/>
      <c r="H355" s="75"/>
      <c r="I355" s="75"/>
      <c r="J355" s="75"/>
      <c r="K355" s="74"/>
      <c r="L355" s="75"/>
      <c r="M355" s="6"/>
      <c r="N355" s="75"/>
      <c r="O355" s="75"/>
      <c r="P355" s="72"/>
      <c r="R355" s="73"/>
      <c r="S355" s="74"/>
      <c r="T355" s="74"/>
      <c r="U355" s="74"/>
      <c r="V355" s="74"/>
      <c r="W355" s="86"/>
      <c r="X355" s="74"/>
      <c r="Y355" s="74"/>
      <c r="Z355" s="74"/>
      <c r="AA355" s="74"/>
    </row>
    <row r="356" spans="1:27" ht="12.75" customHeight="1" x14ac:dyDescent="0.4">
      <c r="A356" s="73"/>
      <c r="B356" s="87"/>
      <c r="C356" s="86"/>
      <c r="D356" s="86"/>
      <c r="E356" s="87"/>
      <c r="F356" s="72"/>
      <c r="G356" s="75"/>
      <c r="H356" s="75"/>
      <c r="I356" s="75"/>
      <c r="J356" s="75"/>
      <c r="K356" s="75"/>
      <c r="L356" s="75"/>
      <c r="M356" s="6"/>
      <c r="N356" s="75"/>
      <c r="O356" s="75"/>
      <c r="R356" s="73"/>
      <c r="S356" s="86"/>
      <c r="T356" s="86"/>
      <c r="U356" s="86"/>
      <c r="V356" s="86"/>
      <c r="W356" s="86"/>
      <c r="X356" s="75"/>
      <c r="Y356" s="75"/>
      <c r="Z356" s="75"/>
      <c r="AA356" s="75"/>
    </row>
    <row r="357" spans="1:27" ht="12.75" customHeight="1" x14ac:dyDescent="0.4">
      <c r="A357" s="73" t="s">
        <v>518</v>
      </c>
      <c r="B357" s="72"/>
      <c r="C357" s="72"/>
      <c r="D357" s="72"/>
      <c r="E357" s="72"/>
      <c r="F357" s="72"/>
      <c r="G357" s="72"/>
      <c r="H357" s="72"/>
      <c r="I357" s="72"/>
      <c r="J357" s="72"/>
      <c r="K357" s="75"/>
      <c r="L357" s="75"/>
      <c r="M357" s="6"/>
      <c r="N357" s="75"/>
      <c r="O357" s="75"/>
      <c r="R357" s="73"/>
      <c r="S357" s="86"/>
      <c r="T357" s="86"/>
      <c r="U357" s="86"/>
      <c r="V357" s="86"/>
      <c r="W357" s="86"/>
      <c r="X357" s="75"/>
      <c r="Y357" s="75"/>
      <c r="Z357" s="75"/>
      <c r="AA357" s="75"/>
    </row>
    <row r="358" spans="1:27" ht="12.75" customHeight="1" x14ac:dyDescent="0.4">
      <c r="A358" s="73" t="s">
        <v>366</v>
      </c>
      <c r="B358" s="72"/>
      <c r="C358" s="72"/>
      <c r="D358" s="72"/>
      <c r="E358" s="72"/>
      <c r="F358" s="72"/>
      <c r="G358" s="72"/>
      <c r="H358" s="72"/>
      <c r="I358" s="72"/>
      <c r="J358" s="72"/>
      <c r="K358" s="75"/>
      <c r="L358" s="75"/>
      <c r="M358" s="6"/>
      <c r="N358" s="6"/>
      <c r="O358" s="6"/>
      <c r="Q358" s="167"/>
      <c r="R358" s="73"/>
      <c r="S358" s="86"/>
      <c r="T358" s="86"/>
      <c r="U358" s="86"/>
      <c r="V358" s="86"/>
      <c r="W358" s="86"/>
      <c r="X358" s="75"/>
      <c r="Y358" s="75"/>
      <c r="Z358" s="75"/>
      <c r="AA358" s="75"/>
    </row>
    <row r="359" spans="1:27" ht="12.75" customHeight="1" x14ac:dyDescent="0.4">
      <c r="A359" s="73" t="s">
        <v>526</v>
      </c>
      <c r="B359" s="72"/>
      <c r="C359" s="72"/>
      <c r="D359" s="72"/>
      <c r="E359" s="72"/>
      <c r="F359" s="72"/>
      <c r="G359" s="72"/>
      <c r="H359" s="72"/>
      <c r="I359" s="72"/>
      <c r="J359" s="72"/>
      <c r="K359" s="75"/>
      <c r="L359" s="75"/>
      <c r="M359" s="6"/>
      <c r="N359" s="6"/>
      <c r="O359" s="6"/>
      <c r="P359" s="160"/>
      <c r="Q359" s="167"/>
      <c r="R359" s="73"/>
      <c r="S359" s="86"/>
      <c r="T359" s="86"/>
      <c r="U359" s="86"/>
      <c r="V359" s="86"/>
      <c r="W359" s="86"/>
      <c r="X359" s="75"/>
      <c r="Y359" s="75"/>
      <c r="Z359" s="75"/>
      <c r="AA359" s="75"/>
    </row>
    <row r="360" spans="1:27" ht="12.75" customHeight="1" x14ac:dyDescent="0.4">
      <c r="A360" s="73"/>
      <c r="B360" s="72" t="s">
        <v>139</v>
      </c>
      <c r="C360" s="72"/>
      <c r="D360" s="72"/>
      <c r="E360" s="72"/>
      <c r="F360" s="86"/>
      <c r="G360" s="72" t="s">
        <v>146</v>
      </c>
      <c r="H360" s="72"/>
      <c r="I360" s="72"/>
      <c r="J360" s="72"/>
      <c r="K360" s="75"/>
      <c r="L360" s="75"/>
      <c r="M360" s="6"/>
      <c r="N360" s="6"/>
      <c r="O360" s="6"/>
      <c r="P360" s="160"/>
      <c r="Q360" s="167"/>
      <c r="R360" s="73"/>
      <c r="S360" s="86"/>
      <c r="T360" s="86"/>
      <c r="U360" s="86"/>
      <c r="V360" s="86"/>
      <c r="W360" s="86"/>
      <c r="X360" s="75"/>
      <c r="Y360" s="75"/>
      <c r="Z360" s="75"/>
      <c r="AA360" s="75"/>
    </row>
    <row r="361" spans="1:27" s="82" customFormat="1" ht="12.75" customHeight="1" x14ac:dyDescent="0.4">
      <c r="A361" s="73" t="s">
        <v>136</v>
      </c>
      <c r="B361" s="74" t="s">
        <v>112</v>
      </c>
      <c r="C361" s="74" t="s">
        <v>113</v>
      </c>
      <c r="D361" s="74" t="s">
        <v>114</v>
      </c>
      <c r="E361" s="74" t="s">
        <v>115</v>
      </c>
      <c r="F361" s="86"/>
      <c r="G361" s="74" t="s">
        <v>112</v>
      </c>
      <c r="H361" s="74" t="s">
        <v>113</v>
      </c>
      <c r="I361" s="74" t="s">
        <v>114</v>
      </c>
      <c r="J361" s="74" t="s">
        <v>115</v>
      </c>
      <c r="K361" s="75"/>
      <c r="L361" s="75"/>
      <c r="M361" s="6" t="s">
        <v>518</v>
      </c>
      <c r="N361" s="6"/>
      <c r="O361" s="6"/>
      <c r="P361" s="223"/>
      <c r="Q361" s="167"/>
      <c r="R361" s="73"/>
      <c r="S361" s="86"/>
      <c r="T361" s="86"/>
      <c r="U361" s="86"/>
      <c r="V361" s="86"/>
      <c r="W361" s="86"/>
      <c r="X361" s="75"/>
      <c r="Y361" s="75"/>
      <c r="Z361" s="75"/>
      <c r="AA361" s="75"/>
    </row>
    <row r="362" spans="1:27" s="82" customFormat="1" ht="12.75" customHeight="1" x14ac:dyDescent="0.4">
      <c r="A362" s="73" t="s">
        <v>127</v>
      </c>
      <c r="B362" s="87">
        <v>22</v>
      </c>
      <c r="C362" s="87">
        <v>17</v>
      </c>
      <c r="D362" s="87">
        <v>4</v>
      </c>
      <c r="E362" s="87">
        <v>1</v>
      </c>
      <c r="F362" s="86"/>
      <c r="G362" s="75">
        <v>1</v>
      </c>
      <c r="H362" s="75">
        <v>0.77272727272727271</v>
      </c>
      <c r="I362" s="75">
        <v>0.18181818181818182</v>
      </c>
      <c r="J362" s="75">
        <v>4.5454545454545456E-2</v>
      </c>
      <c r="K362" s="75"/>
      <c r="L362" s="75"/>
      <c r="M362" s="6" t="s">
        <v>519</v>
      </c>
      <c r="N362" s="139"/>
      <c r="O362" s="140"/>
      <c r="P362" s="160"/>
      <c r="Q362"/>
      <c r="R362" s="73"/>
      <c r="S362" s="86"/>
      <c r="T362" s="86"/>
      <c r="U362" s="86"/>
      <c r="V362" s="86"/>
      <c r="W362" s="87"/>
      <c r="X362" s="75"/>
      <c r="Y362" s="75"/>
      <c r="Z362" s="75"/>
      <c r="AA362" s="75"/>
    </row>
    <row r="363" spans="1:27" s="82" customFormat="1" ht="12.75" customHeight="1" x14ac:dyDescent="0.4">
      <c r="A363" s="73" t="s">
        <v>128</v>
      </c>
      <c r="B363" s="87">
        <v>28</v>
      </c>
      <c r="C363" s="87">
        <v>20</v>
      </c>
      <c r="D363" s="87">
        <v>6</v>
      </c>
      <c r="E363" s="87">
        <v>2</v>
      </c>
      <c r="F363" s="86"/>
      <c r="G363" s="75">
        <v>1</v>
      </c>
      <c r="H363" s="75">
        <v>0.7142857142857143</v>
      </c>
      <c r="I363" s="75">
        <v>0.21428571428571427</v>
      </c>
      <c r="J363" s="75">
        <v>7.1428571428571425E-2</v>
      </c>
      <c r="K363" s="75"/>
      <c r="L363" s="75"/>
      <c r="M363" s="6" t="s">
        <v>445</v>
      </c>
      <c r="N363" s="6"/>
      <c r="O363" s="6"/>
      <c r="P363" s="160"/>
      <c r="Q363"/>
      <c r="R363" s="73"/>
      <c r="S363" s="86"/>
      <c r="T363" s="86"/>
      <c r="U363" s="86"/>
      <c r="V363" s="86"/>
      <c r="W363" s="87"/>
      <c r="X363" s="75"/>
      <c r="Y363" s="75"/>
      <c r="Z363" s="75"/>
      <c r="AA363" s="75"/>
    </row>
    <row r="364" spans="1:27" s="82" customFormat="1" ht="12.75" customHeight="1" x14ac:dyDescent="0.4">
      <c r="A364" s="73" t="s">
        <v>129</v>
      </c>
      <c r="B364" s="87">
        <v>73</v>
      </c>
      <c r="C364" s="87">
        <v>61</v>
      </c>
      <c r="D364" s="87">
        <v>8</v>
      </c>
      <c r="E364" s="87">
        <v>4</v>
      </c>
      <c r="F364" s="86"/>
      <c r="G364" s="75">
        <v>0.98648648648648651</v>
      </c>
      <c r="H364" s="75">
        <v>0.83561643835616439</v>
      </c>
      <c r="I364" s="75">
        <v>0.1095890410958904</v>
      </c>
      <c r="J364" s="75">
        <v>5.4794520547945202E-2</v>
      </c>
      <c r="K364" s="75"/>
      <c r="L364" s="75"/>
      <c r="M364" s="6" t="s">
        <v>201</v>
      </c>
      <c r="N364" s="76">
        <v>499</v>
      </c>
      <c r="O364" s="141" t="s">
        <v>202</v>
      </c>
      <c r="P364"/>
      <c r="Q364"/>
      <c r="R364" s="73"/>
      <c r="S364" s="86"/>
      <c r="T364" s="86"/>
      <c r="U364" s="86"/>
      <c r="V364" s="86"/>
      <c r="W364" s="87"/>
      <c r="X364" s="75"/>
      <c r="Y364" s="75"/>
      <c r="Z364" s="75"/>
      <c r="AA364" s="75"/>
    </row>
    <row r="365" spans="1:27" ht="12.75" customHeight="1" x14ac:dyDescent="0.4">
      <c r="A365" s="73" t="s">
        <v>130</v>
      </c>
      <c r="B365" s="87">
        <v>63</v>
      </c>
      <c r="C365" s="87">
        <v>56</v>
      </c>
      <c r="D365" s="87">
        <v>7</v>
      </c>
      <c r="E365" s="87">
        <v>0</v>
      </c>
      <c r="F365" s="86"/>
      <c r="G365" s="75">
        <v>1</v>
      </c>
      <c r="H365" s="75">
        <v>0.88888888888888884</v>
      </c>
      <c r="I365" s="75">
        <v>0.1111111111111111</v>
      </c>
      <c r="J365" s="75">
        <v>0</v>
      </c>
      <c r="K365" s="75"/>
      <c r="L365" s="75"/>
      <c r="M365" s="6" t="s">
        <v>520</v>
      </c>
      <c r="N365" s="139">
        <v>187</v>
      </c>
      <c r="O365" s="140">
        <v>0.37474949899799598</v>
      </c>
      <c r="R365" s="73"/>
      <c r="S365" s="86"/>
      <c r="T365" s="86"/>
      <c r="U365" s="86"/>
      <c r="V365" s="86"/>
      <c r="W365" s="87"/>
      <c r="X365" s="75"/>
      <c r="Y365" s="75"/>
      <c r="Z365" s="75"/>
      <c r="AA365" s="75"/>
    </row>
    <row r="366" spans="1:27" ht="12.75" customHeight="1" x14ac:dyDescent="0.4">
      <c r="A366" s="73" t="s">
        <v>131</v>
      </c>
      <c r="B366" s="87">
        <v>32</v>
      </c>
      <c r="C366" s="87">
        <v>26</v>
      </c>
      <c r="D366" s="87">
        <v>4</v>
      </c>
      <c r="E366" s="87">
        <v>2</v>
      </c>
      <c r="F366" s="86"/>
      <c r="G366" s="75">
        <v>1</v>
      </c>
      <c r="H366" s="75">
        <v>0.8125</v>
      </c>
      <c r="I366" s="75">
        <v>0.125</v>
      </c>
      <c r="J366" s="75">
        <v>6.25E-2</v>
      </c>
      <c r="K366" s="75"/>
      <c r="L366" s="75"/>
      <c r="M366" s="6" t="s">
        <v>226</v>
      </c>
      <c r="N366" s="139">
        <v>27</v>
      </c>
      <c r="O366" s="140">
        <v>5.410821643286573E-2</v>
      </c>
      <c r="R366" s="73"/>
      <c r="S366" s="86"/>
      <c r="T366" s="86"/>
      <c r="U366" s="86"/>
      <c r="V366" s="86"/>
      <c r="W366" s="87"/>
      <c r="X366" s="75"/>
      <c r="Y366" s="75"/>
      <c r="Z366" s="75"/>
      <c r="AA366" s="75"/>
    </row>
    <row r="367" spans="1:27" ht="12.75" customHeight="1" x14ac:dyDescent="0.4">
      <c r="A367" s="73" t="s">
        <v>132</v>
      </c>
      <c r="B367" s="87">
        <v>63</v>
      </c>
      <c r="C367" s="87">
        <v>58</v>
      </c>
      <c r="D367" s="87">
        <v>5</v>
      </c>
      <c r="E367" s="87">
        <v>0</v>
      </c>
      <c r="F367" s="86"/>
      <c r="G367" s="75">
        <v>0.984375</v>
      </c>
      <c r="H367" s="75">
        <v>0.92063492063492058</v>
      </c>
      <c r="I367" s="75">
        <v>7.9365079365079361E-2</v>
      </c>
      <c r="J367" s="75">
        <v>0</v>
      </c>
      <c r="K367" s="75"/>
      <c r="L367" s="75"/>
      <c r="M367" s="6" t="s">
        <v>521</v>
      </c>
      <c r="N367" s="139">
        <v>302</v>
      </c>
      <c r="O367" s="140">
        <v>0.60521042084168342</v>
      </c>
      <c r="R367" s="73"/>
      <c r="S367" s="87"/>
      <c r="T367" s="86"/>
      <c r="U367" s="86"/>
      <c r="V367" s="87"/>
      <c r="W367" s="72"/>
      <c r="X367" s="75"/>
      <c r="Y367" s="75"/>
      <c r="Z367" s="75"/>
      <c r="AA367" s="75"/>
    </row>
    <row r="368" spans="1:27" ht="12.75" customHeight="1" x14ac:dyDescent="0.4">
      <c r="A368" s="73" t="s">
        <v>133</v>
      </c>
      <c r="B368" s="87">
        <v>63</v>
      </c>
      <c r="C368" s="87">
        <v>57</v>
      </c>
      <c r="D368" s="87">
        <v>5</v>
      </c>
      <c r="E368" s="87">
        <v>1</v>
      </c>
      <c r="F368" s="87"/>
      <c r="G368" s="75">
        <v>0.96923076923076923</v>
      </c>
      <c r="H368" s="75">
        <v>0.90476190476190477</v>
      </c>
      <c r="I368" s="75">
        <v>7.9365079365079361E-2</v>
      </c>
      <c r="J368" s="75">
        <v>1.5873015873015872E-2</v>
      </c>
      <c r="K368" s="75"/>
      <c r="L368" s="75"/>
      <c r="M368" s="6" t="s">
        <v>227</v>
      </c>
      <c r="N368" s="139">
        <v>55</v>
      </c>
      <c r="O368" s="140">
        <v>0.11022044088176353</v>
      </c>
      <c r="Q368" s="72"/>
      <c r="R368" s="73"/>
      <c r="S368" s="72"/>
      <c r="T368" s="72"/>
      <c r="U368" s="72"/>
      <c r="V368" s="72"/>
      <c r="W368" s="72"/>
      <c r="X368" s="72"/>
      <c r="Y368" s="72"/>
      <c r="Z368" s="72"/>
      <c r="AA368" s="72"/>
    </row>
    <row r="369" spans="1:27" ht="12.75" customHeight="1" x14ac:dyDescent="0.4">
      <c r="A369" s="73" t="s">
        <v>134</v>
      </c>
      <c r="B369" s="87">
        <v>74</v>
      </c>
      <c r="C369" s="87">
        <v>72</v>
      </c>
      <c r="D369" s="87">
        <v>1</v>
      </c>
      <c r="E369" s="87">
        <v>1</v>
      </c>
      <c r="F369" s="87"/>
      <c r="G369" s="75">
        <v>1</v>
      </c>
      <c r="H369" s="75">
        <v>0.97297297297297303</v>
      </c>
      <c r="I369" s="75">
        <v>1.3513513513513514E-2</v>
      </c>
      <c r="J369" s="75">
        <v>1.3513513513513514E-2</v>
      </c>
      <c r="K369" s="75"/>
      <c r="L369" s="74"/>
      <c r="M369" s="6"/>
      <c r="N369" s="139"/>
      <c r="O369" s="140"/>
      <c r="P369" s="92"/>
      <c r="Q369" s="72"/>
      <c r="R369" s="73"/>
      <c r="S369" s="72"/>
      <c r="T369" s="72"/>
      <c r="U369" s="72"/>
      <c r="V369" s="72"/>
      <c r="W369" s="72"/>
      <c r="X369" s="72"/>
      <c r="Y369" s="72"/>
      <c r="Z369" s="72"/>
      <c r="AA369" s="72"/>
    </row>
    <row r="370" spans="1:27" ht="12.75" customHeight="1" x14ac:dyDescent="0.4">
      <c r="A370" s="73" t="s">
        <v>376</v>
      </c>
      <c r="B370" s="87">
        <v>25</v>
      </c>
      <c r="C370" s="87">
        <v>21</v>
      </c>
      <c r="D370" s="87">
        <v>3</v>
      </c>
      <c r="E370" s="87">
        <v>1</v>
      </c>
      <c r="F370" s="87"/>
      <c r="G370" s="75">
        <v>0.96153846153846156</v>
      </c>
      <c r="H370" s="75">
        <v>0.84</v>
      </c>
      <c r="I370" s="75">
        <v>0.12</v>
      </c>
      <c r="J370" s="75">
        <v>0.04</v>
      </c>
      <c r="K370" s="72"/>
      <c r="L370" s="75"/>
      <c r="M370" s="6" t="s">
        <v>522</v>
      </c>
      <c r="N370" s="138" t="s">
        <v>438</v>
      </c>
      <c r="O370" s="141" t="s">
        <v>202</v>
      </c>
      <c r="Q370" s="72"/>
      <c r="R370" s="73"/>
      <c r="S370" s="72"/>
      <c r="T370" s="72"/>
      <c r="U370" s="72"/>
      <c r="V370" s="72"/>
      <c r="W370" s="72"/>
      <c r="X370" s="72"/>
      <c r="Y370" s="72"/>
      <c r="Z370" s="72"/>
      <c r="AA370" s="72"/>
    </row>
    <row r="371" spans="1:27" ht="13.15" x14ac:dyDescent="0.4">
      <c r="A371" s="73" t="s">
        <v>135</v>
      </c>
      <c r="B371" s="87">
        <v>28</v>
      </c>
      <c r="C371" s="87">
        <v>18</v>
      </c>
      <c r="D371" s="87">
        <v>7</v>
      </c>
      <c r="E371" s="87">
        <v>3</v>
      </c>
      <c r="F371" s="87"/>
      <c r="G371" s="75">
        <v>1</v>
      </c>
      <c r="H371" s="75">
        <v>0.6428571428571429</v>
      </c>
      <c r="I371" s="75">
        <v>0.25</v>
      </c>
      <c r="J371" s="75">
        <v>0.10714285714285714</v>
      </c>
      <c r="K371" s="74"/>
      <c r="L371" s="75"/>
      <c r="M371" s="6" t="s">
        <v>523</v>
      </c>
      <c r="N371" s="229">
        <v>22</v>
      </c>
      <c r="O371" s="140">
        <v>4.4088176352705413E-2</v>
      </c>
      <c r="Q371" s="72"/>
      <c r="R371" s="73"/>
      <c r="S371" s="72"/>
      <c r="T371" s="72"/>
      <c r="U371" s="72"/>
      <c r="V371" s="72"/>
      <c r="W371" s="72"/>
      <c r="X371" s="72"/>
      <c r="Y371" s="72"/>
      <c r="Z371" s="72"/>
      <c r="AA371" s="72"/>
    </row>
    <row r="372" spans="1:27" ht="12.75" customHeight="1" x14ac:dyDescent="0.4">
      <c r="A372" s="73" t="s">
        <v>303</v>
      </c>
      <c r="B372" s="87">
        <v>29</v>
      </c>
      <c r="C372" s="87">
        <v>25</v>
      </c>
      <c r="D372" s="87">
        <v>3</v>
      </c>
      <c r="E372" s="87">
        <v>1</v>
      </c>
      <c r="F372" s="87"/>
      <c r="G372" s="75">
        <v>1</v>
      </c>
      <c r="H372" s="75">
        <v>0.86206896551724133</v>
      </c>
      <c r="I372" s="75">
        <v>0.10344827586206896</v>
      </c>
      <c r="J372" s="75">
        <v>3.4482758620689655E-2</v>
      </c>
      <c r="K372" s="75"/>
      <c r="L372" s="75"/>
      <c r="M372" s="6"/>
      <c r="N372" s="139"/>
      <c r="O372" s="140"/>
      <c r="P372" s="72"/>
      <c r="Q372" s="72"/>
      <c r="R372" s="73"/>
      <c r="S372" s="72"/>
      <c r="T372" s="72"/>
      <c r="U372" s="72"/>
      <c r="V372" s="72"/>
      <c r="W372" s="72"/>
      <c r="X372" s="72"/>
      <c r="Y372" s="72"/>
      <c r="Z372" s="72"/>
      <c r="AA372" s="72"/>
    </row>
    <row r="373" spans="1:27" ht="12.75" customHeight="1" x14ac:dyDescent="0.4">
      <c r="A373" s="73" t="s">
        <v>23</v>
      </c>
      <c r="B373" s="87">
        <v>500</v>
      </c>
      <c r="C373" s="87">
        <v>431</v>
      </c>
      <c r="D373" s="87">
        <v>53</v>
      </c>
      <c r="E373" s="87">
        <v>16</v>
      </c>
      <c r="F373" s="72"/>
      <c r="G373" s="75">
        <v>0.99009900990099009</v>
      </c>
      <c r="H373" s="75">
        <v>0.86199999999999999</v>
      </c>
      <c r="I373" s="75">
        <v>0.106</v>
      </c>
      <c r="J373" s="75">
        <v>3.2000000000000001E-2</v>
      </c>
      <c r="K373" s="75"/>
      <c r="L373" s="75"/>
      <c r="M373" s="6"/>
      <c r="N373" s="139"/>
      <c r="O373" s="140"/>
      <c r="Q373" s="72"/>
      <c r="R373" s="73"/>
      <c r="S373" s="72"/>
      <c r="T373" s="72"/>
      <c r="U373" s="72"/>
      <c r="V373" s="72"/>
      <c r="W373" s="72"/>
      <c r="X373" s="72"/>
      <c r="Y373" s="72"/>
      <c r="Z373" s="72"/>
      <c r="AA373" s="72"/>
    </row>
    <row r="374" spans="1:27" ht="12.75" customHeight="1" x14ac:dyDescent="0.4">
      <c r="A374" s="73"/>
      <c r="B374" s="87"/>
      <c r="C374" s="87"/>
      <c r="D374" s="87"/>
      <c r="E374" s="87"/>
      <c r="F374" s="72"/>
      <c r="G374" s="75"/>
      <c r="H374" s="75"/>
      <c r="I374" s="75"/>
      <c r="J374" s="75"/>
      <c r="K374" s="75"/>
      <c r="L374" s="75"/>
      <c r="M374" s="6"/>
      <c r="N374" s="75"/>
      <c r="O374" s="75"/>
      <c r="R374" s="73"/>
      <c r="S374" s="72"/>
      <c r="T374" s="72"/>
      <c r="U374" s="72"/>
      <c r="V374" s="72"/>
      <c r="W374" s="86"/>
      <c r="X374" s="72"/>
      <c r="Y374" s="72"/>
      <c r="Z374" s="72"/>
      <c r="AA374" s="72"/>
    </row>
    <row r="375" spans="1:27" ht="12.75" customHeight="1" x14ac:dyDescent="0.4">
      <c r="A375" s="73"/>
      <c r="B375" s="87"/>
      <c r="C375" s="86"/>
      <c r="D375" s="86"/>
      <c r="E375" s="87"/>
      <c r="F375" s="72"/>
      <c r="G375" s="75"/>
      <c r="H375" s="75"/>
      <c r="I375" s="75"/>
      <c r="J375" s="75"/>
      <c r="K375" s="75"/>
      <c r="L375" s="75"/>
      <c r="M375" s="6"/>
      <c r="N375" s="75"/>
      <c r="O375" s="75"/>
      <c r="R375" s="73"/>
      <c r="S375" s="74"/>
      <c r="T375" s="74"/>
      <c r="U375" s="74"/>
      <c r="V375" s="74"/>
      <c r="W375" s="86"/>
      <c r="X375" s="74"/>
      <c r="Y375" s="74"/>
      <c r="Z375" s="74"/>
      <c r="AA375" s="74"/>
    </row>
    <row r="376" spans="1:27" ht="12.75" customHeight="1" x14ac:dyDescent="0.4">
      <c r="A376" s="73" t="s">
        <v>504</v>
      </c>
      <c r="B376" s="72"/>
      <c r="C376" s="72"/>
      <c r="D376" s="72"/>
      <c r="E376" s="72"/>
      <c r="F376" s="72"/>
      <c r="G376" s="72"/>
      <c r="H376" s="72"/>
      <c r="I376" s="72"/>
      <c r="J376" s="72"/>
      <c r="K376" s="75"/>
      <c r="L376" s="75"/>
      <c r="M376" s="6"/>
      <c r="N376" s="75"/>
      <c r="O376" s="75"/>
      <c r="P376" s="160"/>
      <c r="R376" s="73"/>
      <c r="S376" s="86"/>
      <c r="T376" s="86"/>
      <c r="U376" s="86"/>
      <c r="V376" s="86"/>
      <c r="W376" s="86"/>
      <c r="X376" s="75"/>
      <c r="Y376" s="75"/>
      <c r="Z376" s="75"/>
      <c r="AA376" s="75"/>
    </row>
    <row r="377" spans="1:27" ht="12.75" customHeight="1" x14ac:dyDescent="0.4">
      <c r="A377" s="73" t="s">
        <v>374</v>
      </c>
      <c r="B377" s="72"/>
      <c r="C377" s="72"/>
      <c r="D377" s="72"/>
      <c r="E377" s="72"/>
      <c r="F377" s="72"/>
      <c r="G377" s="72"/>
      <c r="H377" s="72"/>
      <c r="I377" s="72"/>
      <c r="J377" s="72"/>
      <c r="K377" s="75"/>
      <c r="L377" s="75"/>
      <c r="M377" s="6"/>
      <c r="N377" s="75"/>
      <c r="O377" s="75"/>
      <c r="P377" s="160"/>
      <c r="R377" s="73"/>
      <c r="S377" s="86"/>
      <c r="T377" s="86"/>
      <c r="U377" s="86"/>
      <c r="V377" s="86"/>
      <c r="W377" s="86"/>
      <c r="X377" s="75"/>
      <c r="Y377" s="75"/>
      <c r="Z377" s="75"/>
      <c r="AA377" s="75"/>
    </row>
    <row r="378" spans="1:27" ht="12.75" customHeight="1" x14ac:dyDescent="0.4">
      <c r="A378" s="73" t="s">
        <v>517</v>
      </c>
      <c r="B378" s="72"/>
      <c r="C378" s="72"/>
      <c r="D378" s="72"/>
      <c r="E378" s="72"/>
      <c r="F378" s="72"/>
      <c r="G378" s="72"/>
      <c r="H378" s="72"/>
      <c r="I378" s="72"/>
      <c r="J378" s="72"/>
      <c r="K378" s="75"/>
      <c r="L378" s="75"/>
      <c r="M378" s="6"/>
      <c r="N378" s="75"/>
      <c r="O378" s="75"/>
      <c r="P378" s="223"/>
      <c r="R378" s="73"/>
      <c r="S378" s="86"/>
      <c r="T378" s="86"/>
      <c r="U378" s="86"/>
      <c r="V378" s="86"/>
      <c r="W378" s="86"/>
      <c r="X378" s="75"/>
      <c r="Y378" s="75"/>
      <c r="Z378" s="75"/>
      <c r="AA378" s="75"/>
    </row>
    <row r="379" spans="1:27" ht="12.75" customHeight="1" x14ac:dyDescent="0.4">
      <c r="A379" s="73"/>
      <c r="B379" s="72" t="s">
        <v>139</v>
      </c>
      <c r="C379" s="72"/>
      <c r="D379" s="72"/>
      <c r="E379" s="72"/>
      <c r="F379" s="86"/>
      <c r="G379" s="72" t="s">
        <v>146</v>
      </c>
      <c r="H379" s="72"/>
      <c r="I379" s="72"/>
      <c r="J379" s="72"/>
      <c r="K379" s="75"/>
      <c r="L379" s="75"/>
      <c r="M379" s="6"/>
      <c r="N379" s="6"/>
      <c r="O379" s="6"/>
      <c r="P379" s="160"/>
      <c r="R379" s="73"/>
      <c r="S379" s="86"/>
      <c r="T379" s="86"/>
      <c r="U379" s="86"/>
      <c r="V379" s="86"/>
      <c r="W379" s="86"/>
      <c r="X379" s="75"/>
      <c r="Y379" s="75"/>
      <c r="Z379" s="75"/>
      <c r="AA379" s="75"/>
    </row>
    <row r="380" spans="1:27" ht="12.75" customHeight="1" x14ac:dyDescent="0.4">
      <c r="A380" s="73" t="s">
        <v>136</v>
      </c>
      <c r="B380" s="74" t="s">
        <v>112</v>
      </c>
      <c r="C380" s="74" t="s">
        <v>113</v>
      </c>
      <c r="D380" s="74" t="s">
        <v>114</v>
      </c>
      <c r="E380" s="74" t="s">
        <v>115</v>
      </c>
      <c r="F380" s="86"/>
      <c r="G380" s="74" t="s">
        <v>112</v>
      </c>
      <c r="H380" s="74" t="s">
        <v>113</v>
      </c>
      <c r="I380" s="74" t="s">
        <v>114</v>
      </c>
      <c r="J380" s="74" t="s">
        <v>115</v>
      </c>
      <c r="K380" s="75"/>
      <c r="L380" s="75"/>
      <c r="M380" s="6" t="s">
        <v>504</v>
      </c>
      <c r="N380" s="6"/>
      <c r="O380" s="6"/>
      <c r="P380" s="160"/>
      <c r="R380" s="73"/>
      <c r="S380" s="86"/>
      <c r="T380" s="86"/>
      <c r="U380" s="86"/>
      <c r="V380" s="86"/>
      <c r="W380" s="86"/>
      <c r="X380" s="75"/>
      <c r="Y380" s="75"/>
      <c r="Z380" s="75"/>
      <c r="AA380" s="75"/>
    </row>
    <row r="381" spans="1:27" s="82" customFormat="1" ht="12.75" customHeight="1" x14ac:dyDescent="0.4">
      <c r="A381" s="73" t="s">
        <v>127</v>
      </c>
      <c r="B381" s="87">
        <v>24</v>
      </c>
      <c r="C381" s="87">
        <v>19</v>
      </c>
      <c r="D381" s="87">
        <v>3</v>
      </c>
      <c r="E381" s="87">
        <v>2</v>
      </c>
      <c r="F381" s="86"/>
      <c r="G381" s="75">
        <v>1.0434782608695652</v>
      </c>
      <c r="H381" s="75">
        <v>0.79166666666666663</v>
      </c>
      <c r="I381" s="75">
        <v>0.125</v>
      </c>
      <c r="J381" s="75">
        <v>8.3333333333333329E-2</v>
      </c>
      <c r="K381" s="75"/>
      <c r="L381" s="75"/>
      <c r="M381" s="6" t="s">
        <v>505</v>
      </c>
      <c r="N381" s="139"/>
      <c r="O381" s="140"/>
      <c r="P381"/>
      <c r="Q381"/>
      <c r="R381" s="73"/>
      <c r="S381" s="86"/>
      <c r="T381" s="86"/>
      <c r="U381" s="86"/>
      <c r="V381" s="86"/>
      <c r="W381" s="86"/>
      <c r="X381" s="75"/>
      <c r="Y381" s="75"/>
      <c r="Z381" s="75"/>
      <c r="AA381" s="75"/>
    </row>
    <row r="382" spans="1:27" s="82" customFormat="1" ht="12.75" customHeight="1" x14ac:dyDescent="0.4">
      <c r="A382" s="73" t="s">
        <v>128</v>
      </c>
      <c r="B382" s="87">
        <v>28</v>
      </c>
      <c r="C382" s="87">
        <v>23</v>
      </c>
      <c r="D382" s="87">
        <v>3</v>
      </c>
      <c r="E382" s="87">
        <v>2</v>
      </c>
      <c r="F382" s="86"/>
      <c r="G382" s="75">
        <v>1</v>
      </c>
      <c r="H382" s="75">
        <v>0.8214285714285714</v>
      </c>
      <c r="I382" s="75">
        <v>0.10714285714285714</v>
      </c>
      <c r="J382" s="75">
        <v>7.1428571428571425E-2</v>
      </c>
      <c r="K382" s="75"/>
      <c r="L382" s="75"/>
      <c r="M382" s="6" t="s">
        <v>445</v>
      </c>
      <c r="N382" s="6"/>
      <c r="O382" s="6"/>
      <c r="P382"/>
      <c r="Q382"/>
      <c r="R382" s="73"/>
      <c r="S382" s="86"/>
      <c r="T382" s="86"/>
      <c r="U382" s="86"/>
      <c r="V382" s="86"/>
      <c r="W382" s="87"/>
      <c r="X382" s="75"/>
      <c r="Y382" s="75"/>
      <c r="Z382" s="75"/>
      <c r="AA382" s="75"/>
    </row>
    <row r="383" spans="1:27" s="82" customFormat="1" ht="12.75" customHeight="1" x14ac:dyDescent="0.4">
      <c r="A383" s="73" t="s">
        <v>129</v>
      </c>
      <c r="B383" s="87">
        <v>73</v>
      </c>
      <c r="C383" s="87">
        <v>66</v>
      </c>
      <c r="D383" s="87">
        <v>6</v>
      </c>
      <c r="E383" s="87">
        <v>1</v>
      </c>
      <c r="F383" s="86"/>
      <c r="G383" s="75">
        <v>0.98648648648648651</v>
      </c>
      <c r="H383" s="75">
        <v>0.90410958904109584</v>
      </c>
      <c r="I383" s="75">
        <v>8.2191780821917804E-2</v>
      </c>
      <c r="J383" s="75">
        <v>1.3698630136986301E-2</v>
      </c>
      <c r="K383" s="75"/>
      <c r="L383" s="75"/>
      <c r="M383" s="6" t="s">
        <v>201</v>
      </c>
      <c r="N383" s="76">
        <v>500</v>
      </c>
      <c r="O383" s="141" t="s">
        <v>202</v>
      </c>
      <c r="P383"/>
      <c r="Q383"/>
      <c r="R383" s="73"/>
      <c r="S383" s="86"/>
      <c r="T383" s="86"/>
      <c r="U383" s="86"/>
      <c r="V383" s="86"/>
      <c r="W383" s="87"/>
      <c r="X383" s="75"/>
      <c r="Y383" s="75"/>
      <c r="Z383" s="75"/>
      <c r="AA383" s="75"/>
    </row>
    <row r="384" spans="1:27" s="82" customFormat="1" ht="12.75" customHeight="1" x14ac:dyDescent="0.4">
      <c r="A384" s="73" t="s">
        <v>130</v>
      </c>
      <c r="B384" s="87">
        <v>60</v>
      </c>
      <c r="C384" s="87">
        <v>54</v>
      </c>
      <c r="D384" s="87">
        <v>5</v>
      </c>
      <c r="E384" s="87">
        <v>1</v>
      </c>
      <c r="F384" s="86"/>
      <c r="G384" s="75">
        <v>0.95238095238095233</v>
      </c>
      <c r="H384" s="75">
        <v>0.9</v>
      </c>
      <c r="I384" s="75">
        <v>8.3333333333333329E-2</v>
      </c>
      <c r="J384" s="75">
        <v>1.6666666666666666E-2</v>
      </c>
      <c r="K384" s="75"/>
      <c r="L384" s="72"/>
      <c r="M384" s="6" t="s">
        <v>506</v>
      </c>
      <c r="N384" s="139">
        <v>219</v>
      </c>
      <c r="O384" s="140">
        <v>0.438</v>
      </c>
      <c r="P384"/>
      <c r="Q384"/>
      <c r="R384" s="73"/>
      <c r="S384" s="86"/>
      <c r="T384" s="86"/>
      <c r="U384" s="86"/>
      <c r="V384" s="86"/>
      <c r="W384" s="87"/>
      <c r="X384" s="75"/>
      <c r="Y384" s="75"/>
      <c r="Z384" s="75"/>
      <c r="AA384" s="75"/>
    </row>
    <row r="385" spans="1:27" ht="12.75" customHeight="1" x14ac:dyDescent="0.4">
      <c r="A385" s="73" t="s">
        <v>131</v>
      </c>
      <c r="B385" s="87">
        <v>32</v>
      </c>
      <c r="C385" s="87">
        <v>25</v>
      </c>
      <c r="D385" s="87">
        <v>7</v>
      </c>
      <c r="E385" s="87">
        <v>0</v>
      </c>
      <c r="F385" s="86"/>
      <c r="G385" s="75">
        <v>1</v>
      </c>
      <c r="H385" s="75">
        <v>0.78125</v>
      </c>
      <c r="I385" s="75">
        <v>0.21875</v>
      </c>
      <c r="J385" s="75">
        <v>0</v>
      </c>
      <c r="K385" s="72"/>
      <c r="L385" s="72"/>
      <c r="M385" s="6" t="s">
        <v>226</v>
      </c>
      <c r="N385" s="139">
        <v>29</v>
      </c>
      <c r="O385" s="140">
        <v>5.8000000000000003E-2</v>
      </c>
      <c r="R385" s="73"/>
      <c r="S385" s="86"/>
      <c r="T385" s="86"/>
      <c r="U385" s="86"/>
      <c r="V385" s="86"/>
      <c r="W385" s="87"/>
      <c r="X385" s="75"/>
      <c r="Y385" s="75"/>
      <c r="Z385" s="75"/>
      <c r="AA385" s="75"/>
    </row>
    <row r="386" spans="1:27" ht="12.75" customHeight="1" x14ac:dyDescent="0.4">
      <c r="A386" s="73" t="s">
        <v>132</v>
      </c>
      <c r="B386" s="87">
        <v>62</v>
      </c>
      <c r="C386" s="87">
        <v>50</v>
      </c>
      <c r="D386" s="87">
        <v>11</v>
      </c>
      <c r="E386" s="87">
        <v>1</v>
      </c>
      <c r="F386" s="86"/>
      <c r="G386" s="75">
        <v>0.98412698412698407</v>
      </c>
      <c r="H386" s="75">
        <v>0.80645161290322576</v>
      </c>
      <c r="I386" s="75">
        <v>0.17741935483870969</v>
      </c>
      <c r="J386" s="75">
        <v>1.6129032258064516E-2</v>
      </c>
      <c r="K386" s="72"/>
      <c r="L386" s="72"/>
      <c r="M386" s="6" t="s">
        <v>507</v>
      </c>
      <c r="N386" s="139">
        <v>258</v>
      </c>
      <c r="O386" s="140">
        <v>0.51600000000000001</v>
      </c>
      <c r="P386" s="92"/>
      <c r="R386" s="73"/>
      <c r="S386" s="86"/>
      <c r="T386" s="86"/>
      <c r="U386" s="86"/>
      <c r="V386" s="86"/>
      <c r="W386" s="87"/>
      <c r="X386" s="75"/>
      <c r="Y386" s="75"/>
      <c r="Z386" s="75"/>
      <c r="AA386" s="75"/>
    </row>
    <row r="387" spans="1:27" ht="12.75" customHeight="1" x14ac:dyDescent="0.4">
      <c r="A387" s="73" t="s">
        <v>133</v>
      </c>
      <c r="B387" s="87">
        <v>64</v>
      </c>
      <c r="C387" s="87">
        <v>61</v>
      </c>
      <c r="D387" s="87">
        <v>2</v>
      </c>
      <c r="E387" s="87">
        <v>1</v>
      </c>
      <c r="F387" s="87"/>
      <c r="G387" s="75">
        <v>0.98461538461538467</v>
      </c>
      <c r="H387" s="75">
        <v>0.953125</v>
      </c>
      <c r="I387" s="75">
        <v>3.125E-2</v>
      </c>
      <c r="J387" s="75">
        <v>1.5625E-2</v>
      </c>
      <c r="K387" s="72"/>
      <c r="L387" s="72"/>
      <c r="M387" s="6" t="s">
        <v>227</v>
      </c>
      <c r="N387" s="139">
        <v>52</v>
      </c>
      <c r="O387" s="140">
        <v>0.104</v>
      </c>
      <c r="R387" s="73"/>
      <c r="S387" s="87"/>
      <c r="T387" s="86"/>
      <c r="U387" s="86"/>
      <c r="V387" s="87"/>
      <c r="W387" s="72"/>
      <c r="X387" s="75"/>
      <c r="Y387" s="75"/>
      <c r="Z387" s="75"/>
      <c r="AA387" s="75"/>
    </row>
    <row r="388" spans="1:27" ht="12.75" customHeight="1" x14ac:dyDescent="0.4">
      <c r="A388" s="73" t="s">
        <v>134</v>
      </c>
      <c r="B388" s="87">
        <v>73</v>
      </c>
      <c r="C388" s="87">
        <v>67</v>
      </c>
      <c r="D388" s="87">
        <v>4</v>
      </c>
      <c r="E388" s="87">
        <v>2</v>
      </c>
      <c r="F388" s="87"/>
      <c r="G388" s="75">
        <v>0.98648648648648651</v>
      </c>
      <c r="H388" s="75">
        <v>0.9178082191780822</v>
      </c>
      <c r="I388" s="75">
        <v>5.4794520547945202E-2</v>
      </c>
      <c r="J388" s="75">
        <v>2.7397260273972601E-2</v>
      </c>
      <c r="K388" s="72"/>
      <c r="L388" s="74"/>
      <c r="M388" s="6"/>
      <c r="N388" s="139"/>
      <c r="O388" s="140"/>
      <c r="S388" s="82"/>
    </row>
    <row r="389" spans="1:27" ht="12.75" customHeight="1" x14ac:dyDescent="0.4">
      <c r="A389" s="73" t="s">
        <v>376</v>
      </c>
      <c r="B389" s="87">
        <v>25</v>
      </c>
      <c r="C389" s="87">
        <v>22</v>
      </c>
      <c r="D389" s="87">
        <v>1</v>
      </c>
      <c r="E389" s="87">
        <v>2</v>
      </c>
      <c r="F389" s="87"/>
      <c r="G389" s="75">
        <v>0.96153846153846156</v>
      </c>
      <c r="H389" s="75">
        <v>0.88</v>
      </c>
      <c r="I389" s="75">
        <v>0.04</v>
      </c>
      <c r="J389" s="75">
        <v>0.08</v>
      </c>
      <c r="K389" s="72"/>
      <c r="L389" s="75"/>
      <c r="M389" s="6" t="s">
        <v>508</v>
      </c>
      <c r="N389" s="138" t="s">
        <v>438</v>
      </c>
      <c r="O389" s="141" t="s">
        <v>202</v>
      </c>
      <c r="P389" s="72"/>
      <c r="Q389" s="72"/>
      <c r="R389" s="73"/>
      <c r="S389" s="72"/>
      <c r="T389" s="72"/>
      <c r="U389" s="72"/>
      <c r="V389" s="72"/>
      <c r="W389" s="72"/>
      <c r="X389" s="72"/>
      <c r="Y389" s="72"/>
      <c r="Z389" s="72"/>
      <c r="AA389" s="72"/>
    </row>
    <row r="390" spans="1:27" ht="12.75" customHeight="1" x14ac:dyDescent="0.4">
      <c r="A390" s="73" t="s">
        <v>135</v>
      </c>
      <c r="B390" s="87">
        <v>28</v>
      </c>
      <c r="C390" s="87">
        <v>21</v>
      </c>
      <c r="D390" s="87">
        <v>6</v>
      </c>
      <c r="E390" s="87">
        <v>1</v>
      </c>
      <c r="F390" s="87"/>
      <c r="G390" s="75">
        <v>1</v>
      </c>
      <c r="H390" s="75">
        <v>0.75</v>
      </c>
      <c r="I390" s="75">
        <v>0.21428571428571427</v>
      </c>
      <c r="J390" s="75">
        <v>3.5714285714285712E-2</v>
      </c>
      <c r="K390" s="74"/>
      <c r="L390" s="75"/>
      <c r="M390" s="6" t="s">
        <v>509</v>
      </c>
      <c r="N390" s="229">
        <v>20</v>
      </c>
      <c r="O390" s="140">
        <v>0.04</v>
      </c>
      <c r="P390" s="72"/>
      <c r="R390" s="73"/>
      <c r="S390" s="72"/>
      <c r="T390" s="72"/>
      <c r="U390" s="72"/>
      <c r="V390" s="72"/>
      <c r="W390" s="86"/>
      <c r="X390" s="72"/>
      <c r="Y390" s="72"/>
      <c r="Z390" s="72"/>
      <c r="AA390" s="72"/>
    </row>
    <row r="391" spans="1:27" ht="12.75" customHeight="1" x14ac:dyDescent="0.4">
      <c r="A391" s="73" t="s">
        <v>303</v>
      </c>
      <c r="B391" s="87">
        <v>30</v>
      </c>
      <c r="C391" s="87">
        <v>18</v>
      </c>
      <c r="D391" s="87">
        <v>8</v>
      </c>
      <c r="E391" s="87">
        <v>4</v>
      </c>
      <c r="F391" s="87"/>
      <c r="G391" s="75">
        <v>1.0344827586206897</v>
      </c>
      <c r="H391" s="75">
        <v>0.6</v>
      </c>
      <c r="I391" s="75">
        <v>0.26666666666666666</v>
      </c>
      <c r="J391" s="75">
        <v>0.13333333333333333</v>
      </c>
      <c r="K391" s="75"/>
      <c r="L391" s="75"/>
      <c r="M391" s="6"/>
      <c r="N391" s="139"/>
      <c r="O391" s="140"/>
      <c r="P391" s="72"/>
      <c r="R391" s="73"/>
      <c r="S391" s="74"/>
      <c r="T391" s="74"/>
      <c r="U391" s="74"/>
      <c r="V391" s="74"/>
      <c r="W391" s="86"/>
      <c r="X391" s="74"/>
      <c r="Y391" s="74"/>
      <c r="Z391" s="74"/>
      <c r="AA391" s="74"/>
    </row>
    <row r="392" spans="1:27" ht="12.75" customHeight="1" x14ac:dyDescent="0.4">
      <c r="A392" s="73" t="s">
        <v>23</v>
      </c>
      <c r="B392" s="87">
        <v>499</v>
      </c>
      <c r="C392" s="87">
        <v>426</v>
      </c>
      <c r="D392" s="87">
        <v>56</v>
      </c>
      <c r="E392" s="87">
        <v>17</v>
      </c>
      <c r="F392" s="72"/>
      <c r="G392" s="75">
        <v>0.98811881188118811</v>
      </c>
      <c r="H392" s="75">
        <v>0.85370741482965928</v>
      </c>
      <c r="I392" s="75">
        <v>0.11222444889779559</v>
      </c>
      <c r="J392" s="75">
        <v>3.406813627254509E-2</v>
      </c>
      <c r="K392" s="75"/>
      <c r="L392" s="75"/>
      <c r="M392" s="6"/>
      <c r="N392" s="139"/>
      <c r="O392" s="140"/>
      <c r="R392" s="73"/>
      <c r="S392" s="86"/>
      <c r="T392" s="86"/>
      <c r="U392" s="86"/>
      <c r="V392" s="86"/>
      <c r="W392" s="86"/>
      <c r="X392" s="75"/>
      <c r="Y392" s="75"/>
      <c r="Z392" s="75"/>
      <c r="AA392" s="75"/>
    </row>
    <row r="393" spans="1:27" ht="12.75" customHeight="1" x14ac:dyDescent="0.4">
      <c r="A393" s="73"/>
      <c r="B393" s="87"/>
      <c r="C393" s="87"/>
      <c r="D393" s="87"/>
      <c r="E393" s="87"/>
      <c r="F393" s="72"/>
      <c r="G393" s="75"/>
      <c r="H393" s="75"/>
      <c r="I393" s="75"/>
      <c r="J393" s="75"/>
      <c r="K393" s="75"/>
      <c r="L393" s="75"/>
      <c r="M393" s="6"/>
      <c r="N393" s="75"/>
      <c r="O393" s="75"/>
      <c r="R393" s="73"/>
      <c r="S393" s="86"/>
      <c r="T393" s="86"/>
      <c r="U393" s="86"/>
      <c r="V393" s="86"/>
      <c r="W393" s="86"/>
      <c r="X393" s="75"/>
      <c r="Y393" s="75"/>
      <c r="Z393" s="75"/>
      <c r="AA393" s="75"/>
    </row>
    <row r="394" spans="1:27" ht="12.75" customHeight="1" x14ac:dyDescent="0.4">
      <c r="A394" s="263"/>
      <c r="B394" s="72"/>
      <c r="C394" s="72"/>
      <c r="D394" s="72"/>
      <c r="E394" s="72"/>
      <c r="F394" s="72"/>
      <c r="G394" s="73"/>
      <c r="H394" s="72"/>
      <c r="I394" s="72"/>
      <c r="J394" s="72"/>
      <c r="K394" s="75"/>
      <c r="L394" s="75"/>
      <c r="M394" s="6"/>
      <c r="N394" s="75"/>
      <c r="O394" s="75"/>
      <c r="R394" s="73"/>
      <c r="S394" s="86"/>
      <c r="T394" s="86"/>
      <c r="U394" s="86"/>
      <c r="V394" s="86"/>
      <c r="W394" s="86"/>
      <c r="X394" s="75"/>
      <c r="Y394" s="75"/>
      <c r="Z394" s="75"/>
      <c r="AA394" s="75"/>
    </row>
    <row r="395" spans="1:27" ht="12.75" customHeight="1" x14ac:dyDescent="0.4">
      <c r="A395" s="73" t="s">
        <v>485</v>
      </c>
      <c r="B395" s="72"/>
      <c r="C395" s="72"/>
      <c r="D395" s="72"/>
      <c r="E395" s="72"/>
      <c r="F395" s="72"/>
      <c r="G395" s="72"/>
      <c r="H395" s="72"/>
      <c r="I395" s="72"/>
      <c r="J395" s="72"/>
      <c r="K395" s="75"/>
      <c r="L395" s="75"/>
      <c r="M395" s="142"/>
      <c r="N395" s="142"/>
      <c r="O395" s="142"/>
      <c r="P395" s="160"/>
      <c r="R395" s="73"/>
      <c r="S395" s="86"/>
      <c r="T395" s="86"/>
      <c r="U395" s="86"/>
      <c r="V395" s="86"/>
      <c r="W395" s="86"/>
      <c r="X395" s="75"/>
      <c r="Y395" s="75"/>
      <c r="Z395" s="75"/>
      <c r="AA395" s="75"/>
    </row>
    <row r="396" spans="1:27" ht="12.75" customHeight="1" x14ac:dyDescent="0.4">
      <c r="A396" s="73" t="s">
        <v>502</v>
      </c>
      <c r="B396" s="72"/>
      <c r="C396" s="72"/>
      <c r="D396" s="72"/>
      <c r="E396" s="72"/>
      <c r="F396" s="72"/>
      <c r="G396" s="72"/>
      <c r="H396" s="72"/>
      <c r="I396" s="72"/>
      <c r="J396" s="72"/>
      <c r="K396" s="75"/>
      <c r="L396" s="75"/>
      <c r="M396" s="142"/>
      <c r="N396" s="142"/>
      <c r="O396" s="142"/>
      <c r="P396" s="160"/>
      <c r="R396" s="73"/>
      <c r="S396" s="86"/>
      <c r="T396" s="86"/>
      <c r="U396" s="86"/>
      <c r="V396" s="86"/>
      <c r="W396" s="86"/>
      <c r="X396" s="75"/>
      <c r="Y396" s="75"/>
      <c r="Z396" s="75"/>
      <c r="AA396" s="75"/>
    </row>
    <row r="397" spans="1:27" s="53" customFormat="1" ht="12.75" customHeight="1" x14ac:dyDescent="0.4">
      <c r="A397" s="73" t="s">
        <v>503</v>
      </c>
      <c r="B397" s="72"/>
      <c r="C397" s="72"/>
      <c r="D397" s="72"/>
      <c r="E397" s="72"/>
      <c r="F397" s="72"/>
      <c r="G397" s="72"/>
      <c r="H397" s="72"/>
      <c r="I397" s="72"/>
      <c r="J397" s="72"/>
      <c r="K397" s="75"/>
      <c r="L397" s="75"/>
      <c r="M397" s="142"/>
      <c r="N397" s="142"/>
      <c r="O397" s="142"/>
      <c r="P397" s="223"/>
      <c r="Q397"/>
      <c r="R397" s="73"/>
      <c r="S397" s="86"/>
      <c r="T397" s="86"/>
      <c r="U397" s="86"/>
      <c r="V397" s="86"/>
      <c r="W397" s="86"/>
      <c r="X397" s="75"/>
      <c r="Y397" s="75"/>
      <c r="Z397" s="75"/>
      <c r="AA397" s="75"/>
    </row>
    <row r="398" spans="1:27" s="53" customFormat="1" ht="12.75" customHeight="1" x14ac:dyDescent="0.4">
      <c r="A398" s="73"/>
      <c r="B398" s="72" t="s">
        <v>139</v>
      </c>
      <c r="C398" s="72"/>
      <c r="D398" s="72"/>
      <c r="E398" s="72"/>
      <c r="F398" s="86"/>
      <c r="G398" s="72" t="s">
        <v>146</v>
      </c>
      <c r="H398" s="72"/>
      <c r="I398" s="72"/>
      <c r="J398" s="72"/>
      <c r="K398" s="75"/>
      <c r="L398" s="75"/>
      <c r="M398" s="142"/>
      <c r="N398" s="142"/>
      <c r="O398" s="142"/>
      <c r="P398" s="160"/>
      <c r="Q398"/>
      <c r="R398" s="73"/>
      <c r="S398" s="86"/>
      <c r="T398" s="86"/>
      <c r="U398" s="86"/>
      <c r="V398" s="86"/>
      <c r="W398" s="87"/>
      <c r="X398" s="75"/>
      <c r="Y398" s="75"/>
      <c r="Z398" s="75"/>
      <c r="AA398" s="75"/>
    </row>
    <row r="399" spans="1:27" s="53" customFormat="1" ht="12.75" customHeight="1" x14ac:dyDescent="0.4">
      <c r="A399" s="73" t="s">
        <v>136</v>
      </c>
      <c r="B399" s="74" t="s">
        <v>112</v>
      </c>
      <c r="C399" s="74" t="s">
        <v>113</v>
      </c>
      <c r="D399" s="74" t="s">
        <v>114</v>
      </c>
      <c r="E399" s="74" t="s">
        <v>115</v>
      </c>
      <c r="F399" s="86"/>
      <c r="G399" s="74" t="s">
        <v>112</v>
      </c>
      <c r="H399" s="74" t="s">
        <v>113</v>
      </c>
      <c r="I399" s="74" t="s">
        <v>114</v>
      </c>
      <c r="J399" s="74" t="s">
        <v>115</v>
      </c>
      <c r="K399" s="75"/>
      <c r="L399" s="75"/>
      <c r="M399" s="142" t="s">
        <v>485</v>
      </c>
      <c r="N399" s="142"/>
      <c r="O399" s="142"/>
      <c r="P399" s="160"/>
      <c r="Q399"/>
      <c r="R399" s="73"/>
      <c r="S399" s="86"/>
      <c r="T399" s="86"/>
      <c r="U399" s="86"/>
      <c r="V399" s="86"/>
      <c r="W399" s="87"/>
      <c r="X399" s="75"/>
      <c r="Y399" s="75"/>
      <c r="Z399" s="75"/>
      <c r="AA399" s="75"/>
    </row>
    <row r="400" spans="1:27" s="53" customFormat="1" ht="12.75" customHeight="1" x14ac:dyDescent="0.4">
      <c r="A400" s="73" t="s">
        <v>127</v>
      </c>
      <c r="B400" s="87">
        <v>24</v>
      </c>
      <c r="C400" s="87">
        <v>12</v>
      </c>
      <c r="D400" s="87">
        <v>11</v>
      </c>
      <c r="E400" s="87">
        <v>1</v>
      </c>
      <c r="F400" s="86"/>
      <c r="G400" s="75">
        <v>0.96</v>
      </c>
      <c r="H400" s="75">
        <v>0.5</v>
      </c>
      <c r="I400" s="75">
        <v>0.45833333333333331</v>
      </c>
      <c r="J400" s="75">
        <v>4.1666666666666664E-2</v>
      </c>
      <c r="K400" s="75"/>
      <c r="L400" s="75"/>
      <c r="M400" s="142" t="s">
        <v>486</v>
      </c>
      <c r="N400" s="166"/>
      <c r="O400" s="167"/>
      <c r="P400"/>
      <c r="Q400"/>
      <c r="R400" s="73"/>
      <c r="S400" s="86"/>
      <c r="T400" s="86"/>
      <c r="U400" s="86"/>
      <c r="V400" s="86"/>
      <c r="W400" s="87"/>
      <c r="X400" s="75"/>
      <c r="Y400" s="75"/>
      <c r="Z400" s="75"/>
      <c r="AA400" s="75"/>
    </row>
    <row r="401" spans="1:27" ht="12.75" customHeight="1" x14ac:dyDescent="0.4">
      <c r="A401" s="73" t="s">
        <v>128</v>
      </c>
      <c r="B401" s="87">
        <v>28</v>
      </c>
      <c r="C401" s="87">
        <v>22</v>
      </c>
      <c r="D401" s="87">
        <v>6</v>
      </c>
      <c r="E401" s="87">
        <v>0</v>
      </c>
      <c r="F401" s="86"/>
      <c r="G401" s="75">
        <v>1</v>
      </c>
      <c r="H401" s="75">
        <v>0.7857142857142857</v>
      </c>
      <c r="I401" s="75">
        <v>0.21428571428571427</v>
      </c>
      <c r="J401" s="75">
        <v>0</v>
      </c>
      <c r="K401" s="75"/>
      <c r="L401" s="75"/>
      <c r="M401" s="142" t="s">
        <v>445</v>
      </c>
      <c r="N401" s="142"/>
      <c r="O401" s="142"/>
      <c r="R401" s="73"/>
      <c r="S401" s="86"/>
      <c r="T401" s="86"/>
      <c r="U401" s="86"/>
      <c r="V401" s="86"/>
      <c r="W401" s="87"/>
      <c r="X401" s="75"/>
      <c r="Y401" s="75"/>
      <c r="Z401" s="75"/>
      <c r="AA401" s="75"/>
    </row>
    <row r="402" spans="1:27" ht="12.75" customHeight="1" x14ac:dyDescent="0.4">
      <c r="A402" s="73" t="s">
        <v>129</v>
      </c>
      <c r="B402" s="87">
        <v>73</v>
      </c>
      <c r="C402" s="87">
        <v>56</v>
      </c>
      <c r="D402" s="87">
        <v>14</v>
      </c>
      <c r="E402" s="87">
        <v>3</v>
      </c>
      <c r="F402" s="86"/>
      <c r="G402" s="75">
        <v>1</v>
      </c>
      <c r="H402" s="75">
        <v>0.76712328767123283</v>
      </c>
      <c r="I402" s="75">
        <v>0.19178082191780821</v>
      </c>
      <c r="J402" s="75">
        <v>4.1095890410958902E-2</v>
      </c>
      <c r="K402" s="75"/>
      <c r="L402" s="75"/>
      <c r="M402" s="142" t="s">
        <v>201</v>
      </c>
      <c r="N402" s="156">
        <v>499</v>
      </c>
      <c r="O402" s="168" t="s">
        <v>202</v>
      </c>
      <c r="R402" s="73"/>
      <c r="S402" s="86"/>
      <c r="T402" s="86"/>
      <c r="U402" s="86"/>
      <c r="V402" s="86"/>
      <c r="W402" s="87"/>
      <c r="X402" s="75"/>
      <c r="Y402" s="75"/>
      <c r="Z402" s="75"/>
      <c r="AA402" s="75"/>
    </row>
    <row r="403" spans="1:27" ht="12.75" customHeight="1" x14ac:dyDescent="0.4">
      <c r="A403" s="73" t="s">
        <v>130</v>
      </c>
      <c r="B403" s="87">
        <v>59</v>
      </c>
      <c r="C403" s="87">
        <v>43</v>
      </c>
      <c r="D403" s="87">
        <v>16</v>
      </c>
      <c r="E403" s="87">
        <v>0</v>
      </c>
      <c r="F403" s="86"/>
      <c r="G403" s="75">
        <v>0.95161290322580649</v>
      </c>
      <c r="H403" s="75">
        <v>0.72881355932203384</v>
      </c>
      <c r="I403" s="75">
        <v>0.2711864406779661</v>
      </c>
      <c r="J403" s="75">
        <v>0</v>
      </c>
      <c r="K403" s="75"/>
      <c r="L403" s="75"/>
      <c r="M403" s="142" t="s">
        <v>487</v>
      </c>
      <c r="N403" s="166">
        <v>258</v>
      </c>
      <c r="O403" s="167">
        <v>0.51703406813627251</v>
      </c>
      <c r="R403" s="73"/>
      <c r="S403" s="87"/>
      <c r="T403" s="86"/>
      <c r="U403" s="86"/>
      <c r="V403" s="87"/>
      <c r="W403" s="72"/>
      <c r="X403" s="75"/>
      <c r="Y403" s="75"/>
      <c r="Z403" s="75"/>
      <c r="AA403" s="75"/>
    </row>
    <row r="404" spans="1:27" ht="12.75" customHeight="1" x14ac:dyDescent="0.4">
      <c r="A404" s="73" t="s">
        <v>131</v>
      </c>
      <c r="B404" s="87">
        <v>32</v>
      </c>
      <c r="C404" s="87">
        <v>24</v>
      </c>
      <c r="D404" s="87">
        <v>6</v>
      </c>
      <c r="E404" s="87">
        <v>2</v>
      </c>
      <c r="F404" s="86"/>
      <c r="G404" s="75">
        <v>1</v>
      </c>
      <c r="H404" s="75">
        <v>0.75</v>
      </c>
      <c r="I404" s="75">
        <v>0.1875</v>
      </c>
      <c r="J404" s="75">
        <v>6.25E-2</v>
      </c>
      <c r="K404" s="75"/>
      <c r="L404" s="72"/>
      <c r="M404" s="142" t="s">
        <v>226</v>
      </c>
      <c r="N404" s="166">
        <v>30</v>
      </c>
      <c r="O404" s="167">
        <v>6.0120240480961921E-2</v>
      </c>
      <c r="S404" s="53"/>
    </row>
    <row r="405" spans="1:27" ht="12.75" customHeight="1" x14ac:dyDescent="0.4">
      <c r="A405" s="73" t="s">
        <v>132</v>
      </c>
      <c r="B405" s="87">
        <v>63</v>
      </c>
      <c r="C405" s="87">
        <v>50</v>
      </c>
      <c r="D405" s="87">
        <v>12</v>
      </c>
      <c r="E405" s="87">
        <v>1</v>
      </c>
      <c r="F405" s="86"/>
      <c r="G405" s="75">
        <v>1</v>
      </c>
      <c r="H405" s="75">
        <v>0.79365079365079361</v>
      </c>
      <c r="I405" s="75">
        <v>0.19047619047619047</v>
      </c>
      <c r="J405" s="75">
        <v>1.5873015873015872E-2</v>
      </c>
      <c r="K405" s="72"/>
      <c r="L405" s="72"/>
      <c r="M405" s="142" t="s">
        <v>488</v>
      </c>
      <c r="N405" s="166">
        <v>222</v>
      </c>
      <c r="O405" s="167">
        <v>0.44488977955911824</v>
      </c>
      <c r="P405" s="92"/>
      <c r="S405" s="53"/>
    </row>
    <row r="406" spans="1:27" s="72" customFormat="1" ht="13.5" customHeight="1" x14ac:dyDescent="0.5">
      <c r="A406" s="73" t="s">
        <v>133</v>
      </c>
      <c r="B406" s="87">
        <v>65</v>
      </c>
      <c r="C406" s="87">
        <v>54</v>
      </c>
      <c r="D406" s="87">
        <v>10</v>
      </c>
      <c r="E406" s="87">
        <v>1</v>
      </c>
      <c r="F406" s="87"/>
      <c r="G406" s="75">
        <v>1</v>
      </c>
      <c r="H406" s="75">
        <v>0.83076923076923082</v>
      </c>
      <c r="I406" s="75">
        <v>0.15384615384615385</v>
      </c>
      <c r="J406" s="75">
        <v>1.5384615384615385E-2</v>
      </c>
      <c r="L406" s="74"/>
      <c r="M406" s="142" t="s">
        <v>227</v>
      </c>
      <c r="N406" s="166">
        <v>45</v>
      </c>
      <c r="O406" s="167">
        <v>9.0180360721442893E-2</v>
      </c>
      <c r="P406"/>
      <c r="R406" s="174"/>
      <c r="X406" s="73"/>
    </row>
    <row r="407" spans="1:27" ht="13.15" x14ac:dyDescent="0.4">
      <c r="A407" s="73" t="s">
        <v>134</v>
      </c>
      <c r="B407" s="87">
        <v>73</v>
      </c>
      <c r="C407" s="87">
        <v>68</v>
      </c>
      <c r="D407" s="87">
        <v>4</v>
      </c>
      <c r="E407" s="87">
        <v>1</v>
      </c>
      <c r="F407" s="87"/>
      <c r="G407" s="75">
        <v>1</v>
      </c>
      <c r="H407" s="75">
        <v>0.93150684931506844</v>
      </c>
      <c r="I407" s="75">
        <v>5.4794520547945202E-2</v>
      </c>
      <c r="J407" s="75">
        <v>1.3698630136986301E-2</v>
      </c>
      <c r="K407" s="72"/>
      <c r="L407" s="75"/>
      <c r="M407" s="142"/>
      <c r="N407" s="166"/>
      <c r="O407" s="167"/>
      <c r="Q407" s="72"/>
      <c r="R407" s="73"/>
      <c r="S407" s="72"/>
      <c r="T407" s="72"/>
      <c r="U407" s="72"/>
      <c r="V407" s="72"/>
      <c r="W407" s="72"/>
      <c r="X407" s="72"/>
      <c r="Y407" s="72"/>
      <c r="Z407" s="72"/>
      <c r="AA407" s="72"/>
    </row>
    <row r="408" spans="1:27" ht="12.75" customHeight="1" x14ac:dyDescent="0.4">
      <c r="A408" s="73" t="s">
        <v>376</v>
      </c>
      <c r="B408" s="87">
        <v>25</v>
      </c>
      <c r="C408" s="87">
        <v>24</v>
      </c>
      <c r="D408" s="87">
        <v>1</v>
      </c>
      <c r="E408" s="87">
        <v>0</v>
      </c>
      <c r="F408" s="87"/>
      <c r="G408" s="75">
        <v>0.96153846153846156</v>
      </c>
      <c r="H408" s="75">
        <v>0.96</v>
      </c>
      <c r="I408" s="75">
        <v>0.04</v>
      </c>
      <c r="J408" s="75">
        <v>0</v>
      </c>
      <c r="K408" s="74"/>
      <c r="L408" s="75"/>
      <c r="M408" s="142" t="s">
        <v>489</v>
      </c>
      <c r="N408" s="253" t="s">
        <v>438</v>
      </c>
      <c r="O408" s="168" t="s">
        <v>202</v>
      </c>
      <c r="P408" s="72"/>
      <c r="Q408" s="72"/>
      <c r="R408" s="73"/>
      <c r="S408" s="72"/>
      <c r="T408" s="72"/>
      <c r="U408" s="72"/>
      <c r="V408" s="72"/>
      <c r="W408" s="72"/>
      <c r="X408" s="72"/>
      <c r="Y408" s="72"/>
      <c r="Z408" s="72"/>
      <c r="AA408" s="72"/>
    </row>
    <row r="409" spans="1:27" ht="12.75" customHeight="1" x14ac:dyDescent="0.4">
      <c r="A409" s="73" t="s">
        <v>135</v>
      </c>
      <c r="B409" s="87">
        <v>28</v>
      </c>
      <c r="C409" s="87">
        <v>17</v>
      </c>
      <c r="D409" s="87">
        <v>6</v>
      </c>
      <c r="E409" s="87">
        <v>5</v>
      </c>
      <c r="F409" s="87"/>
      <c r="G409" s="75">
        <v>1</v>
      </c>
      <c r="H409" s="75">
        <v>0.6071428571428571</v>
      </c>
      <c r="I409" s="75">
        <v>0.21428571428571427</v>
      </c>
      <c r="J409" s="75">
        <v>0.17857142857142858</v>
      </c>
      <c r="K409" s="75"/>
      <c r="L409" s="75"/>
      <c r="M409" s="142" t="s">
        <v>498</v>
      </c>
      <c r="N409" s="254">
        <v>19</v>
      </c>
      <c r="O409" s="167">
        <v>3.8076152304609222E-2</v>
      </c>
      <c r="Q409" s="72"/>
      <c r="R409" s="73"/>
      <c r="S409" s="72"/>
      <c r="T409" s="72"/>
      <c r="U409" s="72"/>
      <c r="V409" s="72"/>
      <c r="W409" s="72"/>
      <c r="X409" s="72"/>
      <c r="Y409" s="72"/>
      <c r="Z409" s="72"/>
      <c r="AA409" s="72"/>
    </row>
    <row r="410" spans="1:27" ht="12.75" customHeight="1" x14ac:dyDescent="0.4">
      <c r="A410" s="73" t="s">
        <v>303</v>
      </c>
      <c r="B410" s="87">
        <v>30</v>
      </c>
      <c r="C410" s="87">
        <v>14</v>
      </c>
      <c r="D410" s="87">
        <v>12</v>
      </c>
      <c r="E410" s="87">
        <v>4</v>
      </c>
      <c r="F410" s="87"/>
      <c r="G410" s="75">
        <v>1</v>
      </c>
      <c r="H410" s="75">
        <v>0.46666666666666667</v>
      </c>
      <c r="I410" s="75">
        <v>0.4</v>
      </c>
      <c r="J410" s="75">
        <v>0.13333333333333333</v>
      </c>
      <c r="K410" s="75"/>
      <c r="L410" s="75"/>
      <c r="M410" s="142"/>
      <c r="N410" s="166"/>
      <c r="O410" s="167"/>
      <c r="R410" s="73"/>
      <c r="S410" s="72"/>
      <c r="T410" s="72"/>
      <c r="U410" s="72"/>
      <c r="V410" s="72"/>
      <c r="W410" s="86"/>
      <c r="X410" s="72"/>
      <c r="Y410" s="72"/>
      <c r="Z410" s="72"/>
      <c r="AA410" s="72"/>
    </row>
    <row r="411" spans="1:27" ht="12.75" customHeight="1" x14ac:dyDescent="0.4">
      <c r="A411" s="73" t="s">
        <v>23</v>
      </c>
      <c r="B411" s="87">
        <v>500</v>
      </c>
      <c r="C411" s="87">
        <v>384</v>
      </c>
      <c r="D411" s="87">
        <v>98</v>
      </c>
      <c r="E411" s="87">
        <v>18</v>
      </c>
      <c r="F411" s="72"/>
      <c r="G411" s="75">
        <v>0.99009900990099009</v>
      </c>
      <c r="H411" s="75">
        <v>0.76800000000000002</v>
      </c>
      <c r="I411" s="75">
        <v>0.19600000000000001</v>
      </c>
      <c r="J411" s="75">
        <v>3.5999999999999997E-2</v>
      </c>
      <c r="K411" s="75"/>
      <c r="L411" s="75"/>
      <c r="M411" s="142"/>
      <c r="N411" s="166"/>
      <c r="O411" s="167"/>
      <c r="R411" s="73"/>
      <c r="S411" s="74"/>
      <c r="T411" s="74"/>
      <c r="U411" s="74"/>
      <c r="V411" s="74"/>
      <c r="W411" s="86"/>
      <c r="X411" s="74"/>
      <c r="Y411" s="74"/>
      <c r="Z411" s="74"/>
      <c r="AA411" s="74"/>
    </row>
    <row r="412" spans="1:27" ht="12.75" customHeight="1" x14ac:dyDescent="0.4">
      <c r="A412" s="73"/>
      <c r="B412" s="87"/>
      <c r="C412" s="86"/>
      <c r="D412" s="86"/>
      <c r="E412" s="87"/>
      <c r="F412" s="72"/>
      <c r="G412" s="75"/>
      <c r="H412" s="75"/>
      <c r="I412" s="75"/>
      <c r="J412" s="75"/>
      <c r="K412" s="75"/>
      <c r="L412" s="75"/>
      <c r="M412" s="142"/>
      <c r="N412" s="75"/>
      <c r="O412" s="75"/>
      <c r="P412" s="160"/>
      <c r="R412" s="73"/>
      <c r="S412" s="86"/>
      <c r="T412" s="86"/>
      <c r="U412" s="86"/>
      <c r="V412" s="86"/>
      <c r="W412" s="86"/>
      <c r="X412" s="75"/>
      <c r="Y412" s="75"/>
      <c r="Z412" s="75"/>
      <c r="AA412" s="75"/>
    </row>
    <row r="413" spans="1:27" ht="12.75" customHeight="1" x14ac:dyDescent="0.4">
      <c r="A413" s="73"/>
      <c r="B413" s="87"/>
      <c r="C413" s="86"/>
      <c r="D413" s="86"/>
      <c r="E413" s="87"/>
      <c r="F413" s="72"/>
      <c r="G413" s="75"/>
      <c r="H413" s="75"/>
      <c r="I413" s="75"/>
      <c r="J413" s="75"/>
      <c r="K413" s="75"/>
      <c r="L413" s="75"/>
      <c r="M413" s="142"/>
      <c r="N413" s="75"/>
      <c r="O413" s="75"/>
      <c r="P413" s="160"/>
      <c r="R413" s="73"/>
      <c r="S413" s="86"/>
      <c r="T413" s="86"/>
      <c r="U413" s="86"/>
      <c r="V413" s="86"/>
      <c r="W413" s="86"/>
      <c r="X413" s="75"/>
      <c r="Y413" s="75"/>
      <c r="Z413" s="75"/>
      <c r="AA413" s="75"/>
    </row>
    <row r="414" spans="1:27" ht="12.75" customHeight="1" x14ac:dyDescent="0.4">
      <c r="A414" s="73" t="s">
        <v>448</v>
      </c>
      <c r="B414" s="72"/>
      <c r="C414" s="72"/>
      <c r="D414" s="72"/>
      <c r="E414" s="72"/>
      <c r="F414" s="72"/>
      <c r="G414" s="72"/>
      <c r="H414" s="72"/>
      <c r="I414" s="72"/>
      <c r="J414" s="72"/>
      <c r="K414" s="75"/>
      <c r="L414" s="75"/>
      <c r="M414" s="73"/>
      <c r="N414" s="165"/>
      <c r="O414" s="75"/>
      <c r="P414" s="223"/>
      <c r="R414" s="73"/>
      <c r="S414" s="86"/>
      <c r="T414" s="86"/>
      <c r="U414" s="86"/>
      <c r="V414" s="86"/>
      <c r="W414" s="86"/>
      <c r="X414" s="75"/>
      <c r="Y414" s="75"/>
      <c r="Z414" s="75"/>
      <c r="AA414" s="75"/>
    </row>
    <row r="415" spans="1:27" ht="12.75" customHeight="1" x14ac:dyDescent="0.4">
      <c r="A415" s="73" t="s">
        <v>374</v>
      </c>
      <c r="B415" s="72"/>
      <c r="C415" s="72"/>
      <c r="D415" s="72"/>
      <c r="E415" s="72"/>
      <c r="F415" s="72"/>
      <c r="G415" s="72"/>
      <c r="H415" s="72"/>
      <c r="I415" s="72"/>
      <c r="J415" s="72"/>
      <c r="K415" s="75"/>
      <c r="L415" s="75"/>
      <c r="M415" s="6"/>
      <c r="N415" s="6"/>
      <c r="O415" s="6"/>
      <c r="P415" s="160"/>
      <c r="R415" s="73"/>
      <c r="S415" s="86"/>
      <c r="T415" s="86"/>
      <c r="U415" s="86"/>
      <c r="V415" s="86"/>
      <c r="W415" s="86"/>
      <c r="X415" s="75"/>
      <c r="Y415" s="75"/>
      <c r="Z415" s="75"/>
      <c r="AA415" s="75"/>
    </row>
    <row r="416" spans="1:27" ht="12.75" customHeight="1" x14ac:dyDescent="0.4">
      <c r="A416" s="73" t="s">
        <v>484</v>
      </c>
      <c r="B416" s="72"/>
      <c r="C416" s="72"/>
      <c r="D416" s="72"/>
      <c r="E416" s="72"/>
      <c r="F416" s="72"/>
      <c r="G416" s="72"/>
      <c r="H416" s="72"/>
      <c r="I416" s="72"/>
      <c r="J416" s="72"/>
      <c r="K416" s="75"/>
      <c r="L416" s="75"/>
      <c r="M416" s="6"/>
      <c r="N416" s="6"/>
      <c r="O416" s="6"/>
      <c r="P416" s="160"/>
      <c r="R416" s="73"/>
      <c r="S416" s="86"/>
      <c r="T416" s="86"/>
      <c r="U416" s="86"/>
      <c r="V416" s="86"/>
      <c r="W416" s="86"/>
      <c r="X416" s="75"/>
      <c r="Y416" s="75"/>
      <c r="Z416" s="75"/>
      <c r="AA416" s="75"/>
    </row>
    <row r="417" spans="1:27" s="53" customFormat="1" ht="12.75" customHeight="1" x14ac:dyDescent="0.4">
      <c r="A417" s="73"/>
      <c r="B417" s="72" t="s">
        <v>139</v>
      </c>
      <c r="C417" s="72"/>
      <c r="D417" s="72"/>
      <c r="E417" s="72"/>
      <c r="F417" s="86"/>
      <c r="G417" s="72" t="s">
        <v>146</v>
      </c>
      <c r="H417" s="72"/>
      <c r="I417" s="72"/>
      <c r="J417" s="72"/>
      <c r="K417" s="75"/>
      <c r="L417" s="75"/>
      <c r="M417" s="6"/>
      <c r="N417" s="6"/>
      <c r="O417" s="6"/>
      <c r="P417"/>
      <c r="Q417"/>
      <c r="R417" s="73"/>
      <c r="S417" s="86"/>
      <c r="T417" s="86"/>
      <c r="U417" s="86"/>
      <c r="V417" s="86"/>
      <c r="W417" s="86"/>
      <c r="X417" s="75"/>
      <c r="Y417" s="75"/>
      <c r="Z417" s="75"/>
      <c r="AA417" s="75"/>
    </row>
    <row r="418" spans="1:27" s="53" customFormat="1" ht="12.75" customHeight="1" thickBot="1" x14ac:dyDescent="0.45">
      <c r="A418" s="73" t="s">
        <v>136</v>
      </c>
      <c r="B418" s="74" t="s">
        <v>112</v>
      </c>
      <c r="C418" s="74" t="s">
        <v>113</v>
      </c>
      <c r="D418" s="74" t="s">
        <v>114</v>
      </c>
      <c r="E418" s="74" t="s">
        <v>115</v>
      </c>
      <c r="F418" s="86"/>
      <c r="G418" s="74" t="s">
        <v>112</v>
      </c>
      <c r="H418" s="74" t="s">
        <v>113</v>
      </c>
      <c r="I418" s="74" t="s">
        <v>114</v>
      </c>
      <c r="J418" s="74" t="s">
        <v>115</v>
      </c>
      <c r="K418" s="75"/>
      <c r="L418" s="75"/>
      <c r="M418" s="6" t="s">
        <v>448</v>
      </c>
      <c r="N418" s="6"/>
      <c r="O418" s="6"/>
      <c r="P418"/>
      <c r="Q418"/>
      <c r="R418" s="73"/>
      <c r="S418" s="86"/>
      <c r="T418" s="86"/>
      <c r="U418" s="86"/>
      <c r="V418" s="86"/>
      <c r="W418" s="87"/>
      <c r="X418" s="75"/>
      <c r="Y418" s="75"/>
      <c r="Z418" s="75"/>
      <c r="AA418" s="75"/>
    </row>
    <row r="419" spans="1:27" s="53" customFormat="1" ht="12.75" customHeight="1" x14ac:dyDescent="0.4">
      <c r="A419" s="73" t="s">
        <v>127</v>
      </c>
      <c r="B419" s="237">
        <v>25</v>
      </c>
      <c r="C419" s="238">
        <v>18</v>
      </c>
      <c r="D419" s="239">
        <v>4</v>
      </c>
      <c r="E419" s="237">
        <v>3</v>
      </c>
      <c r="F419" s="86"/>
      <c r="G419" s="75">
        <v>0.96153846153846156</v>
      </c>
      <c r="H419" s="75">
        <v>0.72</v>
      </c>
      <c r="I419" s="75">
        <v>0.16</v>
      </c>
      <c r="J419" s="75">
        <v>0.12</v>
      </c>
      <c r="K419" s="75"/>
      <c r="L419" s="75"/>
      <c r="M419" s="6" t="s">
        <v>477</v>
      </c>
      <c r="N419" s="139"/>
      <c r="O419" s="140"/>
      <c r="P419"/>
      <c r="Q419"/>
      <c r="R419" s="73"/>
      <c r="S419" s="86"/>
      <c r="T419" s="86"/>
      <c r="U419" s="86"/>
      <c r="V419" s="86"/>
      <c r="W419" s="87"/>
      <c r="X419" s="75"/>
      <c r="Y419" s="75"/>
      <c r="Z419" s="75"/>
      <c r="AA419" s="75"/>
    </row>
    <row r="420" spans="1:27" s="53" customFormat="1" ht="12.75" customHeight="1" x14ac:dyDescent="0.4">
      <c r="A420" s="73" t="s">
        <v>128</v>
      </c>
      <c r="B420" s="240">
        <v>28</v>
      </c>
      <c r="C420" s="241">
        <v>24</v>
      </c>
      <c r="D420" s="242">
        <v>4</v>
      </c>
      <c r="E420" s="240">
        <v>0</v>
      </c>
      <c r="F420" s="86"/>
      <c r="G420" s="75">
        <v>1</v>
      </c>
      <c r="H420" s="75">
        <v>0.8571428571428571</v>
      </c>
      <c r="I420" s="75">
        <v>0.14285714285714285</v>
      </c>
      <c r="J420" s="75">
        <v>0</v>
      </c>
      <c r="K420" s="75"/>
      <c r="L420" s="75"/>
      <c r="M420" s="6" t="s">
        <v>445</v>
      </c>
      <c r="N420" s="6"/>
      <c r="O420" s="6"/>
      <c r="P420"/>
      <c r="Q420"/>
      <c r="R420" s="73"/>
      <c r="S420" s="86"/>
      <c r="T420" s="86"/>
      <c r="U420" s="86"/>
      <c r="V420" s="86"/>
      <c r="W420" s="87"/>
      <c r="X420" s="75"/>
      <c r="Y420" s="75"/>
      <c r="Z420" s="75"/>
      <c r="AA420" s="75"/>
    </row>
    <row r="421" spans="1:27" ht="12.75" customHeight="1" x14ac:dyDescent="0.4">
      <c r="A421" s="73" t="s">
        <v>129</v>
      </c>
      <c r="B421" s="240">
        <v>73</v>
      </c>
      <c r="C421" s="241">
        <v>66</v>
      </c>
      <c r="D421" s="242">
        <v>6</v>
      </c>
      <c r="E421" s="240">
        <v>1</v>
      </c>
      <c r="F421" s="86"/>
      <c r="G421" s="75">
        <v>1</v>
      </c>
      <c r="H421" s="75">
        <v>0.90410958904109584</v>
      </c>
      <c r="I421" s="75">
        <v>8.2191780821917804E-2</v>
      </c>
      <c r="J421" s="75">
        <v>1.3698630136986301E-2</v>
      </c>
      <c r="K421" s="75"/>
      <c r="L421" s="75"/>
      <c r="M421" s="6" t="s">
        <v>201</v>
      </c>
      <c r="N421" s="76">
        <v>499</v>
      </c>
      <c r="O421" s="141" t="s">
        <v>202</v>
      </c>
      <c r="R421" s="73"/>
      <c r="S421" s="86"/>
      <c r="T421" s="86"/>
      <c r="U421" s="86"/>
      <c r="V421" s="86"/>
      <c r="W421" s="87"/>
      <c r="X421" s="75"/>
      <c r="Y421" s="75"/>
      <c r="Z421" s="75"/>
      <c r="AA421" s="75"/>
    </row>
    <row r="422" spans="1:27" ht="12.75" customHeight="1" x14ac:dyDescent="0.4">
      <c r="A422" s="73" t="s">
        <v>130</v>
      </c>
      <c r="B422" s="240">
        <v>60</v>
      </c>
      <c r="C422" s="241">
        <v>52</v>
      </c>
      <c r="D422" s="242">
        <v>8</v>
      </c>
      <c r="E422" s="240">
        <v>0</v>
      </c>
      <c r="F422" s="86"/>
      <c r="G422" s="75">
        <v>1</v>
      </c>
      <c r="H422" s="75">
        <v>0.8666666666666667</v>
      </c>
      <c r="I422" s="75">
        <v>0.13333333333333333</v>
      </c>
      <c r="J422" s="75">
        <v>0</v>
      </c>
      <c r="K422" s="75"/>
      <c r="L422" s="72"/>
      <c r="M422" s="6" t="s">
        <v>478</v>
      </c>
      <c r="N422" s="139">
        <v>302</v>
      </c>
      <c r="O422" s="140">
        <v>0.60521042084168342</v>
      </c>
      <c r="P422" s="92"/>
      <c r="R422" s="73"/>
      <c r="S422" s="86"/>
      <c r="T422" s="86"/>
      <c r="U422" s="86"/>
      <c r="V422" s="86"/>
      <c r="W422" s="87"/>
      <c r="X422" s="75"/>
      <c r="Y422" s="75"/>
      <c r="Z422" s="75"/>
      <c r="AA422" s="75"/>
    </row>
    <row r="423" spans="1:27" ht="12.75" customHeight="1" x14ac:dyDescent="0.4">
      <c r="A423" s="73" t="s">
        <v>131</v>
      </c>
      <c r="B423" s="240">
        <v>32</v>
      </c>
      <c r="C423" s="241">
        <v>29</v>
      </c>
      <c r="D423" s="242">
        <v>3</v>
      </c>
      <c r="E423" s="240">
        <v>0</v>
      </c>
      <c r="F423" s="86"/>
      <c r="G423" s="75">
        <v>1</v>
      </c>
      <c r="H423" s="75">
        <v>0.90625</v>
      </c>
      <c r="I423" s="75">
        <v>9.375E-2</v>
      </c>
      <c r="J423" s="75">
        <v>0</v>
      </c>
      <c r="K423" s="72"/>
      <c r="L423" s="72"/>
      <c r="M423" s="6" t="s">
        <v>226</v>
      </c>
      <c r="N423" s="139">
        <v>48</v>
      </c>
      <c r="O423" s="140">
        <v>9.6192384769539077E-2</v>
      </c>
      <c r="P423" s="72"/>
      <c r="R423" s="73"/>
      <c r="S423" s="87"/>
      <c r="T423" s="86"/>
      <c r="U423" s="86"/>
      <c r="V423" s="87"/>
      <c r="W423" s="72"/>
      <c r="X423" s="75"/>
      <c r="Y423" s="75"/>
      <c r="Z423" s="75"/>
      <c r="AA423" s="75"/>
    </row>
    <row r="424" spans="1:27" ht="12.75" customHeight="1" x14ac:dyDescent="0.4">
      <c r="A424" s="73" t="s">
        <v>132</v>
      </c>
      <c r="B424" s="240">
        <v>62</v>
      </c>
      <c r="C424" s="241">
        <v>57</v>
      </c>
      <c r="D424" s="242">
        <v>3</v>
      </c>
      <c r="E424" s="240">
        <v>2</v>
      </c>
      <c r="F424" s="86"/>
      <c r="G424" s="75">
        <v>0.98412698412698407</v>
      </c>
      <c r="H424" s="75">
        <v>0.91935483870967738</v>
      </c>
      <c r="I424" s="75">
        <v>4.8387096774193547E-2</v>
      </c>
      <c r="J424" s="75">
        <v>3.2258064516129031E-2</v>
      </c>
      <c r="K424" s="72"/>
      <c r="L424" s="74"/>
      <c r="M424" s="6" t="s">
        <v>479</v>
      </c>
      <c r="N424" s="139">
        <v>186</v>
      </c>
      <c r="O424" s="140">
        <v>0.37274549098196391</v>
      </c>
      <c r="P424" s="72"/>
      <c r="S424" s="53"/>
    </row>
    <row r="425" spans="1:27" ht="12.75" customHeight="1" x14ac:dyDescent="0.4">
      <c r="A425" s="73" t="s">
        <v>133</v>
      </c>
      <c r="B425" s="240">
        <v>64</v>
      </c>
      <c r="C425" s="241">
        <v>50</v>
      </c>
      <c r="D425" s="242">
        <v>11</v>
      </c>
      <c r="E425" s="240">
        <v>3</v>
      </c>
      <c r="F425" s="87"/>
      <c r="G425" s="75">
        <v>0.96969696969696972</v>
      </c>
      <c r="H425" s="75">
        <v>0.78125</v>
      </c>
      <c r="I425" s="75">
        <v>0.171875</v>
      </c>
      <c r="J425" s="75">
        <v>4.6875E-2</v>
      </c>
      <c r="K425" s="72"/>
      <c r="L425" s="75"/>
      <c r="M425" s="6" t="s">
        <v>227</v>
      </c>
      <c r="N425" s="139">
        <v>43</v>
      </c>
      <c r="O425" s="140">
        <v>8.617234468937876E-2</v>
      </c>
      <c r="P425" s="72"/>
      <c r="S425" s="53"/>
    </row>
    <row r="426" spans="1:27" ht="13.15" x14ac:dyDescent="0.4">
      <c r="A426" s="73" t="s">
        <v>134</v>
      </c>
      <c r="B426" s="240">
        <v>71</v>
      </c>
      <c r="C426" s="241">
        <v>66</v>
      </c>
      <c r="D426" s="242">
        <v>2</v>
      </c>
      <c r="E426" s="240">
        <v>3</v>
      </c>
      <c r="F426" s="87"/>
      <c r="G426" s="75">
        <v>0.98611111111111116</v>
      </c>
      <c r="H426" s="75">
        <v>0.92957746478873238</v>
      </c>
      <c r="I426" s="75">
        <v>2.8169014084507043E-2</v>
      </c>
      <c r="J426" s="75">
        <v>4.2253521126760563E-2</v>
      </c>
      <c r="K426" s="74"/>
      <c r="L426" s="75"/>
      <c r="M426" s="6"/>
      <c r="N426" s="139"/>
      <c r="O426" s="140"/>
      <c r="P426" s="72"/>
      <c r="Q426" s="72"/>
      <c r="R426" s="73"/>
      <c r="S426" s="72"/>
      <c r="T426" s="72"/>
      <c r="U426" s="72"/>
      <c r="V426" s="72"/>
      <c r="W426" s="72"/>
      <c r="X426" s="72"/>
      <c r="Y426" s="72"/>
      <c r="Z426" s="72"/>
      <c r="AA426" s="72"/>
    </row>
    <row r="427" spans="1:27" ht="12.75" customHeight="1" x14ac:dyDescent="0.4">
      <c r="A427" s="73" t="s">
        <v>376</v>
      </c>
      <c r="B427" s="240">
        <v>25</v>
      </c>
      <c r="C427" s="241">
        <v>22</v>
      </c>
      <c r="D427" s="242">
        <v>2</v>
      </c>
      <c r="E427" s="240">
        <v>1</v>
      </c>
      <c r="F427" s="87"/>
      <c r="G427" s="75">
        <v>0.96153846153846156</v>
      </c>
      <c r="H427" s="75">
        <v>0.88</v>
      </c>
      <c r="I427" s="75">
        <v>0.08</v>
      </c>
      <c r="J427" s="75">
        <v>0.04</v>
      </c>
      <c r="K427" s="75"/>
      <c r="L427" s="75"/>
      <c r="M427" s="6" t="s">
        <v>480</v>
      </c>
      <c r="N427" s="138" t="s">
        <v>438</v>
      </c>
      <c r="O427" s="141" t="s">
        <v>202</v>
      </c>
      <c r="P427" s="72"/>
      <c r="Q427" s="72"/>
      <c r="R427" s="73"/>
      <c r="S427" s="72"/>
      <c r="T427" s="72"/>
      <c r="U427" s="72"/>
      <c r="V427" s="72"/>
      <c r="W427" s="72"/>
      <c r="X427" s="72"/>
      <c r="Y427" s="72"/>
      <c r="Z427" s="72"/>
      <c r="AA427" s="72"/>
    </row>
    <row r="428" spans="1:27" ht="12.75" customHeight="1" x14ac:dyDescent="0.4">
      <c r="A428" s="73" t="s">
        <v>135</v>
      </c>
      <c r="B428" s="240">
        <v>28</v>
      </c>
      <c r="C428" s="241">
        <v>20</v>
      </c>
      <c r="D428" s="242">
        <v>7</v>
      </c>
      <c r="E428" s="240">
        <v>1</v>
      </c>
      <c r="F428" s="87"/>
      <c r="G428" s="75">
        <v>1</v>
      </c>
      <c r="H428" s="75">
        <v>0.7142857142857143</v>
      </c>
      <c r="I428" s="75">
        <v>0.25</v>
      </c>
      <c r="J428" s="75">
        <v>3.5714285714285712E-2</v>
      </c>
      <c r="K428" s="75"/>
      <c r="L428" s="75"/>
      <c r="M428" s="6" t="s">
        <v>481</v>
      </c>
      <c r="N428" s="229">
        <v>22</v>
      </c>
      <c r="O428" s="140">
        <v>4.4088176352705413E-2</v>
      </c>
      <c r="P428" s="72"/>
      <c r="Q428" s="72"/>
      <c r="R428" s="73"/>
      <c r="S428" s="72"/>
      <c r="T428" s="72"/>
      <c r="U428" s="72"/>
      <c r="V428" s="72"/>
      <c r="W428" s="72"/>
      <c r="X428" s="72"/>
      <c r="Y428" s="72"/>
      <c r="Z428" s="72"/>
      <c r="AA428" s="72"/>
    </row>
    <row r="429" spans="1:27" ht="12.75" customHeight="1" thickBot="1" x14ac:dyDescent="0.45">
      <c r="A429" s="73" t="s">
        <v>303</v>
      </c>
      <c r="B429" s="243">
        <v>31</v>
      </c>
      <c r="C429" s="244">
        <v>15</v>
      </c>
      <c r="D429" s="245">
        <v>14</v>
      </c>
      <c r="E429" s="243">
        <v>2</v>
      </c>
      <c r="F429" s="87"/>
      <c r="G429" s="75">
        <v>1</v>
      </c>
      <c r="H429" s="75">
        <v>0.4838709677419355</v>
      </c>
      <c r="I429" s="75">
        <v>0.45161290322580644</v>
      </c>
      <c r="J429" s="75">
        <v>6.4516129032258063E-2</v>
      </c>
      <c r="K429" s="75"/>
      <c r="L429" s="75"/>
      <c r="M429" s="6"/>
      <c r="N429" s="139"/>
      <c r="O429" s="140"/>
      <c r="R429" s="73"/>
      <c r="S429" s="72"/>
      <c r="T429" s="72"/>
      <c r="U429" s="72"/>
      <c r="V429" s="72"/>
      <c r="W429" s="86"/>
      <c r="X429" s="72"/>
      <c r="Y429" s="72"/>
      <c r="Z429" s="72"/>
      <c r="AA429" s="72"/>
    </row>
    <row r="430" spans="1:27" ht="12.75" customHeight="1" x14ac:dyDescent="0.4">
      <c r="A430" s="73" t="s">
        <v>23</v>
      </c>
      <c r="B430" s="246">
        <v>499</v>
      </c>
      <c r="C430" s="247">
        <v>419</v>
      </c>
      <c r="D430" s="248">
        <v>64</v>
      </c>
      <c r="E430" s="249">
        <v>16</v>
      </c>
      <c r="F430" s="72"/>
      <c r="G430" s="75">
        <v>0.98811881188118811</v>
      </c>
      <c r="H430" s="75">
        <v>0.83967935871743482</v>
      </c>
      <c r="I430" s="75">
        <v>0.12825651302605209</v>
      </c>
      <c r="J430" s="75">
        <v>3.2064128256513023E-2</v>
      </c>
      <c r="K430" s="75"/>
      <c r="L430" s="75"/>
      <c r="M430" s="6"/>
      <c r="N430" s="139"/>
      <c r="O430" s="140"/>
      <c r="R430" s="73"/>
      <c r="S430" s="74"/>
      <c r="T430" s="74"/>
      <c r="U430" s="74"/>
      <c r="V430" s="74"/>
      <c r="W430" s="86"/>
      <c r="X430" s="74"/>
      <c r="Y430" s="74"/>
      <c r="Z430" s="74"/>
      <c r="AA430" s="74"/>
    </row>
    <row r="431" spans="1:27" ht="12.75" customHeight="1" x14ac:dyDescent="0.4">
      <c r="A431" s="73"/>
      <c r="B431" s="87"/>
      <c r="C431" s="86"/>
      <c r="D431" s="86"/>
      <c r="E431" s="87"/>
      <c r="F431" s="72"/>
      <c r="G431" s="75"/>
      <c r="H431" s="75"/>
      <c r="I431" s="75"/>
      <c r="J431" s="75"/>
      <c r="K431" s="75"/>
      <c r="L431" s="75"/>
      <c r="M431" s="6"/>
      <c r="N431" s="75"/>
      <c r="O431" s="75"/>
      <c r="R431" s="73"/>
      <c r="S431" s="86"/>
      <c r="T431" s="86"/>
      <c r="U431" s="86"/>
      <c r="V431" s="86"/>
      <c r="W431" s="86"/>
      <c r="X431" s="75"/>
      <c r="Y431" s="75"/>
      <c r="Z431" s="75"/>
      <c r="AA431" s="75"/>
    </row>
    <row r="432" spans="1:27" ht="12.75" customHeight="1" x14ac:dyDescent="0.4">
      <c r="A432" s="73"/>
      <c r="B432" s="87"/>
      <c r="C432" s="86"/>
      <c r="D432" s="86"/>
      <c r="E432" s="87"/>
      <c r="F432" s="72"/>
      <c r="G432" s="75"/>
      <c r="H432" s="75"/>
      <c r="I432" s="75"/>
      <c r="J432" s="75"/>
      <c r="K432" s="75"/>
      <c r="L432" s="75"/>
      <c r="M432" s="6"/>
      <c r="N432" s="75"/>
      <c r="O432" s="75"/>
      <c r="R432" s="73"/>
      <c r="S432" s="86"/>
      <c r="T432" s="86"/>
      <c r="U432" s="86"/>
      <c r="V432" s="86"/>
      <c r="W432" s="86"/>
      <c r="X432" s="75"/>
      <c r="Y432" s="75"/>
      <c r="Z432" s="75"/>
      <c r="AA432" s="75"/>
    </row>
    <row r="433" spans="1:27" ht="12.75" customHeight="1" x14ac:dyDescent="0.4">
      <c r="A433" s="73" t="s">
        <v>447</v>
      </c>
      <c r="B433" s="72"/>
      <c r="C433" s="72"/>
      <c r="D433" s="72"/>
      <c r="E433" s="72"/>
      <c r="F433" s="72"/>
      <c r="G433" s="72"/>
      <c r="H433" s="72"/>
      <c r="I433" s="72"/>
      <c r="J433" s="72"/>
      <c r="K433" s="75"/>
      <c r="L433" s="75"/>
      <c r="M433" s="73"/>
      <c r="N433" s="165"/>
      <c r="O433" s="75"/>
      <c r="R433" s="73"/>
      <c r="S433" s="86"/>
      <c r="T433" s="86"/>
      <c r="U433" s="86"/>
      <c r="V433" s="86"/>
      <c r="W433" s="86"/>
      <c r="X433" s="75"/>
      <c r="Y433" s="75"/>
      <c r="Z433" s="75"/>
      <c r="AA433" s="75"/>
    </row>
    <row r="434" spans="1:27" ht="12.75" customHeight="1" x14ac:dyDescent="0.4">
      <c r="A434" s="73" t="s">
        <v>474</v>
      </c>
      <c r="B434" s="72"/>
      <c r="C434" s="72"/>
      <c r="D434" s="72"/>
      <c r="E434" s="72"/>
      <c r="F434" s="72"/>
      <c r="G434" s="72"/>
      <c r="H434" s="72"/>
      <c r="I434" s="72"/>
      <c r="J434" s="72"/>
      <c r="K434" s="75"/>
      <c r="L434" s="75"/>
      <c r="M434" s="6"/>
      <c r="N434" s="6"/>
      <c r="O434" s="6"/>
      <c r="P434" s="72"/>
      <c r="R434" s="73"/>
      <c r="S434" s="86"/>
      <c r="T434" s="86"/>
      <c r="U434" s="86"/>
      <c r="V434" s="86"/>
      <c r="W434" s="86"/>
      <c r="X434" s="75"/>
      <c r="Y434" s="75"/>
      <c r="Z434" s="75"/>
      <c r="AA434" s="75"/>
    </row>
    <row r="435" spans="1:27" ht="12.75" customHeight="1" x14ac:dyDescent="0.4">
      <c r="A435" s="73" t="s">
        <v>475</v>
      </c>
      <c r="B435" s="72"/>
      <c r="C435" s="72"/>
      <c r="D435" s="72"/>
      <c r="E435" s="72"/>
      <c r="F435" s="72"/>
      <c r="G435" s="72"/>
      <c r="H435" s="72"/>
      <c r="I435" s="72"/>
      <c r="J435" s="72"/>
      <c r="K435" s="75"/>
      <c r="L435" s="75"/>
      <c r="M435" s="6"/>
      <c r="N435" s="6"/>
      <c r="O435" s="6"/>
      <c r="R435" s="73"/>
      <c r="S435" s="86"/>
      <c r="T435" s="86"/>
      <c r="U435" s="86"/>
      <c r="V435" s="86"/>
      <c r="W435" s="86"/>
      <c r="X435" s="75"/>
      <c r="Y435" s="75"/>
      <c r="Z435" s="75"/>
      <c r="AA435" s="75"/>
    </row>
    <row r="436" spans="1:27" s="82" customFormat="1" ht="12.75" customHeight="1" x14ac:dyDescent="0.4">
      <c r="A436" s="73"/>
      <c r="B436" s="72" t="s">
        <v>139</v>
      </c>
      <c r="C436" s="72"/>
      <c r="D436" s="72"/>
      <c r="E436" s="72"/>
      <c r="F436" s="86"/>
      <c r="G436" s="72" t="s">
        <v>146</v>
      </c>
      <c r="H436" s="72"/>
      <c r="I436" s="72"/>
      <c r="J436" s="72"/>
      <c r="K436" s="75"/>
      <c r="L436" s="75"/>
      <c r="M436" s="6"/>
      <c r="N436" s="6"/>
      <c r="O436" s="6"/>
      <c r="P436"/>
      <c r="Q436"/>
      <c r="R436" s="73"/>
      <c r="S436" s="86"/>
      <c r="T436" s="86"/>
      <c r="U436" s="86"/>
      <c r="V436" s="86"/>
      <c r="W436" s="86"/>
      <c r="X436" s="75"/>
      <c r="Y436" s="75"/>
      <c r="Z436" s="75"/>
      <c r="AA436" s="75"/>
    </row>
    <row r="437" spans="1:27" s="82" customFormat="1" ht="12.75" customHeight="1" thickBot="1" x14ac:dyDescent="0.45">
      <c r="A437" s="73" t="s">
        <v>136</v>
      </c>
      <c r="B437" s="74" t="s">
        <v>112</v>
      </c>
      <c r="C437" s="74" t="s">
        <v>113</v>
      </c>
      <c r="D437" s="74" t="s">
        <v>114</v>
      </c>
      <c r="E437" s="74" t="s">
        <v>115</v>
      </c>
      <c r="F437" s="86"/>
      <c r="G437" s="74" t="s">
        <v>112</v>
      </c>
      <c r="H437" s="74" t="s">
        <v>113</v>
      </c>
      <c r="I437" s="74" t="s">
        <v>114</v>
      </c>
      <c r="J437" s="74" t="s">
        <v>115</v>
      </c>
      <c r="K437" s="75"/>
      <c r="L437" s="75"/>
      <c r="M437" s="6" t="s">
        <v>447</v>
      </c>
      <c r="N437" s="6"/>
      <c r="O437" s="6"/>
      <c r="P437"/>
      <c r="Q437"/>
      <c r="R437" s="73"/>
      <c r="S437" s="86"/>
      <c r="T437" s="86"/>
      <c r="U437" s="86"/>
      <c r="V437" s="86"/>
      <c r="W437" s="87"/>
      <c r="X437" s="75"/>
      <c r="Y437" s="75"/>
      <c r="Z437" s="75"/>
      <c r="AA437" s="75"/>
    </row>
    <row r="438" spans="1:27" s="82" customFormat="1" ht="12.75" customHeight="1" x14ac:dyDescent="0.4">
      <c r="A438" s="73" t="s">
        <v>127</v>
      </c>
      <c r="B438" s="237">
        <v>26</v>
      </c>
      <c r="C438" s="238">
        <v>19</v>
      </c>
      <c r="D438" s="239">
        <v>7</v>
      </c>
      <c r="E438" s="237">
        <v>0</v>
      </c>
      <c r="F438" s="86"/>
      <c r="G438" s="75">
        <v>1</v>
      </c>
      <c r="H438" s="75">
        <v>0.73076923076923073</v>
      </c>
      <c r="I438" s="75">
        <v>0.26923076923076922</v>
      </c>
      <c r="J438" s="75">
        <v>0</v>
      </c>
      <c r="K438" s="75"/>
      <c r="L438" s="75"/>
      <c r="M438" s="6" t="s">
        <v>461</v>
      </c>
      <c r="N438" s="139"/>
      <c r="O438" s="140"/>
      <c r="P438"/>
      <c r="Q438"/>
      <c r="R438" s="73"/>
      <c r="S438" s="86"/>
      <c r="T438" s="86"/>
      <c r="U438" s="86"/>
      <c r="V438" s="86"/>
      <c r="W438" s="87"/>
      <c r="X438" s="75"/>
      <c r="Y438" s="75"/>
      <c r="Z438" s="75"/>
      <c r="AA438" s="75"/>
    </row>
    <row r="439" spans="1:27" s="82" customFormat="1" ht="12.75" customHeight="1" x14ac:dyDescent="0.4">
      <c r="A439" s="73" t="s">
        <v>128</v>
      </c>
      <c r="B439" s="240">
        <v>28</v>
      </c>
      <c r="C439" s="241">
        <v>24</v>
      </c>
      <c r="D439" s="242">
        <v>4</v>
      </c>
      <c r="E439" s="240">
        <v>0</v>
      </c>
      <c r="F439" s="86"/>
      <c r="G439" s="75">
        <v>1</v>
      </c>
      <c r="H439" s="75">
        <v>0.8571428571428571</v>
      </c>
      <c r="I439" s="75">
        <v>0.14285714285714285</v>
      </c>
      <c r="J439" s="75">
        <v>0</v>
      </c>
      <c r="K439" s="75"/>
      <c r="L439" s="75"/>
      <c r="M439" s="6" t="s">
        <v>445</v>
      </c>
      <c r="N439" s="6"/>
      <c r="O439" s="6"/>
      <c r="P439"/>
      <c r="Q439"/>
      <c r="R439" s="73"/>
      <c r="S439" s="86"/>
      <c r="T439" s="86"/>
      <c r="U439" s="86"/>
      <c r="V439" s="86"/>
      <c r="W439" s="87"/>
      <c r="X439" s="75"/>
      <c r="Y439" s="75"/>
      <c r="Z439" s="75"/>
      <c r="AA439" s="75"/>
    </row>
    <row r="440" spans="1:27" ht="12.75" customHeight="1" x14ac:dyDescent="0.4">
      <c r="A440" s="73" t="s">
        <v>129</v>
      </c>
      <c r="B440" s="240">
        <v>73</v>
      </c>
      <c r="C440" s="241">
        <v>67</v>
      </c>
      <c r="D440" s="242">
        <v>6</v>
      </c>
      <c r="E440" s="240">
        <v>0</v>
      </c>
      <c r="F440" s="86"/>
      <c r="G440" s="75">
        <v>1</v>
      </c>
      <c r="H440" s="75">
        <v>0.9178082191780822</v>
      </c>
      <c r="I440" s="75">
        <v>8.2191780821917804E-2</v>
      </c>
      <c r="J440" s="75">
        <v>0</v>
      </c>
      <c r="K440" s="75"/>
      <c r="L440" s="72"/>
      <c r="M440" s="6" t="s">
        <v>201</v>
      </c>
      <c r="N440" s="76">
        <v>500</v>
      </c>
      <c r="O440" s="141" t="s">
        <v>202</v>
      </c>
      <c r="R440" s="73"/>
      <c r="S440" s="86"/>
      <c r="T440" s="86"/>
      <c r="U440" s="86"/>
      <c r="V440" s="86"/>
      <c r="W440" s="87"/>
      <c r="X440" s="75"/>
      <c r="Y440" s="75"/>
      <c r="Z440" s="75"/>
      <c r="AA440" s="75"/>
    </row>
    <row r="441" spans="1:27" ht="12.75" customHeight="1" x14ac:dyDescent="0.4">
      <c r="A441" s="73" t="s">
        <v>130</v>
      </c>
      <c r="B441" s="240">
        <v>61</v>
      </c>
      <c r="C441" s="241">
        <v>45</v>
      </c>
      <c r="D441" s="242">
        <v>15</v>
      </c>
      <c r="E441" s="240">
        <v>1</v>
      </c>
      <c r="F441" s="86"/>
      <c r="G441" s="75">
        <v>1</v>
      </c>
      <c r="H441" s="75">
        <v>0.73770491803278693</v>
      </c>
      <c r="I441" s="75">
        <v>0.24590163934426229</v>
      </c>
      <c r="J441" s="75">
        <v>1.6393442622950821E-2</v>
      </c>
      <c r="K441" s="72"/>
      <c r="L441" s="72"/>
      <c r="M441" s="6" t="s">
        <v>462</v>
      </c>
      <c r="N441" s="139">
        <v>318</v>
      </c>
      <c r="O441" s="140">
        <v>0.63600000000000001</v>
      </c>
      <c r="R441" s="73"/>
      <c r="S441" s="86"/>
      <c r="T441" s="86"/>
      <c r="U441" s="86"/>
      <c r="V441" s="86"/>
      <c r="W441" s="87"/>
      <c r="X441" s="75"/>
      <c r="Y441" s="75"/>
      <c r="Z441" s="75"/>
      <c r="AA441" s="75"/>
    </row>
    <row r="442" spans="1:27" ht="12.75" customHeight="1" x14ac:dyDescent="0.4">
      <c r="A442" s="73" t="s">
        <v>131</v>
      </c>
      <c r="B442" s="240">
        <v>33</v>
      </c>
      <c r="C442" s="241">
        <v>29</v>
      </c>
      <c r="D442" s="242">
        <v>4</v>
      </c>
      <c r="E442" s="240">
        <v>0</v>
      </c>
      <c r="F442" s="86"/>
      <c r="G442" s="75">
        <v>1</v>
      </c>
      <c r="H442" s="75">
        <v>0.87878787878787878</v>
      </c>
      <c r="I442" s="75">
        <v>0.12121212121212122</v>
      </c>
      <c r="J442" s="75">
        <v>0</v>
      </c>
      <c r="K442" s="72"/>
      <c r="L442" s="74"/>
      <c r="M442" s="6" t="s">
        <v>226</v>
      </c>
      <c r="N442" s="139">
        <v>89</v>
      </c>
      <c r="O442" s="140">
        <v>0.17799999999999999</v>
      </c>
      <c r="P442" s="92"/>
      <c r="R442" s="73"/>
      <c r="S442" s="87"/>
      <c r="T442" s="86"/>
      <c r="U442" s="86"/>
      <c r="V442" s="87"/>
      <c r="W442" s="72"/>
      <c r="X442" s="75"/>
      <c r="Y442" s="75"/>
      <c r="Z442" s="75"/>
      <c r="AA442" s="75"/>
    </row>
    <row r="443" spans="1:27" ht="12.75" customHeight="1" x14ac:dyDescent="0.4">
      <c r="A443" s="73" t="s">
        <v>132</v>
      </c>
      <c r="B443" s="240">
        <v>62</v>
      </c>
      <c r="C443" s="241">
        <v>55</v>
      </c>
      <c r="D443" s="242">
        <v>6</v>
      </c>
      <c r="E443" s="240">
        <v>1</v>
      </c>
      <c r="F443" s="86"/>
      <c r="G443" s="75">
        <v>1</v>
      </c>
      <c r="H443" s="75">
        <v>0.88709677419354838</v>
      </c>
      <c r="I443" s="75">
        <v>9.6774193548387094E-2</v>
      </c>
      <c r="J443" s="75">
        <v>1.6129032258064516E-2</v>
      </c>
      <c r="K443" s="72"/>
      <c r="L443" s="75"/>
      <c r="M443" s="6" t="s">
        <v>463</v>
      </c>
      <c r="N443" s="139">
        <v>165</v>
      </c>
      <c r="O443" s="140">
        <v>0.33</v>
      </c>
      <c r="S443" s="82"/>
    </row>
    <row r="444" spans="1:27" ht="12.75" customHeight="1" x14ac:dyDescent="0.4">
      <c r="A444" s="73" t="s">
        <v>133</v>
      </c>
      <c r="B444" s="240">
        <v>65</v>
      </c>
      <c r="C444" s="241">
        <v>49</v>
      </c>
      <c r="D444" s="242">
        <v>14</v>
      </c>
      <c r="E444" s="240">
        <v>2</v>
      </c>
      <c r="F444" s="87"/>
      <c r="G444" s="75">
        <v>0.98484848484848486</v>
      </c>
      <c r="H444" s="75">
        <v>0.75384615384615383</v>
      </c>
      <c r="I444" s="75">
        <v>0.2153846153846154</v>
      </c>
      <c r="J444" s="75">
        <v>3.0769230769230771E-2</v>
      </c>
      <c r="K444" s="74"/>
      <c r="L444" s="75"/>
      <c r="M444" s="6" t="s">
        <v>227</v>
      </c>
      <c r="N444" s="139">
        <v>43</v>
      </c>
      <c r="O444" s="140">
        <v>8.5999999999999993E-2</v>
      </c>
      <c r="P444" s="72"/>
      <c r="S444" s="82"/>
    </row>
    <row r="445" spans="1:27" ht="12.75" customHeight="1" x14ac:dyDescent="0.4">
      <c r="A445" s="73" t="s">
        <v>134</v>
      </c>
      <c r="B445" s="240">
        <v>70</v>
      </c>
      <c r="C445" s="241">
        <v>65</v>
      </c>
      <c r="D445" s="242">
        <v>1</v>
      </c>
      <c r="E445" s="240">
        <v>4</v>
      </c>
      <c r="F445" s="87"/>
      <c r="G445" s="75">
        <v>0.9859154929577465</v>
      </c>
      <c r="H445" s="75">
        <v>0.9285714285714286</v>
      </c>
      <c r="I445" s="75">
        <v>1.4285714285714285E-2</v>
      </c>
      <c r="J445" s="75">
        <v>5.7142857142857141E-2</v>
      </c>
      <c r="K445" s="75"/>
      <c r="L445" s="75"/>
      <c r="M445" s="6"/>
      <c r="N445" s="139"/>
      <c r="O445" s="140"/>
      <c r="Q445" s="72"/>
      <c r="R445" s="73"/>
      <c r="S445" s="72"/>
      <c r="T445" s="72"/>
      <c r="U445" s="72"/>
      <c r="V445" s="72"/>
      <c r="W445" s="72"/>
      <c r="X445" s="72"/>
      <c r="Y445" s="72"/>
      <c r="Z445" s="72"/>
      <c r="AA445" s="72"/>
    </row>
    <row r="446" spans="1:27" ht="12.75" customHeight="1" x14ac:dyDescent="0.4">
      <c r="A446" s="73" t="s">
        <v>376</v>
      </c>
      <c r="B446" s="240">
        <v>25</v>
      </c>
      <c r="C446" s="241">
        <v>22</v>
      </c>
      <c r="D446" s="242">
        <v>3</v>
      </c>
      <c r="E446" s="240">
        <v>0</v>
      </c>
      <c r="F446" s="87"/>
      <c r="G446" s="75">
        <v>0.96153846153846156</v>
      </c>
      <c r="H446" s="75">
        <v>0.88</v>
      </c>
      <c r="I446" s="75">
        <v>0.12</v>
      </c>
      <c r="J446" s="75">
        <v>0</v>
      </c>
      <c r="K446" s="75"/>
      <c r="L446" s="75"/>
      <c r="M446" s="6" t="s">
        <v>464</v>
      </c>
      <c r="N446" s="138" t="s">
        <v>438</v>
      </c>
      <c r="O446" s="141" t="s">
        <v>202</v>
      </c>
      <c r="R446" s="73"/>
      <c r="S446" s="72"/>
      <c r="T446" s="72"/>
      <c r="U446" s="72"/>
      <c r="V446" s="72"/>
      <c r="W446" s="86"/>
      <c r="X446" s="72"/>
      <c r="Y446" s="72"/>
      <c r="Z446" s="72"/>
      <c r="AA446" s="72"/>
    </row>
    <row r="447" spans="1:27" ht="12.75" customHeight="1" x14ac:dyDescent="0.4">
      <c r="A447" s="73" t="s">
        <v>135</v>
      </c>
      <c r="B447" s="240">
        <v>28</v>
      </c>
      <c r="C447" s="241">
        <v>22</v>
      </c>
      <c r="D447" s="242">
        <v>3</v>
      </c>
      <c r="E447" s="240">
        <v>3</v>
      </c>
      <c r="F447" s="87"/>
      <c r="G447" s="75">
        <v>1</v>
      </c>
      <c r="H447" s="75">
        <v>0.7857142857142857</v>
      </c>
      <c r="I447" s="75">
        <v>0.10714285714285714</v>
      </c>
      <c r="J447" s="75">
        <v>0.10714285714285714</v>
      </c>
      <c r="K447" s="75"/>
      <c r="L447" s="75"/>
      <c r="M447" s="6" t="s">
        <v>465</v>
      </c>
      <c r="N447" s="229">
        <v>52</v>
      </c>
      <c r="O447" s="140">
        <v>0.104</v>
      </c>
      <c r="R447" s="73"/>
      <c r="S447" s="74"/>
      <c r="T447" s="74"/>
      <c r="U447" s="74"/>
      <c r="V447" s="74"/>
      <c r="W447" s="86"/>
      <c r="X447" s="74"/>
      <c r="Y447" s="74"/>
      <c r="Z447" s="74"/>
      <c r="AA447" s="74"/>
    </row>
    <row r="448" spans="1:27" ht="12.75" customHeight="1" thickBot="1" x14ac:dyDescent="0.45">
      <c r="A448" s="73" t="s">
        <v>303</v>
      </c>
      <c r="B448" s="243">
        <v>31</v>
      </c>
      <c r="C448" s="244">
        <v>16</v>
      </c>
      <c r="D448" s="245">
        <v>14</v>
      </c>
      <c r="E448" s="243">
        <v>1</v>
      </c>
      <c r="F448" s="87"/>
      <c r="G448" s="75">
        <v>1</v>
      </c>
      <c r="H448" s="75">
        <v>0.5161290322580645</v>
      </c>
      <c r="I448" s="75">
        <v>0.45161290322580644</v>
      </c>
      <c r="J448" s="75">
        <v>3.2258064516129031E-2</v>
      </c>
      <c r="K448" s="75"/>
      <c r="L448" s="75"/>
      <c r="M448" s="6"/>
      <c r="N448" s="139"/>
      <c r="O448" s="140"/>
      <c r="R448" s="73"/>
      <c r="S448" s="86"/>
      <c r="T448" s="86"/>
      <c r="U448" s="86"/>
      <c r="V448" s="86"/>
      <c r="W448" s="86"/>
      <c r="X448" s="75"/>
      <c r="Y448" s="75"/>
      <c r="Z448" s="75"/>
      <c r="AA448" s="75"/>
    </row>
    <row r="449" spans="1:27" ht="12.75" customHeight="1" x14ac:dyDescent="0.4">
      <c r="A449" s="73" t="s">
        <v>23</v>
      </c>
      <c r="B449" s="246">
        <v>502</v>
      </c>
      <c r="C449" s="247">
        <v>413</v>
      </c>
      <c r="D449" s="248">
        <v>77</v>
      </c>
      <c r="E449" s="249">
        <v>12</v>
      </c>
      <c r="F449" s="72"/>
      <c r="G449" s="75">
        <v>0.99405940594059405</v>
      </c>
      <c r="H449" s="75">
        <v>0.82270916334661359</v>
      </c>
      <c r="I449" s="75">
        <v>0.15338645418326693</v>
      </c>
      <c r="J449" s="75">
        <v>2.3904382470119521E-2</v>
      </c>
      <c r="K449" s="75"/>
      <c r="L449" s="75"/>
      <c r="M449" s="6"/>
      <c r="N449" s="139"/>
      <c r="O449" s="140"/>
      <c r="R449" s="73"/>
      <c r="S449" s="86"/>
      <c r="T449" s="86"/>
      <c r="U449" s="86"/>
      <c r="V449" s="86"/>
      <c r="W449" s="86"/>
      <c r="X449" s="75"/>
      <c r="Y449" s="75"/>
      <c r="Z449" s="75"/>
      <c r="AA449" s="75"/>
    </row>
    <row r="450" spans="1:27" ht="12.75" customHeight="1" x14ac:dyDescent="0.4">
      <c r="A450" s="73"/>
      <c r="B450" s="87"/>
      <c r="C450" s="86"/>
      <c r="D450" s="86"/>
      <c r="E450" s="87"/>
      <c r="F450" s="72"/>
      <c r="G450" s="75"/>
      <c r="H450" s="75"/>
      <c r="I450" s="75"/>
      <c r="J450" s="75"/>
      <c r="K450" s="75"/>
      <c r="L450" s="75"/>
      <c r="M450" s="6"/>
      <c r="N450" s="75"/>
      <c r="O450" s="75"/>
      <c r="P450" s="72"/>
      <c r="R450" s="73"/>
      <c r="S450" s="86"/>
      <c r="T450" s="86"/>
      <c r="U450" s="86"/>
      <c r="V450" s="86"/>
      <c r="W450" s="86"/>
      <c r="X450" s="75"/>
      <c r="Y450" s="75"/>
      <c r="Z450" s="75"/>
      <c r="AA450" s="75"/>
    </row>
    <row r="451" spans="1:27" ht="12.75" customHeight="1" x14ac:dyDescent="0.4">
      <c r="A451" s="73"/>
      <c r="B451" s="87"/>
      <c r="C451" s="86"/>
      <c r="D451" s="86"/>
      <c r="E451" s="87"/>
      <c r="F451" s="72"/>
      <c r="G451" s="75"/>
      <c r="H451" s="75"/>
      <c r="I451" s="75"/>
      <c r="J451" s="75"/>
      <c r="K451" s="75"/>
      <c r="L451" s="75"/>
      <c r="M451" s="6"/>
      <c r="N451" s="75"/>
      <c r="O451" s="75"/>
      <c r="R451" s="73"/>
      <c r="S451" s="86"/>
      <c r="T451" s="86"/>
      <c r="U451" s="86"/>
      <c r="V451" s="86"/>
      <c r="W451" s="86"/>
      <c r="X451" s="75"/>
      <c r="Y451" s="75"/>
      <c r="Z451" s="75"/>
      <c r="AA451" s="75"/>
    </row>
    <row r="452" spans="1:27" ht="12.75" customHeight="1" x14ac:dyDescent="0.4">
      <c r="A452" s="73" t="s">
        <v>446</v>
      </c>
      <c r="B452" s="72"/>
      <c r="C452" s="72"/>
      <c r="D452" s="72"/>
      <c r="E452" s="72"/>
      <c r="F452" s="72"/>
      <c r="G452" s="72"/>
      <c r="H452" s="72"/>
      <c r="I452" s="72"/>
      <c r="J452" s="72"/>
      <c r="K452" s="75"/>
      <c r="L452" s="75"/>
      <c r="M452" s="73"/>
      <c r="N452" s="165"/>
      <c r="O452" s="75"/>
      <c r="R452" s="73"/>
      <c r="S452" s="86"/>
      <c r="T452" s="86"/>
      <c r="U452" s="86"/>
      <c r="V452" s="86"/>
      <c r="W452" s="86"/>
      <c r="X452" s="75"/>
      <c r="Y452" s="75"/>
      <c r="Z452" s="75"/>
      <c r="AA452" s="75"/>
    </row>
    <row r="453" spans="1:27" s="53" customFormat="1" ht="12.75" customHeight="1" x14ac:dyDescent="0.4">
      <c r="A453" s="73" t="s">
        <v>366</v>
      </c>
      <c r="B453" s="72"/>
      <c r="C453" s="72"/>
      <c r="D453" s="72"/>
      <c r="E453" s="72"/>
      <c r="F453" s="72"/>
      <c r="G453" s="72"/>
      <c r="H453" s="72"/>
      <c r="I453" s="72"/>
      <c r="J453" s="72"/>
      <c r="K453" s="75"/>
      <c r="L453" s="75"/>
      <c r="M453" s="142"/>
      <c r="N453" s="142"/>
      <c r="O453" s="142"/>
      <c r="P453"/>
      <c r="Q453"/>
      <c r="R453" s="73"/>
      <c r="S453" s="86"/>
      <c r="T453" s="86"/>
      <c r="U453" s="86"/>
      <c r="V453" s="86"/>
      <c r="W453" s="86"/>
      <c r="X453" s="75"/>
      <c r="Y453" s="75"/>
      <c r="Z453" s="75"/>
      <c r="AA453" s="75"/>
    </row>
    <row r="454" spans="1:27" s="53" customFormat="1" ht="12.75" customHeight="1" x14ac:dyDescent="0.4">
      <c r="A454" s="73" t="s">
        <v>460</v>
      </c>
      <c r="B454" s="72"/>
      <c r="C454" s="72"/>
      <c r="D454" s="72"/>
      <c r="E454" s="72"/>
      <c r="F454" s="72"/>
      <c r="G454" s="72"/>
      <c r="H454" s="72"/>
      <c r="I454" s="72"/>
      <c r="J454" s="72"/>
      <c r="K454" s="75"/>
      <c r="L454" s="75"/>
      <c r="M454" s="142"/>
      <c r="N454" s="142"/>
      <c r="O454" s="142"/>
      <c r="P454"/>
      <c r="Q454"/>
      <c r="R454" s="73"/>
      <c r="S454" s="86"/>
      <c r="T454" s="86"/>
      <c r="U454" s="86"/>
      <c r="V454" s="86"/>
      <c r="W454" s="87"/>
      <c r="X454" s="75"/>
      <c r="Y454" s="75"/>
      <c r="Z454" s="75"/>
      <c r="AA454" s="75"/>
    </row>
    <row r="455" spans="1:27" s="53" customFormat="1" ht="12.75" customHeight="1" x14ac:dyDescent="0.4">
      <c r="A455" s="73"/>
      <c r="B455" s="72" t="s">
        <v>139</v>
      </c>
      <c r="C455" s="72"/>
      <c r="D455" s="72"/>
      <c r="E455" s="72"/>
      <c r="F455" s="86"/>
      <c r="G455" s="72" t="s">
        <v>146</v>
      </c>
      <c r="H455" s="72"/>
      <c r="I455" s="72"/>
      <c r="J455" s="72"/>
      <c r="K455" s="75"/>
      <c r="L455" s="75"/>
      <c r="M455" s="142"/>
      <c r="N455" s="142"/>
      <c r="O455" s="142"/>
      <c r="P455"/>
      <c r="Q455"/>
      <c r="R455" s="73"/>
      <c r="S455" s="86"/>
      <c r="T455" s="86"/>
      <c r="U455" s="86"/>
      <c r="V455" s="86"/>
      <c r="W455" s="87"/>
      <c r="X455" s="75"/>
      <c r="Y455" s="75"/>
      <c r="Z455" s="75"/>
      <c r="AA455" s="75"/>
    </row>
    <row r="456" spans="1:27" s="53" customFormat="1" ht="12.75" customHeight="1" thickBot="1" x14ac:dyDescent="0.45">
      <c r="A456" s="73" t="s">
        <v>136</v>
      </c>
      <c r="B456" s="74" t="s">
        <v>112</v>
      </c>
      <c r="C456" s="74" t="s">
        <v>113</v>
      </c>
      <c r="D456" s="74" t="s">
        <v>114</v>
      </c>
      <c r="E456" s="74" t="s">
        <v>115</v>
      </c>
      <c r="F456" s="86"/>
      <c r="G456" s="74" t="s">
        <v>112</v>
      </c>
      <c r="H456" s="74" t="s">
        <v>113</v>
      </c>
      <c r="I456" s="74" t="s">
        <v>114</v>
      </c>
      <c r="J456" s="74" t="s">
        <v>115</v>
      </c>
      <c r="K456" s="75"/>
      <c r="L456" s="75"/>
      <c r="M456" s="142" t="s">
        <v>446</v>
      </c>
      <c r="N456" s="142"/>
      <c r="O456" s="142"/>
      <c r="P456"/>
      <c r="Q456"/>
      <c r="R456" s="73"/>
      <c r="S456" s="86"/>
      <c r="T456" s="86"/>
      <c r="U456" s="86"/>
      <c r="V456" s="86"/>
      <c r="W456" s="87"/>
      <c r="X456" s="75"/>
      <c r="Y456" s="75"/>
      <c r="Z456" s="75"/>
      <c r="AA456" s="75"/>
    </row>
    <row r="457" spans="1:27" ht="12.75" customHeight="1" x14ac:dyDescent="0.4">
      <c r="A457" s="73" t="s">
        <v>127</v>
      </c>
      <c r="B457" s="237">
        <v>27</v>
      </c>
      <c r="C457" s="238">
        <v>21</v>
      </c>
      <c r="D457" s="239">
        <v>4</v>
      </c>
      <c r="E457" s="237">
        <v>2</v>
      </c>
      <c r="F457" s="86"/>
      <c r="G457" s="75">
        <v>1</v>
      </c>
      <c r="H457" s="75">
        <v>0.77777777777777779</v>
      </c>
      <c r="I457" s="75">
        <v>0.14814814814814814</v>
      </c>
      <c r="J457" s="75">
        <v>7.407407407407407E-2</v>
      </c>
      <c r="K457" s="75"/>
      <c r="L457" s="75"/>
      <c r="M457" s="142" t="s">
        <v>451</v>
      </c>
      <c r="N457" s="166"/>
      <c r="O457" s="167"/>
      <c r="R457" s="73"/>
      <c r="S457" s="86"/>
      <c r="T457" s="86"/>
      <c r="U457" s="86"/>
      <c r="V457" s="86"/>
      <c r="W457" s="87"/>
      <c r="X457" s="75"/>
      <c r="Y457" s="75"/>
      <c r="Z457" s="75"/>
      <c r="AA457" s="75"/>
    </row>
    <row r="458" spans="1:27" ht="12.75" customHeight="1" x14ac:dyDescent="0.4">
      <c r="A458" s="73" t="s">
        <v>128</v>
      </c>
      <c r="B458" s="240">
        <v>28</v>
      </c>
      <c r="C458" s="241">
        <v>24</v>
      </c>
      <c r="D458" s="242">
        <v>3</v>
      </c>
      <c r="E458" s="240">
        <v>1</v>
      </c>
      <c r="F458" s="86"/>
      <c r="G458" s="75">
        <v>1</v>
      </c>
      <c r="H458" s="75">
        <v>0.8571428571428571</v>
      </c>
      <c r="I458" s="75">
        <v>0.10714285714285714</v>
      </c>
      <c r="J458" s="75">
        <v>3.5714285714285712E-2</v>
      </c>
      <c r="K458" s="75"/>
      <c r="L458" s="72"/>
      <c r="M458" s="142" t="s">
        <v>445</v>
      </c>
      <c r="N458" s="142"/>
      <c r="O458" s="142"/>
      <c r="R458" s="73"/>
      <c r="S458" s="86"/>
      <c r="T458" s="86"/>
      <c r="U458" s="86"/>
      <c r="V458" s="86"/>
      <c r="W458" s="87"/>
      <c r="X458" s="75"/>
      <c r="Y458" s="75"/>
      <c r="Z458" s="75"/>
      <c r="AA458" s="75"/>
    </row>
    <row r="459" spans="1:27" ht="12.75" customHeight="1" x14ac:dyDescent="0.4">
      <c r="A459" s="73" t="s">
        <v>129</v>
      </c>
      <c r="B459" s="240">
        <v>69</v>
      </c>
      <c r="C459" s="241">
        <v>45</v>
      </c>
      <c r="D459" s="242">
        <v>21</v>
      </c>
      <c r="E459" s="240">
        <v>3</v>
      </c>
      <c r="F459" s="86"/>
      <c r="G459" s="75">
        <v>0.971830985915493</v>
      </c>
      <c r="H459" s="75">
        <v>0.65217391304347827</v>
      </c>
      <c r="I459" s="75">
        <v>0.30434782608695654</v>
      </c>
      <c r="J459" s="75">
        <v>4.3478260869565216E-2</v>
      </c>
      <c r="K459" s="72"/>
      <c r="L459" s="72"/>
      <c r="M459" s="142" t="s">
        <v>201</v>
      </c>
      <c r="N459" s="156">
        <v>500</v>
      </c>
      <c r="O459" s="168" t="s">
        <v>202</v>
      </c>
      <c r="R459" s="73"/>
      <c r="S459" s="87"/>
      <c r="T459" s="86"/>
      <c r="U459" s="86"/>
      <c r="V459" s="87"/>
      <c r="W459" s="72"/>
      <c r="X459" s="75"/>
      <c r="Y459" s="75"/>
      <c r="Z459" s="75"/>
      <c r="AA459" s="75"/>
    </row>
    <row r="460" spans="1:27" ht="12.75" customHeight="1" x14ac:dyDescent="0.4">
      <c r="A460" s="73" t="s">
        <v>130</v>
      </c>
      <c r="B460" s="240">
        <v>63</v>
      </c>
      <c r="C460" s="241">
        <v>29</v>
      </c>
      <c r="D460" s="242">
        <v>33</v>
      </c>
      <c r="E460" s="240">
        <v>1</v>
      </c>
      <c r="F460" s="86"/>
      <c r="G460" s="75">
        <v>0.984375</v>
      </c>
      <c r="H460" s="75">
        <v>0.46031746031746029</v>
      </c>
      <c r="I460" s="75">
        <v>0.52380952380952384</v>
      </c>
      <c r="J460" s="75">
        <v>1.5873015873015872E-2</v>
      </c>
      <c r="K460" s="72"/>
      <c r="L460" s="72"/>
      <c r="M460" s="142" t="s">
        <v>452</v>
      </c>
      <c r="N460" s="166">
        <v>323</v>
      </c>
      <c r="O460" s="167">
        <v>0.64600000000000002</v>
      </c>
      <c r="P460" s="72"/>
      <c r="Q460" s="72"/>
      <c r="R460" s="72"/>
    </row>
    <row r="461" spans="1:27" ht="12.75" customHeight="1" x14ac:dyDescent="0.4">
      <c r="A461" s="73" t="s">
        <v>131</v>
      </c>
      <c r="B461" s="240">
        <v>33</v>
      </c>
      <c r="C461" s="241">
        <v>25</v>
      </c>
      <c r="D461" s="242">
        <v>8</v>
      </c>
      <c r="E461" s="240">
        <v>0</v>
      </c>
      <c r="F461" s="86"/>
      <c r="G461" s="75">
        <v>1</v>
      </c>
      <c r="H461" s="75">
        <v>0.75757575757575757</v>
      </c>
      <c r="I461" s="75">
        <v>0.24242424242424243</v>
      </c>
      <c r="J461" s="75">
        <v>0</v>
      </c>
      <c r="K461" s="72"/>
      <c r="L461" s="74"/>
      <c r="M461" s="142" t="s">
        <v>226</v>
      </c>
      <c r="N461" s="166">
        <v>98</v>
      </c>
      <c r="O461" s="167">
        <v>0.19600000000000001</v>
      </c>
      <c r="P461" s="72"/>
      <c r="Q461" s="72"/>
      <c r="R461" s="72"/>
    </row>
    <row r="462" spans="1:27" ht="12.75" customHeight="1" x14ac:dyDescent="0.4">
      <c r="A462" s="73" t="s">
        <v>132</v>
      </c>
      <c r="B462" s="240">
        <v>60</v>
      </c>
      <c r="C462" s="241">
        <v>48</v>
      </c>
      <c r="D462" s="242">
        <v>9</v>
      </c>
      <c r="E462" s="240">
        <v>3</v>
      </c>
      <c r="F462" s="86"/>
      <c r="G462" s="75">
        <v>1</v>
      </c>
      <c r="H462" s="75">
        <v>0.8</v>
      </c>
      <c r="I462" s="75">
        <v>0.15</v>
      </c>
      <c r="J462" s="75">
        <v>0.05</v>
      </c>
      <c r="K462" s="72"/>
      <c r="L462" s="75"/>
      <c r="M462" s="142" t="s">
        <v>453</v>
      </c>
      <c r="N462" s="166">
        <v>164</v>
      </c>
      <c r="O462" s="167">
        <v>0.32800000000000001</v>
      </c>
      <c r="P462" s="72"/>
      <c r="Q462" s="72"/>
      <c r="R462" s="72"/>
    </row>
    <row r="463" spans="1:27" ht="12.75" customHeight="1" x14ac:dyDescent="0.4">
      <c r="A463" s="73" t="s">
        <v>133</v>
      </c>
      <c r="B463" s="240">
        <v>65</v>
      </c>
      <c r="C463" s="241">
        <v>37</v>
      </c>
      <c r="D463" s="242">
        <v>28</v>
      </c>
      <c r="E463" s="240">
        <v>0</v>
      </c>
      <c r="F463" s="87"/>
      <c r="G463" s="75">
        <v>0.98484848484848486</v>
      </c>
      <c r="H463" s="75">
        <v>0.56923076923076921</v>
      </c>
      <c r="I463" s="75">
        <v>0.43076923076923079</v>
      </c>
      <c r="J463" s="75">
        <v>0</v>
      </c>
      <c r="K463" s="74"/>
      <c r="L463" s="75"/>
      <c r="M463" s="142" t="s">
        <v>227</v>
      </c>
      <c r="N463" s="166">
        <v>40</v>
      </c>
      <c r="O463" s="167">
        <v>0.08</v>
      </c>
      <c r="P463" s="72"/>
    </row>
    <row r="464" spans="1:27" ht="12.75" customHeight="1" x14ac:dyDescent="0.4">
      <c r="A464" s="73" t="s">
        <v>134</v>
      </c>
      <c r="B464" s="240">
        <v>71</v>
      </c>
      <c r="C464" s="241">
        <v>54</v>
      </c>
      <c r="D464" s="242">
        <v>10</v>
      </c>
      <c r="E464" s="240">
        <v>7</v>
      </c>
      <c r="F464" s="87"/>
      <c r="G464" s="75">
        <v>1</v>
      </c>
      <c r="H464" s="75">
        <v>0.76056338028169013</v>
      </c>
      <c r="I464" s="75">
        <v>0.14084507042253522</v>
      </c>
      <c r="J464" s="75">
        <v>9.8591549295774641E-2</v>
      </c>
      <c r="K464" s="75"/>
      <c r="L464" s="75"/>
      <c r="M464" s="142"/>
      <c r="N464" s="166"/>
      <c r="O464" s="167"/>
    </row>
    <row r="465" spans="1:19" ht="12.75" customHeight="1" x14ac:dyDescent="0.4">
      <c r="A465" s="73" t="s">
        <v>376</v>
      </c>
      <c r="B465" s="240">
        <v>25</v>
      </c>
      <c r="C465" s="241">
        <v>14</v>
      </c>
      <c r="D465" s="242">
        <v>10</v>
      </c>
      <c r="E465" s="240">
        <v>1</v>
      </c>
      <c r="F465" s="87"/>
      <c r="G465" s="75">
        <v>0.96153846153846156</v>
      </c>
      <c r="H465" s="75">
        <v>0.56000000000000005</v>
      </c>
      <c r="I465" s="75">
        <v>0.4</v>
      </c>
      <c r="J465" s="75">
        <v>0.04</v>
      </c>
      <c r="K465" s="75"/>
      <c r="L465" s="75"/>
      <c r="M465" s="142" t="s">
        <v>449</v>
      </c>
      <c r="N465" s="253" t="s">
        <v>438</v>
      </c>
      <c r="O465" s="168" t="s">
        <v>202</v>
      </c>
    </row>
    <row r="466" spans="1:19" ht="12.75" customHeight="1" x14ac:dyDescent="0.4">
      <c r="A466" s="73" t="s">
        <v>135</v>
      </c>
      <c r="B466" s="240">
        <v>28</v>
      </c>
      <c r="C466" s="241">
        <v>15</v>
      </c>
      <c r="D466" s="242">
        <v>12</v>
      </c>
      <c r="E466" s="240">
        <v>1</v>
      </c>
      <c r="F466" s="87"/>
      <c r="G466" s="75">
        <v>1</v>
      </c>
      <c r="H466" s="75">
        <v>0.5357142857142857</v>
      </c>
      <c r="I466" s="75">
        <v>0.42857142857142855</v>
      </c>
      <c r="J466" s="75">
        <v>3.5714285714285712E-2</v>
      </c>
      <c r="K466" s="75"/>
      <c r="L466" s="75"/>
      <c r="M466" s="142" t="s">
        <v>454</v>
      </c>
      <c r="N466" s="254">
        <v>71</v>
      </c>
      <c r="O466" s="167">
        <v>0.14199999999999999</v>
      </c>
    </row>
    <row r="467" spans="1:19" ht="12.75" customHeight="1" thickBot="1" x14ac:dyDescent="0.45">
      <c r="A467" s="73" t="s">
        <v>303</v>
      </c>
      <c r="B467" s="243">
        <v>31</v>
      </c>
      <c r="C467" s="244">
        <v>17</v>
      </c>
      <c r="D467" s="245">
        <v>12</v>
      </c>
      <c r="E467" s="243">
        <v>2</v>
      </c>
      <c r="F467" s="87"/>
      <c r="G467" s="75">
        <v>1</v>
      </c>
      <c r="H467" s="75">
        <v>0.54838709677419351</v>
      </c>
      <c r="I467" s="75">
        <v>0.38709677419354838</v>
      </c>
      <c r="J467" s="75">
        <v>6.4516129032258063E-2</v>
      </c>
      <c r="K467" s="75"/>
      <c r="L467" s="75"/>
      <c r="M467" s="142"/>
      <c r="N467" s="166"/>
      <c r="O467" s="167"/>
    </row>
    <row r="468" spans="1:19" ht="12.75" customHeight="1" x14ac:dyDescent="0.4">
      <c r="A468" s="73" t="s">
        <v>23</v>
      </c>
      <c r="B468" s="246">
        <v>500</v>
      </c>
      <c r="C468" s="247">
        <v>329</v>
      </c>
      <c r="D468" s="248">
        <v>150</v>
      </c>
      <c r="E468" s="249">
        <v>21</v>
      </c>
      <c r="F468" s="72"/>
      <c r="G468" s="75">
        <v>0.99009900990099009</v>
      </c>
      <c r="H468" s="75">
        <v>0.65800000000000003</v>
      </c>
      <c r="I468" s="75">
        <v>0.3</v>
      </c>
      <c r="J468" s="75">
        <v>4.2000000000000003E-2</v>
      </c>
      <c r="K468" s="75"/>
      <c r="L468" s="75"/>
      <c r="M468" s="142"/>
      <c r="N468" s="166"/>
      <c r="O468" s="167"/>
    </row>
    <row r="469" spans="1:19" s="53" customFormat="1" ht="12.75" customHeight="1" x14ac:dyDescent="0.4">
      <c r="A469" s="73"/>
      <c r="B469" s="87"/>
      <c r="C469" s="86"/>
      <c r="D469" s="86"/>
      <c r="E469" s="87"/>
      <c r="F469" s="72"/>
      <c r="G469" s="75"/>
      <c r="H469" s="75"/>
      <c r="I469" s="75"/>
      <c r="J469" s="75"/>
      <c r="K469" s="75"/>
      <c r="L469" s="75"/>
      <c r="M469" s="142"/>
      <c r="N469" s="75"/>
      <c r="O469" s="75"/>
      <c r="P469" s="72"/>
      <c r="Q469"/>
      <c r="R469"/>
      <c r="S469"/>
    </row>
    <row r="470" spans="1:19" s="53" customFormat="1" ht="12.75" customHeight="1" x14ac:dyDescent="0.4">
      <c r="A470" s="73"/>
      <c r="B470" s="87"/>
      <c r="C470" s="86"/>
      <c r="D470" s="86"/>
      <c r="E470" s="87"/>
      <c r="F470" s="72"/>
      <c r="G470" s="75"/>
      <c r="H470" s="75"/>
      <c r="I470" s="75"/>
      <c r="J470" s="75"/>
      <c r="K470" s="75"/>
      <c r="L470" s="75"/>
      <c r="M470" s="142"/>
      <c r="N470" s="75"/>
      <c r="O470" s="75"/>
      <c r="P470"/>
      <c r="Q470"/>
      <c r="R470"/>
      <c r="S470"/>
    </row>
    <row r="471" spans="1:19" s="53" customFormat="1" ht="12.75" customHeight="1" x14ac:dyDescent="0.4">
      <c r="A471" s="73" t="s">
        <v>441</v>
      </c>
      <c r="B471" s="72"/>
      <c r="C471" s="72"/>
      <c r="D471" s="72"/>
      <c r="E471" s="72"/>
      <c r="F471" s="72"/>
      <c r="G471" s="72"/>
      <c r="H471" s="72"/>
      <c r="I471" s="72"/>
      <c r="J471" s="72"/>
      <c r="K471" s="75"/>
      <c r="L471" s="75"/>
      <c r="M471" s="73"/>
      <c r="N471" s="165"/>
      <c r="O471" s="75"/>
      <c r="P471"/>
      <c r="Q471"/>
      <c r="R471"/>
      <c r="S471"/>
    </row>
    <row r="472" spans="1:19" s="53" customFormat="1" ht="12.75" customHeight="1" x14ac:dyDescent="0.4">
      <c r="A472" s="73" t="s">
        <v>414</v>
      </c>
      <c r="B472" s="72"/>
      <c r="C472" s="72"/>
      <c r="D472" s="72"/>
      <c r="E472" s="72"/>
      <c r="F472" s="72"/>
      <c r="G472" s="72"/>
      <c r="H472" s="72"/>
      <c r="I472" s="72"/>
      <c r="J472" s="72"/>
      <c r="K472" s="75"/>
      <c r="L472" s="75"/>
      <c r="M472" s="142"/>
      <c r="N472" s="142"/>
      <c r="O472" s="142"/>
      <c r="P472"/>
      <c r="Q472"/>
      <c r="R472"/>
      <c r="S472"/>
    </row>
    <row r="473" spans="1:19" ht="12.75" customHeight="1" x14ac:dyDescent="0.4">
      <c r="A473" s="73" t="s">
        <v>466</v>
      </c>
      <c r="B473" s="72"/>
      <c r="C473" s="72"/>
      <c r="D473" s="72"/>
      <c r="E473" s="72"/>
      <c r="F473" s="72"/>
      <c r="G473" s="72"/>
      <c r="H473" s="72"/>
      <c r="I473" s="72"/>
      <c r="J473" s="72"/>
      <c r="K473" s="75"/>
      <c r="L473" s="75"/>
      <c r="M473" s="142"/>
      <c r="N473" s="142"/>
      <c r="O473" s="142"/>
    </row>
    <row r="474" spans="1:19" ht="12.75" customHeight="1" x14ac:dyDescent="0.4">
      <c r="A474" s="73"/>
      <c r="B474" s="72" t="s">
        <v>139</v>
      </c>
      <c r="C474" s="72"/>
      <c r="D474" s="72"/>
      <c r="E474" s="72"/>
      <c r="F474" s="86"/>
      <c r="G474" s="72" t="s">
        <v>146</v>
      </c>
      <c r="H474" s="72"/>
      <c r="I474" s="72"/>
      <c r="J474" s="72"/>
      <c r="K474" s="75"/>
      <c r="L474" s="75"/>
      <c r="M474" s="142"/>
      <c r="N474" s="142"/>
      <c r="O474" s="142"/>
      <c r="S474" s="53"/>
    </row>
    <row r="475" spans="1:19" ht="12.75" customHeight="1" thickBot="1" x14ac:dyDescent="0.45">
      <c r="A475" s="73" t="s">
        <v>136</v>
      </c>
      <c r="B475" s="74" t="s">
        <v>112</v>
      </c>
      <c r="C475" s="74" t="s">
        <v>113</v>
      </c>
      <c r="D475" s="74" t="s">
        <v>114</v>
      </c>
      <c r="E475" s="74" t="s">
        <v>115</v>
      </c>
      <c r="F475" s="86"/>
      <c r="G475" s="74" t="s">
        <v>112</v>
      </c>
      <c r="H475" s="74" t="s">
        <v>113</v>
      </c>
      <c r="I475" s="74" t="s">
        <v>114</v>
      </c>
      <c r="J475" s="74" t="s">
        <v>115</v>
      </c>
      <c r="K475" s="75"/>
      <c r="L475" s="75"/>
      <c r="M475" s="142" t="s">
        <v>441</v>
      </c>
      <c r="N475" s="142"/>
      <c r="O475" s="142"/>
      <c r="S475" s="53"/>
    </row>
    <row r="476" spans="1:19" ht="13.15" x14ac:dyDescent="0.4">
      <c r="A476" s="73" t="s">
        <v>127</v>
      </c>
      <c r="B476" s="237">
        <v>28</v>
      </c>
      <c r="C476" s="238">
        <v>13</v>
      </c>
      <c r="D476" s="239">
        <v>13</v>
      </c>
      <c r="E476" s="237">
        <v>2</v>
      </c>
      <c r="F476" s="86"/>
      <c r="G476" s="75">
        <f>B476/28</f>
        <v>1</v>
      </c>
      <c r="H476" s="75">
        <f>C476/B476</f>
        <v>0.4642857142857143</v>
      </c>
      <c r="I476" s="75">
        <f>D476/B476</f>
        <v>0.4642857142857143</v>
      </c>
      <c r="J476" s="75">
        <f>E476/B476</f>
        <v>7.1428571428571425E-2</v>
      </c>
      <c r="K476" s="75"/>
      <c r="L476" s="75"/>
      <c r="M476" s="142" t="s">
        <v>467</v>
      </c>
      <c r="N476" s="166"/>
      <c r="O476" s="167"/>
      <c r="S476" s="53"/>
    </row>
    <row r="477" spans="1:19" ht="12.75" customHeight="1" x14ac:dyDescent="0.4">
      <c r="A477" s="73" t="s">
        <v>128</v>
      </c>
      <c r="B477" s="240">
        <v>28</v>
      </c>
      <c r="C477" s="241">
        <v>16</v>
      </c>
      <c r="D477" s="242">
        <v>11</v>
      </c>
      <c r="E477" s="240">
        <v>1</v>
      </c>
      <c r="F477" s="86"/>
      <c r="G477" s="75">
        <f>B477/28</f>
        <v>1</v>
      </c>
      <c r="H477" s="75">
        <f t="shared" ref="H477:H486" si="8">C477/B477</f>
        <v>0.5714285714285714</v>
      </c>
      <c r="I477" s="75">
        <f t="shared" ref="I477:I487" si="9">D477/B477</f>
        <v>0.39285714285714285</v>
      </c>
      <c r="J477" s="75">
        <f t="shared" ref="J477:J487" si="10">E477/B477</f>
        <v>3.5714285714285712E-2</v>
      </c>
      <c r="K477" s="75"/>
      <c r="L477" s="72"/>
      <c r="M477" s="142" t="s">
        <v>445</v>
      </c>
      <c r="N477" s="142"/>
      <c r="O477" s="142"/>
      <c r="Q477" s="72"/>
      <c r="R477" s="72"/>
    </row>
    <row r="478" spans="1:19" ht="12.75" customHeight="1" x14ac:dyDescent="0.4">
      <c r="A478" s="73" t="s">
        <v>129</v>
      </c>
      <c r="B478" s="240">
        <v>70</v>
      </c>
      <c r="C478" s="241">
        <v>42</v>
      </c>
      <c r="D478" s="242">
        <v>18</v>
      </c>
      <c r="E478" s="240">
        <v>10</v>
      </c>
      <c r="F478" s="86"/>
      <c r="G478" s="75">
        <f>B478/70</f>
        <v>1</v>
      </c>
      <c r="H478" s="75">
        <f t="shared" si="8"/>
        <v>0.6</v>
      </c>
      <c r="I478" s="75">
        <f t="shared" si="9"/>
        <v>0.25714285714285712</v>
      </c>
      <c r="J478" s="75">
        <f t="shared" si="10"/>
        <v>0.14285714285714285</v>
      </c>
      <c r="K478" s="72"/>
      <c r="L478" s="74"/>
      <c r="M478" s="142" t="s">
        <v>201</v>
      </c>
      <c r="N478" s="156">
        <v>498</v>
      </c>
      <c r="O478" s="168" t="s">
        <v>202</v>
      </c>
      <c r="Q478" s="72"/>
      <c r="R478" s="72"/>
    </row>
    <row r="479" spans="1:19" ht="12.75" customHeight="1" x14ac:dyDescent="0.4">
      <c r="A479" s="73" t="s">
        <v>130</v>
      </c>
      <c r="B479" s="240">
        <v>62</v>
      </c>
      <c r="C479" s="241">
        <v>47</v>
      </c>
      <c r="D479" s="242">
        <v>10</v>
      </c>
      <c r="E479" s="240">
        <v>5</v>
      </c>
      <c r="F479" s="86"/>
      <c r="G479" s="75">
        <f>B479/64</f>
        <v>0.96875</v>
      </c>
      <c r="H479" s="75">
        <f t="shared" si="8"/>
        <v>0.75806451612903225</v>
      </c>
      <c r="I479" s="75">
        <f t="shared" si="9"/>
        <v>0.16129032258064516</v>
      </c>
      <c r="J479" s="75">
        <f t="shared" si="10"/>
        <v>8.0645161290322578E-2</v>
      </c>
      <c r="K479" s="72"/>
      <c r="L479" s="75"/>
      <c r="M479" s="142" t="s">
        <v>468</v>
      </c>
      <c r="N479" s="166">
        <v>316</v>
      </c>
      <c r="O479" s="167">
        <f>N479/N478</f>
        <v>0.63453815261044177</v>
      </c>
      <c r="Q479" s="72"/>
      <c r="R479" s="72"/>
    </row>
    <row r="480" spans="1:19" ht="12.75" customHeight="1" x14ac:dyDescent="0.4">
      <c r="A480" s="73" t="s">
        <v>131</v>
      </c>
      <c r="B480" s="240">
        <v>33</v>
      </c>
      <c r="C480" s="241">
        <v>21</v>
      </c>
      <c r="D480" s="242">
        <v>5</v>
      </c>
      <c r="E480" s="240">
        <v>7</v>
      </c>
      <c r="F480" s="86"/>
      <c r="G480" s="75">
        <f>B480/33</f>
        <v>1</v>
      </c>
      <c r="H480" s="75">
        <f t="shared" si="8"/>
        <v>0.63636363636363635</v>
      </c>
      <c r="I480" s="75">
        <f t="shared" si="9"/>
        <v>0.15151515151515152</v>
      </c>
      <c r="J480" s="75">
        <f t="shared" si="10"/>
        <v>0.21212121212121213</v>
      </c>
      <c r="K480" s="74"/>
      <c r="L480" s="75"/>
      <c r="M480" s="142" t="s">
        <v>226</v>
      </c>
      <c r="N480" s="166">
        <v>103</v>
      </c>
      <c r="O480" s="167">
        <f>N480/N478</f>
        <v>0.20682730923694778</v>
      </c>
      <c r="P480" s="72"/>
    </row>
    <row r="481" spans="1:19" ht="12.75" customHeight="1" x14ac:dyDescent="0.4">
      <c r="A481" s="73" t="s">
        <v>132</v>
      </c>
      <c r="B481" s="240">
        <v>60</v>
      </c>
      <c r="C481" s="241">
        <v>47</v>
      </c>
      <c r="D481" s="242">
        <v>7</v>
      </c>
      <c r="E481" s="240">
        <v>6</v>
      </c>
      <c r="F481" s="86"/>
      <c r="G481" s="75">
        <f>B481/61</f>
        <v>0.98360655737704916</v>
      </c>
      <c r="H481" s="75">
        <f t="shared" si="8"/>
        <v>0.78333333333333333</v>
      </c>
      <c r="I481" s="75">
        <f t="shared" si="9"/>
        <v>0.11666666666666667</v>
      </c>
      <c r="J481" s="75">
        <f t="shared" si="10"/>
        <v>0.1</v>
      </c>
      <c r="K481" s="75"/>
      <c r="L481" s="75"/>
      <c r="M481" s="142" t="s">
        <v>469</v>
      </c>
      <c r="N481" s="166">
        <v>165</v>
      </c>
      <c r="O481" s="167">
        <f>N481/N478</f>
        <v>0.33132530120481929</v>
      </c>
      <c r="P481" s="72"/>
    </row>
    <row r="482" spans="1:19" ht="12.75" customHeight="1" x14ac:dyDescent="0.4">
      <c r="A482" s="73" t="s">
        <v>133</v>
      </c>
      <c r="B482" s="240">
        <v>66</v>
      </c>
      <c r="C482" s="241">
        <v>47</v>
      </c>
      <c r="D482" s="242">
        <v>15</v>
      </c>
      <c r="E482" s="240">
        <v>4</v>
      </c>
      <c r="F482" s="87"/>
      <c r="G482" s="75">
        <f>B482/66</f>
        <v>1</v>
      </c>
      <c r="H482" s="75">
        <f t="shared" si="8"/>
        <v>0.71212121212121215</v>
      </c>
      <c r="I482" s="75">
        <f t="shared" si="9"/>
        <v>0.22727272727272727</v>
      </c>
      <c r="J482" s="75">
        <f t="shared" si="10"/>
        <v>6.0606060606060608E-2</v>
      </c>
      <c r="K482" s="75"/>
      <c r="L482" s="75"/>
      <c r="M482" s="142" t="s">
        <v>227</v>
      </c>
      <c r="N482" s="166">
        <v>38</v>
      </c>
      <c r="O482" s="167">
        <f>N482/N478</f>
        <v>7.6305220883534142E-2</v>
      </c>
      <c r="P482" s="72"/>
    </row>
    <row r="483" spans="1:19" ht="12.75" customHeight="1" x14ac:dyDescent="0.4">
      <c r="A483" s="73" t="s">
        <v>134</v>
      </c>
      <c r="B483" s="240">
        <v>70</v>
      </c>
      <c r="C483" s="241">
        <v>58</v>
      </c>
      <c r="D483" s="242">
        <v>11</v>
      </c>
      <c r="E483" s="240">
        <v>1</v>
      </c>
      <c r="F483" s="87"/>
      <c r="G483" s="75">
        <f>B483/70</f>
        <v>1</v>
      </c>
      <c r="H483" s="75">
        <f t="shared" si="8"/>
        <v>0.82857142857142863</v>
      </c>
      <c r="I483" s="75">
        <f t="shared" si="9"/>
        <v>0.15714285714285714</v>
      </c>
      <c r="J483" s="75">
        <f t="shared" si="10"/>
        <v>1.4285714285714285E-2</v>
      </c>
      <c r="K483" s="75"/>
      <c r="L483" s="75"/>
      <c r="M483" s="142"/>
      <c r="N483" s="166"/>
      <c r="O483" s="167"/>
    </row>
    <row r="484" spans="1:19" ht="12.75" customHeight="1" x14ac:dyDescent="0.4">
      <c r="A484" s="73" t="s">
        <v>376</v>
      </c>
      <c r="B484" s="240">
        <v>25</v>
      </c>
      <c r="C484" s="241">
        <v>18</v>
      </c>
      <c r="D484" s="242">
        <v>6</v>
      </c>
      <c r="E484" s="240">
        <v>1</v>
      </c>
      <c r="F484" s="87"/>
      <c r="G484" s="75">
        <f>B484/26</f>
        <v>0.96153846153846156</v>
      </c>
      <c r="H484" s="75">
        <f t="shared" si="8"/>
        <v>0.72</v>
      </c>
      <c r="I484" s="75">
        <f t="shared" si="9"/>
        <v>0.24</v>
      </c>
      <c r="J484" s="75">
        <f t="shared" si="10"/>
        <v>0.04</v>
      </c>
      <c r="K484" s="75"/>
      <c r="L484" s="75"/>
      <c r="M484" s="142" t="s">
        <v>470</v>
      </c>
      <c r="N484" s="253" t="s">
        <v>438</v>
      </c>
      <c r="O484" s="168" t="s">
        <v>202</v>
      </c>
    </row>
    <row r="485" spans="1:19" ht="12.75" customHeight="1" x14ac:dyDescent="0.4">
      <c r="A485" s="73" t="s">
        <v>135</v>
      </c>
      <c r="B485" s="240">
        <v>28</v>
      </c>
      <c r="C485" s="241">
        <v>21</v>
      </c>
      <c r="D485" s="242">
        <v>6</v>
      </c>
      <c r="E485" s="240">
        <v>1</v>
      </c>
      <c r="F485" s="87"/>
      <c r="G485" s="75">
        <f>B485/28</f>
        <v>1</v>
      </c>
      <c r="H485" s="75">
        <f t="shared" si="8"/>
        <v>0.75</v>
      </c>
      <c r="I485" s="75">
        <f t="shared" si="9"/>
        <v>0.21428571428571427</v>
      </c>
      <c r="J485" s="75">
        <f t="shared" si="10"/>
        <v>3.5714285714285712E-2</v>
      </c>
      <c r="K485" s="75"/>
      <c r="L485" s="75"/>
      <c r="M485" s="142" t="s">
        <v>471</v>
      </c>
      <c r="N485" s="254">
        <v>68</v>
      </c>
      <c r="O485" s="167">
        <f>N485/N478</f>
        <v>0.13654618473895583</v>
      </c>
    </row>
    <row r="486" spans="1:19" s="53" customFormat="1" ht="12.75" customHeight="1" thickBot="1" x14ac:dyDescent="0.45">
      <c r="A486" s="73" t="s">
        <v>303</v>
      </c>
      <c r="B486" s="243">
        <v>31</v>
      </c>
      <c r="C486" s="244">
        <v>18</v>
      </c>
      <c r="D486" s="245">
        <v>11</v>
      </c>
      <c r="E486" s="243">
        <v>2</v>
      </c>
      <c r="F486" s="87"/>
      <c r="G486" s="75">
        <f>B486/31</f>
        <v>1</v>
      </c>
      <c r="H486" s="75">
        <f t="shared" si="8"/>
        <v>0.58064516129032262</v>
      </c>
      <c r="I486" s="75">
        <f t="shared" si="9"/>
        <v>0.35483870967741937</v>
      </c>
      <c r="J486" s="75">
        <f t="shared" si="10"/>
        <v>6.4516129032258063E-2</v>
      </c>
      <c r="K486" s="75"/>
      <c r="L486" s="75"/>
      <c r="M486" s="142"/>
      <c r="N486" s="166"/>
      <c r="O486" s="167"/>
      <c r="P486"/>
      <c r="Q486"/>
      <c r="R486"/>
      <c r="S486"/>
    </row>
    <row r="487" spans="1:19" s="53" customFormat="1" ht="12.75" customHeight="1" x14ac:dyDescent="0.4">
      <c r="A487" s="73" t="s">
        <v>23</v>
      </c>
      <c r="B487" s="246">
        <v>501</v>
      </c>
      <c r="C487" s="247">
        <v>348</v>
      </c>
      <c r="D487" s="248">
        <v>113</v>
      </c>
      <c r="E487" s="249">
        <v>40</v>
      </c>
      <c r="F487" s="72"/>
      <c r="G487" s="75">
        <f>B487/505</f>
        <v>0.99207920792079207</v>
      </c>
      <c r="H487" s="75">
        <f>C487/B487</f>
        <v>0.69461077844311381</v>
      </c>
      <c r="I487" s="75">
        <f t="shared" si="9"/>
        <v>0.22554890219560877</v>
      </c>
      <c r="J487" s="75">
        <f t="shared" si="10"/>
        <v>7.9840319361277445E-2</v>
      </c>
      <c r="K487" s="75"/>
      <c r="L487" s="75"/>
      <c r="M487" s="142"/>
      <c r="N487" s="166"/>
      <c r="O487" s="167"/>
      <c r="P487"/>
      <c r="Q487"/>
      <c r="R487"/>
      <c r="S487"/>
    </row>
    <row r="488" spans="1:19" s="53" customFormat="1" ht="12.75" customHeight="1" x14ac:dyDescent="0.4">
      <c r="A488" s="73"/>
      <c r="B488" s="87"/>
      <c r="C488" s="86"/>
      <c r="D488" s="86"/>
      <c r="E488" s="87"/>
      <c r="F488" s="72"/>
      <c r="G488" s="75"/>
      <c r="H488" s="75"/>
      <c r="I488" s="75"/>
      <c r="J488" s="75"/>
      <c r="K488" s="75"/>
      <c r="L488" s="75"/>
      <c r="M488" s="142"/>
      <c r="N488" s="75"/>
      <c r="O488" s="75"/>
      <c r="P488" s="72"/>
      <c r="Q488"/>
      <c r="R488"/>
      <c r="S488"/>
    </row>
    <row r="489" spans="1:19" s="53" customFormat="1" ht="12.75" customHeight="1" x14ac:dyDescent="0.4">
      <c r="A489" s="73"/>
      <c r="B489" s="87"/>
      <c r="C489" s="86"/>
      <c r="D489" s="86"/>
      <c r="E489" s="87"/>
      <c r="F489" s="72"/>
      <c r="G489" s="75"/>
      <c r="H489" s="75"/>
      <c r="I489" s="75"/>
      <c r="J489" s="75"/>
      <c r="K489" s="75"/>
      <c r="L489" s="75"/>
      <c r="M489" s="142"/>
      <c r="N489" s="75"/>
      <c r="O489" s="75"/>
      <c r="P489"/>
      <c r="Q489"/>
      <c r="R489"/>
      <c r="S489"/>
    </row>
    <row r="490" spans="1:19" ht="12.75" customHeight="1" x14ac:dyDescent="0.4">
      <c r="A490" s="73" t="s">
        <v>428</v>
      </c>
      <c r="B490" s="72"/>
      <c r="C490" s="72"/>
      <c r="D490" s="72"/>
      <c r="E490" s="72"/>
      <c r="F490" s="72"/>
      <c r="G490" s="72"/>
      <c r="H490" s="72"/>
      <c r="I490" s="72"/>
      <c r="J490" s="72"/>
      <c r="K490" s="75"/>
      <c r="L490" s="75"/>
      <c r="M490" s="73"/>
      <c r="N490" s="165"/>
      <c r="O490" s="75"/>
    </row>
    <row r="491" spans="1:19" ht="12.75" customHeight="1" x14ac:dyDescent="0.4">
      <c r="A491" s="73" t="s">
        <v>439</v>
      </c>
      <c r="B491" s="72"/>
      <c r="C491" s="72"/>
      <c r="D491" s="72"/>
      <c r="E491" s="72"/>
      <c r="F491" s="72"/>
      <c r="G491" s="72"/>
      <c r="H491" s="72"/>
      <c r="I491" s="72"/>
      <c r="J491" s="72"/>
      <c r="K491" s="75"/>
      <c r="L491" s="75"/>
      <c r="M491" s="6"/>
      <c r="N491" s="6"/>
      <c r="O491" s="113"/>
      <c r="S491" s="53"/>
    </row>
    <row r="492" spans="1:19" ht="12.75" customHeight="1" x14ac:dyDescent="0.4">
      <c r="A492" s="73" t="s">
        <v>440</v>
      </c>
      <c r="B492" s="72"/>
      <c r="C492" s="72"/>
      <c r="D492" s="72"/>
      <c r="E492" s="72"/>
      <c r="F492" s="72"/>
      <c r="G492" s="72"/>
      <c r="H492" s="72"/>
      <c r="I492" s="72"/>
      <c r="J492" s="72"/>
      <c r="K492" s="75"/>
      <c r="L492" s="75"/>
      <c r="M492" s="6"/>
      <c r="N492" s="6"/>
      <c r="O492" s="6"/>
      <c r="S492" s="53"/>
    </row>
    <row r="493" spans="1:19" ht="12.75" customHeight="1" x14ac:dyDescent="0.4">
      <c r="A493" s="73"/>
      <c r="B493" s="72" t="s">
        <v>139</v>
      </c>
      <c r="C493" s="72"/>
      <c r="D493" s="72"/>
      <c r="E493" s="72"/>
      <c r="F493" s="86"/>
      <c r="G493" s="72" t="s">
        <v>146</v>
      </c>
      <c r="H493" s="72"/>
      <c r="I493" s="72"/>
      <c r="J493" s="72"/>
      <c r="K493" s="75"/>
      <c r="L493" s="75"/>
      <c r="M493" s="6"/>
      <c r="N493" s="6"/>
      <c r="O493" s="6"/>
      <c r="S493" s="53"/>
    </row>
    <row r="494" spans="1:19" ht="12.75" customHeight="1" x14ac:dyDescent="0.4">
      <c r="A494" s="73" t="s">
        <v>136</v>
      </c>
      <c r="B494" s="74" t="s">
        <v>112</v>
      </c>
      <c r="C494" s="74" t="s">
        <v>113</v>
      </c>
      <c r="D494" s="74" t="s">
        <v>114</v>
      </c>
      <c r="E494" s="74" t="s">
        <v>115</v>
      </c>
      <c r="F494" s="86"/>
      <c r="G494" s="74" t="s">
        <v>112</v>
      </c>
      <c r="H494" s="74" t="s">
        <v>113</v>
      </c>
      <c r="I494" s="74" t="s">
        <v>114</v>
      </c>
      <c r="J494" s="74" t="s">
        <v>115</v>
      </c>
      <c r="K494" s="75"/>
      <c r="L494" s="72"/>
      <c r="M494" s="6" t="s">
        <v>428</v>
      </c>
      <c r="N494" s="6"/>
      <c r="O494" s="6"/>
      <c r="S494" s="53"/>
    </row>
    <row r="495" spans="1:19" ht="12.75" customHeight="1" x14ac:dyDescent="0.4">
      <c r="A495" s="73" t="s">
        <v>127</v>
      </c>
      <c r="B495" s="86">
        <v>28</v>
      </c>
      <c r="C495" s="86">
        <v>16</v>
      </c>
      <c r="D495" s="86">
        <v>11</v>
      </c>
      <c r="E495" s="86">
        <v>1</v>
      </c>
      <c r="F495" s="86"/>
      <c r="G495" s="75">
        <v>1</v>
      </c>
      <c r="H495" s="75">
        <v>0.5714285714285714</v>
      </c>
      <c r="I495" s="75">
        <v>0.39285714285714285</v>
      </c>
      <c r="J495" s="75">
        <v>3.5714285714285712E-2</v>
      </c>
      <c r="K495" s="72"/>
      <c r="L495" s="72"/>
      <c r="M495" s="6" t="s">
        <v>433</v>
      </c>
      <c r="N495" s="139"/>
      <c r="O495" s="140"/>
      <c r="S495" s="53"/>
    </row>
    <row r="496" spans="1:19" ht="13.15" x14ac:dyDescent="0.4">
      <c r="A496" s="73" t="s">
        <v>128</v>
      </c>
      <c r="B496" s="86">
        <v>28</v>
      </c>
      <c r="C496" s="86">
        <v>16</v>
      </c>
      <c r="D496" s="86">
        <v>9</v>
      </c>
      <c r="E496" s="86">
        <v>3</v>
      </c>
      <c r="F496" s="86"/>
      <c r="G496" s="75">
        <v>1</v>
      </c>
      <c r="H496" s="75">
        <v>0.5714285714285714</v>
      </c>
      <c r="I496" s="75">
        <v>0.32142857142857145</v>
      </c>
      <c r="J496" s="75">
        <v>0.10714285714285714</v>
      </c>
      <c r="K496" s="72"/>
      <c r="L496" s="72"/>
      <c r="M496" s="6" t="s">
        <v>249</v>
      </c>
      <c r="N496" s="6"/>
      <c r="O496" s="6"/>
      <c r="S496" s="53"/>
    </row>
    <row r="497" spans="1:19" ht="12.75" customHeight="1" x14ac:dyDescent="0.4">
      <c r="A497" s="73" t="s">
        <v>129</v>
      </c>
      <c r="B497" s="86">
        <v>67</v>
      </c>
      <c r="C497" s="86">
        <v>51</v>
      </c>
      <c r="D497" s="86">
        <v>10</v>
      </c>
      <c r="E497" s="86">
        <v>6</v>
      </c>
      <c r="F497" s="86"/>
      <c r="G497" s="75">
        <v>0.97101449275362317</v>
      </c>
      <c r="H497" s="75">
        <v>0.76119402985074625</v>
      </c>
      <c r="I497" s="75">
        <v>0.14925373134328357</v>
      </c>
      <c r="J497" s="75">
        <v>8.9552238805970144E-2</v>
      </c>
      <c r="K497" s="72"/>
      <c r="L497" s="74"/>
      <c r="M497" s="6" t="s">
        <v>201</v>
      </c>
      <c r="N497" s="76">
        <v>499</v>
      </c>
      <c r="O497" s="141" t="s">
        <v>202</v>
      </c>
      <c r="Q497" s="72"/>
      <c r="R497" s="72"/>
    </row>
    <row r="498" spans="1:19" ht="12.75" customHeight="1" x14ac:dyDescent="0.4">
      <c r="A498" s="73" t="s">
        <v>130</v>
      </c>
      <c r="B498" s="86">
        <v>63</v>
      </c>
      <c r="C498" s="86">
        <v>44</v>
      </c>
      <c r="D498" s="86">
        <v>16</v>
      </c>
      <c r="E498" s="86">
        <v>3</v>
      </c>
      <c r="F498" s="86"/>
      <c r="G498" s="75">
        <v>1</v>
      </c>
      <c r="H498" s="75">
        <v>0.69841269841269837</v>
      </c>
      <c r="I498" s="75">
        <v>0.25396825396825395</v>
      </c>
      <c r="J498" s="75">
        <v>4.7619047619047616E-2</v>
      </c>
      <c r="K498" s="72"/>
      <c r="L498" s="75"/>
      <c r="M498" s="6" t="s">
        <v>426</v>
      </c>
      <c r="N498" s="139">
        <v>334</v>
      </c>
      <c r="O498" s="140">
        <v>0.66933867735470942</v>
      </c>
      <c r="Q498" s="72"/>
      <c r="R498" s="72"/>
    </row>
    <row r="499" spans="1:19" ht="12.75" customHeight="1" x14ac:dyDescent="0.4">
      <c r="A499" s="73" t="s">
        <v>131</v>
      </c>
      <c r="B499" s="86">
        <v>33</v>
      </c>
      <c r="C499" s="86">
        <v>27</v>
      </c>
      <c r="D499" s="86">
        <v>3</v>
      </c>
      <c r="E499" s="86">
        <v>3</v>
      </c>
      <c r="F499" s="86"/>
      <c r="G499" s="75">
        <v>1</v>
      </c>
      <c r="H499" s="75">
        <v>0.81818181818181823</v>
      </c>
      <c r="I499" s="75">
        <v>9.0909090909090912E-2</v>
      </c>
      <c r="J499" s="75">
        <v>9.0909090909090912E-2</v>
      </c>
      <c r="K499" s="74"/>
      <c r="L499" s="75"/>
      <c r="M499" s="6" t="s">
        <v>226</v>
      </c>
      <c r="N499" s="139">
        <v>114</v>
      </c>
      <c r="O499" s="140">
        <v>0.22845691382765532</v>
      </c>
      <c r="P499" s="72"/>
      <c r="Q499" s="72"/>
      <c r="R499" s="72"/>
    </row>
    <row r="500" spans="1:19" ht="12.75" customHeight="1" x14ac:dyDescent="0.4">
      <c r="A500" s="73" t="s">
        <v>132</v>
      </c>
      <c r="B500" s="86">
        <v>62</v>
      </c>
      <c r="C500" s="86">
        <v>54</v>
      </c>
      <c r="D500" s="86">
        <v>1</v>
      </c>
      <c r="E500" s="86">
        <v>7</v>
      </c>
      <c r="F500" s="86"/>
      <c r="G500" s="75">
        <v>1</v>
      </c>
      <c r="H500" s="75">
        <v>0.87096774193548387</v>
      </c>
      <c r="I500" s="75">
        <v>1.6129032258064516E-2</v>
      </c>
      <c r="J500" s="75">
        <v>0.11290322580645161</v>
      </c>
      <c r="K500" s="75"/>
      <c r="L500" s="75"/>
      <c r="M500" s="6" t="s">
        <v>427</v>
      </c>
      <c r="N500" s="139">
        <v>152</v>
      </c>
      <c r="O500" s="140">
        <v>0.30460921843687377</v>
      </c>
      <c r="Q500" s="72"/>
      <c r="R500" s="72"/>
    </row>
    <row r="501" spans="1:19" ht="12.75" customHeight="1" x14ac:dyDescent="0.4">
      <c r="A501" s="73" t="s">
        <v>133</v>
      </c>
      <c r="B501" s="86">
        <v>65</v>
      </c>
      <c r="C501" s="86">
        <v>53</v>
      </c>
      <c r="D501" s="86">
        <v>11</v>
      </c>
      <c r="E501" s="86">
        <v>1</v>
      </c>
      <c r="F501" s="87"/>
      <c r="G501" s="75">
        <v>0.97014925373134331</v>
      </c>
      <c r="H501" s="75">
        <v>0.81538461538461537</v>
      </c>
      <c r="I501" s="75">
        <v>0.16923076923076924</v>
      </c>
      <c r="J501" s="75">
        <v>1.5384615384615385E-2</v>
      </c>
      <c r="K501" s="75"/>
      <c r="L501" s="75"/>
      <c r="M501" s="6" t="s">
        <v>227</v>
      </c>
      <c r="N501" s="139">
        <v>43</v>
      </c>
      <c r="O501" s="140">
        <v>8.617234468937876E-2</v>
      </c>
    </row>
    <row r="502" spans="1:19" ht="12.75" customHeight="1" x14ac:dyDescent="0.4">
      <c r="A502" s="73" t="s">
        <v>134</v>
      </c>
      <c r="B502" s="86">
        <v>67</v>
      </c>
      <c r="C502" s="86">
        <v>59</v>
      </c>
      <c r="D502" s="86">
        <v>6</v>
      </c>
      <c r="E502" s="86">
        <v>2</v>
      </c>
      <c r="F502" s="87"/>
      <c r="G502" s="75">
        <v>0.98529411764705888</v>
      </c>
      <c r="H502" s="75">
        <v>0.88059701492537312</v>
      </c>
      <c r="I502" s="75">
        <v>8.9552238805970144E-2</v>
      </c>
      <c r="J502" s="75">
        <v>2.9850746268656716E-2</v>
      </c>
      <c r="K502" s="75"/>
      <c r="L502" s="75"/>
      <c r="M502" s="6"/>
      <c r="N502" s="139"/>
      <c r="O502" s="140"/>
    </row>
    <row r="503" spans="1:19" ht="12.75" customHeight="1" x14ac:dyDescent="0.4">
      <c r="A503" s="73" t="s">
        <v>376</v>
      </c>
      <c r="B503" s="86">
        <v>25</v>
      </c>
      <c r="C503" s="86">
        <v>18</v>
      </c>
      <c r="D503" s="86">
        <v>5</v>
      </c>
      <c r="E503" s="86">
        <v>2</v>
      </c>
      <c r="F503" s="87"/>
      <c r="G503" s="75">
        <v>0.92592592592592593</v>
      </c>
      <c r="H503" s="75">
        <v>0.72</v>
      </c>
      <c r="I503" s="75">
        <v>0.2</v>
      </c>
      <c r="J503" s="75">
        <v>0.08</v>
      </c>
      <c r="K503" s="75"/>
      <c r="L503" s="75"/>
      <c r="M503" s="6" t="s">
        <v>437</v>
      </c>
      <c r="N503" s="138" t="s">
        <v>438</v>
      </c>
      <c r="O503" s="141" t="s">
        <v>202</v>
      </c>
      <c r="P503" s="72"/>
    </row>
    <row r="504" spans="1:19" ht="12.75" customHeight="1" x14ac:dyDescent="0.4">
      <c r="A504" s="73" t="s">
        <v>135</v>
      </c>
      <c r="B504" s="86">
        <v>28</v>
      </c>
      <c r="C504" s="86">
        <v>19</v>
      </c>
      <c r="D504" s="86">
        <v>7</v>
      </c>
      <c r="E504" s="86">
        <v>2</v>
      </c>
      <c r="F504" s="87"/>
      <c r="G504" s="75">
        <v>1</v>
      </c>
      <c r="H504" s="75">
        <v>0.6785714285714286</v>
      </c>
      <c r="I504" s="75">
        <v>0.25</v>
      </c>
      <c r="J504" s="75">
        <v>7.1428571428571425E-2</v>
      </c>
      <c r="K504" s="75"/>
      <c r="L504" s="75"/>
      <c r="M504" s="6" t="s">
        <v>436</v>
      </c>
      <c r="N504" s="229">
        <v>73</v>
      </c>
      <c r="O504" s="140">
        <v>0.14629258517034069</v>
      </c>
    </row>
    <row r="505" spans="1:19" ht="12.75" customHeight="1" x14ac:dyDescent="0.4">
      <c r="A505" s="73" t="s">
        <v>303</v>
      </c>
      <c r="B505" s="86">
        <v>32</v>
      </c>
      <c r="C505" s="86">
        <v>17</v>
      </c>
      <c r="D505" s="86">
        <v>12</v>
      </c>
      <c r="E505" s="86">
        <v>3</v>
      </c>
      <c r="F505" s="87"/>
      <c r="G505" s="75">
        <v>1</v>
      </c>
      <c r="H505" s="75">
        <v>0.53125</v>
      </c>
      <c r="I505" s="75">
        <v>0.375</v>
      </c>
      <c r="J505" s="75">
        <v>9.375E-2</v>
      </c>
      <c r="K505" s="75"/>
      <c r="L505" s="75"/>
      <c r="M505" s="6"/>
      <c r="N505" s="139"/>
      <c r="O505" s="140"/>
    </row>
    <row r="506" spans="1:19" ht="12.75" customHeight="1" x14ac:dyDescent="0.4">
      <c r="A506" s="73" t="s">
        <v>23</v>
      </c>
      <c r="B506" s="87">
        <v>498</v>
      </c>
      <c r="C506" s="86">
        <v>374</v>
      </c>
      <c r="D506" s="86">
        <v>91</v>
      </c>
      <c r="E506" s="87">
        <v>33</v>
      </c>
      <c r="F506" s="72"/>
      <c r="G506" s="75">
        <v>0.98613861386138613</v>
      </c>
      <c r="H506" s="75">
        <v>0.75100401606425704</v>
      </c>
      <c r="I506" s="75">
        <v>0.18273092369477911</v>
      </c>
      <c r="J506" s="75">
        <v>6.6265060240963861E-2</v>
      </c>
      <c r="K506" s="75"/>
      <c r="L506" s="75"/>
      <c r="M506" s="6"/>
      <c r="N506" s="139"/>
      <c r="O506" s="140"/>
    </row>
    <row r="507" spans="1:19" s="82" customFormat="1" ht="12.75" customHeight="1" x14ac:dyDescent="0.4">
      <c r="A507" s="73"/>
      <c r="B507" s="87"/>
      <c r="C507" s="86"/>
      <c r="D507" s="86"/>
      <c r="E507" s="87"/>
      <c r="F507" s="72"/>
      <c r="G507" s="75"/>
      <c r="H507" s="75"/>
      <c r="I507" s="75"/>
      <c r="J507" s="75"/>
      <c r="K507" s="75"/>
      <c r="L507" s="75"/>
      <c r="M507" s="6"/>
      <c r="N507" s="75"/>
      <c r="O507" s="75"/>
      <c r="P507"/>
      <c r="Q507"/>
      <c r="R507"/>
      <c r="S507"/>
    </row>
    <row r="508" spans="1:19" s="82" customFormat="1" ht="12.75" customHeight="1" x14ac:dyDescent="0.4">
      <c r="A508" s="73"/>
      <c r="B508" s="87"/>
      <c r="C508" s="86"/>
      <c r="D508" s="86"/>
      <c r="E508" s="87"/>
      <c r="F508" s="72"/>
      <c r="G508" s="75"/>
      <c r="H508" s="75"/>
      <c r="I508" s="75"/>
      <c r="J508" s="75"/>
      <c r="K508" s="75"/>
      <c r="L508" s="75"/>
      <c r="M508" s="6"/>
      <c r="N508" s="75"/>
      <c r="O508" s="75"/>
      <c r="P508"/>
      <c r="Q508"/>
      <c r="R508"/>
      <c r="S508"/>
    </row>
    <row r="509" spans="1:19" s="82" customFormat="1" ht="12.75" customHeight="1" x14ac:dyDescent="0.4">
      <c r="A509" s="73" t="s">
        <v>395</v>
      </c>
      <c r="B509" s="72"/>
      <c r="C509" s="72"/>
      <c r="D509" s="72"/>
      <c r="E509" s="72"/>
      <c r="F509" s="72"/>
      <c r="G509" s="72"/>
      <c r="H509" s="72"/>
      <c r="I509" s="72"/>
      <c r="J509" s="72"/>
      <c r="K509" s="75"/>
      <c r="L509" s="75"/>
      <c r="M509" s="73"/>
      <c r="N509" s="165"/>
      <c r="O509" s="75"/>
      <c r="P509"/>
      <c r="Q509"/>
      <c r="R509"/>
      <c r="S509"/>
    </row>
    <row r="510" spans="1:19" s="82" customFormat="1" ht="12.75" customHeight="1" x14ac:dyDescent="0.4">
      <c r="A510" s="73" t="s">
        <v>396</v>
      </c>
      <c r="B510" s="72"/>
      <c r="C510" s="72"/>
      <c r="D510" s="72"/>
      <c r="E510" s="72"/>
      <c r="F510" s="72"/>
      <c r="G510" s="72"/>
      <c r="H510" s="72"/>
      <c r="I510" s="72"/>
      <c r="J510" s="72"/>
      <c r="K510" s="75"/>
      <c r="L510" s="75"/>
      <c r="M510" s="6"/>
      <c r="N510" s="6"/>
      <c r="O510" s="113"/>
      <c r="P510"/>
      <c r="Q510"/>
      <c r="R510"/>
      <c r="S510"/>
    </row>
    <row r="511" spans="1:19" ht="12.75" customHeight="1" x14ac:dyDescent="0.4">
      <c r="A511" s="73" t="s">
        <v>425</v>
      </c>
      <c r="B511" s="72"/>
      <c r="C511" s="72"/>
      <c r="D511" s="72"/>
      <c r="E511" s="72"/>
      <c r="F511" s="72"/>
      <c r="G511" s="72"/>
      <c r="H511" s="72"/>
      <c r="I511" s="72"/>
      <c r="J511" s="72"/>
      <c r="K511" s="75"/>
      <c r="L511" s="72"/>
      <c r="M511" s="6"/>
      <c r="N511" s="6"/>
      <c r="O511" s="113"/>
    </row>
    <row r="512" spans="1:19" ht="12.75" customHeight="1" x14ac:dyDescent="0.4">
      <c r="A512" s="73"/>
      <c r="B512" s="72" t="s">
        <v>139</v>
      </c>
      <c r="C512" s="72"/>
      <c r="D512" s="72"/>
      <c r="E512" s="72"/>
      <c r="F512" s="86"/>
      <c r="G512" s="72" t="s">
        <v>146</v>
      </c>
      <c r="H512" s="72"/>
      <c r="I512" s="72"/>
      <c r="J512" s="72"/>
      <c r="K512" s="72"/>
      <c r="L512" s="72"/>
      <c r="M512" s="142"/>
      <c r="N512" s="142"/>
      <c r="O512" s="142"/>
      <c r="S512" s="82"/>
    </row>
    <row r="513" spans="1:19" ht="12.75" customHeight="1" x14ac:dyDescent="0.4">
      <c r="A513" s="73" t="s">
        <v>136</v>
      </c>
      <c r="B513" s="74" t="s">
        <v>112</v>
      </c>
      <c r="C513" s="74" t="s">
        <v>113</v>
      </c>
      <c r="D513" s="74" t="s">
        <v>114</v>
      </c>
      <c r="E513" s="74" t="s">
        <v>115</v>
      </c>
      <c r="F513" s="86"/>
      <c r="G513" s="74" t="s">
        <v>112</v>
      </c>
      <c r="H513" s="74" t="s">
        <v>113</v>
      </c>
      <c r="I513" s="74" t="s">
        <v>114</v>
      </c>
      <c r="J513" s="74" t="s">
        <v>115</v>
      </c>
      <c r="K513" s="72"/>
      <c r="L513" s="72"/>
      <c r="M513" s="142" t="s">
        <v>395</v>
      </c>
      <c r="N513" s="142"/>
      <c r="O513" s="142"/>
      <c r="P513" s="72"/>
      <c r="S513" s="82"/>
    </row>
    <row r="514" spans="1:19" ht="12.75" customHeight="1" x14ac:dyDescent="0.4">
      <c r="A514" s="73" t="s">
        <v>127</v>
      </c>
      <c r="B514" s="86">
        <v>28</v>
      </c>
      <c r="C514" s="86">
        <v>18</v>
      </c>
      <c r="D514" s="86">
        <v>8</v>
      </c>
      <c r="E514" s="86">
        <v>2</v>
      </c>
      <c r="F514" s="86"/>
      <c r="G514" s="75">
        <f>B514/29</f>
        <v>0.96551724137931039</v>
      </c>
      <c r="H514" s="75">
        <f>C514/B514</f>
        <v>0.6428571428571429</v>
      </c>
      <c r="I514" s="75">
        <f>D514/B514</f>
        <v>0.2857142857142857</v>
      </c>
      <c r="J514" s="75">
        <f>E514/B514</f>
        <v>7.1428571428571425E-2</v>
      </c>
      <c r="K514" s="72"/>
      <c r="L514" s="72"/>
      <c r="M514" s="142" t="s">
        <v>419</v>
      </c>
      <c r="N514" s="166"/>
      <c r="O514" s="167"/>
      <c r="P514" s="72"/>
      <c r="S514" s="82"/>
    </row>
    <row r="515" spans="1:19" ht="12.75" customHeight="1" x14ac:dyDescent="0.4">
      <c r="A515" s="73" t="s">
        <v>128</v>
      </c>
      <c r="B515" s="86">
        <v>28</v>
      </c>
      <c r="C515" s="86">
        <v>21</v>
      </c>
      <c r="D515" s="86">
        <v>4</v>
      </c>
      <c r="E515" s="86">
        <v>3</v>
      </c>
      <c r="F515" s="86"/>
      <c r="G515" s="75">
        <f>B515/28</f>
        <v>1</v>
      </c>
      <c r="H515" s="75">
        <f t="shared" ref="H515:H524" si="11">C515/B515</f>
        <v>0.75</v>
      </c>
      <c r="I515" s="75">
        <f t="shared" ref="I515:I525" si="12">D515/B515</f>
        <v>0.14285714285714285</v>
      </c>
      <c r="J515" s="75">
        <f t="shared" ref="J515:J525" si="13">E515/B515</f>
        <v>0.10714285714285714</v>
      </c>
      <c r="K515" s="72"/>
      <c r="L515" s="72"/>
      <c r="M515" s="142" t="s">
        <v>249</v>
      </c>
      <c r="N515" s="142"/>
      <c r="O515" s="142"/>
      <c r="P515" s="72"/>
      <c r="S515" s="82"/>
    </row>
    <row r="516" spans="1:19" ht="12.75" customHeight="1" x14ac:dyDescent="0.4">
      <c r="A516" s="73" t="s">
        <v>129</v>
      </c>
      <c r="B516" s="86">
        <v>66</v>
      </c>
      <c r="C516" s="86">
        <v>47</v>
      </c>
      <c r="D516" s="86">
        <v>12</v>
      </c>
      <c r="E516" s="86">
        <v>7</v>
      </c>
      <c r="F516" s="86"/>
      <c r="G516" s="75">
        <f>B516/69</f>
        <v>0.95652173913043481</v>
      </c>
      <c r="H516" s="75">
        <f t="shared" si="11"/>
        <v>0.71212121212121215</v>
      </c>
      <c r="I516" s="75">
        <f t="shared" si="12"/>
        <v>0.18181818181818182</v>
      </c>
      <c r="J516" s="75">
        <f t="shared" si="13"/>
        <v>0.10606060606060606</v>
      </c>
      <c r="K516" s="72"/>
      <c r="L516" s="72"/>
      <c r="M516" s="142" t="s">
        <v>201</v>
      </c>
      <c r="N516" s="156">
        <v>501</v>
      </c>
      <c r="O516" s="168" t="s">
        <v>202</v>
      </c>
      <c r="S516" s="82"/>
    </row>
    <row r="517" spans="1:19" ht="13.15" x14ac:dyDescent="0.4">
      <c r="A517" s="73" t="s">
        <v>130</v>
      </c>
      <c r="B517" s="86">
        <v>63</v>
      </c>
      <c r="C517" s="86">
        <v>46</v>
      </c>
      <c r="D517" s="86">
        <v>12</v>
      </c>
      <c r="E517" s="86">
        <v>5</v>
      </c>
      <c r="F517" s="86"/>
      <c r="G517" s="75">
        <f>B517/63</f>
        <v>1</v>
      </c>
      <c r="H517" s="75">
        <f t="shared" si="11"/>
        <v>0.73015873015873012</v>
      </c>
      <c r="I517" s="75">
        <f t="shared" si="12"/>
        <v>0.19047619047619047</v>
      </c>
      <c r="J517" s="75">
        <f t="shared" si="13"/>
        <v>7.9365079365079361E-2</v>
      </c>
      <c r="K517" s="72"/>
      <c r="L517" s="74"/>
      <c r="M517" s="142" t="s">
        <v>420</v>
      </c>
      <c r="N517" s="166">
        <v>332</v>
      </c>
      <c r="O517" s="167">
        <f>N517/N516</f>
        <v>0.66267465069860276</v>
      </c>
      <c r="S517" s="53"/>
    </row>
    <row r="518" spans="1:19" ht="12.75" customHeight="1" x14ac:dyDescent="0.4">
      <c r="A518" s="73" t="s">
        <v>131</v>
      </c>
      <c r="B518" s="86">
        <v>33</v>
      </c>
      <c r="C518" s="86">
        <v>23</v>
      </c>
      <c r="D518" s="86">
        <v>5</v>
      </c>
      <c r="E518" s="86">
        <v>5</v>
      </c>
      <c r="F518" s="86"/>
      <c r="G518" s="75">
        <f>B518/33</f>
        <v>1</v>
      </c>
      <c r="H518" s="75">
        <f t="shared" si="11"/>
        <v>0.69696969696969702</v>
      </c>
      <c r="I518" s="75">
        <f t="shared" si="12"/>
        <v>0.15151515151515152</v>
      </c>
      <c r="J518" s="75">
        <f t="shared" si="13"/>
        <v>0.15151515151515152</v>
      </c>
      <c r="K518" s="72"/>
      <c r="L518" s="75"/>
      <c r="M518" s="142" t="s">
        <v>226</v>
      </c>
      <c r="N518" s="166">
        <v>121</v>
      </c>
      <c r="O518" s="167">
        <f>N518/N516</f>
        <v>0.24151696606786427</v>
      </c>
      <c r="Q518" s="72"/>
      <c r="R518" s="72"/>
    </row>
    <row r="519" spans="1:19" ht="12.75" customHeight="1" x14ac:dyDescent="0.4">
      <c r="A519" s="73" t="s">
        <v>132</v>
      </c>
      <c r="B519" s="86">
        <v>62</v>
      </c>
      <c r="C519" s="86">
        <v>59</v>
      </c>
      <c r="D519" s="86">
        <v>2</v>
      </c>
      <c r="E519" s="86">
        <v>1</v>
      </c>
      <c r="F519" s="86"/>
      <c r="G519" s="75">
        <f>B519/62</f>
        <v>1</v>
      </c>
      <c r="H519" s="75">
        <f t="shared" si="11"/>
        <v>0.95161290322580649</v>
      </c>
      <c r="I519" s="75">
        <f t="shared" si="12"/>
        <v>3.2258064516129031E-2</v>
      </c>
      <c r="J519" s="75">
        <f t="shared" si="13"/>
        <v>1.6129032258064516E-2</v>
      </c>
      <c r="K519" s="74"/>
      <c r="L519" s="75"/>
      <c r="M519" s="142" t="s">
        <v>421</v>
      </c>
      <c r="N519" s="166">
        <v>151</v>
      </c>
      <c r="O519" s="167">
        <f>N519/N516</f>
        <v>0.30139720558882238</v>
      </c>
      <c r="Q519" s="72"/>
      <c r="R519" s="72"/>
    </row>
    <row r="520" spans="1:19" ht="12.75" customHeight="1" x14ac:dyDescent="0.4">
      <c r="A520" s="73" t="s">
        <v>133</v>
      </c>
      <c r="B520" s="86">
        <v>66</v>
      </c>
      <c r="C520" s="86">
        <v>49</v>
      </c>
      <c r="D520" s="86">
        <v>12</v>
      </c>
      <c r="E520" s="86">
        <v>5</v>
      </c>
      <c r="F520" s="87"/>
      <c r="G520" s="75">
        <f>B520/67</f>
        <v>0.9850746268656716</v>
      </c>
      <c r="H520" s="75">
        <f t="shared" si="11"/>
        <v>0.74242424242424243</v>
      </c>
      <c r="I520" s="75">
        <f t="shared" si="12"/>
        <v>0.18181818181818182</v>
      </c>
      <c r="J520" s="75">
        <f t="shared" si="13"/>
        <v>7.575757575757576E-2</v>
      </c>
      <c r="K520" s="75"/>
      <c r="L520" s="75"/>
      <c r="M520" s="142" t="s">
        <v>227</v>
      </c>
      <c r="N520" s="166">
        <v>40</v>
      </c>
      <c r="O520" s="167">
        <f>N520/N516</f>
        <v>7.9840319361277445E-2</v>
      </c>
      <c r="Q520" s="72"/>
      <c r="R520" s="72"/>
    </row>
    <row r="521" spans="1:19" ht="12.75" customHeight="1" x14ac:dyDescent="0.4">
      <c r="A521" s="73" t="s">
        <v>134</v>
      </c>
      <c r="B521" s="86">
        <v>66</v>
      </c>
      <c r="C521" s="86">
        <v>54</v>
      </c>
      <c r="D521" s="86">
        <v>7</v>
      </c>
      <c r="E521" s="86">
        <v>5</v>
      </c>
      <c r="F521" s="87"/>
      <c r="G521" s="75">
        <f>B521/68</f>
        <v>0.97058823529411764</v>
      </c>
      <c r="H521" s="75">
        <f t="shared" si="11"/>
        <v>0.81818181818181823</v>
      </c>
      <c r="I521" s="75">
        <f t="shared" si="12"/>
        <v>0.10606060606060606</v>
      </c>
      <c r="J521" s="75">
        <f t="shared" si="13"/>
        <v>7.575757575757576E-2</v>
      </c>
      <c r="K521" s="75"/>
      <c r="L521" s="75"/>
      <c r="M521" s="142"/>
      <c r="N521" s="166"/>
      <c r="O521" s="167"/>
      <c r="P521" s="82"/>
      <c r="Q521" s="72"/>
      <c r="R521" s="72"/>
    </row>
    <row r="522" spans="1:19" ht="12.75" customHeight="1" x14ac:dyDescent="0.4">
      <c r="A522" s="73" t="s">
        <v>376</v>
      </c>
      <c r="B522" s="86">
        <v>25</v>
      </c>
      <c r="C522" s="86">
        <v>18</v>
      </c>
      <c r="D522" s="86">
        <v>4</v>
      </c>
      <c r="E522" s="86">
        <v>3</v>
      </c>
      <c r="F522" s="87"/>
      <c r="G522" s="75">
        <f>B522/26</f>
        <v>0.96153846153846156</v>
      </c>
      <c r="H522" s="75">
        <f t="shared" si="11"/>
        <v>0.72</v>
      </c>
      <c r="I522" s="75">
        <f t="shared" si="12"/>
        <v>0.16</v>
      </c>
      <c r="J522" s="75">
        <f t="shared" si="13"/>
        <v>0.12</v>
      </c>
      <c r="K522" s="75"/>
      <c r="L522" s="75"/>
      <c r="M522" s="142"/>
      <c r="N522" s="166"/>
      <c r="O522" s="167"/>
    </row>
    <row r="523" spans="1:19" ht="12.75" customHeight="1" x14ac:dyDescent="0.4">
      <c r="A523" s="73" t="s">
        <v>135</v>
      </c>
      <c r="B523" s="86">
        <v>28</v>
      </c>
      <c r="C523" s="86">
        <v>11</v>
      </c>
      <c r="D523" s="86">
        <v>13</v>
      </c>
      <c r="E523" s="86">
        <v>4</v>
      </c>
      <c r="F523" s="87"/>
      <c r="G523" s="75">
        <f>B523/28</f>
        <v>1</v>
      </c>
      <c r="H523" s="75">
        <f t="shared" si="11"/>
        <v>0.39285714285714285</v>
      </c>
      <c r="I523" s="75">
        <f t="shared" si="12"/>
        <v>0.4642857142857143</v>
      </c>
      <c r="J523" s="75">
        <f t="shared" si="13"/>
        <v>0.14285714285714285</v>
      </c>
      <c r="K523" s="75"/>
      <c r="L523" s="75"/>
      <c r="M523" s="142"/>
      <c r="N523" s="75"/>
      <c r="O523" s="75"/>
    </row>
    <row r="524" spans="1:19" ht="12.75" customHeight="1" x14ac:dyDescent="0.4">
      <c r="A524" s="73" t="s">
        <v>303</v>
      </c>
      <c r="B524" s="86">
        <v>32</v>
      </c>
      <c r="C524" s="86">
        <v>20</v>
      </c>
      <c r="D524" s="86">
        <v>9</v>
      </c>
      <c r="E524" s="86">
        <v>3</v>
      </c>
      <c r="F524" s="87"/>
      <c r="G524" s="75">
        <f>B524/32</f>
        <v>1</v>
      </c>
      <c r="H524" s="75">
        <f t="shared" si="11"/>
        <v>0.625</v>
      </c>
      <c r="I524" s="75">
        <f t="shared" si="12"/>
        <v>0.28125</v>
      </c>
      <c r="J524" s="75">
        <f t="shared" si="13"/>
        <v>9.375E-2</v>
      </c>
      <c r="K524" s="75"/>
      <c r="L524" s="75"/>
      <c r="M524" s="142"/>
      <c r="N524" s="75"/>
      <c r="O524" s="75"/>
    </row>
    <row r="525" spans="1:19" ht="12.75" customHeight="1" x14ac:dyDescent="0.4">
      <c r="A525" s="73" t="s">
        <v>23</v>
      </c>
      <c r="B525" s="87">
        <v>497</v>
      </c>
      <c r="C525" s="86">
        <v>366</v>
      </c>
      <c r="D525" s="86">
        <v>88</v>
      </c>
      <c r="E525" s="87">
        <v>43</v>
      </c>
      <c r="F525" s="72"/>
      <c r="G525" s="75">
        <f>B525/505</f>
        <v>0.98415841584158414</v>
      </c>
      <c r="H525" s="75">
        <f>C525/B525</f>
        <v>0.73641851106639844</v>
      </c>
      <c r="I525" s="75">
        <f t="shared" si="12"/>
        <v>0.17706237424547283</v>
      </c>
      <c r="J525" s="75">
        <f t="shared" si="13"/>
        <v>8.651911468812877E-2</v>
      </c>
      <c r="K525" s="75"/>
      <c r="L525" s="75"/>
      <c r="M525" s="73"/>
      <c r="N525" s="165"/>
      <c r="O525" s="75"/>
    </row>
    <row r="526" spans="1:19" ht="12.75" customHeight="1" x14ac:dyDescent="0.4">
      <c r="A526" s="73"/>
      <c r="B526" s="87"/>
      <c r="C526" s="87"/>
      <c r="D526" s="87"/>
      <c r="E526" s="87"/>
      <c r="F526" s="72"/>
      <c r="G526" s="75"/>
      <c r="H526" s="75"/>
      <c r="I526" s="75"/>
      <c r="J526" s="75"/>
      <c r="K526" s="75"/>
      <c r="L526" s="75"/>
      <c r="M526" s="73"/>
      <c r="N526" s="165"/>
      <c r="O526" s="75"/>
    </row>
    <row r="527" spans="1:19" ht="12.75" customHeight="1" x14ac:dyDescent="0.4">
      <c r="A527" s="73"/>
      <c r="B527" s="87"/>
      <c r="C527" s="87"/>
      <c r="D527" s="87"/>
      <c r="E527" s="87"/>
      <c r="F527" s="72"/>
      <c r="G527" s="75"/>
      <c r="H527" s="75"/>
      <c r="I527" s="75"/>
      <c r="J527" s="75"/>
      <c r="K527" s="75"/>
      <c r="L527" s="75"/>
      <c r="M527" s="6"/>
      <c r="N527" s="6"/>
      <c r="O527" s="113"/>
    </row>
    <row r="528" spans="1:19" s="53" customFormat="1" ht="12.75" customHeight="1" x14ac:dyDescent="0.4">
      <c r="A528" s="73"/>
      <c r="B528" s="87"/>
      <c r="C528" s="87"/>
      <c r="D528" s="87"/>
      <c r="E528" s="87"/>
      <c r="F528" s="72"/>
      <c r="G528" s="75"/>
      <c r="H528" s="75"/>
      <c r="I528" s="75"/>
      <c r="J528" s="75"/>
      <c r="K528" s="75"/>
      <c r="L528" s="75"/>
      <c r="M528" s="6"/>
      <c r="N528" s="6"/>
      <c r="O528" s="113"/>
      <c r="P528"/>
      <c r="Q528"/>
      <c r="R528"/>
      <c r="S528"/>
    </row>
    <row r="529" spans="1:19" s="53" customFormat="1" ht="12.75" customHeight="1" x14ac:dyDescent="0.4">
      <c r="A529" s="73" t="s">
        <v>394</v>
      </c>
      <c r="B529" s="72"/>
      <c r="C529" s="72"/>
      <c r="D529" s="72"/>
      <c r="E529" s="72"/>
      <c r="F529" s="72"/>
      <c r="G529" s="72"/>
      <c r="H529" s="72"/>
      <c r="I529" s="72"/>
      <c r="J529" s="72"/>
      <c r="K529" s="75"/>
      <c r="L529" s="75"/>
      <c r="M529" s="6"/>
      <c r="N529" s="6"/>
      <c r="O529" s="113"/>
      <c r="P529"/>
      <c r="Q529"/>
      <c r="R529"/>
      <c r="S529"/>
    </row>
    <row r="530" spans="1:19" s="53" customFormat="1" ht="12.75" customHeight="1" x14ac:dyDescent="0.4">
      <c r="A530" s="73" t="s">
        <v>414</v>
      </c>
      <c r="B530" s="72"/>
      <c r="C530" s="72"/>
      <c r="D530" s="72"/>
      <c r="E530" s="72"/>
      <c r="F530" s="72"/>
      <c r="G530" s="72"/>
      <c r="H530" s="72"/>
      <c r="I530" s="72"/>
      <c r="J530" s="72"/>
      <c r="K530" s="75"/>
      <c r="L530" s="75"/>
      <c r="M530" s="142"/>
      <c r="N530" s="142"/>
      <c r="O530" s="142"/>
      <c r="P530" s="72"/>
      <c r="Q530"/>
      <c r="R530"/>
      <c r="S530"/>
    </row>
    <row r="531" spans="1:19" s="53" customFormat="1" ht="12.75" customHeight="1" x14ac:dyDescent="0.4">
      <c r="A531" s="73" t="s">
        <v>429</v>
      </c>
      <c r="B531" s="72"/>
      <c r="C531" s="72"/>
      <c r="D531" s="72"/>
      <c r="E531" s="72"/>
      <c r="F531" s="72"/>
      <c r="G531" s="72"/>
      <c r="H531" s="72"/>
      <c r="I531" s="72"/>
      <c r="J531" s="72"/>
      <c r="K531" s="75"/>
      <c r="L531" s="75"/>
      <c r="M531" s="142"/>
      <c r="N531" s="142"/>
      <c r="O531" s="142"/>
      <c r="P531" s="72"/>
      <c r="Q531"/>
      <c r="R531"/>
      <c r="S531"/>
    </row>
    <row r="532" spans="1:19" ht="12.75" customHeight="1" x14ac:dyDescent="0.4">
      <c r="A532" s="73"/>
      <c r="B532" s="72" t="s">
        <v>139</v>
      </c>
      <c r="C532" s="72"/>
      <c r="D532" s="72"/>
      <c r="E532" s="72"/>
      <c r="F532" s="86"/>
      <c r="G532" s="72" t="s">
        <v>146</v>
      </c>
      <c r="H532" s="72"/>
      <c r="I532" s="72"/>
      <c r="J532" s="72"/>
      <c r="K532" s="75"/>
      <c r="L532" s="72"/>
      <c r="M532" s="142"/>
      <c r="N532" s="142"/>
      <c r="O532" s="142"/>
      <c r="P532" s="72"/>
    </row>
    <row r="533" spans="1:19" ht="12.75" customHeight="1" x14ac:dyDescent="0.4">
      <c r="A533" s="73" t="s">
        <v>136</v>
      </c>
      <c r="B533" s="74" t="s">
        <v>112</v>
      </c>
      <c r="C533" s="74" t="s">
        <v>113</v>
      </c>
      <c r="D533" s="74" t="s">
        <v>114</v>
      </c>
      <c r="E533" s="74" t="s">
        <v>115</v>
      </c>
      <c r="F533" s="86"/>
      <c r="G533" s="74" t="s">
        <v>112</v>
      </c>
      <c r="H533" s="74" t="s">
        <v>113</v>
      </c>
      <c r="I533" s="74" t="s">
        <v>114</v>
      </c>
      <c r="J533" s="74" t="s">
        <v>115</v>
      </c>
      <c r="K533" s="72"/>
      <c r="L533" s="72"/>
      <c r="M533" s="142" t="s">
        <v>394</v>
      </c>
      <c r="N533" s="142"/>
      <c r="O533" s="142"/>
      <c r="S533" s="53"/>
    </row>
    <row r="534" spans="1:19" ht="12.75" customHeight="1" x14ac:dyDescent="0.4">
      <c r="A534" s="73" t="s">
        <v>127</v>
      </c>
      <c r="B534" s="86">
        <v>29</v>
      </c>
      <c r="C534" s="86">
        <v>17</v>
      </c>
      <c r="D534" s="86">
        <v>8</v>
      </c>
      <c r="E534" s="86">
        <v>4</v>
      </c>
      <c r="F534" s="86"/>
      <c r="G534" s="75">
        <v>1</v>
      </c>
      <c r="H534" s="75">
        <v>0.58620689655172409</v>
      </c>
      <c r="I534" s="75">
        <v>0.27586206896551724</v>
      </c>
      <c r="J534" s="75">
        <v>0.13793103448275862</v>
      </c>
      <c r="K534" s="72"/>
      <c r="L534" s="74"/>
      <c r="M534" s="142" t="s">
        <v>430</v>
      </c>
      <c r="N534" s="166"/>
      <c r="O534" s="167"/>
      <c r="S534" s="53"/>
    </row>
    <row r="535" spans="1:19" ht="12.75" customHeight="1" x14ac:dyDescent="0.4">
      <c r="A535" s="73" t="s">
        <v>128</v>
      </c>
      <c r="B535" s="86">
        <v>25</v>
      </c>
      <c r="C535" s="86">
        <v>17</v>
      </c>
      <c r="D535" s="86">
        <v>5</v>
      </c>
      <c r="E535" s="86">
        <v>3</v>
      </c>
      <c r="F535" s="86"/>
      <c r="G535" s="75">
        <v>1</v>
      </c>
      <c r="H535" s="75">
        <v>0.68</v>
      </c>
      <c r="I535" s="75">
        <v>0.2</v>
      </c>
      <c r="J535" s="75">
        <v>0.12</v>
      </c>
      <c r="K535" s="72"/>
      <c r="L535" s="75"/>
      <c r="M535" s="142" t="s">
        <v>249</v>
      </c>
      <c r="N535" s="142"/>
      <c r="O535" s="142"/>
      <c r="S535" s="53"/>
    </row>
    <row r="536" spans="1:19" ht="12.75" customHeight="1" x14ac:dyDescent="0.4">
      <c r="A536" s="73" t="s">
        <v>129</v>
      </c>
      <c r="B536" s="86">
        <v>69</v>
      </c>
      <c r="C536" s="86">
        <v>48</v>
      </c>
      <c r="D536" s="86">
        <v>17</v>
      </c>
      <c r="E536" s="86">
        <v>4</v>
      </c>
      <c r="F536" s="86"/>
      <c r="G536" s="75">
        <v>0.98571428571428577</v>
      </c>
      <c r="H536" s="75">
        <v>0.69565217391304346</v>
      </c>
      <c r="I536" s="75">
        <v>0.24637681159420291</v>
      </c>
      <c r="J536" s="75">
        <v>5.7971014492753624E-2</v>
      </c>
      <c r="K536" s="74"/>
      <c r="L536" s="75"/>
      <c r="M536" s="142" t="s">
        <v>201</v>
      </c>
      <c r="N536" s="156">
        <v>499</v>
      </c>
      <c r="O536" s="168" t="s">
        <v>202</v>
      </c>
      <c r="Q536" s="53"/>
      <c r="R536" s="53"/>
      <c r="S536" s="53"/>
    </row>
    <row r="537" spans="1:19" ht="13.15" x14ac:dyDescent="0.4">
      <c r="A537" s="73" t="s">
        <v>130</v>
      </c>
      <c r="B537" s="86">
        <v>64</v>
      </c>
      <c r="C537" s="86">
        <v>50</v>
      </c>
      <c r="D537" s="86">
        <v>10</v>
      </c>
      <c r="E537" s="86">
        <v>4</v>
      </c>
      <c r="F537" s="86"/>
      <c r="G537" s="75">
        <v>1</v>
      </c>
      <c r="H537" s="75">
        <v>0.78125</v>
      </c>
      <c r="I537" s="75">
        <v>0.15625</v>
      </c>
      <c r="J537" s="75">
        <v>6.25E-2</v>
      </c>
      <c r="K537" s="75"/>
      <c r="L537" s="75"/>
      <c r="M537" s="142" t="s">
        <v>431</v>
      </c>
      <c r="N537" s="166">
        <v>337</v>
      </c>
      <c r="O537" s="167">
        <v>0.67535070140280562</v>
      </c>
      <c r="Q537" s="53"/>
      <c r="R537" s="53"/>
    </row>
    <row r="538" spans="1:19" ht="12.75" customHeight="1" x14ac:dyDescent="0.4">
      <c r="A538" s="73" t="s">
        <v>131</v>
      </c>
      <c r="B538" s="86">
        <v>32</v>
      </c>
      <c r="C538" s="86">
        <v>27</v>
      </c>
      <c r="D538" s="86">
        <v>5</v>
      </c>
      <c r="E538" s="86">
        <v>0</v>
      </c>
      <c r="F538" s="86"/>
      <c r="G538" s="75">
        <v>0.96969696969696972</v>
      </c>
      <c r="H538" s="75">
        <v>0.84375</v>
      </c>
      <c r="I538" s="75">
        <v>0.15625</v>
      </c>
      <c r="J538" s="75">
        <v>0</v>
      </c>
      <c r="K538" s="75"/>
      <c r="L538" s="75"/>
      <c r="M538" s="142" t="s">
        <v>226</v>
      </c>
      <c r="N538" s="166">
        <v>124</v>
      </c>
      <c r="O538" s="167">
        <v>0.24849699398797595</v>
      </c>
      <c r="P538" s="82"/>
      <c r="Q538" s="72"/>
      <c r="R538" s="72"/>
    </row>
    <row r="539" spans="1:19" ht="12.75" customHeight="1" x14ac:dyDescent="0.4">
      <c r="A539" s="73" t="s">
        <v>132</v>
      </c>
      <c r="B539" s="86">
        <v>62</v>
      </c>
      <c r="C539" s="86">
        <v>50</v>
      </c>
      <c r="D539" s="86">
        <v>9</v>
      </c>
      <c r="E539" s="86">
        <v>3</v>
      </c>
      <c r="F539" s="86"/>
      <c r="G539" s="75">
        <v>1</v>
      </c>
      <c r="H539" s="75">
        <v>0.80645161290322576</v>
      </c>
      <c r="I539" s="75">
        <v>0.14516129032258066</v>
      </c>
      <c r="J539" s="75">
        <v>4.8387096774193547E-2</v>
      </c>
      <c r="K539" s="75"/>
      <c r="L539" s="75"/>
      <c r="M539" s="142" t="s">
        <v>432</v>
      </c>
      <c r="N539" s="166">
        <v>154</v>
      </c>
      <c r="O539" s="167">
        <v>0.30861723446893785</v>
      </c>
      <c r="Q539" s="72"/>
      <c r="R539" s="72"/>
    </row>
    <row r="540" spans="1:19" ht="12.75" customHeight="1" x14ac:dyDescent="0.4">
      <c r="A540" s="73" t="s">
        <v>133</v>
      </c>
      <c r="B540" s="86">
        <v>67</v>
      </c>
      <c r="C540" s="86">
        <v>47</v>
      </c>
      <c r="D540" s="86">
        <v>14</v>
      </c>
      <c r="E540" s="86">
        <v>6</v>
      </c>
      <c r="F540" s="87"/>
      <c r="G540" s="75">
        <v>0.98529411764705888</v>
      </c>
      <c r="H540" s="75">
        <v>0.70149253731343286</v>
      </c>
      <c r="I540" s="75">
        <v>0.20895522388059701</v>
      </c>
      <c r="J540" s="75">
        <v>8.9552238805970144E-2</v>
      </c>
      <c r="K540" s="75"/>
      <c r="L540" s="75"/>
      <c r="M540" s="142" t="s">
        <v>227</v>
      </c>
      <c r="N540" s="166">
        <v>40</v>
      </c>
      <c r="O540" s="167">
        <v>8.0160320641282562E-2</v>
      </c>
      <c r="Q540" s="72"/>
      <c r="R540" s="72"/>
    </row>
    <row r="541" spans="1:19" ht="12.75" customHeight="1" x14ac:dyDescent="0.4">
      <c r="A541" s="73" t="s">
        <v>134</v>
      </c>
      <c r="B541" s="86">
        <v>68</v>
      </c>
      <c r="C541" s="86">
        <v>56</v>
      </c>
      <c r="D541" s="86">
        <v>8</v>
      </c>
      <c r="E541" s="86">
        <v>4</v>
      </c>
      <c r="F541" s="87"/>
      <c r="G541" s="75">
        <v>1</v>
      </c>
      <c r="H541" s="75">
        <v>0.82352941176470584</v>
      </c>
      <c r="I541" s="75">
        <v>0.11764705882352941</v>
      </c>
      <c r="J541" s="75">
        <v>5.8823529411764705E-2</v>
      </c>
      <c r="K541" s="75"/>
      <c r="L541" s="75"/>
      <c r="M541" s="142"/>
      <c r="N541" s="166"/>
      <c r="O541" s="167"/>
      <c r="Q541" s="72"/>
      <c r="R541" s="72"/>
    </row>
    <row r="542" spans="1:19" ht="12.75" customHeight="1" x14ac:dyDescent="0.4">
      <c r="A542" s="73" t="s">
        <v>376</v>
      </c>
      <c r="B542" s="86">
        <v>25</v>
      </c>
      <c r="C542" s="86">
        <v>22</v>
      </c>
      <c r="D542" s="86">
        <v>1</v>
      </c>
      <c r="E542" s="86">
        <v>2</v>
      </c>
      <c r="F542" s="87"/>
      <c r="G542" s="75">
        <v>0.96153846153846156</v>
      </c>
      <c r="H542" s="75">
        <v>0.88</v>
      </c>
      <c r="I542" s="75">
        <v>0.04</v>
      </c>
      <c r="J542" s="75">
        <v>0.08</v>
      </c>
      <c r="K542" s="75"/>
      <c r="L542" s="75"/>
      <c r="M542" s="142"/>
      <c r="N542" s="166"/>
      <c r="O542" s="167"/>
    </row>
    <row r="543" spans="1:19" ht="12.75" customHeight="1" x14ac:dyDescent="0.4">
      <c r="A543" s="73" t="s">
        <v>135</v>
      </c>
      <c r="B543" s="86">
        <v>28</v>
      </c>
      <c r="C543" s="86">
        <v>14</v>
      </c>
      <c r="D543" s="86">
        <v>11</v>
      </c>
      <c r="E543" s="86">
        <v>3</v>
      </c>
      <c r="F543" s="87"/>
      <c r="G543" s="75">
        <v>1</v>
      </c>
      <c r="H543" s="75">
        <v>0.5</v>
      </c>
      <c r="I543" s="75">
        <v>0.39285714285714285</v>
      </c>
      <c r="J543" s="75">
        <v>0.10714285714285714</v>
      </c>
      <c r="K543" s="75"/>
      <c r="L543" s="75"/>
      <c r="M543" s="142"/>
      <c r="N543" s="75"/>
      <c r="O543" s="75"/>
    </row>
    <row r="544" spans="1:19" ht="12.75" customHeight="1" x14ac:dyDescent="0.4">
      <c r="A544" s="73" t="s">
        <v>303</v>
      </c>
      <c r="B544" s="86">
        <v>32</v>
      </c>
      <c r="C544" s="86">
        <v>23</v>
      </c>
      <c r="D544" s="86">
        <v>7</v>
      </c>
      <c r="E544" s="86">
        <v>2</v>
      </c>
      <c r="F544" s="87"/>
      <c r="G544" s="75">
        <v>1</v>
      </c>
      <c r="H544" s="75">
        <v>0.71875</v>
      </c>
      <c r="I544" s="75">
        <v>0.21875</v>
      </c>
      <c r="J544" s="75">
        <v>6.25E-2</v>
      </c>
      <c r="K544" s="75"/>
      <c r="L544" s="75"/>
      <c r="M544" s="142"/>
      <c r="N544" s="75"/>
      <c r="O544" s="75"/>
    </row>
    <row r="545" spans="1:19" ht="12.75" customHeight="1" x14ac:dyDescent="0.4">
      <c r="A545" s="73" t="s">
        <v>23</v>
      </c>
      <c r="B545" s="87">
        <v>501</v>
      </c>
      <c r="C545" s="86">
        <v>371</v>
      </c>
      <c r="D545" s="86">
        <v>95</v>
      </c>
      <c r="E545" s="87">
        <v>35</v>
      </c>
      <c r="F545" s="72"/>
      <c r="G545" s="75">
        <v>0.99207920792079207</v>
      </c>
      <c r="H545" s="75">
        <v>0.74051896207584833</v>
      </c>
      <c r="I545" s="75">
        <v>0.18962075848303392</v>
      </c>
      <c r="J545" s="75">
        <v>6.9860279441117765E-2</v>
      </c>
      <c r="K545" s="75"/>
      <c r="L545" s="75"/>
      <c r="M545" s="73"/>
      <c r="N545" s="165"/>
      <c r="O545" s="75"/>
    </row>
    <row r="546" spans="1:19" ht="12.75" customHeight="1" x14ac:dyDescent="0.4">
      <c r="A546" s="73"/>
      <c r="B546" s="87"/>
      <c r="C546" s="86"/>
      <c r="D546" s="86"/>
      <c r="E546" s="87"/>
      <c r="F546" s="72"/>
      <c r="G546" s="75"/>
      <c r="H546" s="75"/>
      <c r="I546" s="75"/>
      <c r="J546" s="75"/>
      <c r="K546" s="75"/>
      <c r="L546" s="75"/>
      <c r="M546" s="73"/>
      <c r="N546" s="165"/>
      <c r="O546" s="75"/>
    </row>
    <row r="547" spans="1:19" ht="12.75" customHeight="1" x14ac:dyDescent="0.4">
      <c r="A547" s="73"/>
      <c r="B547" s="87"/>
      <c r="C547" s="87"/>
      <c r="D547" s="87"/>
      <c r="E547" s="87"/>
      <c r="F547" s="72"/>
      <c r="G547" s="75"/>
      <c r="H547" s="75"/>
      <c r="I547" s="75"/>
      <c r="J547" s="75"/>
      <c r="K547" s="75"/>
      <c r="L547" s="75"/>
      <c r="M547" s="73"/>
      <c r="N547" s="165"/>
      <c r="O547" s="75"/>
    </row>
    <row r="548" spans="1:19" s="53" customFormat="1" ht="12.75" customHeight="1" x14ac:dyDescent="0.4">
      <c r="A548" s="73"/>
      <c r="B548" s="87"/>
      <c r="C548" s="87"/>
      <c r="D548" s="87"/>
      <c r="E548" s="87"/>
      <c r="F548" s="72"/>
      <c r="G548" s="75"/>
      <c r="H548" s="75"/>
      <c r="I548" s="75"/>
      <c r="J548" s="75"/>
      <c r="K548" s="75"/>
      <c r="L548" s="75"/>
      <c r="M548" s="6"/>
      <c r="N548" s="6"/>
      <c r="O548" s="6"/>
      <c r="P548"/>
      <c r="Q548"/>
      <c r="R548"/>
      <c r="S548"/>
    </row>
    <row r="549" spans="1:19" s="53" customFormat="1" ht="12.75" customHeight="1" x14ac:dyDescent="0.4">
      <c r="A549" s="73" t="s">
        <v>413</v>
      </c>
      <c r="B549" s="72"/>
      <c r="C549" s="72"/>
      <c r="D549" s="72"/>
      <c r="E549" s="72"/>
      <c r="F549" s="72"/>
      <c r="G549" s="72"/>
      <c r="H549" s="72"/>
      <c r="I549" s="72"/>
      <c r="J549" s="72"/>
      <c r="K549" s="75"/>
      <c r="L549" s="72"/>
      <c r="M549" s="6"/>
      <c r="N549" s="6"/>
      <c r="O549" s="6"/>
      <c r="P549"/>
      <c r="Q549"/>
      <c r="R549"/>
      <c r="S549"/>
    </row>
    <row r="550" spans="1:19" s="53" customFormat="1" ht="12.75" customHeight="1" x14ac:dyDescent="0.4">
      <c r="A550" s="73" t="s">
        <v>414</v>
      </c>
      <c r="B550" s="72"/>
      <c r="C550" s="72"/>
      <c r="D550" s="72"/>
      <c r="E550" s="72"/>
      <c r="F550" s="72"/>
      <c r="G550" s="72"/>
      <c r="H550" s="72"/>
      <c r="I550" s="72"/>
      <c r="J550" s="72"/>
      <c r="K550" s="72"/>
      <c r="L550" s="72"/>
      <c r="M550" s="6"/>
      <c r="N550" s="6"/>
      <c r="O550" s="6"/>
      <c r="P550" s="72"/>
      <c r="Q550"/>
      <c r="R550"/>
      <c r="S550"/>
    </row>
    <row r="551" spans="1:19" s="53" customFormat="1" ht="12.75" customHeight="1" x14ac:dyDescent="0.4">
      <c r="A551" s="73" t="s">
        <v>415</v>
      </c>
      <c r="B551" s="72"/>
      <c r="C551" s="72"/>
      <c r="D551" s="72"/>
      <c r="E551" s="72"/>
      <c r="F551" s="72"/>
      <c r="G551" s="72"/>
      <c r="H551" s="72"/>
      <c r="I551" s="72"/>
      <c r="J551" s="72"/>
      <c r="K551" s="72"/>
      <c r="L551" s="72"/>
      <c r="M551" s="6"/>
      <c r="N551" s="6"/>
      <c r="O551" s="6"/>
      <c r="P551" s="72"/>
      <c r="Q551"/>
      <c r="R551"/>
      <c r="S551"/>
    </row>
    <row r="552" spans="1:19" ht="12.75" customHeight="1" x14ac:dyDescent="0.4">
      <c r="A552" s="73"/>
      <c r="B552" s="72" t="s">
        <v>139</v>
      </c>
      <c r="C552" s="72"/>
      <c r="D552" s="72"/>
      <c r="E552" s="72"/>
      <c r="F552" s="86"/>
      <c r="G552" s="72" t="s">
        <v>146</v>
      </c>
      <c r="H552" s="72"/>
      <c r="I552" s="72"/>
      <c r="J552" s="72"/>
      <c r="K552" s="72"/>
      <c r="L552" s="72"/>
      <c r="M552" s="6"/>
      <c r="N552" s="6"/>
      <c r="O552" s="6"/>
      <c r="P552" s="72"/>
    </row>
    <row r="553" spans="1:19" ht="12.75" customHeight="1" x14ac:dyDescent="0.4">
      <c r="A553" s="73" t="s">
        <v>136</v>
      </c>
      <c r="B553" s="74" t="s">
        <v>112</v>
      </c>
      <c r="C553" s="74" t="s">
        <v>113</v>
      </c>
      <c r="D553" s="74" t="s">
        <v>114</v>
      </c>
      <c r="E553" s="74" t="s">
        <v>115</v>
      </c>
      <c r="F553" s="86"/>
      <c r="G553" s="74" t="s">
        <v>112</v>
      </c>
      <c r="H553" s="74" t="s">
        <v>113</v>
      </c>
      <c r="I553" s="74" t="s">
        <v>114</v>
      </c>
      <c r="J553" s="74" t="s">
        <v>115</v>
      </c>
      <c r="K553" s="72"/>
      <c r="L553" s="72"/>
      <c r="M553" s="6" t="s">
        <v>358</v>
      </c>
      <c r="N553" s="6"/>
      <c r="O553" s="6"/>
      <c r="P553" s="72"/>
      <c r="S553" s="53"/>
    </row>
    <row r="554" spans="1:19" ht="12.75" customHeight="1" x14ac:dyDescent="0.4">
      <c r="A554" s="73" t="s">
        <v>127</v>
      </c>
      <c r="B554" s="86">
        <v>29</v>
      </c>
      <c r="C554" s="86">
        <v>14</v>
      </c>
      <c r="D554" s="86">
        <v>14</v>
      </c>
      <c r="E554" s="86">
        <v>1</v>
      </c>
      <c r="F554" s="86"/>
      <c r="G554" s="75">
        <v>0.96666666666666667</v>
      </c>
      <c r="H554" s="75">
        <v>0.48275862068965519</v>
      </c>
      <c r="I554" s="75">
        <v>0.48275862068965519</v>
      </c>
      <c r="J554" s="75">
        <v>3.4482758620689655E-2</v>
      </c>
      <c r="K554" s="72"/>
      <c r="L554" s="74"/>
      <c r="M554" s="6" t="s">
        <v>416</v>
      </c>
      <c r="N554" s="139"/>
      <c r="O554" s="140"/>
      <c r="S554" s="53"/>
    </row>
    <row r="555" spans="1:19" ht="12.75" customHeight="1" x14ac:dyDescent="0.4">
      <c r="A555" s="73" t="s">
        <v>128</v>
      </c>
      <c r="B555" s="86">
        <v>25</v>
      </c>
      <c r="C555" s="86">
        <v>13</v>
      </c>
      <c r="D555" s="86">
        <v>10</v>
      </c>
      <c r="E555" s="86">
        <v>2</v>
      </c>
      <c r="F555" s="86"/>
      <c r="G555" s="75">
        <v>1</v>
      </c>
      <c r="H555" s="75">
        <v>0.52</v>
      </c>
      <c r="I555" s="75">
        <v>0.4</v>
      </c>
      <c r="J555" s="75">
        <v>0.08</v>
      </c>
      <c r="K555" s="72"/>
      <c r="L555" s="75"/>
      <c r="M555" s="6" t="s">
        <v>249</v>
      </c>
      <c r="N555" s="6"/>
      <c r="O555" s="6"/>
      <c r="S555" s="53"/>
    </row>
    <row r="556" spans="1:19" ht="12.75" customHeight="1" x14ac:dyDescent="0.4">
      <c r="A556" s="73" t="s">
        <v>129</v>
      </c>
      <c r="B556" s="86">
        <v>69</v>
      </c>
      <c r="C556" s="86">
        <v>55</v>
      </c>
      <c r="D556" s="86">
        <v>11</v>
      </c>
      <c r="E556" s="86">
        <v>3</v>
      </c>
      <c r="F556" s="86"/>
      <c r="G556" s="75">
        <v>1</v>
      </c>
      <c r="H556" s="75">
        <v>0.79710144927536231</v>
      </c>
      <c r="I556" s="75">
        <v>0.15942028985507245</v>
      </c>
      <c r="J556" s="75">
        <v>4.3478260869565216E-2</v>
      </c>
      <c r="K556" s="74"/>
      <c r="L556" s="75"/>
      <c r="M556" s="6" t="s">
        <v>201</v>
      </c>
      <c r="N556" s="139">
        <v>497</v>
      </c>
      <c r="O556" s="141" t="s">
        <v>202</v>
      </c>
      <c r="P556" s="82"/>
      <c r="Q556" s="53"/>
      <c r="R556" s="53"/>
      <c r="S556" s="53"/>
    </row>
    <row r="557" spans="1:19" ht="12.75" customHeight="1" x14ac:dyDescent="0.4">
      <c r="A557" s="73" t="s">
        <v>130</v>
      </c>
      <c r="B557" s="86">
        <v>64</v>
      </c>
      <c r="C557" s="86">
        <v>48</v>
      </c>
      <c r="D557" s="86">
        <v>11</v>
      </c>
      <c r="E557" s="86">
        <v>5</v>
      </c>
      <c r="F557" s="86"/>
      <c r="G557" s="75">
        <v>0.98461538461538467</v>
      </c>
      <c r="H557" s="75">
        <v>0.75</v>
      </c>
      <c r="I557" s="75">
        <v>0.171875</v>
      </c>
      <c r="J557" s="75">
        <v>7.8125E-2</v>
      </c>
      <c r="K557" s="75"/>
      <c r="L557" s="75"/>
      <c r="M557" s="6" t="s">
        <v>417</v>
      </c>
      <c r="N557" s="139">
        <v>326</v>
      </c>
      <c r="O557" s="140">
        <v>0.65593561368209252</v>
      </c>
      <c r="Q557" s="53"/>
      <c r="R557" s="53"/>
    </row>
    <row r="558" spans="1:19" ht="12.75" customHeight="1" x14ac:dyDescent="0.4">
      <c r="A558" s="73" t="s">
        <v>131</v>
      </c>
      <c r="B558" s="86">
        <v>33</v>
      </c>
      <c r="C558" s="86">
        <v>20</v>
      </c>
      <c r="D558" s="86">
        <v>9</v>
      </c>
      <c r="E558" s="86">
        <v>4</v>
      </c>
      <c r="F558" s="86"/>
      <c r="G558" s="75">
        <v>1</v>
      </c>
      <c r="H558" s="75">
        <v>0.60606060606060608</v>
      </c>
      <c r="I558" s="75">
        <v>0.27272727272727271</v>
      </c>
      <c r="J558" s="75">
        <v>0.12121212121212122</v>
      </c>
      <c r="K558" s="75"/>
      <c r="L558" s="75"/>
      <c r="M558" s="6" t="s">
        <v>226</v>
      </c>
      <c r="N558" s="139">
        <v>93</v>
      </c>
      <c r="O558" s="140">
        <v>0.18712273641851107</v>
      </c>
      <c r="Q558" s="72"/>
      <c r="R558" s="72"/>
    </row>
    <row r="559" spans="1:19" ht="12.75" customHeight="1" x14ac:dyDescent="0.4">
      <c r="A559" s="73" t="s">
        <v>132</v>
      </c>
      <c r="B559" s="86">
        <v>61</v>
      </c>
      <c r="C559" s="86">
        <v>44</v>
      </c>
      <c r="D559" s="86">
        <v>11</v>
      </c>
      <c r="E559" s="86">
        <v>6</v>
      </c>
      <c r="F559" s="86"/>
      <c r="G559" s="75">
        <v>1</v>
      </c>
      <c r="H559" s="75">
        <v>0.72131147540983609</v>
      </c>
      <c r="I559" s="75">
        <v>0.18032786885245902</v>
      </c>
      <c r="J559" s="75">
        <v>9.8360655737704916E-2</v>
      </c>
      <c r="K559" s="75"/>
      <c r="L559" s="75"/>
      <c r="M559" s="6" t="s">
        <v>418</v>
      </c>
      <c r="N559" s="139">
        <v>164</v>
      </c>
      <c r="O559" s="140">
        <v>0.32997987927565392</v>
      </c>
      <c r="Q559" s="72"/>
      <c r="R559" s="72"/>
    </row>
    <row r="560" spans="1:19" ht="12.75" customHeight="1" x14ac:dyDescent="0.4">
      <c r="A560" s="73" t="s">
        <v>133</v>
      </c>
      <c r="B560" s="86">
        <v>67</v>
      </c>
      <c r="C560" s="86">
        <v>41</v>
      </c>
      <c r="D560" s="86">
        <v>23</v>
      </c>
      <c r="E560" s="86">
        <v>3</v>
      </c>
      <c r="F560" s="87"/>
      <c r="G560" s="75">
        <v>1</v>
      </c>
      <c r="H560" s="75">
        <v>0.61194029850746268</v>
      </c>
      <c r="I560" s="75">
        <v>0.34328358208955223</v>
      </c>
      <c r="J560" s="75">
        <v>4.4776119402985072E-2</v>
      </c>
      <c r="K560" s="75"/>
      <c r="L560" s="75"/>
      <c r="M560" s="6" t="s">
        <v>227</v>
      </c>
      <c r="N560" s="139">
        <v>42</v>
      </c>
      <c r="O560" s="140">
        <v>8.4507042253521125E-2</v>
      </c>
      <c r="Q560" s="72"/>
      <c r="R560" s="72"/>
    </row>
    <row r="561" spans="1:19" ht="12.75" customHeight="1" x14ac:dyDescent="0.4">
      <c r="A561" s="73" t="s">
        <v>134</v>
      </c>
      <c r="B561" s="86">
        <v>67</v>
      </c>
      <c r="C561" s="86">
        <v>55</v>
      </c>
      <c r="D561" s="86">
        <v>7</v>
      </c>
      <c r="E561" s="86">
        <v>5</v>
      </c>
      <c r="F561" s="87"/>
      <c r="G561" s="75">
        <v>0.98529411764705888</v>
      </c>
      <c r="H561" s="75">
        <v>0.82089552238805974</v>
      </c>
      <c r="I561" s="75">
        <v>0.1044776119402985</v>
      </c>
      <c r="J561" s="75">
        <v>7.4626865671641784E-2</v>
      </c>
      <c r="K561" s="75"/>
      <c r="L561" s="75"/>
      <c r="M561" s="6"/>
      <c r="N561" s="139"/>
      <c r="O561" s="140"/>
    </row>
    <row r="562" spans="1:19" ht="12.75" customHeight="1" x14ac:dyDescent="0.4">
      <c r="A562" s="73" t="s">
        <v>376</v>
      </c>
      <c r="B562" s="86">
        <v>25</v>
      </c>
      <c r="C562" s="86">
        <v>16</v>
      </c>
      <c r="D562" s="86">
        <v>7</v>
      </c>
      <c r="E562" s="86">
        <v>2</v>
      </c>
      <c r="F562" s="87"/>
      <c r="G562" s="75">
        <v>0.96153846153846156</v>
      </c>
      <c r="H562" s="75">
        <v>0.64</v>
      </c>
      <c r="I562" s="75">
        <v>0.28000000000000003</v>
      </c>
      <c r="J562" s="75">
        <v>0.08</v>
      </c>
      <c r="K562" s="75"/>
      <c r="L562" s="75"/>
      <c r="M562" s="6"/>
      <c r="N562" s="139"/>
      <c r="O562" s="140"/>
    </row>
    <row r="563" spans="1:19" ht="12.75" customHeight="1" x14ac:dyDescent="0.4">
      <c r="A563" s="73" t="s">
        <v>135</v>
      </c>
      <c r="B563" s="86">
        <v>29</v>
      </c>
      <c r="C563" s="86">
        <v>17</v>
      </c>
      <c r="D563" s="86">
        <v>11</v>
      </c>
      <c r="E563" s="86">
        <v>1</v>
      </c>
      <c r="F563" s="87"/>
      <c r="G563" s="75">
        <v>1</v>
      </c>
      <c r="H563" s="75">
        <v>0.58620689655172409</v>
      </c>
      <c r="I563" s="75">
        <v>0.37931034482758619</v>
      </c>
      <c r="J563" s="75">
        <v>3.4482758620689655E-2</v>
      </c>
      <c r="K563" s="75"/>
      <c r="L563" s="75"/>
      <c r="M563" s="6"/>
      <c r="N563" s="75"/>
      <c r="O563" s="75"/>
    </row>
    <row r="564" spans="1:19" ht="12.75" customHeight="1" x14ac:dyDescent="0.4">
      <c r="A564" s="73" t="s">
        <v>303</v>
      </c>
      <c r="B564" s="86">
        <v>32</v>
      </c>
      <c r="C564" s="86">
        <v>18</v>
      </c>
      <c r="D564" s="86">
        <v>11</v>
      </c>
      <c r="E564" s="86">
        <v>3</v>
      </c>
      <c r="F564" s="87"/>
      <c r="G564" s="75">
        <v>1</v>
      </c>
      <c r="H564" s="75">
        <v>0.5625</v>
      </c>
      <c r="I564" s="75">
        <v>0.34375</v>
      </c>
      <c r="J564" s="75">
        <v>9.375E-2</v>
      </c>
      <c r="K564" s="75"/>
      <c r="L564" s="75"/>
      <c r="M564" s="6"/>
      <c r="N564" s="75"/>
      <c r="O564" s="75"/>
    </row>
    <row r="565" spans="1:19" ht="12.75" customHeight="1" x14ac:dyDescent="0.4">
      <c r="A565" s="73" t="s">
        <v>23</v>
      </c>
      <c r="B565" s="87">
        <v>501</v>
      </c>
      <c r="C565" s="86">
        <v>341</v>
      </c>
      <c r="D565" s="86">
        <v>125</v>
      </c>
      <c r="E565" s="87">
        <v>35</v>
      </c>
      <c r="F565" s="72"/>
      <c r="G565" s="75">
        <v>0.99207920792079207</v>
      </c>
      <c r="H565" s="75">
        <v>0.68063872255489022</v>
      </c>
      <c r="I565" s="75">
        <v>0.249500998003992</v>
      </c>
      <c r="J565" s="75">
        <v>6.9860279441117765E-2</v>
      </c>
      <c r="K565" s="75"/>
      <c r="L565" s="75"/>
      <c r="M565" s="73"/>
      <c r="N565" s="165"/>
      <c r="O565" s="75"/>
    </row>
    <row r="566" spans="1:19" ht="12.75" customHeight="1" x14ac:dyDescent="0.4">
      <c r="A566" s="73"/>
      <c r="B566" s="87"/>
      <c r="C566" s="87"/>
      <c r="D566" s="87"/>
      <c r="E566" s="87"/>
      <c r="F566" s="72"/>
      <c r="G566" s="75"/>
      <c r="H566" s="75"/>
      <c r="I566" s="75"/>
      <c r="J566" s="75"/>
      <c r="K566" s="75"/>
      <c r="L566" s="75"/>
      <c r="M566" s="73"/>
      <c r="N566" s="165"/>
      <c r="O566" s="75"/>
    </row>
    <row r="567" spans="1:19" s="53" customFormat="1" ht="12.75" customHeight="1" x14ac:dyDescent="0.4">
      <c r="A567" s="73"/>
      <c r="B567" s="87"/>
      <c r="C567" s="87"/>
      <c r="D567" s="87"/>
      <c r="E567" s="87"/>
      <c r="F567" s="72"/>
      <c r="G567" s="75"/>
      <c r="H567" s="75"/>
      <c r="I567" s="75"/>
      <c r="J567" s="75"/>
      <c r="K567" s="75"/>
      <c r="L567" s="75"/>
      <c r="M567" s="6"/>
      <c r="N567" s="6"/>
      <c r="O567" s="113"/>
      <c r="P567"/>
      <c r="Q567"/>
      <c r="R567"/>
      <c r="S567"/>
    </row>
    <row r="568" spans="1:19" s="53" customFormat="1" ht="12.75" customHeight="1" x14ac:dyDescent="0.4">
      <c r="A568" s="73"/>
      <c r="B568" s="87"/>
      <c r="C568" s="87"/>
      <c r="D568" s="87"/>
      <c r="E568" s="87"/>
      <c r="F568" s="72"/>
      <c r="G568" s="75"/>
      <c r="H568" s="75"/>
      <c r="I568" s="75"/>
      <c r="J568" s="75"/>
      <c r="K568" s="75"/>
      <c r="L568" s="75"/>
      <c r="M568" s="6"/>
      <c r="N568" s="6"/>
      <c r="O568" s="6"/>
      <c r="P568" s="72"/>
      <c r="Q568"/>
      <c r="R568"/>
      <c r="S568"/>
    </row>
    <row r="569" spans="1:19" s="53" customFormat="1" ht="12.75" customHeight="1" x14ac:dyDescent="0.4">
      <c r="A569" s="73" t="s">
        <v>388</v>
      </c>
      <c r="B569" s="72"/>
      <c r="C569" s="72"/>
      <c r="D569" s="72"/>
      <c r="E569" s="72"/>
      <c r="F569" s="72"/>
      <c r="G569" s="72"/>
      <c r="H569" s="72"/>
      <c r="I569" s="72"/>
      <c r="J569" s="72"/>
      <c r="K569" s="75"/>
      <c r="L569" s="75"/>
      <c r="M569" s="6"/>
      <c r="N569" s="6"/>
      <c r="O569" s="6"/>
      <c r="P569" s="72"/>
      <c r="Q569"/>
      <c r="R569"/>
      <c r="S569"/>
    </row>
    <row r="570" spans="1:19" s="53" customFormat="1" ht="12.75" customHeight="1" x14ac:dyDescent="0.4">
      <c r="A570" s="73" t="s">
        <v>396</v>
      </c>
      <c r="B570" s="72"/>
      <c r="C570" s="72"/>
      <c r="D570" s="72"/>
      <c r="E570" s="72"/>
      <c r="F570" s="72"/>
      <c r="G570" s="72"/>
      <c r="H570" s="72"/>
      <c r="I570" s="72"/>
      <c r="J570" s="72"/>
      <c r="K570" s="75"/>
      <c r="L570" s="72"/>
      <c r="M570" s="6"/>
      <c r="N570" s="6"/>
      <c r="O570" s="6"/>
      <c r="P570" s="72"/>
      <c r="Q570"/>
      <c r="R570"/>
      <c r="S570"/>
    </row>
    <row r="571" spans="1:19" ht="12.75" customHeight="1" x14ac:dyDescent="0.4">
      <c r="A571" s="73" t="s">
        <v>398</v>
      </c>
      <c r="B571" s="72"/>
      <c r="C571" s="72"/>
      <c r="D571" s="72"/>
      <c r="E571" s="72"/>
      <c r="F571" s="72"/>
      <c r="G571" s="72"/>
      <c r="H571" s="72"/>
      <c r="I571" s="72"/>
      <c r="J571" s="72"/>
      <c r="K571" s="72"/>
      <c r="L571" s="72"/>
      <c r="M571" s="6"/>
      <c r="N571" s="6"/>
      <c r="O571" s="6"/>
      <c r="P571" s="72"/>
    </row>
    <row r="572" spans="1:19" ht="12.75" customHeight="1" x14ac:dyDescent="0.4">
      <c r="A572" s="73"/>
      <c r="B572" s="72" t="s">
        <v>139</v>
      </c>
      <c r="C572" s="72"/>
      <c r="D572" s="72"/>
      <c r="E572" s="72"/>
      <c r="F572" s="86"/>
      <c r="G572" s="72" t="s">
        <v>146</v>
      </c>
      <c r="H572" s="72"/>
      <c r="I572" s="72"/>
      <c r="J572" s="72"/>
      <c r="K572" s="72"/>
      <c r="L572" s="74"/>
      <c r="M572" s="6"/>
      <c r="N572" s="6"/>
      <c r="O572" s="6"/>
      <c r="S572" s="53"/>
    </row>
    <row r="573" spans="1:19" ht="12.75" customHeight="1" x14ac:dyDescent="0.4">
      <c r="A573" s="73" t="s">
        <v>136</v>
      </c>
      <c r="B573" s="74" t="s">
        <v>112</v>
      </c>
      <c r="C573" s="74" t="s">
        <v>113</v>
      </c>
      <c r="D573" s="74" t="s">
        <v>114</v>
      </c>
      <c r="E573" s="74" t="s">
        <v>115</v>
      </c>
      <c r="F573" s="86"/>
      <c r="G573" s="74" t="s">
        <v>112</v>
      </c>
      <c r="H573" s="74" t="s">
        <v>113</v>
      </c>
      <c r="I573" s="74" t="s">
        <v>114</v>
      </c>
      <c r="J573" s="74" t="s">
        <v>115</v>
      </c>
      <c r="K573" s="72"/>
      <c r="L573" s="75"/>
      <c r="M573" s="6" t="s">
        <v>357</v>
      </c>
      <c r="N573" s="6"/>
      <c r="O573" s="6"/>
      <c r="S573" s="53"/>
    </row>
    <row r="574" spans="1:19" ht="12.75" customHeight="1" x14ac:dyDescent="0.4">
      <c r="A574" s="73" t="s">
        <v>127</v>
      </c>
      <c r="B574" s="86">
        <v>30</v>
      </c>
      <c r="C574" s="86">
        <v>22</v>
      </c>
      <c r="D574" s="86">
        <v>6</v>
      </c>
      <c r="E574" s="86">
        <v>2</v>
      </c>
      <c r="F574" s="86"/>
      <c r="G574" s="75">
        <v>1</v>
      </c>
      <c r="H574" s="75">
        <v>0.73333333333333328</v>
      </c>
      <c r="I574" s="75">
        <v>0.2</v>
      </c>
      <c r="J574" s="75">
        <v>6.6666666666666666E-2</v>
      </c>
      <c r="K574" s="74"/>
      <c r="L574" s="75"/>
      <c r="M574" s="6" t="s">
        <v>393</v>
      </c>
      <c r="N574" s="139"/>
      <c r="O574" s="140"/>
      <c r="S574" s="53"/>
    </row>
    <row r="575" spans="1:19" ht="12.75" customHeight="1" x14ac:dyDescent="0.4">
      <c r="A575" s="73" t="s">
        <v>128</v>
      </c>
      <c r="B575" s="86">
        <v>23</v>
      </c>
      <c r="C575" s="86">
        <v>16</v>
      </c>
      <c r="D575" s="86">
        <v>6</v>
      </c>
      <c r="E575" s="86">
        <v>1</v>
      </c>
      <c r="F575" s="86"/>
      <c r="G575" s="75">
        <v>0.95833333333333337</v>
      </c>
      <c r="H575" s="75">
        <v>0.69565217391304346</v>
      </c>
      <c r="I575" s="75">
        <v>0.2608695652173913</v>
      </c>
      <c r="J575" s="75">
        <v>4.3478260869565216E-2</v>
      </c>
      <c r="K575" s="75"/>
      <c r="L575" s="75"/>
      <c r="M575" s="6" t="s">
        <v>249</v>
      </c>
      <c r="N575" s="6"/>
      <c r="O575" s="6"/>
      <c r="Q575" s="53"/>
      <c r="R575" s="53"/>
      <c r="S575" s="53"/>
    </row>
    <row r="576" spans="1:19" ht="12.75" customHeight="1" x14ac:dyDescent="0.4">
      <c r="A576" s="73" t="s">
        <v>129</v>
      </c>
      <c r="B576" s="86">
        <v>69</v>
      </c>
      <c r="C576" s="86">
        <v>46</v>
      </c>
      <c r="D576" s="86">
        <v>13</v>
      </c>
      <c r="E576" s="86">
        <v>10</v>
      </c>
      <c r="F576" s="86"/>
      <c r="G576" s="75">
        <v>0.971830985915493</v>
      </c>
      <c r="H576" s="75">
        <v>0.66666666666666663</v>
      </c>
      <c r="I576" s="75">
        <v>0.18840579710144928</v>
      </c>
      <c r="J576" s="75">
        <v>0.14492753623188406</v>
      </c>
      <c r="K576" s="75"/>
      <c r="L576" s="75"/>
      <c r="M576" s="6" t="s">
        <v>201</v>
      </c>
      <c r="N576" s="139">
        <v>498</v>
      </c>
      <c r="O576" s="141" t="s">
        <v>202</v>
      </c>
      <c r="Q576" s="53"/>
      <c r="R576" s="53"/>
    </row>
    <row r="577" spans="1:19" ht="12.75" customHeight="1" x14ac:dyDescent="0.4">
      <c r="A577" s="73" t="s">
        <v>130</v>
      </c>
      <c r="B577" s="86">
        <v>65</v>
      </c>
      <c r="C577" s="86">
        <v>53</v>
      </c>
      <c r="D577" s="86">
        <v>6</v>
      </c>
      <c r="E577" s="86">
        <v>6</v>
      </c>
      <c r="F577" s="86"/>
      <c r="G577" s="75">
        <v>1</v>
      </c>
      <c r="H577" s="75">
        <v>0.81538461538461537</v>
      </c>
      <c r="I577" s="75">
        <v>9.2307692307692313E-2</v>
      </c>
      <c r="J577" s="75">
        <v>9.2307692307692313E-2</v>
      </c>
      <c r="K577" s="75"/>
      <c r="L577" s="75"/>
      <c r="M577" s="6" t="s">
        <v>389</v>
      </c>
      <c r="N577" s="139">
        <v>310</v>
      </c>
      <c r="O577" s="140">
        <v>0.6224899598393574</v>
      </c>
      <c r="P577" s="82"/>
      <c r="Q577" s="72"/>
      <c r="R577" s="72"/>
    </row>
    <row r="578" spans="1:19" ht="12.75" customHeight="1" x14ac:dyDescent="0.4">
      <c r="A578" s="73" t="s">
        <v>131</v>
      </c>
      <c r="B578" s="86">
        <v>32</v>
      </c>
      <c r="C578" s="86">
        <v>24</v>
      </c>
      <c r="D578" s="86">
        <v>5</v>
      </c>
      <c r="E578" s="86">
        <v>3</v>
      </c>
      <c r="F578" s="86"/>
      <c r="G578" s="75">
        <v>1</v>
      </c>
      <c r="H578" s="75">
        <v>0.75</v>
      </c>
      <c r="I578" s="75">
        <v>0.15625</v>
      </c>
      <c r="J578" s="75">
        <v>9.375E-2</v>
      </c>
      <c r="K578" s="75"/>
      <c r="L578" s="75"/>
      <c r="M578" s="6" t="s">
        <v>226</v>
      </c>
      <c r="N578" s="139">
        <v>88</v>
      </c>
      <c r="O578" s="140">
        <v>0.17670682730923695</v>
      </c>
      <c r="Q578" s="72"/>
      <c r="R578" s="72"/>
    </row>
    <row r="579" spans="1:19" ht="12.75" customHeight="1" x14ac:dyDescent="0.4">
      <c r="A579" s="73" t="s">
        <v>132</v>
      </c>
      <c r="B579" s="86">
        <v>62</v>
      </c>
      <c r="C579" s="86">
        <v>48</v>
      </c>
      <c r="D579" s="86">
        <v>9</v>
      </c>
      <c r="E579" s="86">
        <v>5</v>
      </c>
      <c r="F579" s="86"/>
      <c r="G579" s="75">
        <v>0.96875</v>
      </c>
      <c r="H579" s="75">
        <v>0.77419354838709675</v>
      </c>
      <c r="I579" s="75">
        <v>0.14516129032258066</v>
      </c>
      <c r="J579" s="75">
        <v>8.0645161290322578E-2</v>
      </c>
      <c r="K579" s="75"/>
      <c r="L579" s="75"/>
      <c r="M579" s="6" t="s">
        <v>390</v>
      </c>
      <c r="N579" s="139">
        <v>178</v>
      </c>
      <c r="O579" s="140">
        <v>0.35742971887550201</v>
      </c>
      <c r="Q579" s="72"/>
      <c r="R579" s="72"/>
    </row>
    <row r="580" spans="1:19" ht="12.75" customHeight="1" x14ac:dyDescent="0.4">
      <c r="A580" s="73" t="s">
        <v>133</v>
      </c>
      <c r="B580" s="86">
        <v>66</v>
      </c>
      <c r="C580" s="86">
        <v>51</v>
      </c>
      <c r="D580" s="86">
        <v>10</v>
      </c>
      <c r="E580" s="86">
        <v>5</v>
      </c>
      <c r="F580" s="87"/>
      <c r="G580" s="75">
        <v>0.9850746268656716</v>
      </c>
      <c r="H580" s="75">
        <v>0.77272727272727271</v>
      </c>
      <c r="I580" s="75">
        <v>0.15151515151515152</v>
      </c>
      <c r="J580" s="75">
        <v>7.575757575757576E-2</v>
      </c>
      <c r="K580" s="75"/>
      <c r="L580" s="75"/>
      <c r="M580" s="6" t="s">
        <v>227</v>
      </c>
      <c r="N580" s="139">
        <v>32</v>
      </c>
      <c r="O580" s="140">
        <v>6.4257028112449793E-2</v>
      </c>
    </row>
    <row r="581" spans="1:19" ht="12.75" customHeight="1" x14ac:dyDescent="0.4">
      <c r="A581" s="73" t="s">
        <v>134</v>
      </c>
      <c r="B581" s="86">
        <v>64</v>
      </c>
      <c r="C581" s="86">
        <v>58</v>
      </c>
      <c r="D581" s="86">
        <v>3</v>
      </c>
      <c r="E581" s="86">
        <v>3</v>
      </c>
      <c r="F581" s="87"/>
      <c r="G581" s="75">
        <v>0.98461538461538467</v>
      </c>
      <c r="H581" s="75">
        <v>0.90625</v>
      </c>
      <c r="I581" s="75">
        <v>4.6875E-2</v>
      </c>
      <c r="J581" s="75">
        <v>4.6875E-2</v>
      </c>
      <c r="K581" s="75"/>
      <c r="L581" s="75"/>
      <c r="M581" s="6"/>
      <c r="N581" s="139"/>
      <c r="O581" s="140"/>
    </row>
    <row r="582" spans="1:19" ht="12.75" customHeight="1" x14ac:dyDescent="0.4">
      <c r="A582" s="73" t="s">
        <v>376</v>
      </c>
      <c r="B582" s="86">
        <v>25</v>
      </c>
      <c r="C582" s="86">
        <v>20</v>
      </c>
      <c r="D582" s="86">
        <v>3</v>
      </c>
      <c r="E582" s="86">
        <v>2</v>
      </c>
      <c r="F582" s="87"/>
      <c r="G582" s="75">
        <v>0.96153846153846156</v>
      </c>
      <c r="H582" s="75">
        <v>0.8</v>
      </c>
      <c r="I582" s="75">
        <v>0.12</v>
      </c>
      <c r="J582" s="75">
        <v>0.08</v>
      </c>
      <c r="K582" s="75"/>
      <c r="L582" s="75"/>
      <c r="M582" s="6"/>
      <c r="N582" s="139"/>
      <c r="O582" s="140"/>
    </row>
    <row r="583" spans="1:19" ht="12.75" customHeight="1" x14ac:dyDescent="0.4">
      <c r="A583" s="73" t="s">
        <v>135</v>
      </c>
      <c r="B583" s="86">
        <v>29</v>
      </c>
      <c r="C583" s="86">
        <v>24</v>
      </c>
      <c r="D583" s="86">
        <v>4</v>
      </c>
      <c r="E583" s="86">
        <v>1</v>
      </c>
      <c r="F583" s="87"/>
      <c r="G583" s="75">
        <v>1</v>
      </c>
      <c r="H583" s="75">
        <v>0.82758620689655171</v>
      </c>
      <c r="I583" s="75">
        <v>0.13793103448275862</v>
      </c>
      <c r="J583" s="75">
        <v>3.4482758620689655E-2</v>
      </c>
      <c r="K583" s="75"/>
      <c r="L583" s="75"/>
      <c r="M583" s="6"/>
      <c r="N583" s="75"/>
      <c r="O583" s="75"/>
    </row>
    <row r="584" spans="1:19" ht="12.75" customHeight="1" x14ac:dyDescent="0.4">
      <c r="A584" s="73" t="s">
        <v>303</v>
      </c>
      <c r="B584" s="86">
        <v>32</v>
      </c>
      <c r="C584" s="86">
        <v>20</v>
      </c>
      <c r="D584" s="86">
        <v>10</v>
      </c>
      <c r="E584" s="86">
        <v>2</v>
      </c>
      <c r="F584" s="87"/>
      <c r="G584" s="75">
        <v>1</v>
      </c>
      <c r="H584" s="75">
        <v>0.625</v>
      </c>
      <c r="I584" s="75">
        <v>0.3125</v>
      </c>
      <c r="J584" s="75">
        <v>6.25E-2</v>
      </c>
      <c r="K584" s="75"/>
      <c r="L584" s="75"/>
      <c r="M584" s="6"/>
      <c r="N584" s="75"/>
      <c r="O584" s="75"/>
    </row>
    <row r="585" spans="1:19" ht="12.75" customHeight="1" x14ac:dyDescent="0.4">
      <c r="A585" s="73" t="s">
        <v>23</v>
      </c>
      <c r="B585" s="87">
        <v>497</v>
      </c>
      <c r="C585" s="86">
        <v>382</v>
      </c>
      <c r="D585" s="86">
        <v>75</v>
      </c>
      <c r="E585" s="87">
        <v>40</v>
      </c>
      <c r="F585" s="72"/>
      <c r="G585" s="75">
        <v>0.98415841584158414</v>
      </c>
      <c r="H585" s="75">
        <v>0.76861167002012076</v>
      </c>
      <c r="I585" s="75">
        <v>0.15090543259557343</v>
      </c>
      <c r="J585" s="75">
        <v>8.0482897384305835E-2</v>
      </c>
      <c r="K585" s="75"/>
      <c r="L585" s="75"/>
      <c r="M585" s="73"/>
      <c r="N585" s="165"/>
      <c r="O585" s="75"/>
    </row>
    <row r="586" spans="1:19" s="53" customFormat="1" ht="12.75" customHeight="1" x14ac:dyDescent="0.4">
      <c r="A586" s="73"/>
      <c r="B586" s="87"/>
      <c r="C586" s="86"/>
      <c r="D586" s="86"/>
      <c r="E586" s="87"/>
      <c r="F586" s="72"/>
      <c r="G586" s="75"/>
      <c r="H586" s="75"/>
      <c r="I586" s="75"/>
      <c r="J586" s="75"/>
      <c r="K586" s="75"/>
      <c r="L586" s="75"/>
      <c r="M586" s="73"/>
      <c r="N586" s="165"/>
      <c r="O586" s="75"/>
      <c r="Q586"/>
      <c r="R586"/>
      <c r="S586"/>
    </row>
    <row r="587" spans="1:19" s="53" customFormat="1" ht="12.75" customHeight="1" x14ac:dyDescent="0.4">
      <c r="A587" s="73"/>
      <c r="B587" s="87"/>
      <c r="C587" s="86"/>
      <c r="D587" s="86"/>
      <c r="E587" s="87"/>
      <c r="F587" s="72"/>
      <c r="G587" s="75"/>
      <c r="H587" s="75"/>
      <c r="I587" s="75"/>
      <c r="J587" s="75"/>
      <c r="K587" s="75"/>
      <c r="L587" s="75"/>
      <c r="M587" s="73"/>
      <c r="N587" s="165"/>
      <c r="O587" s="75"/>
      <c r="Q587"/>
      <c r="R587"/>
      <c r="S587"/>
    </row>
    <row r="588" spans="1:19" s="53" customFormat="1" ht="12.75" customHeight="1" x14ac:dyDescent="0.4">
      <c r="A588" s="73"/>
      <c r="B588" s="72"/>
      <c r="C588" s="72"/>
      <c r="D588" s="72"/>
      <c r="E588" s="72"/>
      <c r="F588" s="72"/>
      <c r="G588" s="73"/>
      <c r="H588" s="72"/>
      <c r="I588" s="72"/>
      <c r="J588" s="72"/>
      <c r="K588" s="75"/>
      <c r="L588" s="72"/>
      <c r="M588" s="73"/>
      <c r="N588" s="75"/>
      <c r="O588" s="75"/>
      <c r="P588" s="72"/>
      <c r="Q588"/>
      <c r="R588"/>
      <c r="S588"/>
    </row>
    <row r="589" spans="1:19" s="53" customFormat="1" ht="12.75" customHeight="1" x14ac:dyDescent="0.4">
      <c r="A589" s="73" t="s">
        <v>370</v>
      </c>
      <c r="B589" s="72"/>
      <c r="C589" s="72"/>
      <c r="D589" s="72"/>
      <c r="E589" s="72"/>
      <c r="F589" s="72"/>
      <c r="G589" s="72"/>
      <c r="H589" s="72"/>
      <c r="I589" s="72"/>
      <c r="J589" s="72"/>
      <c r="K589" s="72"/>
      <c r="L589" s="72"/>
      <c r="M589" s="73"/>
      <c r="N589" s="75"/>
      <c r="O589" s="75"/>
      <c r="P589" s="72"/>
      <c r="Q589"/>
      <c r="R589"/>
      <c r="S589"/>
    </row>
    <row r="590" spans="1:19" ht="12.75" customHeight="1" x14ac:dyDescent="0.4">
      <c r="A590" s="73" t="s">
        <v>374</v>
      </c>
      <c r="B590" s="72"/>
      <c r="C590" s="72"/>
      <c r="D590" s="72"/>
      <c r="E590" s="72"/>
      <c r="F590" s="72"/>
      <c r="G590" s="72"/>
      <c r="H590" s="72"/>
      <c r="I590" s="72"/>
      <c r="J590" s="72"/>
      <c r="K590" s="72"/>
      <c r="L590" s="72"/>
      <c r="M590" s="73"/>
      <c r="N590" s="75"/>
      <c r="O590" s="75"/>
      <c r="P590" s="72"/>
    </row>
    <row r="591" spans="1:19" ht="12.75" customHeight="1" x14ac:dyDescent="0.4">
      <c r="A591" s="73" t="s">
        <v>375</v>
      </c>
      <c r="B591" s="72"/>
      <c r="C591" s="72"/>
      <c r="D591" s="72"/>
      <c r="E591" s="72"/>
      <c r="F591" s="72"/>
      <c r="G591" s="72"/>
      <c r="H591" s="72"/>
      <c r="I591" s="72"/>
      <c r="J591" s="72"/>
      <c r="K591" s="72"/>
      <c r="L591" s="74"/>
      <c r="M591" s="73"/>
      <c r="N591" s="75"/>
      <c r="O591" s="75"/>
      <c r="P591" s="72"/>
      <c r="S591" s="53"/>
    </row>
    <row r="592" spans="1:19" ht="12.75" customHeight="1" x14ac:dyDescent="0.4">
      <c r="A592" s="73"/>
      <c r="B592" s="72" t="s">
        <v>139</v>
      </c>
      <c r="C592" s="72"/>
      <c r="D592" s="72"/>
      <c r="E592" s="72"/>
      <c r="F592" s="86"/>
      <c r="G592" s="72" t="s">
        <v>146</v>
      </c>
      <c r="H592" s="72"/>
      <c r="I592" s="72"/>
      <c r="J592" s="72"/>
      <c r="K592" s="72"/>
      <c r="L592" s="75"/>
      <c r="M592" s="73"/>
      <c r="N592" s="75"/>
      <c r="O592" s="75"/>
      <c r="S592" s="53"/>
    </row>
    <row r="593" spans="1:19" ht="12.75" customHeight="1" x14ac:dyDescent="0.4">
      <c r="A593" s="73" t="s">
        <v>136</v>
      </c>
      <c r="B593" s="74" t="s">
        <v>112</v>
      </c>
      <c r="C593" s="74" t="s">
        <v>113</v>
      </c>
      <c r="D593" s="74" t="s">
        <v>114</v>
      </c>
      <c r="E593" s="74" t="s">
        <v>115</v>
      </c>
      <c r="F593" s="86"/>
      <c r="G593" s="74" t="s">
        <v>112</v>
      </c>
      <c r="H593" s="74" t="s">
        <v>113</v>
      </c>
      <c r="I593" s="74" t="s">
        <v>114</v>
      </c>
      <c r="J593" s="74" t="s">
        <v>115</v>
      </c>
      <c r="K593" s="74"/>
      <c r="L593" s="75"/>
      <c r="M593" s="6" t="s">
        <v>356</v>
      </c>
      <c r="N593" s="6"/>
      <c r="O593" s="6"/>
      <c r="S593" s="53"/>
    </row>
    <row r="594" spans="1:19" ht="12.75" customHeight="1" x14ac:dyDescent="0.4">
      <c r="A594" s="73" t="s">
        <v>127</v>
      </c>
      <c r="B594" s="86">
        <v>31</v>
      </c>
      <c r="C594" s="86">
        <v>13</v>
      </c>
      <c r="D594" s="86">
        <v>16</v>
      </c>
      <c r="E594" s="86">
        <v>2</v>
      </c>
      <c r="F594" s="86"/>
      <c r="G594" s="75">
        <f>B594/31</f>
        <v>1</v>
      </c>
      <c r="H594" s="75">
        <f>C594/B594</f>
        <v>0.41935483870967744</v>
      </c>
      <c r="I594" s="75">
        <f>D594/B594</f>
        <v>0.5161290322580645</v>
      </c>
      <c r="J594" s="75">
        <f>E594/B594</f>
        <v>6.4516129032258063E-2</v>
      </c>
      <c r="K594" s="75"/>
      <c r="L594" s="75"/>
      <c r="M594" s="6" t="s">
        <v>369</v>
      </c>
      <c r="N594" s="139"/>
      <c r="O594" s="140"/>
      <c r="Q594" s="53"/>
      <c r="R594" s="53"/>
      <c r="S594" s="53"/>
    </row>
    <row r="595" spans="1:19" ht="12.75" customHeight="1" x14ac:dyDescent="0.4">
      <c r="A595" s="73" t="s">
        <v>128</v>
      </c>
      <c r="B595" s="86">
        <v>24</v>
      </c>
      <c r="C595" s="86">
        <v>20</v>
      </c>
      <c r="D595" s="86">
        <v>2</v>
      </c>
      <c r="E595" s="86">
        <v>2</v>
      </c>
      <c r="F595" s="86"/>
      <c r="G595" s="75">
        <f>B595/24</f>
        <v>1</v>
      </c>
      <c r="H595" s="75">
        <f t="shared" ref="H595:H604" si="14">C595/B595</f>
        <v>0.83333333333333337</v>
      </c>
      <c r="I595" s="75">
        <f t="shared" ref="I595:I605" si="15">D595/B595</f>
        <v>8.3333333333333329E-2</v>
      </c>
      <c r="J595" s="75">
        <f t="shared" ref="J595:J605" si="16">E595/B595</f>
        <v>8.3333333333333329E-2</v>
      </c>
      <c r="K595" s="75"/>
      <c r="L595" s="75"/>
      <c r="M595" s="6" t="s">
        <v>249</v>
      </c>
      <c r="N595" s="6"/>
      <c r="O595" s="6"/>
      <c r="Q595" s="53"/>
      <c r="R595" s="53"/>
    </row>
    <row r="596" spans="1:19" ht="12.75" customHeight="1" x14ac:dyDescent="0.4">
      <c r="A596" s="73" t="s">
        <v>129</v>
      </c>
      <c r="B596" s="86">
        <v>69</v>
      </c>
      <c r="C596" s="86">
        <v>57</v>
      </c>
      <c r="D596" s="86">
        <v>10</v>
      </c>
      <c r="E596" s="86">
        <v>2</v>
      </c>
      <c r="F596" s="86"/>
      <c r="G596" s="75">
        <f>B596/69</f>
        <v>1</v>
      </c>
      <c r="H596" s="75">
        <f t="shared" si="14"/>
        <v>0.82608695652173914</v>
      </c>
      <c r="I596" s="75">
        <f t="shared" si="15"/>
        <v>0.14492753623188406</v>
      </c>
      <c r="J596" s="75">
        <f t="shared" si="16"/>
        <v>2.8985507246376812E-2</v>
      </c>
      <c r="K596" s="75"/>
      <c r="L596" s="75"/>
      <c r="M596" s="6" t="s">
        <v>201</v>
      </c>
      <c r="N596" s="139">
        <v>500</v>
      </c>
      <c r="O596" s="141" t="s">
        <v>202</v>
      </c>
      <c r="Q596" s="53"/>
      <c r="R596" s="53"/>
    </row>
    <row r="597" spans="1:19" ht="12.75" customHeight="1" x14ac:dyDescent="0.4">
      <c r="A597" s="73" t="s">
        <v>130</v>
      </c>
      <c r="B597" s="86">
        <v>79</v>
      </c>
      <c r="C597" s="86">
        <v>64</v>
      </c>
      <c r="D597" s="86">
        <v>12</v>
      </c>
      <c r="E597" s="86">
        <v>3</v>
      </c>
      <c r="F597" s="86"/>
      <c r="G597" s="75">
        <f>B597/80</f>
        <v>0.98750000000000004</v>
      </c>
      <c r="H597" s="75">
        <f t="shared" si="14"/>
        <v>0.810126582278481</v>
      </c>
      <c r="I597" s="75">
        <f t="shared" si="15"/>
        <v>0.15189873417721519</v>
      </c>
      <c r="J597" s="75">
        <f t="shared" si="16"/>
        <v>3.7974683544303799E-2</v>
      </c>
      <c r="K597" s="75"/>
      <c r="L597" s="75"/>
      <c r="M597" s="6" t="s">
        <v>371</v>
      </c>
      <c r="N597" s="139">
        <v>311</v>
      </c>
      <c r="O597" s="140">
        <f>N597/N596</f>
        <v>0.622</v>
      </c>
      <c r="P597" s="82"/>
      <c r="Q597" s="53"/>
      <c r="R597" s="53"/>
    </row>
    <row r="598" spans="1:19" ht="12.75" customHeight="1" x14ac:dyDescent="0.4">
      <c r="A598" s="73" t="s">
        <v>131</v>
      </c>
      <c r="B598" s="86">
        <v>32</v>
      </c>
      <c r="C598" s="86">
        <v>29</v>
      </c>
      <c r="D598" s="86">
        <v>1</v>
      </c>
      <c r="E598" s="86">
        <v>2</v>
      </c>
      <c r="F598" s="86"/>
      <c r="G598" s="75">
        <f>B598/33</f>
        <v>0.96969696969696972</v>
      </c>
      <c r="H598" s="75">
        <f t="shared" si="14"/>
        <v>0.90625</v>
      </c>
      <c r="I598" s="75">
        <f t="shared" si="15"/>
        <v>3.125E-2</v>
      </c>
      <c r="J598" s="75">
        <f t="shared" si="16"/>
        <v>6.25E-2</v>
      </c>
      <c r="K598" s="75"/>
      <c r="L598" s="75"/>
      <c r="M598" s="6" t="s">
        <v>226</v>
      </c>
      <c r="N598" s="139">
        <v>78</v>
      </c>
      <c r="O598" s="140">
        <f>N598/N596</f>
        <v>0.156</v>
      </c>
    </row>
    <row r="599" spans="1:19" ht="12.75" customHeight="1" x14ac:dyDescent="0.4">
      <c r="A599" s="73" t="s">
        <v>132</v>
      </c>
      <c r="B599" s="86">
        <v>63</v>
      </c>
      <c r="C599" s="86">
        <v>58</v>
      </c>
      <c r="D599" s="86">
        <v>3</v>
      </c>
      <c r="E599" s="86">
        <v>2</v>
      </c>
      <c r="F599" s="86"/>
      <c r="G599" s="75">
        <f>B599/63</f>
        <v>1</v>
      </c>
      <c r="H599" s="75">
        <f t="shared" si="14"/>
        <v>0.92063492063492058</v>
      </c>
      <c r="I599" s="75">
        <f t="shared" si="15"/>
        <v>4.7619047619047616E-2</v>
      </c>
      <c r="J599" s="75">
        <f t="shared" si="16"/>
        <v>3.1746031746031744E-2</v>
      </c>
      <c r="K599" s="75"/>
      <c r="L599" s="75"/>
      <c r="M599" s="6" t="s">
        <v>372</v>
      </c>
      <c r="N599" s="139">
        <v>183</v>
      </c>
      <c r="O599" s="140">
        <f>N599/N596</f>
        <v>0.36599999999999999</v>
      </c>
    </row>
    <row r="600" spans="1:19" ht="12.75" customHeight="1" x14ac:dyDescent="0.4">
      <c r="A600" s="73" t="s">
        <v>133</v>
      </c>
      <c r="B600" s="86">
        <v>66</v>
      </c>
      <c r="C600" s="86">
        <v>49</v>
      </c>
      <c r="D600" s="86">
        <v>12</v>
      </c>
      <c r="E600" s="86">
        <v>5</v>
      </c>
      <c r="F600" s="87"/>
      <c r="G600" s="75">
        <f>B600/68</f>
        <v>0.97058823529411764</v>
      </c>
      <c r="H600" s="75">
        <f t="shared" si="14"/>
        <v>0.74242424242424243</v>
      </c>
      <c r="I600" s="75">
        <f t="shared" si="15"/>
        <v>0.18181818181818182</v>
      </c>
      <c r="J600" s="75">
        <f t="shared" si="16"/>
        <v>7.575757575757576E-2</v>
      </c>
      <c r="K600" s="75"/>
      <c r="L600" s="75"/>
      <c r="M600" s="6" t="s">
        <v>227</v>
      </c>
      <c r="N600" s="139">
        <v>31</v>
      </c>
      <c r="O600" s="140">
        <f>N600/N596</f>
        <v>6.2E-2</v>
      </c>
    </row>
    <row r="601" spans="1:19" ht="12.75" customHeight="1" x14ac:dyDescent="0.4">
      <c r="A601" s="73" t="s">
        <v>134</v>
      </c>
      <c r="B601" s="86">
        <v>71</v>
      </c>
      <c r="C601" s="86">
        <v>65</v>
      </c>
      <c r="D601" s="86">
        <v>5</v>
      </c>
      <c r="E601" s="86">
        <v>1</v>
      </c>
      <c r="F601" s="87"/>
      <c r="G601" s="75">
        <f>B601/72</f>
        <v>0.98611111111111116</v>
      </c>
      <c r="H601" s="75">
        <f t="shared" si="14"/>
        <v>0.91549295774647887</v>
      </c>
      <c r="I601" s="75">
        <f t="shared" si="15"/>
        <v>7.0422535211267609E-2</v>
      </c>
      <c r="J601" s="75">
        <f t="shared" si="16"/>
        <v>1.4084507042253521E-2</v>
      </c>
      <c r="K601" s="75"/>
      <c r="L601" s="75"/>
      <c r="M601" s="6"/>
      <c r="N601" s="139"/>
      <c r="O601" s="140"/>
      <c r="Q601" s="117"/>
      <c r="R601" s="72"/>
    </row>
    <row r="602" spans="1:19" ht="12.75" customHeight="1" x14ac:dyDescent="0.4">
      <c r="A602" s="73" t="s">
        <v>376</v>
      </c>
      <c r="B602" s="86">
        <v>3</v>
      </c>
      <c r="C602" s="86">
        <v>2</v>
      </c>
      <c r="D602" s="86">
        <v>1</v>
      </c>
      <c r="E602" s="86">
        <v>0</v>
      </c>
      <c r="F602" s="87"/>
      <c r="G602" s="75">
        <f>B602/3</f>
        <v>1</v>
      </c>
      <c r="H602" s="75">
        <f t="shared" si="14"/>
        <v>0.66666666666666663</v>
      </c>
      <c r="I602" s="75">
        <f t="shared" si="15"/>
        <v>0.33333333333333331</v>
      </c>
      <c r="J602" s="75">
        <f t="shared" si="16"/>
        <v>0</v>
      </c>
      <c r="K602" s="75"/>
      <c r="L602" s="75"/>
      <c r="M602" s="6"/>
      <c r="N602" s="139"/>
      <c r="O602" s="140"/>
      <c r="Q602" s="116"/>
      <c r="R602" s="82"/>
    </row>
    <row r="603" spans="1:19" s="53" customFormat="1" ht="12.75" customHeight="1" x14ac:dyDescent="0.4">
      <c r="A603" s="73" t="s">
        <v>135</v>
      </c>
      <c r="B603" s="86">
        <v>29</v>
      </c>
      <c r="C603" s="86">
        <v>21</v>
      </c>
      <c r="D603" s="86">
        <v>5</v>
      </c>
      <c r="E603" s="86">
        <v>3</v>
      </c>
      <c r="F603" s="87"/>
      <c r="G603" s="75">
        <f>B603/29</f>
        <v>1</v>
      </c>
      <c r="H603" s="75">
        <f t="shared" si="14"/>
        <v>0.72413793103448276</v>
      </c>
      <c r="I603" s="75">
        <f t="shared" si="15"/>
        <v>0.17241379310344829</v>
      </c>
      <c r="J603" s="75">
        <f t="shared" si="16"/>
        <v>0.10344827586206896</v>
      </c>
      <c r="K603" s="75"/>
      <c r="L603" s="75"/>
      <c r="M603" s="6"/>
      <c r="N603" s="139"/>
      <c r="O603" s="140"/>
      <c r="P603"/>
      <c r="Q603" s="119"/>
      <c r="R603" s="118"/>
      <c r="S603"/>
    </row>
    <row r="604" spans="1:19" s="53" customFormat="1" ht="12.75" customHeight="1" x14ac:dyDescent="0.4">
      <c r="A604" s="73" t="s">
        <v>303</v>
      </c>
      <c r="B604" s="86">
        <v>32</v>
      </c>
      <c r="C604" s="86">
        <v>21</v>
      </c>
      <c r="D604" s="86">
        <v>7</v>
      </c>
      <c r="E604" s="86">
        <v>4</v>
      </c>
      <c r="F604" s="87"/>
      <c r="G604" s="75">
        <f>B604/33</f>
        <v>0.96969696969696972</v>
      </c>
      <c r="H604" s="75">
        <f t="shared" si="14"/>
        <v>0.65625</v>
      </c>
      <c r="I604" s="75">
        <f t="shared" si="15"/>
        <v>0.21875</v>
      </c>
      <c r="J604" s="75">
        <f t="shared" si="16"/>
        <v>0.125</v>
      </c>
      <c r="K604" s="75"/>
      <c r="L604" s="75"/>
      <c r="M604" s="6"/>
      <c r="N604" s="139"/>
      <c r="O604" s="140"/>
      <c r="P604"/>
      <c r="Q604" s="119"/>
      <c r="R604" s="118"/>
    </row>
    <row r="605" spans="1:19" s="53" customFormat="1" ht="12.75" customHeight="1" x14ac:dyDescent="0.4">
      <c r="A605" s="73" t="s">
        <v>23</v>
      </c>
      <c r="B605" s="87">
        <v>499</v>
      </c>
      <c r="C605" s="86">
        <v>399</v>
      </c>
      <c r="D605" s="86">
        <v>74</v>
      </c>
      <c r="E605" s="87">
        <v>26</v>
      </c>
      <c r="F605" s="72"/>
      <c r="G605" s="75">
        <f>B605/505</f>
        <v>0.98811881188118811</v>
      </c>
      <c r="H605" s="75">
        <f>C605/B605</f>
        <v>0.79959919839679361</v>
      </c>
      <c r="I605" s="75">
        <f t="shared" si="15"/>
        <v>0.14829659318637275</v>
      </c>
      <c r="J605" s="75">
        <f t="shared" si="16"/>
        <v>5.2104208416833664E-2</v>
      </c>
      <c r="K605" s="75"/>
      <c r="L605" s="75"/>
      <c r="M605" s="6"/>
      <c r="N605" s="139"/>
      <c r="O605" s="140"/>
      <c r="P605"/>
      <c r="Q605" s="119"/>
      <c r="R605" s="118"/>
    </row>
    <row r="606" spans="1:19" s="53" customFormat="1" ht="12.75" customHeight="1" x14ac:dyDescent="0.4">
      <c r="A606" s="73"/>
      <c r="B606" s="87"/>
      <c r="C606" s="86"/>
      <c r="D606" s="86"/>
      <c r="E606" s="87"/>
      <c r="F606" s="72"/>
      <c r="G606" s="75"/>
      <c r="H606" s="75"/>
      <c r="I606" s="75"/>
      <c r="J606" s="75"/>
      <c r="K606" s="75"/>
      <c r="L606" s="75"/>
      <c r="M606" s="6"/>
      <c r="N606" s="139"/>
      <c r="O606" s="140"/>
      <c r="Q606" s="119"/>
      <c r="R606" s="118"/>
    </row>
    <row r="607" spans="1:19" ht="12.75" customHeight="1" x14ac:dyDescent="0.4">
      <c r="A607" s="73"/>
      <c r="B607" s="87"/>
      <c r="C607" s="86"/>
      <c r="D607" s="86"/>
      <c r="E607" s="87"/>
      <c r="F607" s="72"/>
      <c r="G607" s="75"/>
      <c r="H607" s="75"/>
      <c r="I607" s="75"/>
      <c r="J607" s="75"/>
      <c r="K607" s="75"/>
      <c r="L607" s="72"/>
      <c r="M607" s="6"/>
      <c r="N607" s="75"/>
      <c r="O607" s="75"/>
      <c r="P607" s="53"/>
      <c r="Q607" s="53"/>
      <c r="R607" s="53"/>
      <c r="S607" s="53"/>
    </row>
    <row r="608" spans="1:19" ht="12.75" customHeight="1" x14ac:dyDescent="0.4">
      <c r="A608" s="73" t="s">
        <v>382</v>
      </c>
      <c r="B608" s="72"/>
      <c r="C608" s="72"/>
      <c r="D608" s="72"/>
      <c r="E608" s="72"/>
      <c r="F608" s="72"/>
      <c r="G608" s="72"/>
      <c r="H608" s="72"/>
      <c r="I608" s="72"/>
      <c r="J608" s="72"/>
      <c r="K608" s="72"/>
      <c r="L608" s="74"/>
      <c r="M608" s="6"/>
      <c r="N608" s="75"/>
      <c r="O608" s="75"/>
      <c r="P608" s="72"/>
      <c r="Q608" s="53"/>
      <c r="R608" s="53"/>
    </row>
    <row r="609" spans="1:19" ht="12.75" customHeight="1" x14ac:dyDescent="0.4">
      <c r="A609" s="73" t="s">
        <v>366</v>
      </c>
      <c r="B609" s="72"/>
      <c r="C609" s="72"/>
      <c r="D609" s="72"/>
      <c r="E609" s="72"/>
      <c r="F609" s="72"/>
      <c r="G609" s="72"/>
      <c r="H609" s="72"/>
      <c r="I609" s="72"/>
      <c r="J609" s="72"/>
      <c r="K609" s="72"/>
      <c r="L609" s="75"/>
      <c r="M609" s="73"/>
      <c r="N609" s="165"/>
      <c r="O609" s="75"/>
      <c r="P609" s="72"/>
      <c r="Q609" s="53"/>
      <c r="R609" s="53"/>
    </row>
    <row r="610" spans="1:19" s="72" customFormat="1" ht="12.75" customHeight="1" x14ac:dyDescent="0.4">
      <c r="A610" s="73" t="s">
        <v>383</v>
      </c>
      <c r="K610" s="74"/>
      <c r="L610" s="75"/>
      <c r="M610" s="73"/>
      <c r="N610" s="75"/>
      <c r="O610" s="75"/>
      <c r="Q610" s="53"/>
      <c r="R610" s="53"/>
      <c r="S610"/>
    </row>
    <row r="611" spans="1:19" s="72" customFormat="1" ht="12.75" customHeight="1" x14ac:dyDescent="0.4">
      <c r="A611" s="73"/>
      <c r="B611" s="72" t="s">
        <v>139</v>
      </c>
      <c r="F611" s="86"/>
      <c r="G611" s="72" t="s">
        <v>146</v>
      </c>
      <c r="K611" s="75"/>
      <c r="L611" s="75"/>
      <c r="M611" s="73"/>
      <c r="N611" s="165"/>
      <c r="O611" s="75"/>
      <c r="P611"/>
      <c r="Q611"/>
      <c r="R611"/>
    </row>
    <row r="612" spans="1:19" s="72" customFormat="1" ht="12.75" customHeight="1" x14ac:dyDescent="0.4">
      <c r="A612" s="73" t="s">
        <v>136</v>
      </c>
      <c r="B612" s="74" t="s">
        <v>112</v>
      </c>
      <c r="C612" s="74" t="s">
        <v>113</v>
      </c>
      <c r="D612" s="74" t="s">
        <v>114</v>
      </c>
      <c r="E612" s="74" t="s">
        <v>115</v>
      </c>
      <c r="F612" s="86"/>
      <c r="G612" s="74" t="s">
        <v>112</v>
      </c>
      <c r="H612" s="74" t="s">
        <v>113</v>
      </c>
      <c r="I612" s="74" t="s">
        <v>114</v>
      </c>
      <c r="J612" s="74" t="s">
        <v>115</v>
      </c>
      <c r="K612" s="75"/>
      <c r="L612" s="75"/>
      <c r="M612" s="142" t="s">
        <v>355</v>
      </c>
      <c r="N612" s="142"/>
      <c r="O612" s="142"/>
      <c r="P612"/>
      <c r="Q612"/>
      <c r="R612"/>
    </row>
    <row r="613" spans="1:19" s="72" customFormat="1" ht="12.75" customHeight="1" x14ac:dyDescent="0.4">
      <c r="A613" s="73" t="s">
        <v>127</v>
      </c>
      <c r="B613" s="86">
        <v>31</v>
      </c>
      <c r="C613" s="86">
        <v>22</v>
      </c>
      <c r="D613" s="86">
        <v>8</v>
      </c>
      <c r="E613" s="86">
        <v>1</v>
      </c>
      <c r="F613" s="86"/>
      <c r="G613" s="75">
        <f>B613/31</f>
        <v>1</v>
      </c>
      <c r="H613" s="75">
        <f>C613/B613</f>
        <v>0.70967741935483875</v>
      </c>
      <c r="I613" s="75">
        <f>D613/B613</f>
        <v>0.25806451612903225</v>
      </c>
      <c r="J613" s="75">
        <f>E613/B613</f>
        <v>3.2258064516129031E-2</v>
      </c>
      <c r="K613" s="75"/>
      <c r="L613" s="75"/>
      <c r="M613" s="142" t="s">
        <v>384</v>
      </c>
      <c r="N613" s="166"/>
      <c r="O613" s="167"/>
      <c r="P613"/>
      <c r="Q613"/>
      <c r="R613"/>
    </row>
    <row r="614" spans="1:19" s="72" customFormat="1" ht="12.75" customHeight="1" x14ac:dyDescent="0.4">
      <c r="A614" s="73" t="s">
        <v>128</v>
      </c>
      <c r="B614" s="86">
        <v>25</v>
      </c>
      <c r="C614" s="86">
        <v>18</v>
      </c>
      <c r="D614" s="86">
        <v>6</v>
      </c>
      <c r="E614" s="86">
        <v>1</v>
      </c>
      <c r="F614" s="86"/>
      <c r="G614" s="75">
        <f>B614/25</f>
        <v>1</v>
      </c>
      <c r="H614" s="75">
        <f t="shared" ref="H614:H623" si="17">C614/B614</f>
        <v>0.72</v>
      </c>
      <c r="I614" s="75">
        <f t="shared" ref="I614:I624" si="18">D614/B614</f>
        <v>0.24</v>
      </c>
      <c r="J614" s="75">
        <f t="shared" ref="J614:J624" si="19">E614/B614</f>
        <v>0.04</v>
      </c>
      <c r="K614" s="75"/>
      <c r="L614" s="75"/>
      <c r="M614" s="142" t="s">
        <v>249</v>
      </c>
      <c r="N614" s="142"/>
      <c r="O614" s="142"/>
      <c r="P614"/>
    </row>
    <row r="615" spans="1:19" s="72" customFormat="1" ht="12.75" customHeight="1" x14ac:dyDescent="0.4">
      <c r="A615" s="73" t="s">
        <v>129</v>
      </c>
      <c r="B615" s="86">
        <v>69</v>
      </c>
      <c r="C615" s="86">
        <v>54</v>
      </c>
      <c r="D615" s="86">
        <v>11</v>
      </c>
      <c r="E615" s="86">
        <v>4</v>
      </c>
      <c r="F615" s="86"/>
      <c r="G615" s="75">
        <f>B615/70</f>
        <v>0.98571428571428577</v>
      </c>
      <c r="H615" s="75">
        <f t="shared" si="17"/>
        <v>0.78260869565217395</v>
      </c>
      <c r="I615" s="75">
        <f t="shared" si="18"/>
        <v>0.15942028985507245</v>
      </c>
      <c r="J615" s="75">
        <f t="shared" si="19"/>
        <v>5.7971014492753624E-2</v>
      </c>
      <c r="K615" s="75"/>
      <c r="L615" s="75"/>
      <c r="M615" s="142" t="s">
        <v>201</v>
      </c>
      <c r="N615" s="166">
        <v>499</v>
      </c>
      <c r="O615" s="168" t="s">
        <v>202</v>
      </c>
      <c r="P615"/>
    </row>
    <row r="616" spans="1:19" s="72" customFormat="1" ht="12.75" customHeight="1" x14ac:dyDescent="0.4">
      <c r="A616" s="73" t="s">
        <v>130</v>
      </c>
      <c r="B616" s="86">
        <v>81</v>
      </c>
      <c r="C616" s="86">
        <v>62</v>
      </c>
      <c r="D616" s="86">
        <v>17</v>
      </c>
      <c r="E616" s="86">
        <v>2</v>
      </c>
      <c r="F616" s="86"/>
      <c r="G616" s="75">
        <f>B616/82</f>
        <v>0.98780487804878048</v>
      </c>
      <c r="H616" s="75">
        <f t="shared" si="17"/>
        <v>0.76543209876543206</v>
      </c>
      <c r="I616" s="75">
        <f t="shared" si="18"/>
        <v>0.20987654320987653</v>
      </c>
      <c r="J616" s="75">
        <f t="shared" si="19"/>
        <v>2.4691358024691357E-2</v>
      </c>
      <c r="K616" s="75"/>
      <c r="L616" s="75"/>
      <c r="M616" s="142" t="s">
        <v>385</v>
      </c>
      <c r="N616" s="166">
        <v>300</v>
      </c>
      <c r="O616" s="167">
        <f>N616/N615</f>
        <v>0.60120240480961928</v>
      </c>
    </row>
    <row r="617" spans="1:19" s="72" customFormat="1" ht="12.75" customHeight="1" x14ac:dyDescent="0.4">
      <c r="A617" s="73" t="s">
        <v>131</v>
      </c>
      <c r="B617" s="86">
        <v>34</v>
      </c>
      <c r="C617" s="86">
        <v>27</v>
      </c>
      <c r="D617" s="86">
        <v>6</v>
      </c>
      <c r="E617" s="86">
        <v>1</v>
      </c>
      <c r="F617" s="86"/>
      <c r="G617" s="75">
        <f>B617/34</f>
        <v>1</v>
      </c>
      <c r="H617" s="75">
        <f t="shared" si="17"/>
        <v>0.79411764705882348</v>
      </c>
      <c r="I617" s="75">
        <f t="shared" si="18"/>
        <v>0.17647058823529413</v>
      </c>
      <c r="J617" s="75">
        <f t="shared" si="19"/>
        <v>2.9411764705882353E-2</v>
      </c>
      <c r="K617" s="75"/>
      <c r="L617" s="75"/>
      <c r="M617" s="142" t="s">
        <v>226</v>
      </c>
      <c r="N617" s="166">
        <v>68</v>
      </c>
      <c r="O617" s="167">
        <f>N617/N615</f>
        <v>0.13627254509018036</v>
      </c>
      <c r="P617"/>
    </row>
    <row r="618" spans="1:19" s="72" customFormat="1" ht="12.75" customHeight="1" x14ac:dyDescent="0.4">
      <c r="A618" s="73" t="s">
        <v>132</v>
      </c>
      <c r="B618" s="86">
        <v>61</v>
      </c>
      <c r="C618" s="86">
        <v>50</v>
      </c>
      <c r="D618" s="86">
        <v>6</v>
      </c>
      <c r="E618" s="86">
        <v>5</v>
      </c>
      <c r="F618" s="86"/>
      <c r="G618" s="75">
        <f>B618/61</f>
        <v>1</v>
      </c>
      <c r="H618" s="75">
        <f t="shared" si="17"/>
        <v>0.81967213114754101</v>
      </c>
      <c r="I618" s="75">
        <f t="shared" si="18"/>
        <v>9.8360655737704916E-2</v>
      </c>
      <c r="J618" s="75">
        <f t="shared" si="19"/>
        <v>8.1967213114754092E-2</v>
      </c>
      <c r="K618" s="75"/>
      <c r="L618" s="75"/>
      <c r="M618" s="142" t="s">
        <v>386</v>
      </c>
      <c r="N618" s="166">
        <v>194</v>
      </c>
      <c r="O618" s="167">
        <f>N618/N615</f>
        <v>0.38877755511022044</v>
      </c>
      <c r="P618"/>
    </row>
    <row r="619" spans="1:19" s="72" customFormat="1" ht="12.75" customHeight="1" x14ac:dyDescent="0.4">
      <c r="A619" s="73" t="s">
        <v>133</v>
      </c>
      <c r="B619" s="86">
        <v>66</v>
      </c>
      <c r="C619" s="86">
        <v>52</v>
      </c>
      <c r="D619" s="86">
        <v>7</v>
      </c>
      <c r="E619" s="86">
        <v>7</v>
      </c>
      <c r="F619" s="87"/>
      <c r="G619" s="75">
        <f>B619/68</f>
        <v>0.97058823529411764</v>
      </c>
      <c r="H619" s="75">
        <f t="shared" si="17"/>
        <v>0.78787878787878785</v>
      </c>
      <c r="I619" s="75">
        <f t="shared" si="18"/>
        <v>0.10606060606060606</v>
      </c>
      <c r="J619" s="75">
        <f t="shared" si="19"/>
        <v>0.10606060606060606</v>
      </c>
      <c r="K619" s="75"/>
      <c r="L619" s="75"/>
      <c r="M619" s="142" t="s">
        <v>227</v>
      </c>
      <c r="N619" s="166">
        <v>35</v>
      </c>
      <c r="O619" s="167">
        <f>N619/N615</f>
        <v>7.0140280561122245E-2</v>
      </c>
      <c r="P619"/>
    </row>
    <row r="620" spans="1:19" s="53" customFormat="1" ht="12.75" customHeight="1" x14ac:dyDescent="0.4">
      <c r="A620" s="73" t="s">
        <v>134</v>
      </c>
      <c r="B620" s="86">
        <v>69</v>
      </c>
      <c r="C620" s="86">
        <v>63</v>
      </c>
      <c r="D620" s="86">
        <v>1</v>
      </c>
      <c r="E620" s="86">
        <v>5</v>
      </c>
      <c r="F620" s="87"/>
      <c r="G620" s="75">
        <f>B620/70</f>
        <v>0.98571428571428577</v>
      </c>
      <c r="H620" s="75">
        <f t="shared" si="17"/>
        <v>0.91304347826086951</v>
      </c>
      <c r="I620" s="75">
        <f t="shared" si="18"/>
        <v>1.4492753623188406E-2</v>
      </c>
      <c r="J620" s="75">
        <f t="shared" si="19"/>
        <v>7.2463768115942032E-2</v>
      </c>
      <c r="K620" s="75"/>
      <c r="L620" s="75"/>
      <c r="M620" s="142"/>
      <c r="N620" s="166"/>
      <c r="O620" s="167"/>
      <c r="P620"/>
      <c r="Q620" s="72"/>
      <c r="R620" s="72"/>
      <c r="S620" s="72"/>
    </row>
    <row r="621" spans="1:19" s="53" customFormat="1" ht="12.75" customHeight="1" x14ac:dyDescent="0.4">
      <c r="A621" s="73" t="s">
        <v>387</v>
      </c>
      <c r="B621" s="86">
        <v>3</v>
      </c>
      <c r="C621" s="86">
        <v>2</v>
      </c>
      <c r="D621" s="86">
        <v>1</v>
      </c>
      <c r="E621" s="86">
        <v>0</v>
      </c>
      <c r="F621" s="87"/>
      <c r="G621" s="75">
        <f>B621/3</f>
        <v>1</v>
      </c>
      <c r="H621" s="75">
        <f t="shared" si="17"/>
        <v>0.66666666666666663</v>
      </c>
      <c r="I621" s="75">
        <f t="shared" si="18"/>
        <v>0.33333333333333331</v>
      </c>
      <c r="J621" s="75">
        <f t="shared" si="19"/>
        <v>0</v>
      </c>
      <c r="K621" s="75"/>
      <c r="L621" s="75"/>
      <c r="M621" s="142"/>
      <c r="N621" s="166"/>
      <c r="O621" s="167"/>
      <c r="P621"/>
      <c r="Q621" s="72"/>
      <c r="R621" s="72"/>
    </row>
    <row r="622" spans="1:19" ht="12.75" customHeight="1" x14ac:dyDescent="0.4">
      <c r="A622" s="73" t="s">
        <v>135</v>
      </c>
      <c r="B622" s="86">
        <v>28</v>
      </c>
      <c r="C622" s="86">
        <v>17</v>
      </c>
      <c r="D622" s="86">
        <v>9</v>
      </c>
      <c r="E622" s="86">
        <v>2</v>
      </c>
      <c r="F622" s="87"/>
      <c r="G622" s="75">
        <f>B622/28</f>
        <v>1</v>
      </c>
      <c r="H622" s="75">
        <f t="shared" si="17"/>
        <v>0.6071428571428571</v>
      </c>
      <c r="I622" s="75">
        <f t="shared" si="18"/>
        <v>0.32142857142857145</v>
      </c>
      <c r="J622" s="75">
        <f t="shared" si="19"/>
        <v>7.1428571428571425E-2</v>
      </c>
      <c r="K622" s="75"/>
      <c r="L622" s="75"/>
      <c r="M622" s="142"/>
      <c r="N622" s="166"/>
      <c r="O622" s="167"/>
      <c r="Q622" s="72"/>
      <c r="R622" s="72"/>
      <c r="S622" s="53"/>
    </row>
    <row r="623" spans="1:19" ht="12.75" customHeight="1" x14ac:dyDescent="0.4">
      <c r="A623" s="73" t="s">
        <v>303</v>
      </c>
      <c r="B623" s="86">
        <v>33</v>
      </c>
      <c r="C623" s="86">
        <v>18</v>
      </c>
      <c r="D623" s="86">
        <v>14</v>
      </c>
      <c r="E623" s="86">
        <v>1</v>
      </c>
      <c r="F623" s="87"/>
      <c r="G623" s="75">
        <f>B623/33</f>
        <v>1</v>
      </c>
      <c r="H623" s="75">
        <f t="shared" si="17"/>
        <v>0.54545454545454541</v>
      </c>
      <c r="I623" s="75">
        <f t="shared" si="18"/>
        <v>0.42424242424242425</v>
      </c>
      <c r="J623" s="75">
        <f t="shared" si="19"/>
        <v>3.0303030303030304E-2</v>
      </c>
      <c r="K623" s="72"/>
      <c r="L623" s="72"/>
      <c r="M623" s="142"/>
      <c r="N623" s="166"/>
      <c r="O623" s="167"/>
      <c r="Q623" s="72"/>
      <c r="R623" s="72"/>
    </row>
    <row r="624" spans="1:19" ht="12.75" customHeight="1" x14ac:dyDescent="0.4">
      <c r="A624" s="73" t="s">
        <v>23</v>
      </c>
      <c r="B624" s="87">
        <v>500</v>
      </c>
      <c r="C624" s="86">
        <v>385</v>
      </c>
      <c r="D624" s="86">
        <v>86</v>
      </c>
      <c r="E624" s="87">
        <v>29</v>
      </c>
      <c r="F624" s="72"/>
      <c r="G624" s="75">
        <f>B624/505</f>
        <v>0.99009900990099009</v>
      </c>
      <c r="H624" s="75">
        <f>C624/B624</f>
        <v>0.77</v>
      </c>
      <c r="I624" s="75">
        <f t="shared" si="18"/>
        <v>0.17199999999999999</v>
      </c>
      <c r="J624" s="75">
        <f t="shared" si="19"/>
        <v>5.8000000000000003E-2</v>
      </c>
      <c r="K624" s="72"/>
      <c r="L624" s="72"/>
      <c r="M624" s="142"/>
      <c r="N624" s="166"/>
      <c r="O624" s="167"/>
      <c r="Q624" s="53"/>
      <c r="R624" s="53"/>
    </row>
    <row r="625" spans="1:18" ht="12.75" customHeight="1" x14ac:dyDescent="0.4">
      <c r="A625" s="73"/>
      <c r="B625" s="87"/>
      <c r="C625" s="86"/>
      <c r="D625" s="86"/>
      <c r="E625" s="87"/>
      <c r="F625" s="72"/>
      <c r="G625" s="75"/>
      <c r="H625" s="75"/>
      <c r="I625" s="75"/>
      <c r="J625" s="75"/>
      <c r="K625" s="72"/>
      <c r="L625" s="74"/>
      <c r="M625" s="142"/>
      <c r="N625" s="75"/>
      <c r="O625" s="75"/>
      <c r="P625" s="53"/>
      <c r="Q625" s="53"/>
      <c r="R625" s="53"/>
    </row>
    <row r="626" spans="1:18" ht="12.75" customHeight="1" x14ac:dyDescent="0.4">
      <c r="A626" s="73"/>
      <c r="B626" s="87"/>
      <c r="C626" s="86"/>
      <c r="D626" s="86"/>
      <c r="E626" s="87"/>
      <c r="F626" s="72"/>
      <c r="G626" s="75"/>
      <c r="H626" s="75"/>
      <c r="I626" s="75"/>
      <c r="J626" s="75"/>
      <c r="K626" s="74"/>
      <c r="L626" s="75"/>
      <c r="M626" s="142"/>
      <c r="N626" s="75"/>
      <c r="O626" s="75"/>
      <c r="P626" s="53"/>
    </row>
    <row r="627" spans="1:18" ht="12.75" customHeight="1" x14ac:dyDescent="0.4">
      <c r="A627" s="73" t="s">
        <v>360</v>
      </c>
      <c r="B627" s="72"/>
      <c r="C627" s="72"/>
      <c r="D627" s="72"/>
      <c r="E627" s="72"/>
      <c r="F627" s="72"/>
      <c r="G627" s="72"/>
      <c r="H627" s="72"/>
      <c r="I627" s="72"/>
      <c r="J627" s="72"/>
      <c r="K627" s="75"/>
      <c r="L627" s="75"/>
      <c r="M627" s="73"/>
      <c r="N627" s="165"/>
      <c r="O627" s="75"/>
      <c r="P627" s="72"/>
    </row>
    <row r="628" spans="1:18" ht="12.75" customHeight="1" x14ac:dyDescent="0.4">
      <c r="A628" s="73" t="s">
        <v>366</v>
      </c>
      <c r="B628" s="72"/>
      <c r="C628" s="72"/>
      <c r="D628" s="72"/>
      <c r="E628" s="72"/>
      <c r="F628" s="72"/>
      <c r="G628" s="72"/>
      <c r="H628" s="72"/>
      <c r="I628" s="72"/>
      <c r="J628" s="72"/>
      <c r="K628" s="75"/>
      <c r="L628" s="75"/>
      <c r="M628" s="73"/>
      <c r="N628" s="165"/>
      <c r="O628" s="75"/>
      <c r="P628" s="72"/>
    </row>
    <row r="629" spans="1:18" ht="12.75" customHeight="1" x14ac:dyDescent="0.4">
      <c r="A629" s="73" t="s">
        <v>367</v>
      </c>
      <c r="B629" s="72"/>
      <c r="C629" s="72"/>
      <c r="D629" s="72"/>
      <c r="E629" s="72"/>
      <c r="F629" s="72"/>
      <c r="G629" s="72"/>
      <c r="H629" s="72"/>
      <c r="I629" s="72"/>
      <c r="J629" s="72"/>
      <c r="K629" s="75"/>
      <c r="L629" s="75"/>
      <c r="M629" s="73"/>
      <c r="N629" s="165"/>
      <c r="O629" s="75"/>
      <c r="P629" s="72"/>
    </row>
    <row r="630" spans="1:18" ht="12.75" customHeight="1" x14ac:dyDescent="0.4">
      <c r="A630" s="73"/>
      <c r="B630" s="72" t="s">
        <v>139</v>
      </c>
      <c r="C630" s="72"/>
      <c r="D630" s="72"/>
      <c r="E630" s="72"/>
      <c r="F630" s="86"/>
      <c r="G630" s="72" t="s">
        <v>146</v>
      </c>
      <c r="H630" s="72"/>
      <c r="I630" s="72"/>
      <c r="J630" s="72"/>
      <c r="K630" s="75"/>
      <c r="L630" s="75"/>
      <c r="M630" s="73"/>
      <c r="N630" s="165"/>
      <c r="O630" s="75"/>
    </row>
    <row r="631" spans="1:18" ht="12.75" customHeight="1" x14ac:dyDescent="0.4">
      <c r="A631" s="73" t="s">
        <v>136</v>
      </c>
      <c r="B631" s="74" t="s">
        <v>112</v>
      </c>
      <c r="C631" s="74" t="s">
        <v>113</v>
      </c>
      <c r="D631" s="74" t="s">
        <v>114</v>
      </c>
      <c r="E631" s="74" t="s">
        <v>115</v>
      </c>
      <c r="F631" s="86"/>
      <c r="G631" s="74" t="s">
        <v>112</v>
      </c>
      <c r="H631" s="74" t="s">
        <v>113</v>
      </c>
      <c r="I631" s="74" t="s">
        <v>114</v>
      </c>
      <c r="J631" s="74" t="s">
        <v>115</v>
      </c>
      <c r="K631" s="75"/>
      <c r="L631" s="75"/>
      <c r="M631" s="6" t="s">
        <v>360</v>
      </c>
      <c r="N631" s="6"/>
      <c r="O631" s="6"/>
    </row>
    <row r="632" spans="1:18" ht="12.75" customHeight="1" x14ac:dyDescent="0.4">
      <c r="A632" s="73" t="s">
        <v>127</v>
      </c>
      <c r="B632" s="86">
        <v>32</v>
      </c>
      <c r="C632" s="86">
        <v>24</v>
      </c>
      <c r="D632" s="86">
        <v>6</v>
      </c>
      <c r="E632" s="86">
        <v>2</v>
      </c>
      <c r="F632" s="86"/>
      <c r="G632" s="75">
        <v>1</v>
      </c>
      <c r="H632" s="75">
        <v>0.75</v>
      </c>
      <c r="I632" s="75">
        <v>0.1875</v>
      </c>
      <c r="J632" s="75">
        <v>6.25E-2</v>
      </c>
      <c r="K632" s="75"/>
      <c r="L632" s="75"/>
      <c r="M632" s="6" t="s">
        <v>362</v>
      </c>
      <c r="N632" s="139"/>
      <c r="O632" s="140"/>
    </row>
    <row r="633" spans="1:18" ht="12.75" customHeight="1" x14ac:dyDescent="0.4">
      <c r="A633" s="73" t="s">
        <v>128</v>
      </c>
      <c r="B633" s="86">
        <v>25</v>
      </c>
      <c r="C633" s="86">
        <v>20</v>
      </c>
      <c r="D633" s="86">
        <v>1</v>
      </c>
      <c r="E633" s="86">
        <v>4</v>
      </c>
      <c r="F633" s="86"/>
      <c r="G633" s="75">
        <v>1</v>
      </c>
      <c r="H633" s="75">
        <v>0.8</v>
      </c>
      <c r="I633" s="75">
        <v>0.04</v>
      </c>
      <c r="J633" s="75">
        <v>0.16</v>
      </c>
      <c r="K633" s="75"/>
      <c r="L633" s="75"/>
      <c r="M633" s="6" t="s">
        <v>249</v>
      </c>
      <c r="N633" s="6"/>
      <c r="O633" s="6"/>
    </row>
    <row r="634" spans="1:18" ht="12.75" customHeight="1" x14ac:dyDescent="0.4">
      <c r="A634" s="73" t="s">
        <v>129</v>
      </c>
      <c r="B634" s="86">
        <v>69</v>
      </c>
      <c r="C634" s="86">
        <v>53</v>
      </c>
      <c r="D634" s="86">
        <v>10</v>
      </c>
      <c r="E634" s="86">
        <v>6</v>
      </c>
      <c r="F634" s="86"/>
      <c r="G634" s="75">
        <v>1</v>
      </c>
      <c r="H634" s="75">
        <v>0.76811594202898548</v>
      </c>
      <c r="I634" s="75">
        <v>0.14492753623188406</v>
      </c>
      <c r="J634" s="75">
        <v>8.6956521739130432E-2</v>
      </c>
      <c r="K634" s="75"/>
      <c r="L634" s="75"/>
      <c r="M634" s="6" t="s">
        <v>201</v>
      </c>
      <c r="N634" s="139">
        <v>498</v>
      </c>
      <c r="O634" s="141" t="s">
        <v>202</v>
      </c>
    </row>
    <row r="635" spans="1:18" ht="12.75" customHeight="1" x14ac:dyDescent="0.4">
      <c r="A635" s="73" t="s">
        <v>130</v>
      </c>
      <c r="B635" s="86">
        <v>82</v>
      </c>
      <c r="C635" s="86">
        <v>58</v>
      </c>
      <c r="D635" s="86">
        <v>15</v>
      </c>
      <c r="E635" s="86">
        <v>9</v>
      </c>
      <c r="F635" s="86"/>
      <c r="G635" s="75">
        <v>0.97619047619047616</v>
      </c>
      <c r="H635" s="75">
        <v>0.70731707317073167</v>
      </c>
      <c r="I635" s="75">
        <v>0.18292682926829268</v>
      </c>
      <c r="J635" s="75">
        <v>0.10975609756097561</v>
      </c>
      <c r="K635" s="75"/>
      <c r="L635" s="75"/>
      <c r="M635" s="6" t="s">
        <v>363</v>
      </c>
      <c r="N635" s="139">
        <v>305</v>
      </c>
      <c r="O635" s="140">
        <v>0.6124497991967871</v>
      </c>
      <c r="P635" s="82"/>
    </row>
    <row r="636" spans="1:18" ht="12.75" customHeight="1" x14ac:dyDescent="0.4">
      <c r="A636" s="73" t="s">
        <v>131</v>
      </c>
      <c r="B636" s="86">
        <v>33</v>
      </c>
      <c r="C636" s="86">
        <v>23</v>
      </c>
      <c r="D636" s="86">
        <v>5</v>
      </c>
      <c r="E636" s="86">
        <v>5</v>
      </c>
      <c r="F636" s="86"/>
      <c r="G636" s="75">
        <v>0.97058823529411764</v>
      </c>
      <c r="H636" s="75">
        <v>0.69696969696969702</v>
      </c>
      <c r="I636" s="75">
        <v>0.15151515151515152</v>
      </c>
      <c r="J636" s="75">
        <v>0.15151515151515152</v>
      </c>
      <c r="K636" s="75"/>
      <c r="L636" s="75"/>
      <c r="M636" s="6" t="s">
        <v>226</v>
      </c>
      <c r="N636" s="139">
        <v>75</v>
      </c>
      <c r="O636" s="140">
        <v>0.15060240963855423</v>
      </c>
    </row>
    <row r="637" spans="1:18" ht="12.75" customHeight="1" x14ac:dyDescent="0.4">
      <c r="A637" s="73" t="s">
        <v>132</v>
      </c>
      <c r="B637" s="86">
        <v>61</v>
      </c>
      <c r="C637" s="86">
        <v>51</v>
      </c>
      <c r="D637" s="86">
        <v>5</v>
      </c>
      <c r="E637" s="86">
        <v>5</v>
      </c>
      <c r="F637" s="86"/>
      <c r="G637" s="75">
        <v>0.9838709677419355</v>
      </c>
      <c r="H637" s="75">
        <v>0.83606557377049184</v>
      </c>
      <c r="I637" s="75">
        <v>8.1967213114754092E-2</v>
      </c>
      <c r="J637" s="75">
        <v>8.1967213114754092E-2</v>
      </c>
      <c r="K637" s="75"/>
      <c r="L637" s="75"/>
      <c r="M637" s="6" t="s">
        <v>364</v>
      </c>
      <c r="N637" s="139">
        <v>184</v>
      </c>
      <c r="O637" s="140">
        <v>0.36947791164658633</v>
      </c>
    </row>
    <row r="638" spans="1:18" ht="12.75" customHeight="1" x14ac:dyDescent="0.4">
      <c r="A638" s="73" t="s">
        <v>133</v>
      </c>
      <c r="B638" s="86">
        <v>67</v>
      </c>
      <c r="C638" s="86">
        <v>53</v>
      </c>
      <c r="D638" s="86">
        <v>10</v>
      </c>
      <c r="E638" s="86">
        <v>4</v>
      </c>
      <c r="F638" s="87"/>
      <c r="G638" s="75">
        <v>1</v>
      </c>
      <c r="H638" s="75">
        <v>0.79104477611940294</v>
      </c>
      <c r="I638" s="75">
        <v>0.14925373134328357</v>
      </c>
      <c r="J638" s="75">
        <v>5.9701492537313432E-2</v>
      </c>
      <c r="K638" s="75"/>
      <c r="L638" s="75"/>
      <c r="M638" s="6" t="s">
        <v>227</v>
      </c>
      <c r="N638" s="139">
        <v>34</v>
      </c>
      <c r="O638" s="140">
        <v>6.8273092369477914E-2</v>
      </c>
    </row>
    <row r="639" spans="1:18" ht="12.75" customHeight="1" x14ac:dyDescent="0.4">
      <c r="A639" s="73" t="s">
        <v>134</v>
      </c>
      <c r="B639" s="86">
        <v>67</v>
      </c>
      <c r="C639" s="86">
        <v>58</v>
      </c>
      <c r="D639" s="86">
        <v>6</v>
      </c>
      <c r="E639" s="86">
        <v>3</v>
      </c>
      <c r="F639" s="87"/>
      <c r="G639" s="75">
        <v>0.98529411764705888</v>
      </c>
      <c r="H639" s="75">
        <v>0.86567164179104472</v>
      </c>
      <c r="I639" s="75">
        <v>8.9552238805970144E-2</v>
      </c>
      <c r="J639" s="75">
        <v>4.4776119402985072E-2</v>
      </c>
      <c r="K639" s="75"/>
      <c r="L639" s="75"/>
      <c r="M639" s="6"/>
      <c r="N639" s="139"/>
      <c r="O639" s="140"/>
    </row>
    <row r="640" spans="1:18" ht="12.75" customHeight="1" x14ac:dyDescent="0.4">
      <c r="A640" s="73" t="s">
        <v>376</v>
      </c>
      <c r="B640" s="86">
        <v>3</v>
      </c>
      <c r="C640" s="86">
        <v>1</v>
      </c>
      <c r="D640" s="86">
        <v>2</v>
      </c>
      <c r="E640" s="86">
        <v>0</v>
      </c>
      <c r="F640" s="87"/>
      <c r="G640" s="75">
        <v>1</v>
      </c>
      <c r="H640" s="75">
        <v>0.33333333333333331</v>
      </c>
      <c r="I640" s="75">
        <v>0.66666666666666663</v>
      </c>
      <c r="J640" s="75">
        <v>0</v>
      </c>
      <c r="K640" s="75"/>
      <c r="L640" s="75"/>
      <c r="M640" s="6"/>
      <c r="N640" s="139"/>
      <c r="O640" s="140"/>
    </row>
    <row r="641" spans="1:16" ht="13.15" x14ac:dyDescent="0.4">
      <c r="A641" s="73" t="s">
        <v>135</v>
      </c>
      <c r="B641" s="86">
        <v>28</v>
      </c>
      <c r="C641" s="86">
        <v>20</v>
      </c>
      <c r="D641" s="86">
        <v>6</v>
      </c>
      <c r="E641" s="86">
        <v>2</v>
      </c>
      <c r="F641" s="87"/>
      <c r="G641" s="75">
        <v>1</v>
      </c>
      <c r="H641" s="75">
        <v>0.7142857142857143</v>
      </c>
      <c r="I641" s="75">
        <v>0.21428571428571427</v>
      </c>
      <c r="J641" s="75">
        <v>7.1428571428571425E-2</v>
      </c>
      <c r="K641" s="75"/>
      <c r="L641" s="75"/>
      <c r="M641" s="6"/>
      <c r="N641" s="139"/>
      <c r="O641" s="140"/>
    </row>
    <row r="642" spans="1:16" ht="13.15" x14ac:dyDescent="0.4">
      <c r="A642" s="73" t="s">
        <v>303</v>
      </c>
      <c r="B642" s="86">
        <v>33</v>
      </c>
      <c r="C642" s="86">
        <v>14</v>
      </c>
      <c r="D642" s="86">
        <v>16</v>
      </c>
      <c r="E642" s="86">
        <v>3</v>
      </c>
      <c r="F642" s="87"/>
      <c r="G642" s="75">
        <v>1</v>
      </c>
      <c r="H642" s="75">
        <v>0.42424242424242425</v>
      </c>
      <c r="I642" s="75">
        <v>0.48484848484848486</v>
      </c>
      <c r="J642" s="75">
        <v>9.0909090909090912E-2</v>
      </c>
      <c r="K642" s="72"/>
      <c r="L642" s="72"/>
      <c r="M642" s="6"/>
      <c r="N642" s="75"/>
      <c r="O642" s="75"/>
    </row>
    <row r="643" spans="1:16" ht="13.15" x14ac:dyDescent="0.4">
      <c r="A643" s="73" t="s">
        <v>23</v>
      </c>
      <c r="B643" s="87">
        <v>500</v>
      </c>
      <c r="C643" s="86">
        <v>375</v>
      </c>
      <c r="D643" s="86">
        <v>82</v>
      </c>
      <c r="E643" s="87">
        <v>43</v>
      </c>
      <c r="F643" s="72"/>
      <c r="G643" s="75">
        <v>0.99009900990099009</v>
      </c>
      <c r="H643" s="75">
        <v>0.75</v>
      </c>
      <c r="I643" s="75">
        <v>0.16400000000000001</v>
      </c>
      <c r="J643" s="75">
        <v>8.5999999999999993E-2</v>
      </c>
      <c r="K643" s="72"/>
      <c r="L643" s="72"/>
      <c r="M643" s="6"/>
      <c r="N643" s="75"/>
      <c r="O643" s="75"/>
    </row>
    <row r="644" spans="1:16" ht="13.15" x14ac:dyDescent="0.4">
      <c r="A644" s="73" t="s">
        <v>351</v>
      </c>
      <c r="B644" s="72"/>
      <c r="C644" s="72"/>
      <c r="D644" s="72"/>
      <c r="E644" s="72"/>
      <c r="F644" s="72"/>
      <c r="G644" s="72"/>
      <c r="H644" s="72"/>
      <c r="I644" s="72"/>
      <c r="J644" s="72"/>
      <c r="K644" s="72"/>
      <c r="L644" s="74"/>
      <c r="M644" s="73"/>
      <c r="N644" s="165"/>
      <c r="O644" s="75"/>
      <c r="P644" s="53"/>
    </row>
    <row r="645" spans="1:16" ht="13.15" x14ac:dyDescent="0.4">
      <c r="A645" s="73" t="s">
        <v>348</v>
      </c>
      <c r="B645" s="72"/>
      <c r="C645" s="72"/>
      <c r="D645" s="72"/>
      <c r="E645" s="72"/>
      <c r="F645" s="72"/>
      <c r="G645" s="72"/>
      <c r="H645" s="72"/>
      <c r="I645" s="72"/>
      <c r="J645" s="72"/>
      <c r="K645" s="74"/>
      <c r="L645" s="75"/>
      <c r="M645" s="73"/>
      <c r="N645" s="165"/>
      <c r="O645" s="75"/>
      <c r="P645" s="53"/>
    </row>
    <row r="646" spans="1:16" ht="12.75" customHeight="1" x14ac:dyDescent="0.4">
      <c r="A646" s="73" t="s">
        <v>359</v>
      </c>
      <c r="B646" s="72"/>
      <c r="C646" s="72"/>
      <c r="D646" s="72"/>
      <c r="E646" s="72"/>
      <c r="F646" s="72"/>
      <c r="G646" s="72"/>
      <c r="H646" s="72"/>
      <c r="I646" s="72"/>
      <c r="J646" s="72"/>
      <c r="K646" s="75"/>
      <c r="L646" s="75"/>
      <c r="M646" s="6"/>
      <c r="N646" s="6"/>
      <c r="O646" s="6"/>
      <c r="P646" s="53"/>
    </row>
    <row r="647" spans="1:16" ht="13.15" x14ac:dyDescent="0.4">
      <c r="A647" s="73"/>
      <c r="B647" s="72" t="s">
        <v>139</v>
      </c>
      <c r="C647" s="72"/>
      <c r="D647" s="72"/>
      <c r="E647" s="72"/>
      <c r="F647" s="86"/>
      <c r="G647" s="72" t="s">
        <v>146</v>
      </c>
      <c r="H647" s="72"/>
      <c r="I647" s="72"/>
      <c r="J647" s="72"/>
      <c r="K647" s="75"/>
      <c r="L647" s="75"/>
      <c r="M647" s="6"/>
      <c r="N647" s="6"/>
      <c r="O647" s="6"/>
      <c r="P647" s="53"/>
    </row>
    <row r="648" spans="1:16" ht="13.15" x14ac:dyDescent="0.4">
      <c r="A648" s="73" t="s">
        <v>136</v>
      </c>
      <c r="B648" s="74" t="s">
        <v>112</v>
      </c>
      <c r="C648" s="74" t="s">
        <v>113</v>
      </c>
      <c r="D648" s="74" t="s">
        <v>114</v>
      </c>
      <c r="E648" s="74" t="s">
        <v>115</v>
      </c>
      <c r="F648" s="86"/>
      <c r="G648" s="74" t="s">
        <v>112</v>
      </c>
      <c r="H648" s="74" t="s">
        <v>113</v>
      </c>
      <c r="I648" s="74" t="s">
        <v>114</v>
      </c>
      <c r="J648" s="74" t="s">
        <v>115</v>
      </c>
      <c r="K648" s="75"/>
      <c r="L648" s="75"/>
      <c r="M648" s="6" t="s">
        <v>351</v>
      </c>
      <c r="N648" s="6"/>
      <c r="O648" s="6"/>
    </row>
    <row r="649" spans="1:16" ht="13.15" x14ac:dyDescent="0.4">
      <c r="A649" s="73" t="s">
        <v>127</v>
      </c>
      <c r="B649" s="86">
        <v>32</v>
      </c>
      <c r="C649" s="86">
        <v>23</v>
      </c>
      <c r="D649" s="86">
        <v>8</v>
      </c>
      <c r="E649" s="86">
        <v>1</v>
      </c>
      <c r="F649" s="86"/>
      <c r="G649" s="75">
        <f>B649/32</f>
        <v>1</v>
      </c>
      <c r="H649" s="75">
        <f>C649/B649</f>
        <v>0.71875</v>
      </c>
      <c r="I649" s="75">
        <f>D649/B649</f>
        <v>0.25</v>
      </c>
      <c r="J649" s="75">
        <f>E649/B649</f>
        <v>3.125E-2</v>
      </c>
      <c r="K649" s="75"/>
      <c r="L649" s="75"/>
      <c r="M649" s="6" t="s">
        <v>354</v>
      </c>
      <c r="N649" s="139"/>
      <c r="O649" s="140"/>
    </row>
    <row r="650" spans="1:16" ht="13.15" x14ac:dyDescent="0.4">
      <c r="A650" s="73" t="s">
        <v>128</v>
      </c>
      <c r="B650" s="86">
        <v>25</v>
      </c>
      <c r="C650" s="86">
        <v>18</v>
      </c>
      <c r="D650" s="86">
        <v>4</v>
      </c>
      <c r="E650" s="86">
        <v>3</v>
      </c>
      <c r="F650" s="86"/>
      <c r="G650" s="75">
        <f>B650/25</f>
        <v>1</v>
      </c>
      <c r="H650" s="75">
        <f t="shared" ref="H650:H659" si="20">C650/B650</f>
        <v>0.72</v>
      </c>
      <c r="I650" s="75">
        <f t="shared" ref="I650:I660" si="21">D650/B650</f>
        <v>0.16</v>
      </c>
      <c r="J650" s="75">
        <f t="shared" ref="J650:J660" si="22">E650/B650</f>
        <v>0.12</v>
      </c>
      <c r="K650" s="75"/>
      <c r="L650" s="75"/>
      <c r="M650" s="6" t="s">
        <v>249</v>
      </c>
      <c r="N650" s="6"/>
      <c r="O650" s="6"/>
    </row>
    <row r="651" spans="1:16" ht="13.15" x14ac:dyDescent="0.4">
      <c r="A651" s="73" t="s">
        <v>129</v>
      </c>
      <c r="B651" s="86">
        <v>68</v>
      </c>
      <c r="C651" s="86">
        <v>51</v>
      </c>
      <c r="D651" s="86">
        <v>9</v>
      </c>
      <c r="E651" s="86">
        <v>8</v>
      </c>
      <c r="F651" s="86"/>
      <c r="G651" s="75">
        <f>B651/68</f>
        <v>1</v>
      </c>
      <c r="H651" s="75">
        <f t="shared" si="20"/>
        <v>0.75</v>
      </c>
      <c r="I651" s="75">
        <f t="shared" si="21"/>
        <v>0.13235294117647059</v>
      </c>
      <c r="J651" s="75">
        <f t="shared" si="22"/>
        <v>0.11764705882352941</v>
      </c>
      <c r="K651" s="75"/>
      <c r="L651" s="75"/>
      <c r="M651" s="6" t="s">
        <v>201</v>
      </c>
      <c r="N651" s="76">
        <v>499</v>
      </c>
      <c r="O651" s="141" t="s">
        <v>202</v>
      </c>
      <c r="P651" s="72"/>
    </row>
    <row r="652" spans="1:16" ht="13.15" x14ac:dyDescent="0.4">
      <c r="A652" s="73" t="s">
        <v>130</v>
      </c>
      <c r="B652" s="86">
        <v>82</v>
      </c>
      <c r="C652" s="86">
        <v>57</v>
      </c>
      <c r="D652" s="86">
        <v>17</v>
      </c>
      <c r="E652" s="86">
        <v>8</v>
      </c>
      <c r="F652" s="86"/>
      <c r="G652" s="75">
        <f>B652/83</f>
        <v>0.98795180722891562</v>
      </c>
      <c r="H652" s="75">
        <f t="shared" si="20"/>
        <v>0.69512195121951215</v>
      </c>
      <c r="I652" s="75">
        <f t="shared" si="21"/>
        <v>0.2073170731707317</v>
      </c>
      <c r="J652" s="75">
        <f t="shared" si="22"/>
        <v>9.7560975609756101E-2</v>
      </c>
      <c r="K652" s="75"/>
      <c r="L652" s="75"/>
      <c r="M652" s="6" t="s">
        <v>352</v>
      </c>
      <c r="N652" s="139">
        <v>291</v>
      </c>
      <c r="O652" s="140">
        <f>N652/N651</f>
        <v>0.58316633266533069</v>
      </c>
      <c r="P652" s="96"/>
    </row>
    <row r="653" spans="1:16" ht="13.15" x14ac:dyDescent="0.4">
      <c r="A653" s="73" t="s">
        <v>131</v>
      </c>
      <c r="B653" s="86">
        <v>34</v>
      </c>
      <c r="C653" s="86">
        <v>26</v>
      </c>
      <c r="D653" s="86">
        <v>6</v>
      </c>
      <c r="E653" s="86">
        <v>2</v>
      </c>
      <c r="F653" s="86"/>
      <c r="G653" s="75">
        <f>B653/34</f>
        <v>1</v>
      </c>
      <c r="H653" s="75">
        <f t="shared" si="20"/>
        <v>0.76470588235294112</v>
      </c>
      <c r="I653" s="75">
        <f t="shared" si="21"/>
        <v>0.17647058823529413</v>
      </c>
      <c r="J653" s="75">
        <f t="shared" si="22"/>
        <v>5.8823529411764705E-2</v>
      </c>
      <c r="K653" s="75"/>
      <c r="L653" s="75"/>
      <c r="M653" s="6" t="s">
        <v>226</v>
      </c>
      <c r="N653" s="139">
        <v>71</v>
      </c>
      <c r="O653" s="140">
        <f>N653/N651</f>
        <v>0.14228456913827656</v>
      </c>
      <c r="P653" s="118"/>
    </row>
    <row r="654" spans="1:16" ht="13.15" x14ac:dyDescent="0.4">
      <c r="A654" s="73" t="s">
        <v>132</v>
      </c>
      <c r="B654" s="86">
        <v>62</v>
      </c>
      <c r="C654" s="86">
        <v>45</v>
      </c>
      <c r="D654" s="86">
        <v>11</v>
      </c>
      <c r="E654" s="86">
        <v>6</v>
      </c>
      <c r="F654" s="86"/>
      <c r="G654" s="75">
        <f>B654/62</f>
        <v>1</v>
      </c>
      <c r="H654" s="75">
        <f t="shared" si="20"/>
        <v>0.72580645161290325</v>
      </c>
      <c r="I654" s="75">
        <f t="shared" si="21"/>
        <v>0.17741935483870969</v>
      </c>
      <c r="J654" s="75">
        <f t="shared" si="22"/>
        <v>9.6774193548387094E-2</v>
      </c>
      <c r="K654" s="75"/>
      <c r="L654" s="75"/>
      <c r="M654" s="6" t="s">
        <v>353</v>
      </c>
      <c r="N654" s="139">
        <v>201</v>
      </c>
      <c r="O654" s="140">
        <f>N654/N651</f>
        <v>0.4028056112224449</v>
      </c>
      <c r="P654" s="118"/>
    </row>
    <row r="655" spans="1:16" ht="13.15" x14ac:dyDescent="0.4">
      <c r="A655" s="73" t="s">
        <v>133</v>
      </c>
      <c r="B655" s="86">
        <v>67</v>
      </c>
      <c r="C655" s="86">
        <v>51</v>
      </c>
      <c r="D655" s="86">
        <v>12</v>
      </c>
      <c r="E655" s="86">
        <v>4</v>
      </c>
      <c r="F655" s="87"/>
      <c r="G655" s="75">
        <f>B655/67</f>
        <v>1</v>
      </c>
      <c r="H655" s="75">
        <f t="shared" si="20"/>
        <v>0.76119402985074625</v>
      </c>
      <c r="I655" s="75">
        <f t="shared" si="21"/>
        <v>0.17910447761194029</v>
      </c>
      <c r="J655" s="75">
        <f t="shared" si="22"/>
        <v>5.9701492537313432E-2</v>
      </c>
      <c r="K655" s="75"/>
      <c r="L655" s="75"/>
      <c r="M655" s="6" t="s">
        <v>227</v>
      </c>
      <c r="N655" s="139">
        <v>43</v>
      </c>
      <c r="O655" s="140">
        <f>N655/N651</f>
        <v>8.617234468937876E-2</v>
      </c>
      <c r="P655" s="118"/>
    </row>
    <row r="656" spans="1:16" ht="13.15" x14ac:dyDescent="0.4">
      <c r="A656" s="73" t="s">
        <v>134</v>
      </c>
      <c r="B656" s="86">
        <v>68</v>
      </c>
      <c r="C656" s="86">
        <v>61</v>
      </c>
      <c r="D656" s="86">
        <v>3</v>
      </c>
      <c r="E656" s="86">
        <v>4</v>
      </c>
      <c r="F656" s="87"/>
      <c r="G656" s="75">
        <f>B656/69</f>
        <v>0.98550724637681164</v>
      </c>
      <c r="H656" s="75">
        <f t="shared" si="20"/>
        <v>0.8970588235294118</v>
      </c>
      <c r="I656" s="75">
        <f t="shared" si="21"/>
        <v>4.4117647058823532E-2</v>
      </c>
      <c r="J656" s="75">
        <f t="shared" si="22"/>
        <v>5.8823529411764705E-2</v>
      </c>
      <c r="K656" s="75"/>
      <c r="L656" s="75"/>
      <c r="M656" s="6"/>
      <c r="N656" s="139"/>
      <c r="O656" s="140"/>
      <c r="P656" s="118"/>
    </row>
    <row r="657" spans="1:16" ht="13.15" x14ac:dyDescent="0.4">
      <c r="A657" s="73" t="s">
        <v>376</v>
      </c>
      <c r="B657" s="86">
        <v>4</v>
      </c>
      <c r="C657" s="86">
        <v>2</v>
      </c>
      <c r="D657" s="86">
        <v>1</v>
      </c>
      <c r="E657" s="86">
        <v>1</v>
      </c>
      <c r="F657" s="87"/>
      <c r="G657" s="75">
        <f>B657/4</f>
        <v>1</v>
      </c>
      <c r="H657" s="75">
        <f t="shared" si="20"/>
        <v>0.5</v>
      </c>
      <c r="I657" s="75">
        <f t="shared" si="21"/>
        <v>0.25</v>
      </c>
      <c r="J657" s="75">
        <f t="shared" si="22"/>
        <v>0.25</v>
      </c>
      <c r="K657" s="75"/>
      <c r="L657" s="75"/>
      <c r="M657" s="6"/>
      <c r="N657" s="139"/>
      <c r="O657" s="140"/>
      <c r="P657" s="53"/>
    </row>
    <row r="658" spans="1:16" ht="13.15" x14ac:dyDescent="0.4">
      <c r="A658" s="73" t="s">
        <v>135</v>
      </c>
      <c r="B658" s="86">
        <v>28</v>
      </c>
      <c r="C658" s="86">
        <v>14</v>
      </c>
      <c r="D658" s="86">
        <v>12</v>
      </c>
      <c r="E658" s="86">
        <v>2</v>
      </c>
      <c r="F658" s="87"/>
      <c r="G658" s="75">
        <f>B658/28</f>
        <v>1</v>
      </c>
      <c r="H658" s="75">
        <f t="shared" si="20"/>
        <v>0.5</v>
      </c>
      <c r="I658" s="75">
        <f t="shared" si="21"/>
        <v>0.42857142857142855</v>
      </c>
      <c r="J658" s="75">
        <f t="shared" si="22"/>
        <v>7.1428571428571425E-2</v>
      </c>
      <c r="K658" s="75"/>
      <c r="L658" s="75"/>
      <c r="M658" s="6"/>
      <c r="N658" s="75"/>
      <c r="O658" s="75"/>
      <c r="P658" s="53"/>
    </row>
    <row r="659" spans="1:16" ht="13.15" x14ac:dyDescent="0.4">
      <c r="A659" s="73" t="s">
        <v>303</v>
      </c>
      <c r="B659" s="86">
        <v>33</v>
      </c>
      <c r="C659" s="86">
        <v>17</v>
      </c>
      <c r="D659" s="86">
        <v>13</v>
      </c>
      <c r="E659" s="86">
        <v>3</v>
      </c>
      <c r="F659" s="87"/>
      <c r="G659" s="75">
        <f>B659/33</f>
        <v>1</v>
      </c>
      <c r="H659" s="75">
        <f t="shared" si="20"/>
        <v>0.51515151515151514</v>
      </c>
      <c r="I659" s="75">
        <f t="shared" si="21"/>
        <v>0.39393939393939392</v>
      </c>
      <c r="J659" s="75">
        <f t="shared" si="22"/>
        <v>9.0909090909090912E-2</v>
      </c>
      <c r="K659" s="75"/>
      <c r="L659" s="75"/>
      <c r="M659" s="6"/>
      <c r="N659" s="75"/>
      <c r="O659" s="75"/>
      <c r="P659" s="53"/>
    </row>
    <row r="660" spans="1:16" ht="13.15" x14ac:dyDescent="0.4">
      <c r="A660" s="73" t="s">
        <v>23</v>
      </c>
      <c r="B660" s="87">
        <v>503</v>
      </c>
      <c r="C660" s="86">
        <v>365</v>
      </c>
      <c r="D660" s="86">
        <v>96</v>
      </c>
      <c r="E660" s="87">
        <v>42</v>
      </c>
      <c r="F660" s="72"/>
      <c r="G660" s="75">
        <f>B660/505</f>
        <v>0.99603960396039604</v>
      </c>
      <c r="H660" s="75">
        <f>C660/B660</f>
        <v>0.72564612326043743</v>
      </c>
      <c r="I660" s="75">
        <f t="shared" si="21"/>
        <v>0.19085487077534791</v>
      </c>
      <c r="J660" s="75">
        <f t="shared" si="22"/>
        <v>8.3499005964214709E-2</v>
      </c>
      <c r="K660" s="72"/>
      <c r="L660" s="72"/>
      <c r="M660" s="73"/>
      <c r="N660" s="165"/>
      <c r="O660" s="75"/>
      <c r="P660" s="53"/>
    </row>
    <row r="661" spans="1:16" ht="13.15" x14ac:dyDescent="0.4">
      <c r="A661" s="73"/>
      <c r="B661" s="87"/>
      <c r="C661" s="86"/>
      <c r="D661" s="86"/>
      <c r="E661" s="87"/>
      <c r="F661" s="72"/>
      <c r="G661" s="75"/>
      <c r="H661" s="75"/>
      <c r="I661" s="75"/>
      <c r="J661" s="75"/>
      <c r="K661" s="72"/>
      <c r="L661" s="72"/>
      <c r="M661" s="73"/>
      <c r="N661" s="165"/>
      <c r="O661" s="75"/>
    </row>
    <row r="662" spans="1:16" ht="13.15" x14ac:dyDescent="0.4">
      <c r="A662" s="73"/>
      <c r="B662" s="87"/>
      <c r="C662" s="86"/>
      <c r="D662" s="86"/>
      <c r="E662" s="87"/>
      <c r="F662" s="72"/>
      <c r="G662" s="75"/>
      <c r="H662" s="75"/>
      <c r="I662" s="75"/>
      <c r="J662" s="75"/>
      <c r="K662" s="72"/>
      <c r="L662" s="72"/>
      <c r="M662" s="73"/>
      <c r="N662" s="165"/>
      <c r="O662" s="75"/>
    </row>
    <row r="663" spans="1:16" ht="13.15" x14ac:dyDescent="0.4">
      <c r="A663" s="73"/>
      <c r="B663" s="87"/>
      <c r="C663" s="86"/>
      <c r="D663" s="86"/>
      <c r="E663" s="87"/>
      <c r="F663" s="72"/>
      <c r="G663" s="75"/>
      <c r="H663" s="75"/>
      <c r="I663" s="75"/>
      <c r="J663" s="75"/>
      <c r="K663" s="72"/>
      <c r="L663" s="74"/>
      <c r="M663" s="73"/>
      <c r="N663" s="165"/>
      <c r="O663" s="75"/>
    </row>
    <row r="664" spans="1:16" ht="13.15" x14ac:dyDescent="0.4">
      <c r="A664" s="73" t="s">
        <v>342</v>
      </c>
      <c r="B664" s="72"/>
      <c r="C664" s="72"/>
      <c r="D664" s="72"/>
      <c r="E664" s="72"/>
      <c r="F664" s="72"/>
      <c r="G664" s="72"/>
      <c r="H664" s="72"/>
      <c r="I664" s="72"/>
      <c r="J664" s="72"/>
      <c r="K664" s="74"/>
      <c r="L664" s="75"/>
      <c r="M664" s="73"/>
      <c r="N664" s="165"/>
      <c r="O664" s="75"/>
      <c r="P664" s="72"/>
    </row>
    <row r="665" spans="1:16" ht="13.15" x14ac:dyDescent="0.4">
      <c r="A665" s="73" t="s">
        <v>348</v>
      </c>
      <c r="B665" s="72"/>
      <c r="C665" s="72"/>
      <c r="D665" s="72"/>
      <c r="E665" s="72"/>
      <c r="F665" s="72"/>
      <c r="G665" s="72"/>
      <c r="H665" s="72"/>
      <c r="I665" s="72"/>
      <c r="J665" s="72"/>
      <c r="K665" s="75"/>
      <c r="L665" s="75"/>
      <c r="M665" s="6"/>
      <c r="N665" s="6"/>
      <c r="O665" s="6"/>
      <c r="P665" s="72"/>
    </row>
    <row r="666" spans="1:16" ht="13.15" x14ac:dyDescent="0.4">
      <c r="A666" s="73" t="s">
        <v>350</v>
      </c>
      <c r="B666" s="72"/>
      <c r="C666" s="72"/>
      <c r="D666" s="72"/>
      <c r="E666" s="72"/>
      <c r="F666" s="72"/>
      <c r="G666" s="72"/>
      <c r="H666" s="72"/>
      <c r="I666" s="72"/>
      <c r="J666" s="72"/>
      <c r="K666" s="75"/>
      <c r="L666" s="75"/>
      <c r="M666" s="6"/>
      <c r="N666" s="6"/>
      <c r="O666" s="6"/>
      <c r="P666" s="72"/>
    </row>
    <row r="667" spans="1:16" ht="13.15" x14ac:dyDescent="0.4">
      <c r="A667" s="73"/>
      <c r="B667" s="72" t="s">
        <v>139</v>
      </c>
      <c r="C667" s="72"/>
      <c r="D667" s="72"/>
      <c r="E667" s="72"/>
      <c r="F667" s="86"/>
      <c r="G667" s="72" t="s">
        <v>146</v>
      </c>
      <c r="H667" s="72"/>
      <c r="I667" s="72"/>
      <c r="J667" s="72"/>
      <c r="K667" s="75"/>
      <c r="L667" s="75"/>
      <c r="M667" s="6"/>
      <c r="N667" s="6"/>
      <c r="O667" s="6"/>
      <c r="P667" s="72"/>
    </row>
    <row r="668" spans="1:16" ht="13.15" x14ac:dyDescent="0.4">
      <c r="A668" s="73" t="s">
        <v>136</v>
      </c>
      <c r="B668" s="74" t="s">
        <v>112</v>
      </c>
      <c r="C668" s="74" t="s">
        <v>113</v>
      </c>
      <c r="D668" s="74" t="s">
        <v>114</v>
      </c>
      <c r="E668" s="74" t="s">
        <v>115</v>
      </c>
      <c r="F668" s="86"/>
      <c r="G668" s="74" t="s">
        <v>112</v>
      </c>
      <c r="H668" s="74" t="s">
        <v>113</v>
      </c>
      <c r="I668" s="74" t="s">
        <v>114</v>
      </c>
      <c r="J668" s="74" t="s">
        <v>115</v>
      </c>
      <c r="K668" s="75"/>
      <c r="L668" s="75"/>
      <c r="M668" s="6" t="s">
        <v>342</v>
      </c>
      <c r="N668" s="6"/>
      <c r="O668" s="6"/>
      <c r="P668" s="72"/>
    </row>
    <row r="669" spans="1:16" ht="13.15" x14ac:dyDescent="0.4">
      <c r="A669" s="73" t="s">
        <v>127</v>
      </c>
      <c r="B669" s="86">
        <v>34</v>
      </c>
      <c r="C669" s="86">
        <v>20</v>
      </c>
      <c r="D669" s="86">
        <v>12</v>
      </c>
      <c r="E669" s="86">
        <v>2</v>
      </c>
      <c r="F669" s="86"/>
      <c r="G669" s="75">
        <f>B669/34</f>
        <v>1</v>
      </c>
      <c r="H669" s="75">
        <f>C669/B669</f>
        <v>0.58823529411764708</v>
      </c>
      <c r="I669" s="75">
        <f>D669/B669</f>
        <v>0.35294117647058826</v>
      </c>
      <c r="J669" s="75">
        <f>E669/B669</f>
        <v>5.8823529411764705E-2</v>
      </c>
      <c r="K669" s="75"/>
      <c r="L669" s="75"/>
      <c r="M669" s="6" t="s">
        <v>349</v>
      </c>
      <c r="N669" s="139"/>
      <c r="O669" s="140"/>
      <c r="P669" s="72"/>
    </row>
    <row r="670" spans="1:16" ht="13.15" x14ac:dyDescent="0.4">
      <c r="A670" s="73" t="s">
        <v>128</v>
      </c>
      <c r="B670" s="86">
        <v>25</v>
      </c>
      <c r="C670" s="86">
        <v>14</v>
      </c>
      <c r="D670" s="86">
        <v>7</v>
      </c>
      <c r="E670" s="86">
        <v>4</v>
      </c>
      <c r="F670" s="86"/>
      <c r="G670" s="75">
        <f>B670/25</f>
        <v>1</v>
      </c>
      <c r="H670" s="75">
        <f t="shared" ref="H670:H679" si="23">C670/B670</f>
        <v>0.56000000000000005</v>
      </c>
      <c r="I670" s="75">
        <f t="shared" ref="I670:I680" si="24">D670/B670</f>
        <v>0.28000000000000003</v>
      </c>
      <c r="J670" s="75">
        <f t="shared" ref="J670:J680" si="25">E670/B670</f>
        <v>0.16</v>
      </c>
      <c r="K670" s="75"/>
      <c r="L670" s="75"/>
      <c r="M670" s="6" t="s">
        <v>249</v>
      </c>
      <c r="N670" s="6"/>
      <c r="O670" s="6"/>
      <c r="P670" s="72"/>
    </row>
    <row r="671" spans="1:16" ht="13.15" x14ac:dyDescent="0.4">
      <c r="A671" s="73" t="s">
        <v>129</v>
      </c>
      <c r="B671" s="86">
        <v>66</v>
      </c>
      <c r="C671" s="86">
        <v>46</v>
      </c>
      <c r="D671" s="86">
        <v>14</v>
      </c>
      <c r="E671" s="86">
        <v>6</v>
      </c>
      <c r="F671" s="86"/>
      <c r="G671" s="75">
        <f>B671/67</f>
        <v>0.9850746268656716</v>
      </c>
      <c r="H671" s="75">
        <f t="shared" si="23"/>
        <v>0.69696969696969702</v>
      </c>
      <c r="I671" s="75">
        <f t="shared" si="24"/>
        <v>0.21212121212121213</v>
      </c>
      <c r="J671" s="75">
        <f t="shared" si="25"/>
        <v>9.0909090909090912E-2</v>
      </c>
      <c r="K671" s="75"/>
      <c r="L671" s="75"/>
      <c r="M671" s="6" t="s">
        <v>201</v>
      </c>
      <c r="N671" s="76">
        <v>500</v>
      </c>
      <c r="O671" s="141" t="s">
        <v>202</v>
      </c>
      <c r="P671" s="72"/>
    </row>
    <row r="672" spans="1:16" ht="13.15" x14ac:dyDescent="0.4">
      <c r="A672" s="73" t="s">
        <v>130</v>
      </c>
      <c r="B672" s="86">
        <v>84</v>
      </c>
      <c r="C672" s="86">
        <v>56</v>
      </c>
      <c r="D672" s="86">
        <v>21</v>
      </c>
      <c r="E672" s="86">
        <v>7</v>
      </c>
      <c r="F672" s="86"/>
      <c r="G672" s="75">
        <f>B672/85</f>
        <v>0.9882352941176471</v>
      </c>
      <c r="H672" s="75">
        <f t="shared" si="23"/>
        <v>0.66666666666666663</v>
      </c>
      <c r="I672" s="75">
        <f t="shared" si="24"/>
        <v>0.25</v>
      </c>
      <c r="J672" s="75">
        <f t="shared" si="25"/>
        <v>8.3333333333333329E-2</v>
      </c>
      <c r="K672" s="75"/>
      <c r="L672" s="75"/>
      <c r="M672" s="6" t="s">
        <v>344</v>
      </c>
      <c r="N672" s="139">
        <v>300</v>
      </c>
      <c r="O672" s="140">
        <f>N672/N671</f>
        <v>0.6</v>
      </c>
      <c r="P672" s="72"/>
    </row>
    <row r="673" spans="1:16" ht="13.15" x14ac:dyDescent="0.4">
      <c r="A673" s="73" t="s">
        <v>131</v>
      </c>
      <c r="B673" s="86">
        <v>36</v>
      </c>
      <c r="C673" s="86">
        <v>23</v>
      </c>
      <c r="D673" s="86">
        <v>8</v>
      </c>
      <c r="E673" s="86">
        <v>5</v>
      </c>
      <c r="F673" s="86"/>
      <c r="G673" s="75">
        <f>B673/36</f>
        <v>1</v>
      </c>
      <c r="H673" s="75">
        <f t="shared" si="23"/>
        <v>0.63888888888888884</v>
      </c>
      <c r="I673" s="75">
        <f t="shared" si="24"/>
        <v>0.22222222222222221</v>
      </c>
      <c r="J673" s="75">
        <f t="shared" si="25"/>
        <v>0.1388888888888889</v>
      </c>
      <c r="K673" s="75"/>
      <c r="L673" s="75"/>
      <c r="M673" s="6" t="s">
        <v>226</v>
      </c>
      <c r="N673" s="139">
        <v>70</v>
      </c>
      <c r="O673" s="140">
        <f>N673/N671</f>
        <v>0.14000000000000001</v>
      </c>
      <c r="P673" s="72"/>
    </row>
    <row r="674" spans="1:16" ht="13.15" x14ac:dyDescent="0.4">
      <c r="A674" s="73" t="s">
        <v>132</v>
      </c>
      <c r="B674" s="86">
        <v>61</v>
      </c>
      <c r="C674" s="86">
        <v>50</v>
      </c>
      <c r="D674" s="86">
        <v>6</v>
      </c>
      <c r="E674" s="86">
        <v>5</v>
      </c>
      <c r="F674" s="86"/>
      <c r="G674" s="75">
        <f>B674/61</f>
        <v>1</v>
      </c>
      <c r="H674" s="75">
        <f t="shared" si="23"/>
        <v>0.81967213114754101</v>
      </c>
      <c r="I674" s="75">
        <f t="shared" si="24"/>
        <v>9.8360655737704916E-2</v>
      </c>
      <c r="J674" s="75">
        <f t="shared" si="25"/>
        <v>8.1967213114754092E-2</v>
      </c>
      <c r="K674" s="75"/>
      <c r="L674" s="75"/>
      <c r="M674" s="6" t="s">
        <v>343</v>
      </c>
      <c r="N674" s="139">
        <v>195</v>
      </c>
      <c r="O674" s="140">
        <f>N674/N671</f>
        <v>0.39</v>
      </c>
      <c r="P674" s="72"/>
    </row>
    <row r="675" spans="1:16" ht="13.15" x14ac:dyDescent="0.4">
      <c r="A675" s="73" t="s">
        <v>133</v>
      </c>
      <c r="B675" s="86">
        <v>66</v>
      </c>
      <c r="C675" s="86">
        <v>49</v>
      </c>
      <c r="D675" s="86">
        <v>11</v>
      </c>
      <c r="E675" s="86">
        <v>6</v>
      </c>
      <c r="F675" s="87"/>
      <c r="G675" s="75">
        <f>B675/66</f>
        <v>1</v>
      </c>
      <c r="H675" s="75">
        <f t="shared" si="23"/>
        <v>0.74242424242424243</v>
      </c>
      <c r="I675" s="75">
        <f t="shared" si="24"/>
        <v>0.16666666666666666</v>
      </c>
      <c r="J675" s="75">
        <f t="shared" si="25"/>
        <v>9.0909090909090912E-2</v>
      </c>
      <c r="K675" s="75"/>
      <c r="L675" s="75"/>
      <c r="M675" s="6" t="s">
        <v>227</v>
      </c>
      <c r="N675" s="139">
        <v>50</v>
      </c>
      <c r="O675" s="140">
        <f>N675/N671</f>
        <v>0.1</v>
      </c>
      <c r="P675" s="53"/>
    </row>
    <row r="676" spans="1:16" ht="13.15" x14ac:dyDescent="0.4">
      <c r="A676" s="73" t="s">
        <v>134</v>
      </c>
      <c r="B676" s="86">
        <v>68</v>
      </c>
      <c r="C676" s="86">
        <v>58</v>
      </c>
      <c r="D676" s="86">
        <v>4</v>
      </c>
      <c r="E676" s="86">
        <v>6</v>
      </c>
      <c r="F676" s="87"/>
      <c r="G676" s="75">
        <f>B676/68</f>
        <v>1</v>
      </c>
      <c r="H676" s="75">
        <f t="shared" si="23"/>
        <v>0.8529411764705882</v>
      </c>
      <c r="I676" s="75">
        <f t="shared" si="24"/>
        <v>5.8823529411764705E-2</v>
      </c>
      <c r="J676" s="75">
        <f t="shared" si="25"/>
        <v>8.8235294117647065E-2</v>
      </c>
      <c r="K676" s="75"/>
      <c r="L676" s="75"/>
      <c r="M676" s="6"/>
      <c r="N676" s="139"/>
      <c r="O676" s="140"/>
      <c r="P676" s="53"/>
    </row>
    <row r="677" spans="1:16" ht="13.15" x14ac:dyDescent="0.4">
      <c r="A677" s="73" t="s">
        <v>376</v>
      </c>
      <c r="B677" s="86">
        <v>4</v>
      </c>
      <c r="C677" s="86">
        <v>2</v>
      </c>
      <c r="D677" s="86">
        <v>1</v>
      </c>
      <c r="E677" s="86">
        <v>1</v>
      </c>
      <c r="F677" s="87"/>
      <c r="G677" s="75">
        <f>B677/4</f>
        <v>1</v>
      </c>
      <c r="H677" s="75">
        <f t="shared" si="23"/>
        <v>0.5</v>
      </c>
      <c r="I677" s="75">
        <f t="shared" si="24"/>
        <v>0.25</v>
      </c>
      <c r="J677" s="75">
        <f t="shared" si="25"/>
        <v>0.25</v>
      </c>
      <c r="K677" s="75"/>
      <c r="L677" s="75"/>
      <c r="M677" s="6"/>
      <c r="N677" s="139"/>
      <c r="O677" s="140"/>
    </row>
    <row r="678" spans="1:16" ht="13.15" x14ac:dyDescent="0.4">
      <c r="A678" s="73" t="s">
        <v>135</v>
      </c>
      <c r="B678" s="86">
        <v>28</v>
      </c>
      <c r="C678" s="86">
        <v>20</v>
      </c>
      <c r="D678" s="86">
        <v>5</v>
      </c>
      <c r="E678" s="86">
        <v>3</v>
      </c>
      <c r="F678" s="87"/>
      <c r="G678" s="75">
        <f>B678/28</f>
        <v>1</v>
      </c>
      <c r="H678" s="75">
        <f t="shared" si="23"/>
        <v>0.7142857142857143</v>
      </c>
      <c r="I678" s="75">
        <f t="shared" si="24"/>
        <v>0.17857142857142858</v>
      </c>
      <c r="J678" s="75">
        <f t="shared" si="25"/>
        <v>0.10714285714285714</v>
      </c>
      <c r="K678" s="75"/>
      <c r="L678" s="75"/>
      <c r="M678" s="6"/>
      <c r="N678" s="75"/>
      <c r="O678" s="75"/>
    </row>
    <row r="679" spans="1:16" ht="13.15" x14ac:dyDescent="0.4">
      <c r="A679" s="73" t="s">
        <v>303</v>
      </c>
      <c r="B679" s="86">
        <v>31</v>
      </c>
      <c r="C679" s="86">
        <v>15</v>
      </c>
      <c r="D679" s="86">
        <v>12</v>
      </c>
      <c r="E679" s="86">
        <v>4</v>
      </c>
      <c r="F679" s="87"/>
      <c r="G679" s="75">
        <f>B679/31</f>
        <v>1</v>
      </c>
      <c r="H679" s="75">
        <f t="shared" si="23"/>
        <v>0.4838709677419355</v>
      </c>
      <c r="I679" s="75">
        <f t="shared" si="24"/>
        <v>0.38709677419354838</v>
      </c>
      <c r="J679" s="75">
        <f t="shared" si="25"/>
        <v>0.12903225806451613</v>
      </c>
      <c r="K679" s="72"/>
      <c r="L679" s="72"/>
      <c r="M679" s="6"/>
      <c r="N679" s="75"/>
      <c r="O679" s="75"/>
    </row>
    <row r="680" spans="1:16" ht="13.15" x14ac:dyDescent="0.4">
      <c r="A680" s="73" t="s">
        <v>23</v>
      </c>
      <c r="B680" s="87">
        <v>503</v>
      </c>
      <c r="C680" s="86">
        <v>353</v>
      </c>
      <c r="D680" s="86">
        <v>101</v>
      </c>
      <c r="E680" s="87">
        <v>49</v>
      </c>
      <c r="F680" s="72"/>
      <c r="G680" s="75">
        <f>B680/505</f>
        <v>0.99603960396039604</v>
      </c>
      <c r="H680" s="75">
        <f>C680/B680</f>
        <v>0.70178926441351885</v>
      </c>
      <c r="I680" s="75">
        <f t="shared" si="24"/>
        <v>0.20079522862823063</v>
      </c>
      <c r="J680" s="75">
        <f t="shared" si="25"/>
        <v>9.7415506958250492E-2</v>
      </c>
      <c r="K680" s="72"/>
      <c r="L680" s="72"/>
      <c r="M680" s="73"/>
      <c r="N680" s="165"/>
      <c r="O680" s="75"/>
    </row>
    <row r="681" spans="1:16" ht="13.15" x14ac:dyDescent="0.4">
      <c r="A681" s="73"/>
      <c r="B681" s="87"/>
      <c r="C681" s="87"/>
      <c r="D681" s="87"/>
      <c r="E681" s="87"/>
      <c r="F681" s="72"/>
      <c r="G681" s="75"/>
      <c r="H681" s="75"/>
      <c r="I681" s="75"/>
      <c r="J681" s="75"/>
      <c r="K681" s="72"/>
      <c r="L681" s="72"/>
      <c r="M681" s="73"/>
      <c r="N681" s="165"/>
      <c r="O681" s="75"/>
    </row>
    <row r="682" spans="1:16" ht="15" x14ac:dyDescent="0.4">
      <c r="A682" s="73"/>
      <c r="B682" s="87"/>
      <c r="C682" s="87"/>
      <c r="D682" s="87"/>
      <c r="E682" s="87"/>
      <c r="F682" s="72"/>
      <c r="G682" s="75"/>
      <c r="H682" s="75"/>
      <c r="I682" s="75"/>
      <c r="J682" s="75"/>
      <c r="K682" s="72"/>
      <c r="L682" s="74"/>
      <c r="M682" s="6"/>
      <c r="N682" s="6"/>
      <c r="O682" s="113"/>
    </row>
    <row r="683" spans="1:16" ht="15" x14ac:dyDescent="0.4">
      <c r="A683" s="73"/>
      <c r="B683" s="87"/>
      <c r="C683" s="87"/>
      <c r="D683" s="87"/>
      <c r="E683" s="87"/>
      <c r="F683" s="72"/>
      <c r="G683" s="75"/>
      <c r="H683" s="75"/>
      <c r="I683" s="75"/>
      <c r="J683" s="75"/>
      <c r="K683" s="74"/>
      <c r="L683" s="75"/>
      <c r="M683" s="6"/>
      <c r="N683" s="6"/>
      <c r="O683" s="113"/>
    </row>
    <row r="684" spans="1:16" ht="13.15" x14ac:dyDescent="0.4">
      <c r="A684" s="73" t="s">
        <v>340</v>
      </c>
      <c r="B684" s="72"/>
      <c r="C684" s="72"/>
      <c r="D684" s="72"/>
      <c r="E684" s="72"/>
      <c r="F684" s="72"/>
      <c r="G684" s="72"/>
      <c r="H684" s="72"/>
      <c r="I684" s="72"/>
      <c r="J684" s="72"/>
      <c r="K684" s="75"/>
      <c r="L684" s="75"/>
      <c r="M684" s="6"/>
      <c r="N684" s="6"/>
      <c r="O684" s="6"/>
    </row>
    <row r="685" spans="1:16" ht="13.15" x14ac:dyDescent="0.4">
      <c r="A685" s="73" t="s">
        <v>341</v>
      </c>
      <c r="B685" s="72"/>
      <c r="C685" s="72"/>
      <c r="D685" s="72"/>
      <c r="E685" s="72"/>
      <c r="F685" s="72"/>
      <c r="G685" s="72"/>
      <c r="H685" s="72"/>
      <c r="I685" s="72"/>
      <c r="J685" s="72"/>
      <c r="K685" s="75"/>
      <c r="L685" s="75"/>
      <c r="M685" s="6"/>
      <c r="N685" s="6"/>
      <c r="O685" s="6"/>
    </row>
    <row r="686" spans="1:16" ht="13.15" x14ac:dyDescent="0.4">
      <c r="A686" s="73" t="s">
        <v>346</v>
      </c>
      <c r="B686" s="72"/>
      <c r="C686" s="72"/>
      <c r="D686" s="72"/>
      <c r="E686" s="72"/>
      <c r="F686" s="72"/>
      <c r="G686" s="72"/>
      <c r="H686" s="72"/>
      <c r="I686" s="72"/>
      <c r="J686" s="72"/>
      <c r="K686" s="75"/>
      <c r="L686" s="75"/>
      <c r="M686" s="6"/>
      <c r="N686" s="6"/>
      <c r="O686" s="6"/>
    </row>
    <row r="687" spans="1:16" ht="13.15" x14ac:dyDescent="0.4">
      <c r="A687" s="73"/>
      <c r="B687" s="72" t="s">
        <v>139</v>
      </c>
      <c r="C687" s="72"/>
      <c r="D687" s="72"/>
      <c r="E687" s="72"/>
      <c r="F687" s="86"/>
      <c r="G687" s="72" t="s">
        <v>146</v>
      </c>
      <c r="H687" s="72"/>
      <c r="I687" s="72"/>
      <c r="J687" s="72"/>
      <c r="K687" s="75"/>
      <c r="L687" s="75"/>
      <c r="M687" s="6"/>
      <c r="N687" s="6"/>
      <c r="O687" s="6"/>
    </row>
    <row r="688" spans="1:16" ht="13.15" x14ac:dyDescent="0.4">
      <c r="A688" s="73" t="s">
        <v>136</v>
      </c>
      <c r="B688" s="74" t="s">
        <v>112</v>
      </c>
      <c r="C688" s="74" t="s">
        <v>113</v>
      </c>
      <c r="D688" s="74" t="s">
        <v>114</v>
      </c>
      <c r="E688" s="74" t="s">
        <v>115</v>
      </c>
      <c r="F688" s="86"/>
      <c r="G688" s="74" t="s">
        <v>112</v>
      </c>
      <c r="H688" s="74" t="s">
        <v>113</v>
      </c>
      <c r="I688" s="74" t="s">
        <v>114</v>
      </c>
      <c r="J688" s="74" t="s">
        <v>115</v>
      </c>
      <c r="K688" s="75"/>
      <c r="L688" s="75"/>
      <c r="M688" s="6" t="s">
        <v>336</v>
      </c>
      <c r="N688" s="6"/>
      <c r="O688" s="6"/>
    </row>
    <row r="689" spans="1:15" ht="13.15" x14ac:dyDescent="0.4">
      <c r="A689" s="73" t="s">
        <v>127</v>
      </c>
      <c r="B689" s="86">
        <v>35</v>
      </c>
      <c r="C689" s="86">
        <v>21</v>
      </c>
      <c r="D689" s="86">
        <v>11</v>
      </c>
      <c r="E689" s="86">
        <v>3</v>
      </c>
      <c r="F689" s="86"/>
      <c r="G689" s="75">
        <v>1</v>
      </c>
      <c r="H689" s="75">
        <v>0.6</v>
      </c>
      <c r="I689" s="75">
        <v>0.31428571428571428</v>
      </c>
      <c r="J689" s="75">
        <v>8.5714285714285715E-2</v>
      </c>
      <c r="K689" s="75"/>
      <c r="L689" s="75"/>
      <c r="M689" s="6" t="s">
        <v>337</v>
      </c>
      <c r="N689" s="139"/>
      <c r="O689" s="140"/>
    </row>
    <row r="690" spans="1:15" ht="13.15" x14ac:dyDescent="0.4">
      <c r="A690" s="73" t="s">
        <v>128</v>
      </c>
      <c r="B690" s="86">
        <v>25</v>
      </c>
      <c r="C690" s="86">
        <v>19</v>
      </c>
      <c r="D690" s="86">
        <v>3</v>
      </c>
      <c r="E690" s="86">
        <v>3</v>
      </c>
      <c r="F690" s="86"/>
      <c r="G690" s="75">
        <v>1</v>
      </c>
      <c r="H690" s="75">
        <v>0.76</v>
      </c>
      <c r="I690" s="75">
        <v>0.12</v>
      </c>
      <c r="J690" s="75">
        <v>0.12</v>
      </c>
      <c r="K690" s="75"/>
      <c r="L690" s="75"/>
      <c r="M690" s="6" t="s">
        <v>249</v>
      </c>
      <c r="N690" s="6"/>
      <c r="O690" s="6"/>
    </row>
    <row r="691" spans="1:15" ht="13.15" x14ac:dyDescent="0.4">
      <c r="A691" s="73" t="s">
        <v>129</v>
      </c>
      <c r="B691" s="86">
        <v>68</v>
      </c>
      <c r="C691" s="86">
        <v>52</v>
      </c>
      <c r="D691" s="86">
        <v>11</v>
      </c>
      <c r="E691" s="86">
        <v>5</v>
      </c>
      <c r="F691" s="86"/>
      <c r="G691" s="75">
        <v>1</v>
      </c>
      <c r="H691" s="75">
        <v>0.76470588235294112</v>
      </c>
      <c r="I691" s="75">
        <v>0.16176470588235295</v>
      </c>
      <c r="J691" s="75">
        <v>7.3529411764705885E-2</v>
      </c>
      <c r="K691" s="75"/>
      <c r="L691" s="75"/>
      <c r="M691" s="6" t="s">
        <v>201</v>
      </c>
      <c r="N691" s="76">
        <v>500</v>
      </c>
      <c r="O691" s="141" t="s">
        <v>202</v>
      </c>
    </row>
    <row r="692" spans="1:15" ht="13.15" x14ac:dyDescent="0.4">
      <c r="A692" s="73" t="s">
        <v>130</v>
      </c>
      <c r="B692" s="86">
        <v>83</v>
      </c>
      <c r="C692" s="86">
        <v>60</v>
      </c>
      <c r="D692" s="86">
        <v>17</v>
      </c>
      <c r="E692" s="86">
        <v>6</v>
      </c>
      <c r="F692" s="86"/>
      <c r="G692" s="75">
        <v>0.97647058823529409</v>
      </c>
      <c r="H692" s="75">
        <v>0.72289156626506024</v>
      </c>
      <c r="I692" s="75">
        <v>0.20481927710843373</v>
      </c>
      <c r="J692" s="75">
        <v>7.2289156626506021E-2</v>
      </c>
      <c r="K692" s="75"/>
      <c r="L692" s="75"/>
      <c r="M692" s="6" t="s">
        <v>345</v>
      </c>
      <c r="N692" s="139">
        <v>288</v>
      </c>
      <c r="O692" s="140">
        <v>0.57599999999999996</v>
      </c>
    </row>
    <row r="693" spans="1:15" ht="13.15" x14ac:dyDescent="0.4">
      <c r="A693" s="73" t="s">
        <v>131</v>
      </c>
      <c r="B693" s="86">
        <v>37</v>
      </c>
      <c r="C693" s="86">
        <v>21</v>
      </c>
      <c r="D693" s="86">
        <v>14</v>
      </c>
      <c r="E693" s="86">
        <v>2</v>
      </c>
      <c r="F693" s="86"/>
      <c r="G693" s="75">
        <v>1</v>
      </c>
      <c r="H693" s="75">
        <v>0.56756756756756754</v>
      </c>
      <c r="I693" s="75">
        <v>0.3783783783783784</v>
      </c>
      <c r="J693" s="75">
        <v>5.4054054054054057E-2</v>
      </c>
      <c r="K693" s="75"/>
      <c r="L693" s="75"/>
      <c r="M693" s="6" t="s">
        <v>226</v>
      </c>
      <c r="N693" s="139">
        <v>74</v>
      </c>
      <c r="O693" s="140">
        <v>0.14799999999999999</v>
      </c>
    </row>
    <row r="694" spans="1:15" ht="13.15" x14ac:dyDescent="0.4">
      <c r="A694" s="73" t="s">
        <v>132</v>
      </c>
      <c r="B694" s="86">
        <v>60</v>
      </c>
      <c r="C694" s="86">
        <v>51</v>
      </c>
      <c r="D694" s="86">
        <v>6</v>
      </c>
      <c r="E694" s="86">
        <v>3</v>
      </c>
      <c r="F694" s="86"/>
      <c r="G694" s="75">
        <v>1</v>
      </c>
      <c r="H694" s="75">
        <v>0.85</v>
      </c>
      <c r="I694" s="75">
        <v>0.1</v>
      </c>
      <c r="J694" s="75">
        <v>0.05</v>
      </c>
      <c r="K694" s="75"/>
      <c r="L694" s="75"/>
      <c r="M694" s="6" t="s">
        <v>338</v>
      </c>
      <c r="N694" s="139">
        <v>206</v>
      </c>
      <c r="O694" s="140">
        <v>0.41199999999999998</v>
      </c>
    </row>
    <row r="695" spans="1:15" ht="13.15" x14ac:dyDescent="0.4">
      <c r="A695" s="73" t="s">
        <v>133</v>
      </c>
      <c r="B695" s="86">
        <v>65</v>
      </c>
      <c r="C695" s="86">
        <v>54</v>
      </c>
      <c r="D695" s="86">
        <v>9</v>
      </c>
      <c r="E695" s="86">
        <v>2</v>
      </c>
      <c r="F695" s="87"/>
      <c r="G695" s="75">
        <v>1</v>
      </c>
      <c r="H695" s="75">
        <v>0.83076923076923082</v>
      </c>
      <c r="I695" s="75">
        <v>0.13846153846153847</v>
      </c>
      <c r="J695" s="75">
        <v>3.0769230769230771E-2</v>
      </c>
      <c r="K695" s="75"/>
      <c r="L695" s="75"/>
      <c r="M695" s="6" t="s">
        <v>227</v>
      </c>
      <c r="N695" s="139">
        <v>60</v>
      </c>
      <c r="O695" s="140">
        <v>0.12</v>
      </c>
    </row>
    <row r="696" spans="1:15" ht="13.15" x14ac:dyDescent="0.4">
      <c r="A696" s="73" t="s">
        <v>134</v>
      </c>
      <c r="B696" s="86">
        <v>67</v>
      </c>
      <c r="C696" s="86">
        <v>58</v>
      </c>
      <c r="D696" s="86">
        <v>3</v>
      </c>
      <c r="E696" s="86">
        <v>6</v>
      </c>
      <c r="F696" s="87"/>
      <c r="G696" s="75">
        <v>1</v>
      </c>
      <c r="H696" s="75">
        <v>0.86567164179104472</v>
      </c>
      <c r="I696" s="75">
        <v>4.4776119402985072E-2</v>
      </c>
      <c r="J696" s="75">
        <v>8.9552238805970144E-2</v>
      </c>
      <c r="K696" s="75"/>
      <c r="L696" s="75"/>
      <c r="M696" s="6"/>
      <c r="N696" s="139"/>
      <c r="O696" s="140"/>
    </row>
    <row r="697" spans="1:15" ht="13.15" x14ac:dyDescent="0.4">
      <c r="A697" s="73" t="s">
        <v>376</v>
      </c>
      <c r="B697" s="86">
        <v>4</v>
      </c>
      <c r="C697" s="86">
        <v>0</v>
      </c>
      <c r="D697" s="86">
        <v>2</v>
      </c>
      <c r="E697" s="86">
        <v>2</v>
      </c>
      <c r="F697" s="87"/>
      <c r="G697" s="75">
        <v>1</v>
      </c>
      <c r="H697" s="75">
        <v>0</v>
      </c>
      <c r="I697" s="75">
        <v>0.5</v>
      </c>
      <c r="J697" s="75">
        <v>0.5</v>
      </c>
      <c r="K697" s="75"/>
      <c r="L697" s="75"/>
      <c r="M697" s="6"/>
      <c r="N697" s="139"/>
      <c r="O697" s="140"/>
    </row>
    <row r="698" spans="1:15" ht="13.15" x14ac:dyDescent="0.4">
      <c r="A698" s="73" t="s">
        <v>135</v>
      </c>
      <c r="B698" s="86">
        <v>28</v>
      </c>
      <c r="C698" s="86">
        <v>21</v>
      </c>
      <c r="D698" s="86">
        <v>4</v>
      </c>
      <c r="E698" s="86">
        <v>3</v>
      </c>
      <c r="F698" s="87"/>
      <c r="G698" s="75">
        <v>1</v>
      </c>
      <c r="H698" s="75">
        <v>0.75</v>
      </c>
      <c r="I698" s="75">
        <v>0.14285714285714285</v>
      </c>
      <c r="J698" s="75">
        <v>0.10714285714285714</v>
      </c>
      <c r="K698" s="75"/>
      <c r="L698" s="75"/>
      <c r="M698" s="6"/>
      <c r="N698" s="75"/>
      <c r="O698" s="75"/>
    </row>
    <row r="699" spans="1:15" ht="13.15" x14ac:dyDescent="0.4">
      <c r="A699" s="73" t="s">
        <v>303</v>
      </c>
      <c r="B699" s="86">
        <v>31</v>
      </c>
      <c r="C699" s="86">
        <v>15</v>
      </c>
      <c r="D699" s="86">
        <v>15</v>
      </c>
      <c r="E699" s="86">
        <v>1</v>
      </c>
      <c r="F699" s="87"/>
      <c r="G699" s="75">
        <v>1</v>
      </c>
      <c r="H699" s="75">
        <v>0.4838709677419355</v>
      </c>
      <c r="I699" s="75">
        <v>0.4838709677419355</v>
      </c>
      <c r="J699" s="75">
        <v>3.2258064516129031E-2</v>
      </c>
      <c r="K699" s="72"/>
      <c r="L699" s="72"/>
      <c r="M699" s="6"/>
      <c r="N699" s="75"/>
      <c r="O699" s="75"/>
    </row>
    <row r="700" spans="1:15" ht="13.15" x14ac:dyDescent="0.4">
      <c r="A700" s="73" t="s">
        <v>23</v>
      </c>
      <c r="B700" s="87">
        <v>503</v>
      </c>
      <c r="C700" s="86">
        <v>372</v>
      </c>
      <c r="D700" s="86">
        <v>95</v>
      </c>
      <c r="E700" s="87">
        <v>36</v>
      </c>
      <c r="F700" s="72"/>
      <c r="G700" s="75">
        <v>0.99603960396039604</v>
      </c>
      <c r="H700" s="75">
        <v>0.73956262425447317</v>
      </c>
      <c r="I700" s="75">
        <v>0.18886679920477137</v>
      </c>
      <c r="J700" s="75">
        <v>7.1570576540755465E-2</v>
      </c>
      <c r="K700" s="72"/>
      <c r="L700" s="72"/>
      <c r="M700" s="73"/>
      <c r="N700" s="165"/>
      <c r="O700" s="75"/>
    </row>
    <row r="701" spans="1:15" ht="13.15" x14ac:dyDescent="0.4">
      <c r="A701" s="73"/>
      <c r="B701" s="87"/>
      <c r="C701" s="86"/>
      <c r="D701" s="86"/>
      <c r="E701" s="87"/>
      <c r="F701" s="72"/>
      <c r="G701" s="75"/>
      <c r="H701" s="75"/>
      <c r="I701" s="75"/>
      <c r="J701" s="75"/>
      <c r="K701" s="72"/>
      <c r="L701" s="72"/>
      <c r="M701" s="73"/>
      <c r="N701" s="165"/>
      <c r="O701" s="75"/>
    </row>
    <row r="702" spans="1:15" ht="13.15" x14ac:dyDescent="0.4">
      <c r="A702" s="73"/>
      <c r="B702" s="87"/>
      <c r="C702" s="86"/>
      <c r="D702" s="86"/>
      <c r="E702" s="87"/>
      <c r="F702" s="72"/>
      <c r="G702" s="75"/>
      <c r="H702" s="75"/>
      <c r="I702" s="75"/>
      <c r="J702" s="75"/>
      <c r="K702" s="72"/>
      <c r="L702" s="72"/>
      <c r="M702" s="73"/>
      <c r="N702" s="165"/>
      <c r="O702" s="75"/>
    </row>
    <row r="703" spans="1:15" ht="13.15" x14ac:dyDescent="0.4">
      <c r="A703" s="73"/>
      <c r="B703" s="87"/>
      <c r="C703" s="87"/>
      <c r="D703" s="87"/>
      <c r="E703" s="87"/>
      <c r="F703" s="72"/>
      <c r="G703" s="75"/>
      <c r="H703" s="75"/>
      <c r="I703" s="75"/>
      <c r="J703" s="75"/>
      <c r="K703" s="72"/>
      <c r="L703" s="74"/>
      <c r="M703" s="73"/>
      <c r="N703" s="165"/>
      <c r="O703" s="75"/>
    </row>
    <row r="704" spans="1:15" ht="13.15" x14ac:dyDescent="0.4">
      <c r="A704" s="73" t="s">
        <v>330</v>
      </c>
      <c r="B704" s="72"/>
      <c r="C704" s="72"/>
      <c r="D704" s="72"/>
      <c r="E704" s="72"/>
      <c r="F704" s="72"/>
      <c r="G704" s="72"/>
      <c r="H704" s="72"/>
      <c r="I704" s="72"/>
      <c r="J704" s="72"/>
      <c r="K704" s="74"/>
      <c r="L704" s="75"/>
      <c r="M704" s="6"/>
      <c r="N704" s="6"/>
      <c r="O704" s="6"/>
    </row>
    <row r="705" spans="1:15" ht="13.15" x14ac:dyDescent="0.4">
      <c r="A705" s="73" t="s">
        <v>335</v>
      </c>
      <c r="B705" s="72"/>
      <c r="C705" s="72"/>
      <c r="D705" s="72"/>
      <c r="E705" s="72"/>
      <c r="F705" s="72"/>
      <c r="G705" s="72"/>
      <c r="H705" s="72"/>
      <c r="I705" s="72"/>
      <c r="J705" s="72"/>
      <c r="K705" s="75"/>
      <c r="L705" s="75"/>
      <c r="M705" s="6"/>
      <c r="N705" s="6"/>
      <c r="O705" s="6"/>
    </row>
    <row r="706" spans="1:15" ht="13.15" x14ac:dyDescent="0.4">
      <c r="A706" s="73" t="s">
        <v>347</v>
      </c>
      <c r="B706" s="72"/>
      <c r="C706" s="72"/>
      <c r="D706" s="72"/>
      <c r="E706" s="72"/>
      <c r="F706" s="72"/>
      <c r="G706" s="72"/>
      <c r="H706" s="72"/>
      <c r="I706" s="72"/>
      <c r="J706" s="72"/>
      <c r="K706" s="75"/>
      <c r="L706" s="75"/>
      <c r="M706" s="6"/>
      <c r="N706" s="6"/>
      <c r="O706" s="6"/>
    </row>
    <row r="707" spans="1:15" ht="13.15" x14ac:dyDescent="0.4">
      <c r="A707" s="73" t="s">
        <v>333</v>
      </c>
      <c r="B707" s="72" t="s">
        <v>139</v>
      </c>
      <c r="C707" s="72"/>
      <c r="D707" s="72"/>
      <c r="E707" s="72"/>
      <c r="F707" s="86"/>
      <c r="G707" s="72" t="s">
        <v>146</v>
      </c>
      <c r="H707" s="72"/>
      <c r="I707" s="72"/>
      <c r="J707" s="72"/>
      <c r="K707" s="75"/>
      <c r="L707" s="75"/>
      <c r="M707" s="6"/>
      <c r="N707" s="6"/>
      <c r="O707" s="6"/>
    </row>
    <row r="708" spans="1:15" ht="13.15" x14ac:dyDescent="0.4">
      <c r="A708" s="73" t="s">
        <v>136</v>
      </c>
      <c r="B708" s="74" t="s">
        <v>112</v>
      </c>
      <c r="C708" s="74" t="s">
        <v>113</v>
      </c>
      <c r="D708" s="74" t="s">
        <v>114</v>
      </c>
      <c r="E708" s="74" t="s">
        <v>115</v>
      </c>
      <c r="F708" s="86"/>
      <c r="G708" s="74" t="s">
        <v>112</v>
      </c>
      <c r="H708" s="74" t="s">
        <v>113</v>
      </c>
      <c r="I708" s="74" t="s">
        <v>114</v>
      </c>
      <c r="J708" s="74" t="s">
        <v>115</v>
      </c>
      <c r="K708" s="75"/>
      <c r="L708" s="75"/>
      <c r="M708" s="6" t="s">
        <v>282</v>
      </c>
      <c r="N708" s="6"/>
      <c r="O708" s="6"/>
    </row>
    <row r="709" spans="1:15" ht="13.15" x14ac:dyDescent="0.4">
      <c r="A709" s="73" t="s">
        <v>127</v>
      </c>
      <c r="B709" s="86">
        <v>36</v>
      </c>
      <c r="C709" s="86">
        <v>19</v>
      </c>
      <c r="D709" s="86">
        <v>11</v>
      </c>
      <c r="E709" s="86">
        <v>6</v>
      </c>
      <c r="F709" s="86"/>
      <c r="G709" s="75">
        <v>1</v>
      </c>
      <c r="H709" s="75">
        <v>0.52777777777777779</v>
      </c>
      <c r="I709" s="75">
        <v>0.30555555555555558</v>
      </c>
      <c r="J709" s="75">
        <v>0.16666666666666666</v>
      </c>
      <c r="K709" s="75"/>
      <c r="L709" s="75"/>
      <c r="M709" s="6" t="s">
        <v>329</v>
      </c>
      <c r="N709" s="139"/>
      <c r="O709" s="140"/>
    </row>
    <row r="710" spans="1:15" ht="13.15" x14ac:dyDescent="0.4">
      <c r="A710" s="73" t="s">
        <v>128</v>
      </c>
      <c r="B710" s="86">
        <v>25</v>
      </c>
      <c r="C710" s="86">
        <v>15</v>
      </c>
      <c r="D710" s="86">
        <v>7</v>
      </c>
      <c r="E710" s="86">
        <v>3</v>
      </c>
      <c r="F710" s="86"/>
      <c r="G710" s="75">
        <v>1</v>
      </c>
      <c r="H710" s="75">
        <v>0.6</v>
      </c>
      <c r="I710" s="75">
        <v>0.28000000000000003</v>
      </c>
      <c r="J710" s="75">
        <v>0.12</v>
      </c>
      <c r="K710" s="75"/>
      <c r="L710" s="75"/>
      <c r="M710" s="6" t="s">
        <v>249</v>
      </c>
      <c r="N710" s="6"/>
      <c r="O710" s="6"/>
    </row>
    <row r="711" spans="1:15" ht="13.15" x14ac:dyDescent="0.4">
      <c r="A711" s="73" t="s">
        <v>129</v>
      </c>
      <c r="B711" s="86">
        <v>68</v>
      </c>
      <c r="C711" s="86">
        <v>41</v>
      </c>
      <c r="D711" s="86">
        <v>19</v>
      </c>
      <c r="E711" s="86">
        <v>8</v>
      </c>
      <c r="F711" s="86"/>
      <c r="G711" s="75">
        <v>0.98550724637681164</v>
      </c>
      <c r="H711" s="75">
        <v>0.6029411764705882</v>
      </c>
      <c r="I711" s="75">
        <v>0.27941176470588236</v>
      </c>
      <c r="J711" s="75">
        <v>0.11764705882352941</v>
      </c>
      <c r="K711" s="75"/>
      <c r="L711" s="75"/>
      <c r="M711" s="6" t="s">
        <v>201</v>
      </c>
      <c r="N711" s="76">
        <v>496</v>
      </c>
      <c r="O711" s="141" t="s">
        <v>202</v>
      </c>
    </row>
    <row r="712" spans="1:15" ht="13.15" x14ac:dyDescent="0.4">
      <c r="A712" s="73" t="s">
        <v>130</v>
      </c>
      <c r="B712" s="86">
        <v>84</v>
      </c>
      <c r="C712" s="86">
        <v>61</v>
      </c>
      <c r="D712" s="86">
        <v>16</v>
      </c>
      <c r="E712" s="86">
        <v>7</v>
      </c>
      <c r="F712" s="86"/>
      <c r="G712" s="75">
        <v>0.97674418604651159</v>
      </c>
      <c r="H712" s="75">
        <v>0.72619047619047616</v>
      </c>
      <c r="I712" s="75">
        <v>0.19047619047619047</v>
      </c>
      <c r="J712" s="75">
        <v>8.3333333333333329E-2</v>
      </c>
      <c r="K712" s="75"/>
      <c r="L712" s="75"/>
      <c r="M712" s="6" t="s">
        <v>331</v>
      </c>
      <c r="N712" s="139">
        <v>314</v>
      </c>
      <c r="O712" s="140">
        <v>0.63306451612903225</v>
      </c>
    </row>
    <row r="713" spans="1:15" ht="13.15" x14ac:dyDescent="0.4">
      <c r="A713" s="73" t="s">
        <v>131</v>
      </c>
      <c r="B713" s="86">
        <v>37</v>
      </c>
      <c r="C713" s="86">
        <v>21</v>
      </c>
      <c r="D713" s="86">
        <v>12</v>
      </c>
      <c r="E713" s="86">
        <v>4</v>
      </c>
      <c r="F713" s="86"/>
      <c r="G713" s="75">
        <v>1</v>
      </c>
      <c r="H713" s="75">
        <v>0.56756756756756754</v>
      </c>
      <c r="I713" s="75">
        <v>0.32432432432432434</v>
      </c>
      <c r="J713" s="75">
        <v>0.10810810810810811</v>
      </c>
      <c r="K713" s="75"/>
      <c r="L713" s="75"/>
      <c r="M713" s="6" t="s">
        <v>226</v>
      </c>
      <c r="N713" s="139">
        <v>96</v>
      </c>
      <c r="O713" s="140">
        <v>0.19354838709677419</v>
      </c>
    </row>
    <row r="714" spans="1:15" ht="13.15" x14ac:dyDescent="0.4">
      <c r="A714" s="73" t="s">
        <v>132</v>
      </c>
      <c r="B714" s="86">
        <v>59</v>
      </c>
      <c r="C714" s="86">
        <v>45</v>
      </c>
      <c r="D714" s="86">
        <v>8</v>
      </c>
      <c r="E714" s="86">
        <v>6</v>
      </c>
      <c r="F714" s="86"/>
      <c r="G714" s="75">
        <v>0.98333333333333328</v>
      </c>
      <c r="H714" s="75">
        <v>0.76271186440677963</v>
      </c>
      <c r="I714" s="75">
        <v>0.13559322033898305</v>
      </c>
      <c r="J714" s="75">
        <v>0.10169491525423729</v>
      </c>
      <c r="K714" s="75"/>
      <c r="L714" s="75"/>
      <c r="M714" s="6" t="s">
        <v>332</v>
      </c>
      <c r="N714" s="139">
        <v>179</v>
      </c>
      <c r="O714" s="140">
        <v>0.36088709677419356</v>
      </c>
    </row>
    <row r="715" spans="1:15" ht="13.15" x14ac:dyDescent="0.4">
      <c r="A715" s="73" t="s">
        <v>133</v>
      </c>
      <c r="B715" s="86">
        <v>63</v>
      </c>
      <c r="C715" s="86">
        <v>50</v>
      </c>
      <c r="D715" s="86">
        <v>9</v>
      </c>
      <c r="E715" s="86">
        <v>4</v>
      </c>
      <c r="F715" s="87"/>
      <c r="G715" s="75">
        <v>1</v>
      </c>
      <c r="H715" s="75">
        <v>0.79365079365079361</v>
      </c>
      <c r="I715" s="75">
        <v>0.14285714285714285</v>
      </c>
      <c r="J715" s="75">
        <v>6.3492063492063489E-2</v>
      </c>
      <c r="K715" s="75"/>
      <c r="L715" s="75"/>
      <c r="M715" s="6" t="s">
        <v>227</v>
      </c>
      <c r="N715" s="139">
        <v>52</v>
      </c>
      <c r="O715" s="140">
        <v>0.10483870967741936</v>
      </c>
    </row>
    <row r="716" spans="1:15" ht="13.15" x14ac:dyDescent="0.4">
      <c r="A716" s="73" t="s">
        <v>134</v>
      </c>
      <c r="B716" s="86">
        <v>67</v>
      </c>
      <c r="C716" s="86">
        <v>56</v>
      </c>
      <c r="D716" s="86">
        <v>3</v>
      </c>
      <c r="E716" s="86">
        <v>8</v>
      </c>
      <c r="F716" s="87"/>
      <c r="G716" s="75">
        <v>1</v>
      </c>
      <c r="H716" s="75">
        <v>0.83582089552238803</v>
      </c>
      <c r="I716" s="75">
        <v>4.4776119402985072E-2</v>
      </c>
      <c r="J716" s="75">
        <v>0.11940298507462686</v>
      </c>
      <c r="K716" s="75"/>
      <c r="L716" s="75"/>
      <c r="M716" s="6"/>
      <c r="N716" s="139"/>
      <c r="O716" s="140"/>
    </row>
    <row r="717" spans="1:15" ht="13.15" x14ac:dyDescent="0.4">
      <c r="A717" s="73" t="s">
        <v>376</v>
      </c>
      <c r="B717" s="86">
        <v>5</v>
      </c>
      <c r="C717" s="86">
        <v>1</v>
      </c>
      <c r="D717" s="86">
        <v>3</v>
      </c>
      <c r="E717" s="86">
        <v>1</v>
      </c>
      <c r="F717" s="87"/>
      <c r="G717" s="75">
        <v>1</v>
      </c>
      <c r="H717" s="75">
        <v>0.2</v>
      </c>
      <c r="I717" s="75">
        <v>0.6</v>
      </c>
      <c r="J717" s="75">
        <v>0.2</v>
      </c>
      <c r="K717" s="75"/>
      <c r="L717" s="75"/>
      <c r="M717" s="6"/>
      <c r="N717" s="139"/>
      <c r="O717" s="140"/>
    </row>
    <row r="718" spans="1:15" ht="13.15" x14ac:dyDescent="0.4">
      <c r="A718" s="73" t="s">
        <v>135</v>
      </c>
      <c r="B718" s="86">
        <v>28</v>
      </c>
      <c r="C718" s="86">
        <v>10</v>
      </c>
      <c r="D718" s="86">
        <v>12</v>
      </c>
      <c r="E718" s="86">
        <v>6</v>
      </c>
      <c r="F718" s="87"/>
      <c r="G718" s="75">
        <v>1</v>
      </c>
      <c r="H718" s="75">
        <v>0.35714285714285715</v>
      </c>
      <c r="I718" s="75">
        <v>0.42857142857142855</v>
      </c>
      <c r="J718" s="75">
        <v>0.21428571428571427</v>
      </c>
      <c r="K718" s="75"/>
      <c r="L718" s="75"/>
      <c r="M718" s="6"/>
      <c r="N718" s="75"/>
      <c r="O718" s="75"/>
    </row>
    <row r="719" spans="1:15" ht="13.15" x14ac:dyDescent="0.4">
      <c r="A719" s="73" t="s">
        <v>303</v>
      </c>
      <c r="B719" s="86">
        <v>29</v>
      </c>
      <c r="C719" s="86">
        <v>18</v>
      </c>
      <c r="D719" s="86">
        <v>10</v>
      </c>
      <c r="E719" s="86">
        <v>1</v>
      </c>
      <c r="F719" s="87"/>
      <c r="G719" s="75">
        <v>1</v>
      </c>
      <c r="H719" s="75">
        <v>0.62068965517241381</v>
      </c>
      <c r="I719" s="75">
        <v>0.34482758620689657</v>
      </c>
      <c r="J719" s="75">
        <v>3.4482758620689655E-2</v>
      </c>
      <c r="K719" s="75"/>
      <c r="L719" s="75"/>
      <c r="M719" s="6"/>
      <c r="N719" s="75"/>
      <c r="O719" s="75"/>
    </row>
    <row r="720" spans="1:15" ht="13.15" x14ac:dyDescent="0.4">
      <c r="A720" s="73" t="s">
        <v>23</v>
      </c>
      <c r="B720" s="87">
        <v>501</v>
      </c>
      <c r="C720" s="86">
        <v>337</v>
      </c>
      <c r="D720" s="86">
        <v>110</v>
      </c>
      <c r="E720" s="87">
        <v>54</v>
      </c>
      <c r="F720" s="72"/>
      <c r="G720" s="75">
        <v>0.99207920792079207</v>
      </c>
      <c r="H720" s="75">
        <v>0.67265469061876249</v>
      </c>
      <c r="I720" s="75">
        <v>0.21956087824351297</v>
      </c>
      <c r="J720" s="75">
        <v>0.10778443113772455</v>
      </c>
      <c r="K720" s="72"/>
      <c r="L720" s="72"/>
      <c r="M720" s="73"/>
      <c r="N720" s="165"/>
      <c r="O720" s="75"/>
    </row>
    <row r="721" spans="1:15" ht="13.15" x14ac:dyDescent="0.4">
      <c r="A721" s="73"/>
      <c r="B721" s="87"/>
      <c r="C721" s="86"/>
      <c r="D721" s="86"/>
      <c r="E721" s="87"/>
      <c r="F721" s="72"/>
      <c r="G721" s="75"/>
      <c r="H721" s="75"/>
      <c r="I721" s="75"/>
      <c r="J721" s="75"/>
      <c r="K721" s="72"/>
      <c r="L721" s="72"/>
      <c r="M721" s="73"/>
      <c r="N721" s="165"/>
      <c r="O721" s="75"/>
    </row>
    <row r="722" spans="1:15" ht="13.15" x14ac:dyDescent="0.4">
      <c r="A722" s="73"/>
      <c r="B722" s="87"/>
      <c r="C722" s="86"/>
      <c r="D722" s="86"/>
      <c r="E722" s="87"/>
      <c r="F722" s="72"/>
      <c r="G722" s="75"/>
      <c r="H722" s="75"/>
      <c r="I722" s="75"/>
      <c r="J722" s="75"/>
      <c r="K722" s="72"/>
      <c r="L722" s="72"/>
      <c r="M722" s="73"/>
      <c r="N722" s="165"/>
      <c r="O722" s="75"/>
    </row>
    <row r="723" spans="1:15" ht="13.15" x14ac:dyDescent="0.4">
      <c r="A723" s="73"/>
      <c r="B723" s="87"/>
      <c r="C723" s="86"/>
      <c r="D723" s="86"/>
      <c r="E723" s="87"/>
      <c r="F723" s="72"/>
      <c r="G723" s="75"/>
      <c r="H723" s="75"/>
      <c r="I723" s="75"/>
      <c r="J723" s="75"/>
      <c r="K723" s="72"/>
      <c r="L723" s="72"/>
      <c r="M723" s="73"/>
      <c r="N723" s="165"/>
      <c r="O723" s="75"/>
    </row>
    <row r="724" spans="1:15" ht="13.15" x14ac:dyDescent="0.4">
      <c r="A724" s="73" t="s">
        <v>311</v>
      </c>
      <c r="B724" s="72"/>
      <c r="C724" s="72"/>
      <c r="D724" s="72"/>
      <c r="E724" s="72"/>
      <c r="F724" s="72"/>
      <c r="G724" s="72"/>
      <c r="H724" s="72"/>
      <c r="I724" s="72"/>
      <c r="J724" s="72"/>
      <c r="K724" s="72"/>
      <c r="L724" s="74"/>
      <c r="M724" s="73"/>
      <c r="N724" s="165"/>
      <c r="O724" s="75"/>
    </row>
    <row r="725" spans="1:15" ht="15" x14ac:dyDescent="0.4">
      <c r="A725" s="73" t="s">
        <v>323</v>
      </c>
      <c r="B725" s="72"/>
      <c r="C725" s="72"/>
      <c r="D725" s="72"/>
      <c r="E725" s="72"/>
      <c r="F725" s="72"/>
      <c r="G725" s="72"/>
      <c r="H725" s="72"/>
      <c r="I725" s="72"/>
      <c r="J725" s="72"/>
      <c r="K725" s="74"/>
      <c r="L725" s="75"/>
      <c r="M725" s="6"/>
      <c r="N725" s="6"/>
      <c r="O725" s="113"/>
    </row>
    <row r="726" spans="1:15" ht="15" x14ac:dyDescent="0.4">
      <c r="A726" s="73" t="s">
        <v>276</v>
      </c>
      <c r="B726" s="72"/>
      <c r="C726" s="72"/>
      <c r="D726" s="72"/>
      <c r="E726" s="72"/>
      <c r="F726" s="72"/>
      <c r="G726" s="72"/>
      <c r="H726" s="72"/>
      <c r="I726" s="72"/>
      <c r="J726" s="72"/>
      <c r="K726" s="75"/>
      <c r="L726" s="75"/>
      <c r="M726" s="6"/>
      <c r="N726" s="6"/>
      <c r="O726" s="113"/>
    </row>
    <row r="727" spans="1:15" ht="15" x14ac:dyDescent="0.4">
      <c r="A727" s="73" t="s">
        <v>322</v>
      </c>
      <c r="B727" s="72"/>
      <c r="C727" s="72"/>
      <c r="D727" s="72"/>
      <c r="E727" s="72"/>
      <c r="F727" s="72"/>
      <c r="G727" s="72"/>
      <c r="H727" s="72"/>
      <c r="I727" s="72"/>
      <c r="J727" s="72"/>
      <c r="K727" s="75"/>
      <c r="L727" s="75"/>
      <c r="M727" s="6"/>
      <c r="N727" s="6"/>
      <c r="O727" s="113"/>
    </row>
    <row r="728" spans="1:15" ht="13.15" x14ac:dyDescent="0.4">
      <c r="A728" s="73" t="s">
        <v>314</v>
      </c>
      <c r="B728" s="72" t="s">
        <v>139</v>
      </c>
      <c r="C728" s="72"/>
      <c r="D728" s="72"/>
      <c r="E728" s="72"/>
      <c r="F728" s="86"/>
      <c r="G728" s="72" t="s">
        <v>146</v>
      </c>
      <c r="H728" s="72"/>
      <c r="I728" s="72"/>
      <c r="J728" s="72"/>
      <c r="K728" s="75"/>
      <c r="L728" s="75"/>
      <c r="M728" s="142"/>
      <c r="N728" s="142"/>
      <c r="O728" s="142"/>
    </row>
    <row r="729" spans="1:15" ht="13.15" x14ac:dyDescent="0.4">
      <c r="A729" s="73" t="s">
        <v>136</v>
      </c>
      <c r="B729" s="74" t="s">
        <v>112</v>
      </c>
      <c r="C729" s="74" t="s">
        <v>113</v>
      </c>
      <c r="D729" s="74" t="s">
        <v>114</v>
      </c>
      <c r="E729" s="74" t="s">
        <v>115</v>
      </c>
      <c r="F729" s="86"/>
      <c r="G729" s="74" t="s">
        <v>112</v>
      </c>
      <c r="H729" s="74" t="s">
        <v>113</v>
      </c>
      <c r="I729" s="74" t="s">
        <v>114</v>
      </c>
      <c r="J729" s="74" t="s">
        <v>115</v>
      </c>
      <c r="K729" s="75"/>
      <c r="L729" s="75"/>
      <c r="M729" s="142" t="s">
        <v>281</v>
      </c>
      <c r="N729" s="142"/>
      <c r="O729" s="142"/>
    </row>
    <row r="730" spans="1:15" ht="13.15" x14ac:dyDescent="0.4">
      <c r="A730" s="73" t="s">
        <v>127</v>
      </c>
      <c r="B730" s="86">
        <v>37</v>
      </c>
      <c r="C730" s="86">
        <v>26</v>
      </c>
      <c r="D730" s="86">
        <v>8</v>
      </c>
      <c r="E730" s="86">
        <v>3</v>
      </c>
      <c r="F730" s="86"/>
      <c r="G730" s="75">
        <v>1.0277777777777777</v>
      </c>
      <c r="H730" s="75">
        <v>0.70270270270270274</v>
      </c>
      <c r="I730" s="75">
        <v>0.21621621621621623</v>
      </c>
      <c r="J730" s="75">
        <v>8.1081081081081086E-2</v>
      </c>
      <c r="K730" s="75"/>
      <c r="L730" s="75"/>
      <c r="M730" s="142" t="s">
        <v>315</v>
      </c>
      <c r="N730" s="166"/>
      <c r="O730" s="167"/>
    </row>
    <row r="731" spans="1:15" ht="13.15" x14ac:dyDescent="0.4">
      <c r="A731" s="73" t="s">
        <v>128</v>
      </c>
      <c r="B731" s="86">
        <v>26</v>
      </c>
      <c r="C731" s="86">
        <v>15</v>
      </c>
      <c r="D731" s="86">
        <v>9</v>
      </c>
      <c r="E731" s="86">
        <v>2</v>
      </c>
      <c r="F731" s="86"/>
      <c r="G731" s="75">
        <v>0.96296296296296291</v>
      </c>
      <c r="H731" s="75">
        <v>0.57692307692307687</v>
      </c>
      <c r="I731" s="75">
        <v>0.34615384615384615</v>
      </c>
      <c r="J731" s="75">
        <v>7.6923076923076927E-2</v>
      </c>
      <c r="K731" s="75"/>
      <c r="L731" s="75"/>
      <c r="M731" s="142" t="s">
        <v>249</v>
      </c>
      <c r="N731" s="142"/>
      <c r="O731" s="142"/>
    </row>
    <row r="732" spans="1:15" ht="13.15" x14ac:dyDescent="0.4">
      <c r="A732" s="73" t="s">
        <v>129</v>
      </c>
      <c r="B732" s="86">
        <v>67</v>
      </c>
      <c r="C732" s="86">
        <v>47</v>
      </c>
      <c r="D732" s="86">
        <v>15</v>
      </c>
      <c r="E732" s="86">
        <v>5</v>
      </c>
      <c r="F732" s="86"/>
      <c r="G732" s="75">
        <v>1</v>
      </c>
      <c r="H732" s="75">
        <v>0.70149253731343286</v>
      </c>
      <c r="I732" s="75">
        <v>0.22388059701492538</v>
      </c>
      <c r="J732" s="75">
        <v>7.4626865671641784E-2</v>
      </c>
      <c r="K732" s="75"/>
      <c r="L732" s="75"/>
      <c r="M732" s="142" t="s">
        <v>201</v>
      </c>
      <c r="N732" s="156">
        <v>493</v>
      </c>
      <c r="O732" s="168" t="s">
        <v>202</v>
      </c>
    </row>
    <row r="733" spans="1:15" ht="13.15" x14ac:dyDescent="0.4">
      <c r="A733" s="73" t="s">
        <v>130</v>
      </c>
      <c r="B733" s="86">
        <v>83</v>
      </c>
      <c r="C733" s="86">
        <v>52</v>
      </c>
      <c r="D733" s="86">
        <v>22</v>
      </c>
      <c r="E733" s="86">
        <v>9</v>
      </c>
      <c r="F733" s="86"/>
      <c r="G733" s="75">
        <v>0.95402298850574707</v>
      </c>
      <c r="H733" s="75">
        <v>0.62650602409638556</v>
      </c>
      <c r="I733" s="75">
        <v>0.26506024096385544</v>
      </c>
      <c r="J733" s="75">
        <v>0.10843373493975904</v>
      </c>
      <c r="K733" s="75"/>
      <c r="L733" s="75"/>
      <c r="M733" s="142" t="s">
        <v>312</v>
      </c>
      <c r="N733" s="166">
        <v>317</v>
      </c>
      <c r="O733" s="167">
        <v>0.64300202839756593</v>
      </c>
    </row>
    <row r="734" spans="1:15" ht="13.15" x14ac:dyDescent="0.4">
      <c r="A734" s="73" t="s">
        <v>131</v>
      </c>
      <c r="B734" s="86">
        <v>35</v>
      </c>
      <c r="C734" s="86">
        <v>25</v>
      </c>
      <c r="D734" s="86">
        <v>5</v>
      </c>
      <c r="E734" s="86">
        <v>5</v>
      </c>
      <c r="F734" s="86"/>
      <c r="G734" s="75">
        <v>0.94594594594594594</v>
      </c>
      <c r="H734" s="75">
        <v>0.7142857142857143</v>
      </c>
      <c r="I734" s="75">
        <v>0.14285714285714285</v>
      </c>
      <c r="J734" s="75">
        <v>0.14285714285714285</v>
      </c>
      <c r="K734" s="75"/>
      <c r="L734" s="75"/>
      <c r="M734" s="142" t="s">
        <v>226</v>
      </c>
      <c r="N734" s="166">
        <v>117</v>
      </c>
      <c r="O734" s="167">
        <v>0.23732251521298176</v>
      </c>
    </row>
    <row r="735" spans="1:15" ht="13.15" x14ac:dyDescent="0.4">
      <c r="A735" s="73" t="s">
        <v>132</v>
      </c>
      <c r="B735" s="86">
        <v>59</v>
      </c>
      <c r="C735" s="86">
        <v>41</v>
      </c>
      <c r="D735" s="86">
        <v>15</v>
      </c>
      <c r="E735" s="86">
        <v>3</v>
      </c>
      <c r="F735" s="86"/>
      <c r="G735" s="75">
        <v>1</v>
      </c>
      <c r="H735" s="75">
        <v>0.69491525423728817</v>
      </c>
      <c r="I735" s="75">
        <v>0.25423728813559321</v>
      </c>
      <c r="J735" s="75">
        <v>5.0847457627118647E-2</v>
      </c>
      <c r="K735" s="75"/>
      <c r="L735" s="75"/>
      <c r="M735" s="142" t="s">
        <v>313</v>
      </c>
      <c r="N735" s="166">
        <v>172</v>
      </c>
      <c r="O735" s="167">
        <v>0.34888438133874239</v>
      </c>
    </row>
    <row r="736" spans="1:15" ht="13.15" x14ac:dyDescent="0.4">
      <c r="A736" s="73" t="s">
        <v>133</v>
      </c>
      <c r="B736" s="86">
        <v>64</v>
      </c>
      <c r="C736" s="86">
        <v>54</v>
      </c>
      <c r="D736" s="86">
        <v>6</v>
      </c>
      <c r="E736" s="86">
        <v>4</v>
      </c>
      <c r="F736" s="87"/>
      <c r="G736" s="75">
        <v>1</v>
      </c>
      <c r="H736" s="75">
        <v>0.84375</v>
      </c>
      <c r="I736" s="75">
        <v>9.375E-2</v>
      </c>
      <c r="J736" s="75">
        <v>6.25E-2</v>
      </c>
      <c r="K736" s="75"/>
      <c r="L736" s="75"/>
      <c r="M736" s="142" t="s">
        <v>227</v>
      </c>
      <c r="N736" s="166">
        <v>49</v>
      </c>
      <c r="O736" s="167">
        <v>9.9391480730223122E-2</v>
      </c>
    </row>
    <row r="737" spans="1:15" ht="13.15" x14ac:dyDescent="0.4">
      <c r="A737" s="73" t="s">
        <v>134</v>
      </c>
      <c r="B737" s="86">
        <v>66</v>
      </c>
      <c r="C737" s="86">
        <v>58</v>
      </c>
      <c r="D737" s="86">
        <v>4</v>
      </c>
      <c r="E737" s="86">
        <v>4</v>
      </c>
      <c r="F737" s="87"/>
      <c r="G737" s="75">
        <v>0.9850746268656716</v>
      </c>
      <c r="H737" s="75">
        <v>0.87878787878787878</v>
      </c>
      <c r="I737" s="75">
        <v>6.0606060606060608E-2</v>
      </c>
      <c r="J737" s="75">
        <v>6.0606060606060608E-2</v>
      </c>
      <c r="K737" s="75"/>
      <c r="L737" s="75"/>
      <c r="M737" s="142"/>
      <c r="N737" s="166"/>
      <c r="O737" s="167"/>
    </row>
    <row r="738" spans="1:15" ht="13.15" x14ac:dyDescent="0.4">
      <c r="A738" s="73" t="s">
        <v>376</v>
      </c>
      <c r="B738" s="86">
        <v>5</v>
      </c>
      <c r="C738" s="86">
        <v>2</v>
      </c>
      <c r="D738" s="86">
        <v>1</v>
      </c>
      <c r="E738" s="86">
        <v>2</v>
      </c>
      <c r="F738" s="87"/>
      <c r="G738" s="75">
        <v>1</v>
      </c>
      <c r="H738" s="75">
        <v>0.4</v>
      </c>
      <c r="I738" s="75">
        <v>0.2</v>
      </c>
      <c r="J738" s="75">
        <v>0.4</v>
      </c>
      <c r="K738" s="75"/>
      <c r="L738" s="75"/>
      <c r="M738" s="142"/>
      <c r="N738" s="166"/>
      <c r="O738" s="167"/>
    </row>
    <row r="739" spans="1:15" ht="13.15" x14ac:dyDescent="0.4">
      <c r="A739" s="73" t="s">
        <v>135</v>
      </c>
      <c r="B739" s="86">
        <v>28</v>
      </c>
      <c r="C739" s="86">
        <v>21</v>
      </c>
      <c r="D739" s="86">
        <v>6</v>
      </c>
      <c r="E739" s="86">
        <v>1</v>
      </c>
      <c r="F739" s="87"/>
      <c r="G739" s="75">
        <v>1</v>
      </c>
      <c r="H739" s="75">
        <v>0.75</v>
      </c>
      <c r="I739" s="75">
        <v>0.21428571428571427</v>
      </c>
      <c r="J739" s="75">
        <v>3.5714285714285712E-2</v>
      </c>
      <c r="K739" s="75"/>
      <c r="L739" s="75"/>
      <c r="M739" s="142"/>
      <c r="N739" s="166"/>
      <c r="O739" s="167"/>
    </row>
    <row r="740" spans="1:15" ht="13.15" x14ac:dyDescent="0.4">
      <c r="A740" s="73" t="s">
        <v>303</v>
      </c>
      <c r="B740" s="86">
        <v>28</v>
      </c>
      <c r="C740" s="86">
        <v>10</v>
      </c>
      <c r="D740" s="86">
        <v>14</v>
      </c>
      <c r="E740" s="86">
        <v>4</v>
      </c>
      <c r="F740" s="87"/>
      <c r="G740" s="75">
        <v>1</v>
      </c>
      <c r="H740" s="75">
        <v>0.35714285714285715</v>
      </c>
      <c r="I740" s="75">
        <v>0.5</v>
      </c>
      <c r="J740" s="75">
        <v>0.14285714285714285</v>
      </c>
      <c r="K740" s="72"/>
      <c r="L740" s="72"/>
      <c r="M740" s="142"/>
      <c r="N740" s="166"/>
      <c r="O740" s="167"/>
    </row>
    <row r="741" spans="1:15" ht="13.15" x14ac:dyDescent="0.4">
      <c r="A741" s="73" t="s">
        <v>23</v>
      </c>
      <c r="B741" s="87">
        <v>498</v>
      </c>
      <c r="C741" s="86">
        <v>351</v>
      </c>
      <c r="D741" s="86">
        <v>105</v>
      </c>
      <c r="E741" s="87">
        <v>42</v>
      </c>
      <c r="F741" s="72"/>
      <c r="G741" s="75">
        <v>0.98613861386138613</v>
      </c>
      <c r="H741" s="75">
        <v>0.70481927710843373</v>
      </c>
      <c r="I741" s="75">
        <v>0.21084337349397592</v>
      </c>
      <c r="J741" s="75">
        <v>8.4337349397590355E-2</v>
      </c>
      <c r="K741" s="72"/>
      <c r="L741" s="72"/>
      <c r="M741" s="142"/>
      <c r="N741" s="166"/>
      <c r="O741" s="167"/>
    </row>
    <row r="742" spans="1:15" ht="15" x14ac:dyDescent="0.4">
      <c r="A742" s="73"/>
      <c r="B742" s="87"/>
      <c r="C742" s="86"/>
      <c r="D742" s="86"/>
      <c r="E742" s="87"/>
      <c r="F742" s="72"/>
      <c r="G742" s="75"/>
      <c r="H742" s="75"/>
      <c r="I742" s="75"/>
      <c r="J742" s="75"/>
      <c r="K742" s="72"/>
      <c r="L742" s="72"/>
      <c r="M742" s="142"/>
      <c r="N742" s="142"/>
      <c r="O742" s="169"/>
    </row>
    <row r="743" spans="1:15" ht="15" x14ac:dyDescent="0.4">
      <c r="A743" s="73"/>
      <c r="B743" s="87"/>
      <c r="C743" s="86"/>
      <c r="D743" s="86"/>
      <c r="E743" s="87"/>
      <c r="F743" s="72"/>
      <c r="G743" s="75"/>
      <c r="H743" s="75"/>
      <c r="I743" s="75"/>
      <c r="J743" s="75"/>
      <c r="K743" s="72"/>
      <c r="L743" s="72"/>
      <c r="M743" s="142"/>
      <c r="N743" s="142"/>
      <c r="O743" s="169"/>
    </row>
    <row r="744" spans="1:15" ht="15" x14ac:dyDescent="0.4">
      <c r="A744" s="73"/>
      <c r="B744" s="87"/>
      <c r="C744" s="87"/>
      <c r="D744" s="87"/>
      <c r="E744" s="87"/>
      <c r="F744" s="72"/>
      <c r="G744" s="75"/>
      <c r="H744" s="75"/>
      <c r="I744" s="75"/>
      <c r="J744" s="75"/>
      <c r="K744" s="72"/>
      <c r="L744" s="74"/>
      <c r="M744" s="6"/>
      <c r="N744" s="6"/>
      <c r="O744" s="113"/>
    </row>
    <row r="745" spans="1:15" ht="15" x14ac:dyDescent="0.4">
      <c r="A745" s="73" t="s">
        <v>302</v>
      </c>
      <c r="B745" s="72"/>
      <c r="C745" s="72"/>
      <c r="D745" s="72"/>
      <c r="E745" s="72"/>
      <c r="F745" s="72"/>
      <c r="G745" s="72"/>
      <c r="H745" s="72"/>
      <c r="I745" s="72"/>
      <c r="J745" s="72"/>
      <c r="K745" s="74"/>
      <c r="L745" s="75"/>
      <c r="M745" s="6"/>
      <c r="N745" s="6"/>
      <c r="O745" s="113"/>
    </row>
    <row r="746" spans="1:15" ht="13.15" x14ac:dyDescent="0.4">
      <c r="A746" s="73" t="s">
        <v>287</v>
      </c>
      <c r="B746" s="72"/>
      <c r="C746" s="72"/>
      <c r="D746" s="72"/>
      <c r="E746" s="72"/>
      <c r="F746" s="72"/>
      <c r="G746" s="72"/>
      <c r="H746" s="72"/>
      <c r="I746" s="72"/>
      <c r="J746" s="72"/>
      <c r="K746" s="75"/>
      <c r="L746" s="75"/>
      <c r="M746" s="6"/>
      <c r="N746" s="6"/>
      <c r="O746" s="6"/>
    </row>
    <row r="747" spans="1:15" ht="13.15" x14ac:dyDescent="0.4">
      <c r="A747" s="73" t="s">
        <v>300</v>
      </c>
      <c r="B747" s="72"/>
      <c r="C747" s="72"/>
      <c r="D747" s="72"/>
      <c r="E747" s="72"/>
      <c r="F747" s="72"/>
      <c r="G747" s="72"/>
      <c r="H747" s="72"/>
      <c r="I747" s="72"/>
      <c r="J747" s="72"/>
      <c r="K747" s="75"/>
      <c r="L747" s="75"/>
      <c r="M747" s="6"/>
      <c r="N747" s="6"/>
      <c r="O747" s="6"/>
    </row>
    <row r="748" spans="1:15" ht="13.15" x14ac:dyDescent="0.4">
      <c r="A748" s="73" t="s">
        <v>301</v>
      </c>
      <c r="B748" s="72"/>
      <c r="C748" s="72"/>
      <c r="D748" s="72"/>
      <c r="E748" s="72"/>
      <c r="F748" s="72"/>
      <c r="G748" s="72"/>
      <c r="H748" s="72"/>
      <c r="I748" s="72"/>
      <c r="J748" s="72"/>
      <c r="K748" s="75"/>
      <c r="L748" s="75"/>
      <c r="M748" s="6"/>
      <c r="N748" s="6"/>
      <c r="O748" s="6"/>
    </row>
    <row r="749" spans="1:15" ht="13.15" x14ac:dyDescent="0.4">
      <c r="A749" s="73" t="s">
        <v>289</v>
      </c>
      <c r="B749" s="72" t="s">
        <v>139</v>
      </c>
      <c r="C749" s="72"/>
      <c r="D749" s="72"/>
      <c r="E749" s="72"/>
      <c r="F749" s="86"/>
      <c r="G749" s="72" t="s">
        <v>146</v>
      </c>
      <c r="H749" s="72"/>
      <c r="I749" s="72"/>
      <c r="J749" s="72"/>
      <c r="K749" s="75"/>
      <c r="L749" s="75"/>
      <c r="M749" s="6"/>
      <c r="N749" s="6"/>
      <c r="O749" s="6"/>
    </row>
    <row r="750" spans="1:15" ht="13.15" x14ac:dyDescent="0.4">
      <c r="A750" s="73" t="s">
        <v>136</v>
      </c>
      <c r="B750" s="74" t="s">
        <v>112</v>
      </c>
      <c r="C750" s="74" t="s">
        <v>113</v>
      </c>
      <c r="D750" s="74" t="s">
        <v>114</v>
      </c>
      <c r="E750" s="74" t="s">
        <v>115</v>
      </c>
      <c r="F750" s="86"/>
      <c r="G750" s="74" t="s">
        <v>112</v>
      </c>
      <c r="H750" s="74" t="s">
        <v>113</v>
      </c>
      <c r="I750" s="74" t="s">
        <v>114</v>
      </c>
      <c r="J750" s="74" t="s">
        <v>115</v>
      </c>
      <c r="K750" s="75"/>
      <c r="L750" s="75"/>
      <c r="M750" s="6" t="s">
        <v>280</v>
      </c>
      <c r="N750" s="6"/>
      <c r="O750" s="6"/>
    </row>
    <row r="751" spans="1:15" ht="13.15" x14ac:dyDescent="0.4">
      <c r="A751" s="73" t="s">
        <v>127</v>
      </c>
      <c r="B751" s="86">
        <v>37</v>
      </c>
      <c r="C751" s="86">
        <v>25</v>
      </c>
      <c r="D751" s="86">
        <v>11</v>
      </c>
      <c r="E751" s="86">
        <v>1</v>
      </c>
      <c r="F751" s="86"/>
      <c r="G751" s="75">
        <v>1</v>
      </c>
      <c r="H751" s="75">
        <v>0.67567567567567566</v>
      </c>
      <c r="I751" s="75">
        <v>0.29729729729729731</v>
      </c>
      <c r="J751" s="75">
        <v>2.7027027027027029E-2</v>
      </c>
      <c r="K751" s="75"/>
      <c r="L751" s="75"/>
      <c r="M751" s="6" t="s">
        <v>288</v>
      </c>
      <c r="N751" s="139"/>
      <c r="O751" s="140"/>
    </row>
    <row r="752" spans="1:15" ht="13.15" x14ac:dyDescent="0.4">
      <c r="A752" s="73" t="s">
        <v>128</v>
      </c>
      <c r="B752" s="86">
        <v>26</v>
      </c>
      <c r="C752" s="86">
        <v>15</v>
      </c>
      <c r="D752" s="86">
        <v>9</v>
      </c>
      <c r="E752" s="86">
        <v>2</v>
      </c>
      <c r="F752" s="86"/>
      <c r="G752" s="75">
        <v>0.96296296296296291</v>
      </c>
      <c r="H752" s="75">
        <v>0.57692307692307687</v>
      </c>
      <c r="I752" s="75">
        <v>0.34615384615384615</v>
      </c>
      <c r="J752" s="75">
        <v>7.6923076923076927E-2</v>
      </c>
      <c r="K752" s="75"/>
      <c r="L752" s="75"/>
      <c r="M752" s="6" t="s">
        <v>249</v>
      </c>
      <c r="N752" s="6"/>
      <c r="O752" s="6"/>
    </row>
    <row r="753" spans="1:15" ht="13.15" x14ac:dyDescent="0.4">
      <c r="A753" s="73" t="s">
        <v>129</v>
      </c>
      <c r="B753" s="86">
        <v>68</v>
      </c>
      <c r="C753" s="86">
        <v>48</v>
      </c>
      <c r="D753" s="86">
        <v>12</v>
      </c>
      <c r="E753" s="86">
        <v>8</v>
      </c>
      <c r="F753" s="86"/>
      <c r="G753" s="75">
        <v>1</v>
      </c>
      <c r="H753" s="75">
        <v>0.70588235294117652</v>
      </c>
      <c r="I753" s="75">
        <v>0.17647058823529413</v>
      </c>
      <c r="J753" s="75">
        <v>0.11764705882352941</v>
      </c>
      <c r="K753" s="75"/>
      <c r="L753" s="75"/>
      <c r="M753" s="6" t="s">
        <v>201</v>
      </c>
      <c r="N753" s="76">
        <v>496</v>
      </c>
      <c r="O753" s="141" t="s">
        <v>202</v>
      </c>
    </row>
    <row r="754" spans="1:15" ht="13.15" x14ac:dyDescent="0.4">
      <c r="A754" s="73" t="s">
        <v>130</v>
      </c>
      <c r="B754" s="86">
        <v>83</v>
      </c>
      <c r="C754" s="86">
        <v>59</v>
      </c>
      <c r="D754" s="86">
        <v>18</v>
      </c>
      <c r="E754" s="86">
        <v>6</v>
      </c>
      <c r="F754" s="86"/>
      <c r="G754" s="75">
        <v>0.95402298850574707</v>
      </c>
      <c r="H754" s="75">
        <v>0.71084337349397586</v>
      </c>
      <c r="I754" s="75">
        <v>0.21686746987951808</v>
      </c>
      <c r="J754" s="75">
        <v>7.2289156626506021E-2</v>
      </c>
      <c r="K754" s="75"/>
      <c r="L754" s="75"/>
      <c r="M754" s="6" t="s">
        <v>295</v>
      </c>
      <c r="N754" s="139">
        <v>335</v>
      </c>
      <c r="O754" s="140">
        <v>0.67540322580645162</v>
      </c>
    </row>
    <row r="755" spans="1:15" ht="13.15" x14ac:dyDescent="0.4">
      <c r="A755" s="73" t="s">
        <v>131</v>
      </c>
      <c r="B755" s="86">
        <v>36</v>
      </c>
      <c r="C755" s="86">
        <v>26</v>
      </c>
      <c r="D755" s="86">
        <v>7</v>
      </c>
      <c r="E755" s="86">
        <v>3</v>
      </c>
      <c r="F755" s="86"/>
      <c r="G755" s="75">
        <v>1</v>
      </c>
      <c r="H755" s="75">
        <v>0.72222222222222221</v>
      </c>
      <c r="I755" s="75">
        <v>0.19444444444444445</v>
      </c>
      <c r="J755" s="75">
        <v>8.3333333333333329E-2</v>
      </c>
      <c r="K755" s="75"/>
      <c r="L755" s="75"/>
      <c r="M755" s="6" t="s">
        <v>226</v>
      </c>
      <c r="N755" s="139">
        <v>132</v>
      </c>
      <c r="O755" s="140">
        <v>0.2661290322580645</v>
      </c>
    </row>
    <row r="756" spans="1:15" ht="13.15" x14ac:dyDescent="0.4">
      <c r="A756" s="73" t="s">
        <v>132</v>
      </c>
      <c r="B756" s="86">
        <v>56</v>
      </c>
      <c r="C756" s="86">
        <v>47</v>
      </c>
      <c r="D756" s="86">
        <v>4</v>
      </c>
      <c r="E756" s="86">
        <v>5</v>
      </c>
      <c r="F756" s="86"/>
      <c r="G756" s="75">
        <v>0.98245614035087714</v>
      </c>
      <c r="H756" s="75">
        <v>0.8392857142857143</v>
      </c>
      <c r="I756" s="75">
        <v>7.1428571428571425E-2</v>
      </c>
      <c r="J756" s="75">
        <v>8.9285714285714288E-2</v>
      </c>
      <c r="K756" s="75"/>
      <c r="L756" s="75"/>
      <c r="M756" s="6" t="s">
        <v>296</v>
      </c>
      <c r="N756" s="139">
        <v>156</v>
      </c>
      <c r="O756" s="140">
        <v>0.31451612903225806</v>
      </c>
    </row>
    <row r="757" spans="1:15" ht="13.15" x14ac:dyDescent="0.4">
      <c r="A757" s="73" t="s">
        <v>133</v>
      </c>
      <c r="B757" s="86">
        <v>92</v>
      </c>
      <c r="C757" s="86">
        <v>51</v>
      </c>
      <c r="D757" s="86">
        <v>31</v>
      </c>
      <c r="E757" s="86">
        <v>10</v>
      </c>
      <c r="F757" s="87"/>
      <c r="G757" s="75">
        <v>1</v>
      </c>
      <c r="H757" s="75">
        <v>0.55434782608695654</v>
      </c>
      <c r="I757" s="75">
        <v>0.33695652173913043</v>
      </c>
      <c r="J757" s="75">
        <v>0.10869565217391304</v>
      </c>
      <c r="K757" s="75"/>
      <c r="L757" s="75"/>
      <c r="M757" s="6" t="s">
        <v>227</v>
      </c>
      <c r="N757" s="139">
        <v>52</v>
      </c>
      <c r="O757" s="140">
        <v>0.10483870967741936</v>
      </c>
    </row>
    <row r="758" spans="1:15" ht="13.15" x14ac:dyDescent="0.4">
      <c r="A758" s="73" t="s">
        <v>134</v>
      </c>
      <c r="B758" s="86">
        <v>67</v>
      </c>
      <c r="C758" s="86">
        <v>58</v>
      </c>
      <c r="D758" s="86">
        <v>3</v>
      </c>
      <c r="E758" s="86">
        <v>6</v>
      </c>
      <c r="F758" s="87"/>
      <c r="G758" s="75">
        <v>0.98529411764705888</v>
      </c>
      <c r="H758" s="75">
        <v>0.86567164179104472</v>
      </c>
      <c r="I758" s="75">
        <v>4.4776119402985072E-2</v>
      </c>
      <c r="J758" s="75">
        <v>8.9552238805970144E-2</v>
      </c>
      <c r="K758" s="75"/>
      <c r="L758" s="75"/>
      <c r="M758" s="6"/>
      <c r="N758" s="139"/>
      <c r="O758" s="140"/>
    </row>
    <row r="759" spans="1:15" ht="13.15" x14ac:dyDescent="0.4">
      <c r="A759" s="73" t="s">
        <v>376</v>
      </c>
      <c r="B759" s="86">
        <v>5</v>
      </c>
      <c r="C759" s="86">
        <v>4</v>
      </c>
      <c r="D759" s="86">
        <v>0</v>
      </c>
      <c r="E759" s="86">
        <v>1</v>
      </c>
      <c r="F759" s="87"/>
      <c r="G759" s="75">
        <v>1</v>
      </c>
      <c r="H759" s="75">
        <v>0.8</v>
      </c>
      <c r="I759" s="75">
        <v>0</v>
      </c>
      <c r="J759" s="75">
        <v>0.2</v>
      </c>
      <c r="K759" s="75"/>
      <c r="L759" s="75"/>
      <c r="M759" s="6"/>
      <c r="N759" s="139"/>
      <c r="O759" s="140"/>
    </row>
    <row r="760" spans="1:15" ht="13.15" x14ac:dyDescent="0.4">
      <c r="A760" s="73" t="s">
        <v>135</v>
      </c>
      <c r="B760" s="86">
        <v>27</v>
      </c>
      <c r="C760" s="86">
        <v>16</v>
      </c>
      <c r="D760" s="86">
        <v>9</v>
      </c>
      <c r="E760" s="86">
        <v>2</v>
      </c>
      <c r="F760" s="87"/>
      <c r="G760" s="75">
        <v>0.9642857142857143</v>
      </c>
      <c r="H760" s="75">
        <v>0.59259259259259256</v>
      </c>
      <c r="I760" s="75">
        <v>0.33333333333333331</v>
      </c>
      <c r="J760" s="75">
        <v>7.407407407407407E-2</v>
      </c>
      <c r="K760" s="72"/>
      <c r="L760" s="72"/>
      <c r="M760" s="6"/>
      <c r="N760" s="139"/>
      <c r="O760" s="140"/>
    </row>
    <row r="761" spans="1:15" ht="13.15" x14ac:dyDescent="0.4">
      <c r="A761" s="73" t="s">
        <v>23</v>
      </c>
      <c r="B761" s="87">
        <v>497</v>
      </c>
      <c r="C761" s="86">
        <v>349</v>
      </c>
      <c r="D761" s="86">
        <v>104</v>
      </c>
      <c r="E761" s="87">
        <v>44</v>
      </c>
      <c r="F761" s="72"/>
      <c r="G761" s="75">
        <v>0.98611111111111116</v>
      </c>
      <c r="H761" s="75">
        <v>0.70221327967806846</v>
      </c>
      <c r="I761" s="75">
        <v>0.20925553319919518</v>
      </c>
      <c r="J761" s="75">
        <v>8.8531187122736416E-2</v>
      </c>
      <c r="K761" s="72"/>
      <c r="L761" s="72"/>
      <c r="M761" s="6"/>
      <c r="N761" s="139"/>
      <c r="O761" s="140"/>
    </row>
    <row r="762" spans="1:15" ht="15" x14ac:dyDescent="0.4">
      <c r="A762" s="73"/>
      <c r="B762" s="87"/>
      <c r="C762" s="86"/>
      <c r="D762" s="86"/>
      <c r="E762" s="87"/>
      <c r="F762" s="72"/>
      <c r="G762" s="75"/>
      <c r="H762" s="75"/>
      <c r="I762" s="75"/>
      <c r="J762" s="75"/>
      <c r="K762" s="72"/>
      <c r="L762" s="72"/>
      <c r="M762" s="6"/>
      <c r="N762" s="6"/>
      <c r="O762" s="113"/>
    </row>
    <row r="763" spans="1:15" ht="15" x14ac:dyDescent="0.4">
      <c r="A763" s="73"/>
      <c r="B763" s="87"/>
      <c r="C763" s="86"/>
      <c r="D763" s="86"/>
      <c r="E763" s="87"/>
      <c r="F763" s="72"/>
      <c r="G763" s="75"/>
      <c r="H763" s="75"/>
      <c r="I763" s="75"/>
      <c r="J763" s="75"/>
      <c r="K763" s="72"/>
      <c r="L763" s="74"/>
      <c r="M763" s="6"/>
      <c r="N763" s="6"/>
      <c r="O763" s="113"/>
    </row>
    <row r="764" spans="1:15" ht="13.15" x14ac:dyDescent="0.4">
      <c r="A764" s="73"/>
      <c r="B764" s="87"/>
      <c r="C764" s="87"/>
      <c r="D764" s="87"/>
      <c r="E764" s="87"/>
      <c r="F764" s="72"/>
      <c r="G764" s="75"/>
      <c r="H764" s="75"/>
      <c r="I764" s="75"/>
      <c r="J764" s="75"/>
      <c r="K764" s="74"/>
      <c r="L764" s="75"/>
      <c r="M764" s="6"/>
      <c r="N764" s="138"/>
      <c r="O764" s="141"/>
    </row>
    <row r="765" spans="1:15" ht="13.15" x14ac:dyDescent="0.4">
      <c r="A765" s="73" t="s">
        <v>286</v>
      </c>
      <c r="B765" s="72"/>
      <c r="C765" s="72"/>
      <c r="D765" s="72"/>
      <c r="E765" s="72"/>
      <c r="F765" s="72"/>
      <c r="G765" s="72"/>
      <c r="H765" s="72"/>
      <c r="I765" s="72"/>
      <c r="J765" s="72"/>
      <c r="K765" s="75"/>
      <c r="L765" s="75"/>
      <c r="M765" s="6"/>
      <c r="N765" s="139"/>
      <c r="O765" s="140"/>
    </row>
    <row r="766" spans="1:15" ht="13.15" x14ac:dyDescent="0.4">
      <c r="A766" s="73" t="s">
        <v>278</v>
      </c>
      <c r="B766" s="72"/>
      <c r="C766" s="72"/>
      <c r="D766" s="72"/>
      <c r="E766" s="72"/>
      <c r="F766" s="72"/>
      <c r="G766" s="72"/>
      <c r="H766" s="72"/>
      <c r="I766" s="72"/>
      <c r="J766" s="72"/>
      <c r="K766" s="75"/>
      <c r="L766" s="75"/>
      <c r="M766" s="6"/>
      <c r="N766" s="6"/>
      <c r="O766" s="6"/>
    </row>
    <row r="767" spans="1:15" ht="13.15" x14ac:dyDescent="0.4">
      <c r="A767" s="73" t="s">
        <v>260</v>
      </c>
      <c r="B767" s="72"/>
      <c r="C767" s="72"/>
      <c r="D767" s="72"/>
      <c r="E767" s="72"/>
      <c r="F767" s="72"/>
      <c r="G767" s="72"/>
      <c r="H767" s="72"/>
      <c r="I767" s="72"/>
      <c r="J767" s="72"/>
      <c r="K767" s="75"/>
      <c r="L767" s="75"/>
      <c r="M767" s="6"/>
      <c r="N767" s="6"/>
      <c r="O767" s="6"/>
    </row>
    <row r="768" spans="1:15" ht="13.15" x14ac:dyDescent="0.4">
      <c r="A768" s="73" t="s">
        <v>285</v>
      </c>
      <c r="B768" s="72"/>
      <c r="C768" s="72"/>
      <c r="D768" s="72"/>
      <c r="E768" s="72"/>
      <c r="F768" s="72"/>
      <c r="G768" s="72"/>
      <c r="H768" s="72"/>
      <c r="I768" s="72"/>
      <c r="J768" s="72"/>
      <c r="K768" s="75"/>
      <c r="L768" s="75"/>
      <c r="M768" s="6"/>
      <c r="N768" s="6"/>
      <c r="O768" s="6"/>
    </row>
    <row r="769" spans="1:15" ht="13.15" x14ac:dyDescent="0.4">
      <c r="A769" s="73" t="s">
        <v>290</v>
      </c>
      <c r="B769" s="72" t="s">
        <v>139</v>
      </c>
      <c r="C769" s="72"/>
      <c r="D769" s="72"/>
      <c r="E769" s="72"/>
      <c r="F769" s="86"/>
      <c r="G769" s="72" t="s">
        <v>146</v>
      </c>
      <c r="H769" s="72"/>
      <c r="I769" s="72"/>
      <c r="J769" s="72"/>
      <c r="K769" s="75"/>
      <c r="L769" s="75"/>
      <c r="M769" s="6"/>
      <c r="N769" s="6"/>
      <c r="O769" s="6"/>
    </row>
    <row r="770" spans="1:15" ht="13.15" x14ac:dyDescent="0.4">
      <c r="A770" s="73" t="s">
        <v>136</v>
      </c>
      <c r="B770" s="74" t="s">
        <v>112</v>
      </c>
      <c r="C770" s="74" t="s">
        <v>113</v>
      </c>
      <c r="D770" s="74" t="s">
        <v>114</v>
      </c>
      <c r="E770" s="74" t="s">
        <v>115</v>
      </c>
      <c r="F770" s="86"/>
      <c r="G770" s="74" t="s">
        <v>112</v>
      </c>
      <c r="H770" s="74" t="s">
        <v>113</v>
      </c>
      <c r="I770" s="74" t="s">
        <v>114</v>
      </c>
      <c r="J770" s="74" t="s">
        <v>115</v>
      </c>
      <c r="K770" s="75"/>
      <c r="L770" s="75"/>
      <c r="M770" s="6" t="s">
        <v>279</v>
      </c>
      <c r="N770" s="6"/>
      <c r="O770" s="6"/>
    </row>
    <row r="771" spans="1:15" ht="13.15" x14ac:dyDescent="0.4">
      <c r="A771" s="73" t="s">
        <v>127</v>
      </c>
      <c r="B771" s="86">
        <v>38</v>
      </c>
      <c r="C771" s="86">
        <v>23</v>
      </c>
      <c r="D771" s="86">
        <v>13</v>
      </c>
      <c r="E771" s="86">
        <v>2</v>
      </c>
      <c r="F771" s="86"/>
      <c r="G771" s="75">
        <v>0.97435897435897434</v>
      </c>
      <c r="H771" s="75">
        <v>0.60526315789473684</v>
      </c>
      <c r="I771" s="75">
        <v>0.34210526315789475</v>
      </c>
      <c r="J771" s="75">
        <v>5.2631578947368418E-2</v>
      </c>
      <c r="K771" s="75"/>
      <c r="L771" s="75"/>
      <c r="M771" s="6" t="s">
        <v>283</v>
      </c>
      <c r="N771" s="139"/>
      <c r="O771" s="140"/>
    </row>
    <row r="772" spans="1:15" ht="13.15" x14ac:dyDescent="0.4">
      <c r="A772" s="73" t="s">
        <v>128</v>
      </c>
      <c r="B772" s="86">
        <v>27</v>
      </c>
      <c r="C772" s="86">
        <v>21</v>
      </c>
      <c r="D772" s="86">
        <v>4</v>
      </c>
      <c r="E772" s="86">
        <v>2</v>
      </c>
      <c r="F772" s="86"/>
      <c r="G772" s="75">
        <v>1</v>
      </c>
      <c r="H772" s="75">
        <v>0.77777777777777779</v>
      </c>
      <c r="I772" s="75">
        <v>0.14814814814814814</v>
      </c>
      <c r="J772" s="75">
        <v>7.407407407407407E-2</v>
      </c>
      <c r="K772" s="75"/>
      <c r="L772" s="75"/>
      <c r="M772" s="6" t="s">
        <v>249</v>
      </c>
      <c r="N772" s="6"/>
      <c r="O772" s="6"/>
    </row>
    <row r="773" spans="1:15" ht="13.15" x14ac:dyDescent="0.4">
      <c r="A773" s="73" t="s">
        <v>129</v>
      </c>
      <c r="B773" s="86">
        <v>65</v>
      </c>
      <c r="C773" s="86">
        <v>49</v>
      </c>
      <c r="D773" s="86">
        <v>11</v>
      </c>
      <c r="E773" s="86">
        <v>5</v>
      </c>
      <c r="F773" s="86"/>
      <c r="G773" s="75">
        <v>1</v>
      </c>
      <c r="H773" s="75">
        <v>0.75384615384615383</v>
      </c>
      <c r="I773" s="75">
        <v>0.16923076923076924</v>
      </c>
      <c r="J773" s="75">
        <v>7.6923076923076927E-2</v>
      </c>
      <c r="K773" s="75"/>
      <c r="L773" s="75"/>
      <c r="M773" s="6" t="s">
        <v>201</v>
      </c>
      <c r="N773" s="76">
        <v>497</v>
      </c>
      <c r="O773" s="141" t="s">
        <v>202</v>
      </c>
    </row>
    <row r="774" spans="1:15" ht="13.15" x14ac:dyDescent="0.4">
      <c r="A774" s="73" t="s">
        <v>130</v>
      </c>
      <c r="B774" s="86">
        <v>83</v>
      </c>
      <c r="C774" s="86">
        <v>66</v>
      </c>
      <c r="D774" s="86">
        <v>11</v>
      </c>
      <c r="E774" s="86">
        <v>6</v>
      </c>
      <c r="F774" s="86"/>
      <c r="G774" s="75">
        <v>0.96511627906976749</v>
      </c>
      <c r="H774" s="75">
        <v>0.79518072289156627</v>
      </c>
      <c r="I774" s="75">
        <v>0.13253012048192772</v>
      </c>
      <c r="J774" s="75">
        <v>7.2289156626506021E-2</v>
      </c>
      <c r="K774" s="75"/>
      <c r="L774" s="75"/>
      <c r="M774" s="6" t="s">
        <v>293</v>
      </c>
      <c r="N774" s="139">
        <v>341</v>
      </c>
      <c r="O774" s="140">
        <v>0.6861167002012073</v>
      </c>
    </row>
    <row r="775" spans="1:15" ht="13.15" x14ac:dyDescent="0.4">
      <c r="A775" s="73" t="s">
        <v>131</v>
      </c>
      <c r="B775" s="86">
        <v>37</v>
      </c>
      <c r="C775" s="86">
        <v>32</v>
      </c>
      <c r="D775" s="86">
        <v>3</v>
      </c>
      <c r="E775" s="86">
        <v>2</v>
      </c>
      <c r="F775" s="86"/>
      <c r="G775" s="75">
        <v>1</v>
      </c>
      <c r="H775" s="75">
        <v>0.86486486486486491</v>
      </c>
      <c r="I775" s="75">
        <v>8.1081081081081086E-2</v>
      </c>
      <c r="J775" s="75">
        <v>5.4054054054054057E-2</v>
      </c>
      <c r="K775" s="75"/>
      <c r="L775" s="75"/>
      <c r="M775" s="6" t="s">
        <v>226</v>
      </c>
      <c r="N775" s="139">
        <v>140</v>
      </c>
      <c r="O775" s="140">
        <v>0.28169014084507044</v>
      </c>
    </row>
    <row r="776" spans="1:15" ht="13.15" x14ac:dyDescent="0.4">
      <c r="A776" s="73" t="s">
        <v>132</v>
      </c>
      <c r="B776" s="86">
        <v>58</v>
      </c>
      <c r="C776" s="86">
        <v>51</v>
      </c>
      <c r="D776" s="86">
        <v>5</v>
      </c>
      <c r="E776" s="86">
        <v>2</v>
      </c>
      <c r="F776" s="86"/>
      <c r="G776" s="75">
        <v>1</v>
      </c>
      <c r="H776" s="75">
        <v>0.87931034482758619</v>
      </c>
      <c r="I776" s="75">
        <v>8.6206896551724144E-2</v>
      </c>
      <c r="J776" s="75">
        <v>3.4482758620689655E-2</v>
      </c>
      <c r="K776" s="75"/>
      <c r="L776" s="75"/>
      <c r="M776" s="6" t="s">
        <v>294</v>
      </c>
      <c r="N776" s="139">
        <v>151</v>
      </c>
      <c r="O776" s="140">
        <v>0.30382293762575452</v>
      </c>
    </row>
    <row r="777" spans="1:15" ht="13.15" x14ac:dyDescent="0.4">
      <c r="A777" s="73" t="s">
        <v>133</v>
      </c>
      <c r="B777" s="86">
        <v>90</v>
      </c>
      <c r="C777" s="86">
        <v>50</v>
      </c>
      <c r="D777" s="86">
        <v>32</v>
      </c>
      <c r="E777" s="86">
        <v>8</v>
      </c>
      <c r="F777" s="87"/>
      <c r="G777" s="75">
        <v>1</v>
      </c>
      <c r="H777" s="75">
        <v>0.55555555555555558</v>
      </c>
      <c r="I777" s="75">
        <v>0.35555555555555557</v>
      </c>
      <c r="J777" s="75">
        <v>8.8888888888888892E-2</v>
      </c>
      <c r="K777" s="75"/>
      <c r="L777" s="75"/>
      <c r="M777" s="6" t="s">
        <v>227</v>
      </c>
      <c r="N777" s="139">
        <v>50</v>
      </c>
      <c r="O777" s="140">
        <v>0.1006036217303823</v>
      </c>
    </row>
    <row r="778" spans="1:15" ht="13.15" x14ac:dyDescent="0.4">
      <c r="A778" s="73" t="s">
        <v>134</v>
      </c>
      <c r="B778" s="86">
        <v>67</v>
      </c>
      <c r="C778" s="86">
        <v>51</v>
      </c>
      <c r="D778" s="86">
        <v>12</v>
      </c>
      <c r="E778" s="86">
        <v>4</v>
      </c>
      <c r="F778" s="87"/>
      <c r="G778" s="75">
        <v>0.98529411764705888</v>
      </c>
      <c r="H778" s="75">
        <v>0.76119402985074625</v>
      </c>
      <c r="I778" s="75">
        <v>0.17910447761194029</v>
      </c>
      <c r="J778" s="75">
        <v>5.9701492537313432E-2</v>
      </c>
      <c r="K778" s="75"/>
      <c r="L778" s="75"/>
      <c r="M778" s="6"/>
      <c r="N778" s="139"/>
      <c r="O778" s="140"/>
    </row>
    <row r="779" spans="1:15" ht="13.15" x14ac:dyDescent="0.4">
      <c r="A779" s="73" t="s">
        <v>376</v>
      </c>
      <c r="B779" s="86">
        <v>5</v>
      </c>
      <c r="C779" s="86">
        <v>4</v>
      </c>
      <c r="D779" s="86">
        <v>0</v>
      </c>
      <c r="E779" s="86">
        <v>1</v>
      </c>
      <c r="F779" s="87"/>
      <c r="G779" s="75">
        <v>1</v>
      </c>
      <c r="H779" s="75">
        <v>0.8</v>
      </c>
      <c r="I779" s="75">
        <v>0</v>
      </c>
      <c r="J779" s="75">
        <v>0.2</v>
      </c>
      <c r="K779" s="72"/>
      <c r="L779" s="72"/>
      <c r="M779" s="6"/>
      <c r="N779" s="139"/>
      <c r="O779" s="140"/>
    </row>
    <row r="780" spans="1:15" ht="13.15" x14ac:dyDescent="0.4">
      <c r="A780" s="73" t="s">
        <v>135</v>
      </c>
      <c r="B780" s="86">
        <v>29</v>
      </c>
      <c r="C780" s="86">
        <v>14</v>
      </c>
      <c r="D780" s="86">
        <v>12</v>
      </c>
      <c r="E780" s="86">
        <v>3</v>
      </c>
      <c r="F780" s="87"/>
      <c r="G780" s="75">
        <v>1</v>
      </c>
      <c r="H780" s="75">
        <v>0.48275862068965519</v>
      </c>
      <c r="I780" s="75">
        <v>0.41379310344827586</v>
      </c>
      <c r="J780" s="75">
        <v>0.10344827586206896</v>
      </c>
      <c r="K780" s="72"/>
      <c r="L780" s="72"/>
      <c r="M780" s="6"/>
      <c r="N780" s="139"/>
      <c r="O780" s="140"/>
    </row>
    <row r="781" spans="1:15" ht="13.15" x14ac:dyDescent="0.4">
      <c r="A781" s="73" t="s">
        <v>23</v>
      </c>
      <c r="B781" s="87">
        <v>499</v>
      </c>
      <c r="C781" s="86">
        <v>361</v>
      </c>
      <c r="D781" s="86">
        <v>103</v>
      </c>
      <c r="E781" s="87">
        <v>35</v>
      </c>
      <c r="F781" s="72"/>
      <c r="G781" s="75">
        <v>0.99007936507936511</v>
      </c>
      <c r="H781" s="75">
        <v>0.7234468937875751</v>
      </c>
      <c r="I781" s="75">
        <v>0.20641282565130262</v>
      </c>
      <c r="J781" s="75">
        <v>7.0140280561122245E-2</v>
      </c>
      <c r="K781" s="72"/>
      <c r="L781" s="72"/>
      <c r="M781" s="6"/>
      <c r="N781" s="139"/>
      <c r="O781" s="140"/>
    </row>
    <row r="782" spans="1:15" ht="15" x14ac:dyDescent="0.4">
      <c r="A782" s="73"/>
      <c r="B782" s="87"/>
      <c r="C782" s="86"/>
      <c r="D782" s="86"/>
      <c r="E782" s="87"/>
      <c r="F782" s="72"/>
      <c r="G782" s="75"/>
      <c r="H782" s="75"/>
      <c r="I782" s="75"/>
      <c r="J782" s="75"/>
      <c r="K782" s="72"/>
      <c r="L782" s="74"/>
      <c r="M782" s="6"/>
      <c r="N782" s="6"/>
      <c r="O782" s="113"/>
    </row>
    <row r="783" spans="1:15" ht="15" x14ac:dyDescent="0.4">
      <c r="A783" s="73"/>
      <c r="B783" s="87"/>
      <c r="C783" s="86"/>
      <c r="D783" s="86"/>
      <c r="E783" s="87"/>
      <c r="F783" s="72"/>
      <c r="G783" s="75"/>
      <c r="H783" s="75"/>
      <c r="I783" s="75"/>
      <c r="J783" s="75"/>
      <c r="K783" s="74"/>
      <c r="L783" s="75"/>
      <c r="M783" s="6"/>
      <c r="N783" s="6"/>
      <c r="O783" s="113"/>
    </row>
    <row r="784" spans="1:15" ht="13.15" x14ac:dyDescent="0.4">
      <c r="A784" s="73"/>
      <c r="B784" s="87"/>
      <c r="C784" s="87"/>
      <c r="D784" s="87"/>
      <c r="E784" s="87"/>
      <c r="F784" s="72"/>
      <c r="G784" s="75"/>
      <c r="H784" s="75"/>
      <c r="I784" s="75"/>
      <c r="J784" s="75"/>
      <c r="K784" s="75"/>
      <c r="L784" s="75"/>
      <c r="M784" s="6"/>
      <c r="N784" s="138"/>
      <c r="O784" s="141"/>
    </row>
    <row r="785" spans="1:15" ht="13.15" x14ac:dyDescent="0.4">
      <c r="A785" s="73" t="s">
        <v>271</v>
      </c>
      <c r="B785" s="72"/>
      <c r="C785" s="72"/>
      <c r="D785" s="72"/>
      <c r="E785" s="72"/>
      <c r="F785" s="72"/>
      <c r="G785" s="72"/>
      <c r="H785" s="72"/>
      <c r="I785" s="72"/>
      <c r="J785" s="72"/>
      <c r="K785" s="75"/>
      <c r="L785" s="75"/>
      <c r="M785" s="6"/>
      <c r="N785" s="139"/>
      <c r="O785" s="140"/>
    </row>
    <row r="786" spans="1:15" ht="13.15" x14ac:dyDescent="0.4">
      <c r="A786" s="73" t="s">
        <v>276</v>
      </c>
      <c r="B786" s="72"/>
      <c r="C786" s="72"/>
      <c r="D786" s="72"/>
      <c r="E786" s="72"/>
      <c r="F786" s="72"/>
      <c r="G786" s="72"/>
      <c r="H786" s="72"/>
      <c r="I786" s="72"/>
      <c r="J786" s="72"/>
      <c r="K786" s="75"/>
      <c r="L786" s="75"/>
      <c r="M786" s="6"/>
      <c r="N786" s="6"/>
      <c r="O786" s="6"/>
    </row>
    <row r="787" spans="1:15" ht="13.15" x14ac:dyDescent="0.4">
      <c r="A787" s="73" t="s">
        <v>277</v>
      </c>
      <c r="B787" s="72"/>
      <c r="C787" s="72"/>
      <c r="D787" s="72"/>
      <c r="E787" s="72"/>
      <c r="F787" s="72"/>
      <c r="G787" s="72"/>
      <c r="H787" s="72"/>
      <c r="I787" s="72"/>
      <c r="J787" s="72"/>
      <c r="K787" s="75"/>
      <c r="L787" s="75"/>
      <c r="M787" s="6"/>
      <c r="N787" s="6"/>
      <c r="O787" s="6"/>
    </row>
    <row r="788" spans="1:15" ht="13.15" x14ac:dyDescent="0.4">
      <c r="A788" s="73" t="s">
        <v>274</v>
      </c>
      <c r="B788" s="72" t="s">
        <v>139</v>
      </c>
      <c r="C788" s="72"/>
      <c r="D788" s="72"/>
      <c r="E788" s="72"/>
      <c r="F788" s="86"/>
      <c r="G788" s="72" t="s">
        <v>146</v>
      </c>
      <c r="H788" s="72"/>
      <c r="I788" s="72"/>
      <c r="J788" s="72"/>
      <c r="K788" s="75"/>
      <c r="L788" s="75"/>
      <c r="M788" s="6"/>
      <c r="N788" s="6"/>
      <c r="O788" s="6"/>
    </row>
    <row r="789" spans="1:15" ht="13.15" x14ac:dyDescent="0.4">
      <c r="A789" s="73" t="s">
        <v>136</v>
      </c>
      <c r="B789" s="74" t="s">
        <v>112</v>
      </c>
      <c r="C789" s="74" t="s">
        <v>113</v>
      </c>
      <c r="D789" s="74" t="s">
        <v>114</v>
      </c>
      <c r="E789" s="74" t="s">
        <v>115</v>
      </c>
      <c r="F789" s="86"/>
      <c r="G789" s="74" t="s">
        <v>112</v>
      </c>
      <c r="H789" s="74" t="s">
        <v>113</v>
      </c>
      <c r="I789" s="74" t="s">
        <v>114</v>
      </c>
      <c r="J789" s="74" t="s">
        <v>115</v>
      </c>
      <c r="K789" s="75"/>
      <c r="L789" s="75"/>
      <c r="M789" s="6" t="s">
        <v>269</v>
      </c>
      <c r="N789" s="6"/>
      <c r="O789" s="6"/>
    </row>
    <row r="790" spans="1:15" ht="13.15" x14ac:dyDescent="0.4">
      <c r="A790" s="73" t="s">
        <v>127</v>
      </c>
      <c r="B790" s="86">
        <v>40</v>
      </c>
      <c r="C790" s="86">
        <v>28</v>
      </c>
      <c r="D790" s="86">
        <v>11</v>
      </c>
      <c r="E790" s="86">
        <v>1</v>
      </c>
      <c r="F790" s="86"/>
      <c r="G790" s="75">
        <f>B790/40</f>
        <v>1</v>
      </c>
      <c r="H790" s="75">
        <f>C790/B790</f>
        <v>0.7</v>
      </c>
      <c r="I790" s="75">
        <f>D790/B790</f>
        <v>0.27500000000000002</v>
      </c>
      <c r="J790" s="75">
        <f>E790/B790</f>
        <v>2.5000000000000001E-2</v>
      </c>
      <c r="K790" s="75"/>
      <c r="L790" s="75"/>
      <c r="M790" s="6" t="s">
        <v>270</v>
      </c>
      <c r="N790" s="139"/>
      <c r="O790" s="140"/>
    </row>
    <row r="791" spans="1:15" ht="13.15" x14ac:dyDescent="0.4">
      <c r="A791" s="73" t="s">
        <v>128</v>
      </c>
      <c r="B791" s="86">
        <v>27</v>
      </c>
      <c r="C791" s="86">
        <v>19</v>
      </c>
      <c r="D791" s="86">
        <v>5</v>
      </c>
      <c r="E791" s="86">
        <v>3</v>
      </c>
      <c r="F791" s="86"/>
      <c r="G791" s="75">
        <f>B791/27</f>
        <v>1</v>
      </c>
      <c r="H791" s="75">
        <f t="shared" ref="H791:H799" si="26">C791/B791</f>
        <v>0.70370370370370372</v>
      </c>
      <c r="I791" s="75">
        <f t="shared" ref="I791:I800" si="27">D791/B791</f>
        <v>0.18518518518518517</v>
      </c>
      <c r="J791" s="75">
        <f t="shared" ref="J791:J800" si="28">E791/B791</f>
        <v>0.1111111111111111</v>
      </c>
      <c r="K791" s="75"/>
      <c r="L791" s="75"/>
      <c r="M791" s="6" t="s">
        <v>249</v>
      </c>
      <c r="N791" s="6"/>
      <c r="O791" s="6"/>
    </row>
    <row r="792" spans="1:15" ht="13.15" x14ac:dyDescent="0.4">
      <c r="A792" s="73" t="s">
        <v>129</v>
      </c>
      <c r="B792" s="86">
        <v>65</v>
      </c>
      <c r="C792" s="86">
        <v>42</v>
      </c>
      <c r="D792" s="86">
        <v>18</v>
      </c>
      <c r="E792" s="86">
        <v>5</v>
      </c>
      <c r="F792" s="86"/>
      <c r="G792" s="75">
        <f>B792/66</f>
        <v>0.98484848484848486</v>
      </c>
      <c r="H792" s="75">
        <f t="shared" si="26"/>
        <v>0.64615384615384619</v>
      </c>
      <c r="I792" s="75">
        <f t="shared" si="27"/>
        <v>0.27692307692307694</v>
      </c>
      <c r="J792" s="75">
        <f t="shared" si="28"/>
        <v>7.6923076923076927E-2</v>
      </c>
      <c r="K792" s="75"/>
      <c r="L792" s="75"/>
      <c r="M792" s="6" t="s">
        <v>201</v>
      </c>
      <c r="N792" s="76">
        <v>496</v>
      </c>
      <c r="O792" s="141" t="s">
        <v>202</v>
      </c>
    </row>
    <row r="793" spans="1:15" ht="13.15" x14ac:dyDescent="0.4">
      <c r="A793" s="73" t="s">
        <v>130</v>
      </c>
      <c r="B793" s="86">
        <v>84</v>
      </c>
      <c r="C793" s="86">
        <v>59</v>
      </c>
      <c r="D793" s="86">
        <v>18</v>
      </c>
      <c r="E793" s="86">
        <v>7</v>
      </c>
      <c r="F793" s="86"/>
      <c r="G793" s="75">
        <f>B793/87</f>
        <v>0.96551724137931039</v>
      </c>
      <c r="H793" s="75">
        <f t="shared" si="26"/>
        <v>0.70238095238095233</v>
      </c>
      <c r="I793" s="75">
        <f t="shared" si="27"/>
        <v>0.21428571428571427</v>
      </c>
      <c r="J793" s="75">
        <f t="shared" si="28"/>
        <v>8.3333333333333329E-2</v>
      </c>
      <c r="K793" s="75"/>
      <c r="L793" s="75"/>
      <c r="M793" s="6" t="s">
        <v>291</v>
      </c>
      <c r="N793" s="139">
        <v>342</v>
      </c>
      <c r="O793" s="140">
        <f>N793/N792</f>
        <v>0.68951612903225812</v>
      </c>
    </row>
    <row r="794" spans="1:15" ht="13.15" x14ac:dyDescent="0.4">
      <c r="A794" s="73" t="s">
        <v>131</v>
      </c>
      <c r="B794" s="86">
        <v>38</v>
      </c>
      <c r="C794" s="86">
        <v>25</v>
      </c>
      <c r="D794" s="86">
        <v>8</v>
      </c>
      <c r="E794" s="86">
        <v>5</v>
      </c>
      <c r="F794" s="86"/>
      <c r="G794" s="75">
        <f>B794/38</f>
        <v>1</v>
      </c>
      <c r="H794" s="75">
        <f t="shared" si="26"/>
        <v>0.65789473684210531</v>
      </c>
      <c r="I794" s="75">
        <f t="shared" si="27"/>
        <v>0.21052631578947367</v>
      </c>
      <c r="J794" s="75">
        <f t="shared" si="28"/>
        <v>0.13157894736842105</v>
      </c>
      <c r="K794" s="75"/>
      <c r="L794" s="75"/>
      <c r="M794" s="6" t="s">
        <v>226</v>
      </c>
      <c r="N794" s="139">
        <v>128</v>
      </c>
      <c r="O794" s="140">
        <f>N794/N792</f>
        <v>0.25806451612903225</v>
      </c>
    </row>
    <row r="795" spans="1:15" ht="13.15" x14ac:dyDescent="0.4">
      <c r="A795" s="73" t="s">
        <v>132</v>
      </c>
      <c r="B795" s="86">
        <v>56</v>
      </c>
      <c r="C795" s="86">
        <v>40</v>
      </c>
      <c r="D795" s="86">
        <v>10</v>
      </c>
      <c r="E795" s="86">
        <v>6</v>
      </c>
      <c r="F795" s="86"/>
      <c r="G795" s="75">
        <f>B795/56</f>
        <v>1</v>
      </c>
      <c r="H795" s="75">
        <f t="shared" si="26"/>
        <v>0.7142857142857143</v>
      </c>
      <c r="I795" s="75">
        <f t="shared" si="27"/>
        <v>0.17857142857142858</v>
      </c>
      <c r="J795" s="75">
        <f t="shared" si="28"/>
        <v>0.10714285714285714</v>
      </c>
      <c r="K795" s="75"/>
      <c r="L795" s="75"/>
      <c r="M795" s="6" t="s">
        <v>292</v>
      </c>
      <c r="N795" s="139">
        <v>150</v>
      </c>
      <c r="O795" s="140">
        <f>N795/N792</f>
        <v>0.30241935483870969</v>
      </c>
    </row>
    <row r="796" spans="1:15" ht="13.15" x14ac:dyDescent="0.4">
      <c r="A796" s="73" t="s">
        <v>133</v>
      </c>
      <c r="B796" s="86">
        <v>86</v>
      </c>
      <c r="C796" s="86">
        <v>56</v>
      </c>
      <c r="D796" s="86">
        <v>23</v>
      </c>
      <c r="E796" s="86">
        <v>7</v>
      </c>
      <c r="F796" s="87"/>
      <c r="G796" s="75">
        <f>B796/87</f>
        <v>0.9885057471264368</v>
      </c>
      <c r="H796" s="75">
        <f t="shared" si="26"/>
        <v>0.65116279069767447</v>
      </c>
      <c r="I796" s="75">
        <f t="shared" si="27"/>
        <v>0.26744186046511625</v>
      </c>
      <c r="J796" s="75">
        <f t="shared" si="28"/>
        <v>8.1395348837209308E-2</v>
      </c>
      <c r="K796" s="75"/>
      <c r="L796" s="75"/>
      <c r="M796" s="6" t="s">
        <v>227</v>
      </c>
      <c r="N796" s="139">
        <v>47</v>
      </c>
      <c r="O796" s="140">
        <f>N796/N792</f>
        <v>9.4758064516129031E-2</v>
      </c>
    </row>
    <row r="797" spans="1:15" ht="13.15" x14ac:dyDescent="0.4">
      <c r="A797" s="73" t="s">
        <v>134</v>
      </c>
      <c r="B797" s="86">
        <v>66</v>
      </c>
      <c r="C797" s="86">
        <v>53</v>
      </c>
      <c r="D797" s="86">
        <v>4</v>
      </c>
      <c r="E797" s="86">
        <v>9</v>
      </c>
      <c r="F797" s="87"/>
      <c r="G797" s="75">
        <f>B797/69</f>
        <v>0.95652173913043481</v>
      </c>
      <c r="H797" s="75">
        <f t="shared" si="26"/>
        <v>0.80303030303030298</v>
      </c>
      <c r="I797" s="75">
        <f t="shared" si="27"/>
        <v>6.0606060606060608E-2</v>
      </c>
      <c r="J797" s="75">
        <f t="shared" si="28"/>
        <v>0.13636363636363635</v>
      </c>
      <c r="K797" s="75"/>
      <c r="L797" s="75"/>
      <c r="M797" s="6"/>
      <c r="N797" s="139"/>
      <c r="O797" s="140"/>
    </row>
    <row r="798" spans="1:15" ht="13.15" x14ac:dyDescent="0.4">
      <c r="A798" s="73" t="s">
        <v>376</v>
      </c>
      <c r="B798" s="86">
        <v>5</v>
      </c>
      <c r="C798" s="86">
        <v>3</v>
      </c>
      <c r="D798" s="86">
        <v>1</v>
      </c>
      <c r="E798" s="86">
        <v>1</v>
      </c>
      <c r="F798" s="87"/>
      <c r="G798" s="75">
        <f>B798/5</f>
        <v>1</v>
      </c>
      <c r="H798" s="75">
        <f t="shared" si="26"/>
        <v>0.6</v>
      </c>
      <c r="I798" s="75">
        <f t="shared" si="27"/>
        <v>0.2</v>
      </c>
      <c r="J798" s="75">
        <f t="shared" si="28"/>
        <v>0.2</v>
      </c>
      <c r="K798" s="72"/>
      <c r="L798" s="75"/>
      <c r="M798" s="6"/>
      <c r="N798" s="139"/>
      <c r="O798" s="140"/>
    </row>
    <row r="799" spans="1:15" ht="13.15" x14ac:dyDescent="0.4">
      <c r="A799" s="73" t="s">
        <v>135</v>
      </c>
      <c r="B799" s="86">
        <v>29</v>
      </c>
      <c r="C799" s="86">
        <v>16</v>
      </c>
      <c r="D799" s="86">
        <v>9</v>
      </c>
      <c r="E799" s="86">
        <v>4</v>
      </c>
      <c r="F799" s="87"/>
      <c r="G799" s="75">
        <f>B799/29</f>
        <v>1</v>
      </c>
      <c r="H799" s="75">
        <f t="shared" si="26"/>
        <v>0.55172413793103448</v>
      </c>
      <c r="I799" s="75">
        <f t="shared" si="27"/>
        <v>0.31034482758620691</v>
      </c>
      <c r="J799" s="75">
        <f t="shared" si="28"/>
        <v>0.13793103448275862</v>
      </c>
      <c r="K799" s="72"/>
      <c r="L799" s="75"/>
      <c r="M799" s="6"/>
      <c r="N799" s="139"/>
      <c r="O799" s="140"/>
    </row>
    <row r="800" spans="1:15" ht="13.15" x14ac:dyDescent="0.4">
      <c r="A800" s="73" t="s">
        <v>23</v>
      </c>
      <c r="B800" s="87">
        <v>496</v>
      </c>
      <c r="C800" s="86">
        <v>341</v>
      </c>
      <c r="D800" s="86">
        <v>107</v>
      </c>
      <c r="E800" s="87">
        <v>48</v>
      </c>
      <c r="F800" s="72"/>
      <c r="G800" s="75">
        <f>B800/502</f>
        <v>0.98804780876494025</v>
      </c>
      <c r="H800" s="75">
        <f>C800/B800</f>
        <v>0.6875</v>
      </c>
      <c r="I800" s="75">
        <f t="shared" si="27"/>
        <v>0.21572580645161291</v>
      </c>
      <c r="J800" s="75">
        <f t="shared" si="28"/>
        <v>9.6774193548387094E-2</v>
      </c>
      <c r="K800" s="72"/>
      <c r="L800" s="75"/>
      <c r="M800" s="6"/>
      <c r="N800" s="139"/>
      <c r="O800" s="140"/>
    </row>
    <row r="801" spans="1:15" ht="15" x14ac:dyDescent="0.4">
      <c r="A801" s="73"/>
      <c r="B801" s="87"/>
      <c r="C801" s="86"/>
      <c r="D801" s="86"/>
      <c r="E801" s="87"/>
      <c r="F801" s="72"/>
      <c r="G801" s="75"/>
      <c r="H801" s="75"/>
      <c r="I801" s="75"/>
      <c r="J801" s="75"/>
      <c r="K801" s="72"/>
      <c r="L801" s="75"/>
      <c r="M801" s="6"/>
      <c r="N801" s="6"/>
      <c r="O801" s="113"/>
    </row>
    <row r="802" spans="1:15" ht="15" x14ac:dyDescent="0.4">
      <c r="A802" s="73"/>
      <c r="B802" s="87"/>
      <c r="C802" s="86"/>
      <c r="D802" s="86"/>
      <c r="E802" s="87"/>
      <c r="F802" s="72"/>
      <c r="G802" s="75"/>
      <c r="H802" s="75"/>
      <c r="I802" s="75"/>
      <c r="J802" s="75"/>
      <c r="K802" s="74"/>
      <c r="L802" s="75"/>
      <c r="M802" s="6"/>
      <c r="N802" s="6"/>
      <c r="O802" s="113"/>
    </row>
    <row r="803" spans="1:15" ht="13.15" x14ac:dyDescent="0.4">
      <c r="A803" s="73"/>
      <c r="B803" s="87"/>
      <c r="C803" s="87"/>
      <c r="D803" s="87"/>
      <c r="E803" s="87"/>
      <c r="F803" s="72"/>
      <c r="G803" s="75"/>
      <c r="H803" s="75"/>
      <c r="I803" s="75"/>
      <c r="J803" s="75"/>
      <c r="K803" s="75"/>
      <c r="L803" s="72"/>
      <c r="M803" s="6"/>
      <c r="N803" s="138"/>
      <c r="O803" s="141"/>
    </row>
    <row r="804" spans="1:15" ht="13.15" x14ac:dyDescent="0.4">
      <c r="A804" s="73" t="s">
        <v>259</v>
      </c>
      <c r="B804" s="72"/>
      <c r="C804" s="72"/>
      <c r="D804" s="72"/>
      <c r="E804" s="72"/>
      <c r="F804" s="72"/>
      <c r="G804" s="72"/>
      <c r="H804" s="72"/>
      <c r="I804" s="72"/>
      <c r="J804" s="72"/>
      <c r="K804" s="75"/>
      <c r="L804" s="72"/>
      <c r="M804" s="6"/>
      <c r="N804" s="139"/>
      <c r="O804" s="140"/>
    </row>
    <row r="805" spans="1:15" ht="13.15" x14ac:dyDescent="0.4">
      <c r="A805" s="73" t="s">
        <v>260</v>
      </c>
      <c r="B805" s="72"/>
      <c r="C805" s="72"/>
      <c r="D805" s="72"/>
      <c r="E805" s="72"/>
      <c r="F805" s="72"/>
      <c r="G805" s="72"/>
      <c r="H805" s="72"/>
      <c r="I805" s="72"/>
      <c r="J805" s="72"/>
      <c r="K805" s="75"/>
      <c r="L805" s="72"/>
      <c r="M805" s="6"/>
      <c r="N805" s="6"/>
      <c r="O805" s="6"/>
    </row>
    <row r="806" spans="1:15" ht="13.15" x14ac:dyDescent="0.4">
      <c r="A806" s="73" t="s">
        <v>261</v>
      </c>
      <c r="B806" s="72"/>
      <c r="C806" s="72"/>
      <c r="D806" s="72"/>
      <c r="E806" s="72"/>
      <c r="F806" s="72"/>
      <c r="G806" s="72"/>
      <c r="H806" s="72"/>
      <c r="I806" s="72"/>
      <c r="J806" s="72"/>
      <c r="K806" s="75"/>
      <c r="L806" s="74"/>
      <c r="M806" s="6"/>
      <c r="N806" s="6"/>
      <c r="O806" s="6"/>
    </row>
    <row r="807" spans="1:15" ht="13.15" x14ac:dyDescent="0.4">
      <c r="A807" s="73" t="s">
        <v>275</v>
      </c>
      <c r="B807" s="72" t="s">
        <v>139</v>
      </c>
      <c r="C807" s="72"/>
      <c r="D807" s="72"/>
      <c r="E807" s="72"/>
      <c r="F807" s="86"/>
      <c r="G807" s="72" t="s">
        <v>146</v>
      </c>
      <c r="H807" s="72"/>
      <c r="I807" s="72"/>
      <c r="J807" s="72"/>
      <c r="K807" s="75"/>
      <c r="L807" s="75"/>
      <c r="M807" s="6"/>
      <c r="N807" s="6"/>
      <c r="O807" s="6"/>
    </row>
    <row r="808" spans="1:15" ht="13.15" x14ac:dyDescent="0.4">
      <c r="A808" s="73" t="s">
        <v>136</v>
      </c>
      <c r="B808" s="74" t="s">
        <v>112</v>
      </c>
      <c r="C808" s="74" t="s">
        <v>113</v>
      </c>
      <c r="D808" s="74" t="s">
        <v>114</v>
      </c>
      <c r="E808" s="74" t="s">
        <v>115</v>
      </c>
      <c r="F808" s="86"/>
      <c r="G808" s="74" t="s">
        <v>112</v>
      </c>
      <c r="H808" s="74" t="s">
        <v>113</v>
      </c>
      <c r="I808" s="74" t="s">
        <v>114</v>
      </c>
      <c r="J808" s="74" t="s">
        <v>115</v>
      </c>
      <c r="K808" s="75"/>
      <c r="L808" s="75"/>
      <c r="M808" s="6" t="s">
        <v>258</v>
      </c>
      <c r="N808" s="6"/>
      <c r="O808" s="6"/>
    </row>
    <row r="809" spans="1:15" ht="13.15" x14ac:dyDescent="0.4">
      <c r="A809" s="73" t="s">
        <v>127</v>
      </c>
      <c r="B809" s="86">
        <v>40</v>
      </c>
      <c r="C809" s="86">
        <v>31</v>
      </c>
      <c r="D809" s="86">
        <v>9</v>
      </c>
      <c r="E809" s="86">
        <v>0</v>
      </c>
      <c r="F809" s="86"/>
      <c r="G809" s="75">
        <v>1</v>
      </c>
      <c r="H809" s="75">
        <v>0.77500000000000002</v>
      </c>
      <c r="I809" s="75">
        <v>0.22500000000000001</v>
      </c>
      <c r="J809" s="75">
        <v>0</v>
      </c>
      <c r="K809" s="75"/>
      <c r="L809" s="75"/>
      <c r="M809" s="6" t="s">
        <v>257</v>
      </c>
      <c r="N809" s="139"/>
      <c r="O809" s="140"/>
    </row>
    <row r="810" spans="1:15" ht="13.15" x14ac:dyDescent="0.4">
      <c r="A810" s="73" t="s">
        <v>128</v>
      </c>
      <c r="B810" s="86">
        <v>28</v>
      </c>
      <c r="C810" s="86">
        <v>19</v>
      </c>
      <c r="D810" s="86">
        <v>7</v>
      </c>
      <c r="E810" s="86">
        <v>2</v>
      </c>
      <c r="F810" s="86"/>
      <c r="G810" s="75">
        <v>1</v>
      </c>
      <c r="H810" s="75">
        <v>0.6785714285714286</v>
      </c>
      <c r="I810" s="75">
        <v>0.25</v>
      </c>
      <c r="J810" s="75">
        <v>7.1428571428571425E-2</v>
      </c>
      <c r="K810" s="75"/>
      <c r="L810" s="75"/>
      <c r="M810" s="6" t="s">
        <v>249</v>
      </c>
      <c r="N810" s="6"/>
      <c r="O810" s="6"/>
    </row>
    <row r="811" spans="1:15" ht="13.15" x14ac:dyDescent="0.4">
      <c r="A811" s="73" t="s">
        <v>129</v>
      </c>
      <c r="B811" s="86">
        <v>66</v>
      </c>
      <c r="C811" s="86">
        <v>47</v>
      </c>
      <c r="D811" s="86">
        <v>13</v>
      </c>
      <c r="E811" s="86">
        <v>6</v>
      </c>
      <c r="F811" s="86"/>
      <c r="G811" s="75">
        <v>1.0153846153846153</v>
      </c>
      <c r="H811" s="75">
        <v>0.71212121212121215</v>
      </c>
      <c r="I811" s="75">
        <v>0.19696969696969696</v>
      </c>
      <c r="J811" s="75">
        <v>9.0909090909090912E-2</v>
      </c>
      <c r="K811" s="75"/>
      <c r="L811" s="75"/>
      <c r="M811" s="6" t="s">
        <v>201</v>
      </c>
      <c r="N811" s="76">
        <v>498</v>
      </c>
      <c r="O811" s="141" t="s">
        <v>202</v>
      </c>
    </row>
    <row r="812" spans="1:15" ht="13.15" x14ac:dyDescent="0.4">
      <c r="A812" s="73" t="s">
        <v>130</v>
      </c>
      <c r="B812" s="86">
        <v>84</v>
      </c>
      <c r="C812" s="86">
        <v>53</v>
      </c>
      <c r="D812" s="86">
        <v>21</v>
      </c>
      <c r="E812" s="86">
        <v>10</v>
      </c>
      <c r="F812" s="86"/>
      <c r="G812" s="75">
        <v>0.9882352941176471</v>
      </c>
      <c r="H812" s="75">
        <v>0.63095238095238093</v>
      </c>
      <c r="I812" s="75">
        <v>0.25</v>
      </c>
      <c r="J812" s="75">
        <v>0.11904761904761904</v>
      </c>
      <c r="K812" s="75"/>
      <c r="L812" s="75"/>
      <c r="M812" s="6" t="s">
        <v>255</v>
      </c>
      <c r="N812" s="139">
        <v>343</v>
      </c>
      <c r="O812" s="140">
        <v>0.6887550200803213</v>
      </c>
    </row>
    <row r="813" spans="1:15" ht="13.15" x14ac:dyDescent="0.4">
      <c r="A813" s="73" t="s">
        <v>131</v>
      </c>
      <c r="B813" s="86">
        <v>37</v>
      </c>
      <c r="C813" s="86">
        <v>26</v>
      </c>
      <c r="D813" s="86">
        <v>9</v>
      </c>
      <c r="E813" s="86">
        <v>2</v>
      </c>
      <c r="F813" s="86"/>
      <c r="G813" s="75">
        <v>1</v>
      </c>
      <c r="H813" s="75">
        <v>0.70270270270270274</v>
      </c>
      <c r="I813" s="75">
        <v>0.24324324324324326</v>
      </c>
      <c r="J813" s="75">
        <v>5.4054054054054057E-2</v>
      </c>
      <c r="K813" s="75"/>
      <c r="L813" s="75"/>
      <c r="M813" s="6" t="s">
        <v>226</v>
      </c>
      <c r="N813" s="139">
        <v>113</v>
      </c>
      <c r="O813" s="140">
        <v>0.22690763052208834</v>
      </c>
    </row>
    <row r="814" spans="1:15" ht="13.15" x14ac:dyDescent="0.4">
      <c r="A814" s="73" t="s">
        <v>132</v>
      </c>
      <c r="B814" s="86">
        <v>55</v>
      </c>
      <c r="C814" s="86">
        <v>47</v>
      </c>
      <c r="D814" s="86">
        <v>5</v>
      </c>
      <c r="E814" s="86">
        <v>3</v>
      </c>
      <c r="F814" s="86"/>
      <c r="G814" s="75">
        <v>0.9821428571428571</v>
      </c>
      <c r="H814" s="75">
        <v>0.8545454545454545</v>
      </c>
      <c r="I814" s="75">
        <v>9.0909090909090912E-2</v>
      </c>
      <c r="J814" s="75">
        <v>5.4545454545454543E-2</v>
      </c>
      <c r="K814" s="75"/>
      <c r="L814" s="75"/>
      <c r="M814" s="6" t="s">
        <v>256</v>
      </c>
      <c r="N814" s="139">
        <v>150</v>
      </c>
      <c r="O814" s="140">
        <v>0.30120481927710846</v>
      </c>
    </row>
    <row r="815" spans="1:15" ht="13.15" x14ac:dyDescent="0.4">
      <c r="A815" s="73" t="s">
        <v>133</v>
      </c>
      <c r="B815" s="86">
        <v>87</v>
      </c>
      <c r="C815" s="86">
        <v>47</v>
      </c>
      <c r="D815" s="86">
        <v>30</v>
      </c>
      <c r="E815" s="86">
        <v>10</v>
      </c>
      <c r="F815" s="87"/>
      <c r="G815" s="75">
        <v>0.98863636363636365</v>
      </c>
      <c r="H815" s="75">
        <v>0.54022988505747127</v>
      </c>
      <c r="I815" s="75">
        <v>0.34482758620689657</v>
      </c>
      <c r="J815" s="75">
        <v>0.11494252873563218</v>
      </c>
      <c r="K815" s="75"/>
      <c r="L815" s="75"/>
      <c r="M815" s="6" t="s">
        <v>227</v>
      </c>
      <c r="N815" s="139">
        <v>48</v>
      </c>
      <c r="O815" s="140">
        <v>9.6385542168674704E-2</v>
      </c>
    </row>
    <row r="816" spans="1:15" ht="13.15" x14ac:dyDescent="0.4">
      <c r="A816" s="73" t="s">
        <v>134</v>
      </c>
      <c r="B816" s="86">
        <v>68</v>
      </c>
      <c r="C816" s="86">
        <v>50</v>
      </c>
      <c r="D816" s="86">
        <v>8</v>
      </c>
      <c r="E816" s="86">
        <v>10</v>
      </c>
      <c r="F816" s="87"/>
      <c r="G816" s="75">
        <v>0.98550724637681164</v>
      </c>
      <c r="H816" s="75">
        <v>0.73529411764705888</v>
      </c>
      <c r="I816" s="75">
        <v>0.11764705882352941</v>
      </c>
      <c r="J816" s="75">
        <v>0.14705882352941177</v>
      </c>
      <c r="K816" s="75"/>
      <c r="L816" s="75"/>
      <c r="M816" s="6"/>
      <c r="N816" s="139"/>
      <c r="O816" s="140"/>
    </row>
    <row r="817" spans="1:15" ht="13.15" x14ac:dyDescent="0.4">
      <c r="A817" s="73" t="s">
        <v>376</v>
      </c>
      <c r="B817" s="86">
        <v>5</v>
      </c>
      <c r="C817" s="86">
        <v>4</v>
      </c>
      <c r="D817" s="86">
        <v>0</v>
      </c>
      <c r="E817" s="86">
        <v>1</v>
      </c>
      <c r="F817" s="87"/>
      <c r="G817" s="75">
        <v>1</v>
      </c>
      <c r="H817" s="75">
        <v>0.8</v>
      </c>
      <c r="I817" s="75">
        <v>0</v>
      </c>
      <c r="J817" s="75">
        <v>0.2</v>
      </c>
      <c r="K817" s="72"/>
      <c r="L817" s="75"/>
      <c r="M817" s="6"/>
      <c r="N817" s="139"/>
      <c r="O817" s="140"/>
    </row>
    <row r="818" spans="1:15" ht="13.15" x14ac:dyDescent="0.4">
      <c r="A818" s="73" t="s">
        <v>135</v>
      </c>
      <c r="B818" s="86">
        <v>29</v>
      </c>
      <c r="C818" s="86">
        <v>15</v>
      </c>
      <c r="D818" s="86">
        <v>13</v>
      </c>
      <c r="E818" s="86">
        <v>1</v>
      </c>
      <c r="F818" s="87"/>
      <c r="G818" s="75">
        <v>1</v>
      </c>
      <c r="H818" s="75">
        <v>0.51724137931034486</v>
      </c>
      <c r="I818" s="75">
        <v>0.44827586206896552</v>
      </c>
      <c r="J818" s="75">
        <v>3.4482758620689655E-2</v>
      </c>
      <c r="K818" s="74"/>
      <c r="L818" s="75"/>
      <c r="M818" s="6"/>
      <c r="N818" s="139"/>
      <c r="O818" s="140"/>
    </row>
    <row r="819" spans="1:15" ht="13.15" x14ac:dyDescent="0.4">
      <c r="A819" s="73" t="s">
        <v>23</v>
      </c>
      <c r="B819" s="87">
        <v>499</v>
      </c>
      <c r="C819" s="86">
        <v>339</v>
      </c>
      <c r="D819" s="86">
        <v>115</v>
      </c>
      <c r="E819" s="87">
        <v>45</v>
      </c>
      <c r="F819" s="72"/>
      <c r="G819" s="75">
        <v>0.99402390438247012</v>
      </c>
      <c r="H819" s="75">
        <v>0.67935871743486975</v>
      </c>
      <c r="I819" s="75">
        <v>0.23046092184368738</v>
      </c>
      <c r="J819" s="75">
        <v>9.0180360721442893E-2</v>
      </c>
      <c r="K819" s="75"/>
      <c r="L819" s="75"/>
      <c r="M819" s="6"/>
      <c r="N819" s="139"/>
      <c r="O819" s="140"/>
    </row>
    <row r="820" spans="1:15" ht="15" x14ac:dyDescent="0.4">
      <c r="A820" s="73"/>
      <c r="B820" s="87"/>
      <c r="C820" s="86"/>
      <c r="D820" s="86"/>
      <c r="E820" s="87"/>
      <c r="F820" s="72"/>
      <c r="G820" s="75"/>
      <c r="H820" s="75"/>
      <c r="I820" s="75"/>
      <c r="J820" s="75"/>
      <c r="K820" s="75"/>
      <c r="L820" s="75"/>
      <c r="M820" s="6"/>
      <c r="N820" s="6"/>
      <c r="O820" s="113"/>
    </row>
    <row r="821" spans="1:15" ht="15" x14ac:dyDescent="0.4">
      <c r="A821" s="73"/>
      <c r="B821" s="87"/>
      <c r="C821" s="86"/>
      <c r="D821" s="86"/>
      <c r="E821" s="87"/>
      <c r="F821" s="72"/>
      <c r="G821" s="75"/>
      <c r="H821" s="75"/>
      <c r="I821" s="75"/>
      <c r="J821" s="75"/>
      <c r="K821" s="75"/>
      <c r="L821" s="75"/>
      <c r="M821" s="6"/>
      <c r="N821" s="6"/>
      <c r="O821" s="113"/>
    </row>
    <row r="822" spans="1:15" ht="13.15" x14ac:dyDescent="0.4">
      <c r="A822" s="73"/>
      <c r="B822" s="87"/>
      <c r="C822" s="87"/>
      <c r="D822" s="87"/>
      <c r="E822" s="87"/>
      <c r="F822" s="72"/>
      <c r="G822" s="75"/>
      <c r="H822" s="75"/>
      <c r="I822" s="75"/>
      <c r="J822" s="75"/>
      <c r="K822" s="75"/>
      <c r="L822" s="72"/>
      <c r="M822" s="6"/>
      <c r="N822" s="138"/>
      <c r="O822" s="141"/>
    </row>
    <row r="823" spans="1:15" ht="13.15" x14ac:dyDescent="0.4">
      <c r="A823" s="73" t="s">
        <v>244</v>
      </c>
      <c r="B823" s="72"/>
      <c r="C823" s="72"/>
      <c r="D823" s="72"/>
      <c r="E823" s="72"/>
      <c r="F823" s="72"/>
      <c r="G823" s="72"/>
      <c r="H823" s="72"/>
      <c r="I823" s="72"/>
      <c r="J823" s="72"/>
      <c r="K823" s="75"/>
      <c r="L823" s="72"/>
      <c r="M823" s="6"/>
      <c r="N823" s="139"/>
      <c r="O823" s="140"/>
    </row>
    <row r="824" spans="1:15" ht="13.15" x14ac:dyDescent="0.4">
      <c r="A824" s="73" t="s">
        <v>253</v>
      </c>
      <c r="B824" s="72"/>
      <c r="C824" s="72"/>
      <c r="D824" s="72"/>
      <c r="E824" s="72"/>
      <c r="F824" s="72"/>
      <c r="G824" s="72"/>
      <c r="H824" s="72"/>
      <c r="I824" s="72"/>
      <c r="J824" s="72"/>
      <c r="K824" s="75"/>
      <c r="L824" s="72"/>
      <c r="M824" s="6"/>
      <c r="N824" s="139"/>
      <c r="O824" s="140"/>
    </row>
    <row r="825" spans="1:15" ht="13.15" x14ac:dyDescent="0.4">
      <c r="A825" s="73" t="s">
        <v>254</v>
      </c>
      <c r="B825" s="72"/>
      <c r="C825" s="72"/>
      <c r="D825" s="72"/>
      <c r="E825" s="72"/>
      <c r="F825" s="72"/>
      <c r="G825" s="72"/>
      <c r="H825" s="72"/>
      <c r="I825" s="72"/>
      <c r="J825" s="72"/>
      <c r="K825" s="75"/>
      <c r="L825" s="74"/>
      <c r="M825" s="6"/>
      <c r="N825" s="139"/>
      <c r="O825" s="140"/>
    </row>
    <row r="826" spans="1:15" ht="13.15" x14ac:dyDescent="0.4">
      <c r="A826" s="73" t="s">
        <v>245</v>
      </c>
      <c r="B826" s="72" t="s">
        <v>139</v>
      </c>
      <c r="C826" s="72"/>
      <c r="D826" s="72"/>
      <c r="E826" s="72"/>
      <c r="F826" s="86"/>
      <c r="G826" s="72" t="s">
        <v>146</v>
      </c>
      <c r="H826" s="72"/>
      <c r="I826" s="72"/>
      <c r="J826" s="72"/>
      <c r="K826" s="75"/>
      <c r="L826" s="75"/>
      <c r="M826" s="6"/>
      <c r="N826" s="139"/>
      <c r="O826" s="140"/>
    </row>
    <row r="827" spans="1:15" ht="13.15" x14ac:dyDescent="0.4">
      <c r="A827" s="73" t="s">
        <v>136</v>
      </c>
      <c r="B827" s="74" t="s">
        <v>112</v>
      </c>
      <c r="C827" s="74" t="s">
        <v>113</v>
      </c>
      <c r="D827" s="74" t="s">
        <v>114</v>
      </c>
      <c r="E827" s="74" t="s">
        <v>115</v>
      </c>
      <c r="F827" s="86"/>
      <c r="G827" s="74" t="s">
        <v>112</v>
      </c>
      <c r="H827" s="74" t="s">
        <v>113</v>
      </c>
      <c r="I827" s="74" t="s">
        <v>114</v>
      </c>
      <c r="J827" s="74" t="s">
        <v>115</v>
      </c>
      <c r="K827" s="75"/>
      <c r="L827" s="75"/>
      <c r="M827" s="6" t="s">
        <v>250</v>
      </c>
      <c r="N827" s="139"/>
      <c r="O827" s="140"/>
    </row>
    <row r="828" spans="1:15" ht="13.15" x14ac:dyDescent="0.4">
      <c r="A828" s="73" t="s">
        <v>127</v>
      </c>
      <c r="B828" s="86">
        <v>41</v>
      </c>
      <c r="C828" s="86">
        <v>26</v>
      </c>
      <c r="D828" s="86">
        <v>13</v>
      </c>
      <c r="E828" s="86">
        <v>2</v>
      </c>
      <c r="F828" s="86"/>
      <c r="G828" s="75">
        <v>1</v>
      </c>
      <c r="H828" s="75">
        <v>0.63414634146341464</v>
      </c>
      <c r="I828" s="75">
        <v>0.31707317073170732</v>
      </c>
      <c r="J828" s="75">
        <v>4.878048780487805E-2</v>
      </c>
      <c r="K828" s="75"/>
      <c r="L828" s="75"/>
      <c r="M828" s="6" t="s">
        <v>201</v>
      </c>
      <c r="N828" s="139">
        <v>498</v>
      </c>
      <c r="O828" s="140" t="s">
        <v>202</v>
      </c>
    </row>
    <row r="829" spans="1:15" ht="13.15" x14ac:dyDescent="0.4">
      <c r="A829" s="73" t="s">
        <v>128</v>
      </c>
      <c r="B829" s="86">
        <v>28</v>
      </c>
      <c r="C829" s="86">
        <v>16</v>
      </c>
      <c r="D829" s="86">
        <v>9</v>
      </c>
      <c r="E829" s="86">
        <v>3</v>
      </c>
      <c r="F829" s="86"/>
      <c r="G829" s="75">
        <v>0.96551724137931039</v>
      </c>
      <c r="H829" s="75">
        <v>0.5714285714285714</v>
      </c>
      <c r="I829" s="75">
        <v>0.32142857142857145</v>
      </c>
      <c r="J829" s="75">
        <v>0.10714285714285714</v>
      </c>
      <c r="K829" s="75"/>
      <c r="L829" s="75"/>
      <c r="M829" s="6" t="s">
        <v>247</v>
      </c>
      <c r="N829" s="139">
        <v>324</v>
      </c>
      <c r="O829" s="140">
        <v>0.6506024096385542</v>
      </c>
    </row>
    <row r="830" spans="1:15" ht="13.15" x14ac:dyDescent="0.4">
      <c r="A830" s="73" t="s">
        <v>129</v>
      </c>
      <c r="B830" s="86">
        <v>64</v>
      </c>
      <c r="C830" s="86">
        <v>46</v>
      </c>
      <c r="D830" s="86">
        <v>14</v>
      </c>
      <c r="E830" s="86">
        <v>4</v>
      </c>
      <c r="F830" s="86"/>
      <c r="G830" s="75">
        <v>0.98461538461538467</v>
      </c>
      <c r="H830" s="75">
        <v>0.71875</v>
      </c>
      <c r="I830" s="75">
        <v>0.21875</v>
      </c>
      <c r="J830" s="75">
        <v>6.25E-2</v>
      </c>
      <c r="K830" s="75"/>
      <c r="L830" s="75"/>
      <c r="M830" s="6" t="s">
        <v>226</v>
      </c>
      <c r="N830" s="139">
        <v>105</v>
      </c>
      <c r="O830" s="140">
        <v>0.21084337349397592</v>
      </c>
    </row>
    <row r="831" spans="1:15" ht="13.15" x14ac:dyDescent="0.4">
      <c r="A831" s="73" t="s">
        <v>130</v>
      </c>
      <c r="B831" s="86">
        <v>84</v>
      </c>
      <c r="C831" s="86">
        <v>60</v>
      </c>
      <c r="D831" s="86">
        <v>17</v>
      </c>
      <c r="E831" s="86">
        <v>7</v>
      </c>
      <c r="F831" s="86"/>
      <c r="G831" s="75">
        <v>0.9882352941176471</v>
      </c>
      <c r="H831" s="75">
        <v>0.7142857142857143</v>
      </c>
      <c r="I831" s="75">
        <v>0.20238095238095238</v>
      </c>
      <c r="J831" s="75">
        <v>8.3333333333333329E-2</v>
      </c>
      <c r="K831" s="75"/>
      <c r="L831" s="75"/>
      <c r="M831" s="6" t="s">
        <v>248</v>
      </c>
      <c r="N831" s="139">
        <v>165</v>
      </c>
      <c r="O831" s="140">
        <v>0.33132530120481929</v>
      </c>
    </row>
    <row r="832" spans="1:15" ht="13.15" x14ac:dyDescent="0.4">
      <c r="A832" s="73" t="s">
        <v>131</v>
      </c>
      <c r="B832" s="86">
        <v>36</v>
      </c>
      <c r="C832" s="86">
        <v>25</v>
      </c>
      <c r="D832" s="86">
        <v>6</v>
      </c>
      <c r="E832" s="86">
        <v>5</v>
      </c>
      <c r="F832" s="86"/>
      <c r="G832" s="75">
        <v>0.97297297297297303</v>
      </c>
      <c r="H832" s="75">
        <v>0.69444444444444442</v>
      </c>
      <c r="I832" s="75">
        <v>0.16666666666666666</v>
      </c>
      <c r="J832" s="75">
        <v>0.1388888888888889</v>
      </c>
      <c r="K832" s="72"/>
      <c r="L832" s="75"/>
      <c r="M832" s="6" t="s">
        <v>227</v>
      </c>
      <c r="N832" s="139">
        <v>45</v>
      </c>
      <c r="O832" s="140">
        <v>9.036144578313253E-2</v>
      </c>
    </row>
    <row r="833" spans="1:15" ht="13.15" x14ac:dyDescent="0.4">
      <c r="A833" s="73" t="s">
        <v>132</v>
      </c>
      <c r="B833" s="86">
        <v>55</v>
      </c>
      <c r="C833" s="86">
        <v>49</v>
      </c>
      <c r="D833" s="86">
        <v>1</v>
      </c>
      <c r="E833" s="86">
        <v>5</v>
      </c>
      <c r="F833" s="86"/>
      <c r="G833" s="75">
        <v>1</v>
      </c>
      <c r="H833" s="75">
        <v>0.89090909090909087</v>
      </c>
      <c r="I833" s="75">
        <v>1.8181818181818181E-2</v>
      </c>
      <c r="J833" s="75">
        <v>9.0909090909090912E-2</v>
      </c>
      <c r="K833" s="74"/>
      <c r="L833" s="75"/>
      <c r="M833" s="6"/>
      <c r="N833" s="139"/>
      <c r="O833" s="140"/>
    </row>
    <row r="834" spans="1:15" ht="13.15" x14ac:dyDescent="0.4">
      <c r="A834" s="73" t="s">
        <v>133</v>
      </c>
      <c r="B834" s="86">
        <v>88</v>
      </c>
      <c r="C834" s="86">
        <v>57</v>
      </c>
      <c r="D834" s="86">
        <v>24</v>
      </c>
      <c r="E834" s="86">
        <v>7</v>
      </c>
      <c r="F834" s="87"/>
      <c r="G834" s="75">
        <v>1</v>
      </c>
      <c r="H834" s="75">
        <v>0.64772727272727271</v>
      </c>
      <c r="I834" s="75">
        <v>0.27272727272727271</v>
      </c>
      <c r="J834" s="75">
        <v>7.9545454545454544E-2</v>
      </c>
      <c r="K834" s="75"/>
      <c r="L834" s="75"/>
      <c r="M834" s="6"/>
      <c r="N834" s="139"/>
      <c r="O834" s="140"/>
    </row>
    <row r="835" spans="1:15" ht="13.15" x14ac:dyDescent="0.4">
      <c r="A835" s="73" t="s">
        <v>134</v>
      </c>
      <c r="B835" s="86">
        <v>66</v>
      </c>
      <c r="C835" s="86">
        <v>48</v>
      </c>
      <c r="D835" s="86">
        <v>11</v>
      </c>
      <c r="E835" s="86">
        <v>7</v>
      </c>
      <c r="F835" s="87"/>
      <c r="G835" s="75">
        <v>0.9850746268656716</v>
      </c>
      <c r="H835" s="75">
        <v>0.72727272727272729</v>
      </c>
      <c r="I835" s="75">
        <v>0.16666666666666666</v>
      </c>
      <c r="J835" s="75">
        <v>0.10606060606060606</v>
      </c>
      <c r="K835" s="75"/>
      <c r="L835" s="75"/>
      <c r="M835" s="6"/>
      <c r="N835" s="139"/>
      <c r="O835" s="140"/>
    </row>
    <row r="836" spans="1:15" ht="13.15" x14ac:dyDescent="0.4">
      <c r="A836" s="73" t="s">
        <v>376</v>
      </c>
      <c r="B836" s="86">
        <v>5</v>
      </c>
      <c r="C836" s="86">
        <v>3</v>
      </c>
      <c r="D836" s="86">
        <v>1</v>
      </c>
      <c r="E836" s="86">
        <v>1</v>
      </c>
      <c r="F836" s="87"/>
      <c r="G836" s="75">
        <v>1</v>
      </c>
      <c r="H836" s="75">
        <v>0.6</v>
      </c>
      <c r="I836" s="75">
        <v>0.2</v>
      </c>
      <c r="J836" s="75">
        <v>0.2</v>
      </c>
      <c r="K836" s="75"/>
      <c r="L836" s="75"/>
      <c r="M836" s="6"/>
      <c r="N836" s="139"/>
      <c r="O836" s="140"/>
    </row>
    <row r="837" spans="1:15" ht="13.15" x14ac:dyDescent="0.4">
      <c r="A837" s="73" t="s">
        <v>135</v>
      </c>
      <c r="B837" s="86">
        <v>29</v>
      </c>
      <c r="C837" s="86">
        <v>16</v>
      </c>
      <c r="D837" s="86">
        <v>13</v>
      </c>
      <c r="E837" s="86">
        <v>0</v>
      </c>
      <c r="F837" s="87"/>
      <c r="G837" s="75">
        <v>0.96666666666666667</v>
      </c>
      <c r="H837" s="75">
        <v>0.55172413793103448</v>
      </c>
      <c r="I837" s="75">
        <v>0.44827586206896552</v>
      </c>
      <c r="J837" s="75">
        <v>0</v>
      </c>
      <c r="K837" s="75"/>
      <c r="L837" s="75"/>
      <c r="M837" s="6"/>
      <c r="N837" s="139"/>
      <c r="O837" s="140"/>
    </row>
    <row r="838" spans="1:15" ht="13.15" x14ac:dyDescent="0.4">
      <c r="A838" s="73" t="s">
        <v>23</v>
      </c>
      <c r="B838" s="87">
        <v>496</v>
      </c>
      <c r="C838" s="86">
        <v>346</v>
      </c>
      <c r="D838" s="86">
        <v>109</v>
      </c>
      <c r="E838" s="87">
        <v>41</v>
      </c>
      <c r="F838" s="72"/>
      <c r="G838" s="75">
        <v>0.98804780876494025</v>
      </c>
      <c r="H838" s="75">
        <v>0.69758064516129037</v>
      </c>
      <c r="I838" s="75">
        <v>0.21975806451612903</v>
      </c>
      <c r="J838" s="75">
        <v>8.2661290322580641E-2</v>
      </c>
      <c r="K838" s="75"/>
      <c r="L838" s="75"/>
      <c r="M838" s="6"/>
      <c r="N838" s="139"/>
      <c r="O838" s="140"/>
    </row>
    <row r="839" spans="1:15" ht="13.15" x14ac:dyDescent="0.4">
      <c r="A839" s="73"/>
      <c r="B839" s="87"/>
      <c r="C839" s="86"/>
      <c r="D839" s="86"/>
      <c r="E839" s="87"/>
      <c r="F839" s="72"/>
      <c r="G839" s="75"/>
      <c r="H839" s="75"/>
      <c r="I839" s="75"/>
      <c r="J839" s="75"/>
      <c r="K839" s="75"/>
      <c r="L839" s="75"/>
      <c r="M839" s="6"/>
      <c r="N839" s="139"/>
      <c r="O839" s="140"/>
    </row>
    <row r="840" spans="1:15" ht="13.15" x14ac:dyDescent="0.4">
      <c r="A840" s="73"/>
      <c r="B840" s="87"/>
      <c r="C840" s="86"/>
      <c r="D840" s="86"/>
      <c r="E840" s="87"/>
      <c r="F840" s="72"/>
      <c r="G840" s="75"/>
      <c r="H840" s="75"/>
      <c r="I840" s="75"/>
      <c r="J840" s="75"/>
      <c r="K840" s="75"/>
      <c r="L840" s="72"/>
      <c r="M840" s="6"/>
      <c r="N840" s="139"/>
      <c r="O840" s="140"/>
    </row>
    <row r="841" spans="1:15" ht="13.15" x14ac:dyDescent="0.4">
      <c r="A841" s="73"/>
      <c r="B841" s="87"/>
      <c r="C841" s="87"/>
      <c r="D841" s="87"/>
      <c r="E841" s="87"/>
      <c r="F841" s="72"/>
      <c r="G841" s="75"/>
      <c r="H841" s="75"/>
      <c r="I841" s="75"/>
      <c r="J841" s="75"/>
      <c r="K841" s="75"/>
      <c r="L841" s="72"/>
      <c r="M841" s="6"/>
      <c r="N841" s="139"/>
      <c r="O841" s="140"/>
    </row>
    <row r="842" spans="1:15" ht="13.15" x14ac:dyDescent="0.4">
      <c r="A842" s="73" t="s">
        <v>252</v>
      </c>
      <c r="B842" s="72" t="s">
        <v>139</v>
      </c>
      <c r="C842" s="72"/>
      <c r="D842" s="72"/>
      <c r="E842" s="72"/>
      <c r="F842" s="86"/>
      <c r="G842" s="72" t="s">
        <v>146</v>
      </c>
      <c r="H842" s="72"/>
      <c r="I842" s="72"/>
      <c r="J842" s="72"/>
      <c r="K842" s="75"/>
      <c r="L842" s="72"/>
      <c r="M842" s="6"/>
      <c r="N842" s="139"/>
      <c r="O842" s="140"/>
    </row>
    <row r="843" spans="1:15" ht="13.15" x14ac:dyDescent="0.4">
      <c r="A843" s="73" t="s">
        <v>136</v>
      </c>
      <c r="B843" s="74" t="s">
        <v>112</v>
      </c>
      <c r="C843" s="74" t="s">
        <v>113</v>
      </c>
      <c r="D843" s="74" t="s">
        <v>114</v>
      </c>
      <c r="E843" s="74" t="s">
        <v>115</v>
      </c>
      <c r="F843" s="86"/>
      <c r="G843" s="74" t="s">
        <v>112</v>
      </c>
      <c r="H843" s="74" t="s">
        <v>113</v>
      </c>
      <c r="I843" s="74" t="s">
        <v>114</v>
      </c>
      <c r="J843" s="74" t="s">
        <v>115</v>
      </c>
      <c r="K843" s="75"/>
      <c r="L843" s="72"/>
      <c r="M843" s="6" t="s">
        <v>246</v>
      </c>
      <c r="N843" s="6"/>
      <c r="O843" s="6"/>
    </row>
    <row r="844" spans="1:15" ht="13.15" x14ac:dyDescent="0.4">
      <c r="A844" s="73" t="s">
        <v>127</v>
      </c>
      <c r="B844" s="86">
        <v>41</v>
      </c>
      <c r="C844" s="86">
        <v>27</v>
      </c>
      <c r="D844" s="86">
        <v>10</v>
      </c>
      <c r="E844" s="86">
        <v>4</v>
      </c>
      <c r="F844" s="86"/>
      <c r="G844" s="75">
        <v>1</v>
      </c>
      <c r="H844" s="75">
        <v>0.65853658536585369</v>
      </c>
      <c r="I844" s="75">
        <v>0.24390243902439024</v>
      </c>
      <c r="J844" s="75">
        <v>9.7560975609756101E-2</v>
      </c>
      <c r="K844" s="75"/>
      <c r="L844" s="74"/>
      <c r="M844" s="6" t="s">
        <v>201</v>
      </c>
      <c r="N844" s="76">
        <v>499</v>
      </c>
      <c r="O844" s="141" t="s">
        <v>202</v>
      </c>
    </row>
    <row r="845" spans="1:15" ht="13.15" x14ac:dyDescent="0.4">
      <c r="A845" s="73" t="s">
        <v>128</v>
      </c>
      <c r="B845" s="86">
        <v>29</v>
      </c>
      <c r="C845" s="86">
        <v>16</v>
      </c>
      <c r="D845" s="86">
        <v>10</v>
      </c>
      <c r="E845" s="86">
        <v>3</v>
      </c>
      <c r="F845" s="86"/>
      <c r="G845" s="75">
        <v>1</v>
      </c>
      <c r="H845" s="75">
        <v>0.55172413793103448</v>
      </c>
      <c r="I845" s="75">
        <v>0.34482758620689657</v>
      </c>
      <c r="J845" s="75">
        <v>0.10344827586206896</v>
      </c>
      <c r="K845" s="75"/>
      <c r="L845" s="75"/>
      <c r="M845" s="6" t="s">
        <v>229</v>
      </c>
      <c r="N845" s="139">
        <v>334</v>
      </c>
      <c r="O845" s="140">
        <v>0.66933867735470942</v>
      </c>
    </row>
    <row r="846" spans="1:15" ht="13.15" x14ac:dyDescent="0.4">
      <c r="A846" s="73" t="s">
        <v>129</v>
      </c>
      <c r="B846" s="86">
        <v>65</v>
      </c>
      <c r="C846" s="86">
        <v>41</v>
      </c>
      <c r="D846" s="86">
        <v>16</v>
      </c>
      <c r="E846" s="86">
        <v>8</v>
      </c>
      <c r="F846" s="86"/>
      <c r="G846" s="75">
        <v>1</v>
      </c>
      <c r="H846" s="75">
        <v>0.63076923076923075</v>
      </c>
      <c r="I846" s="75">
        <v>0.24615384615384617</v>
      </c>
      <c r="J846" s="75">
        <v>0.12307692307692308</v>
      </c>
      <c r="K846" s="75"/>
      <c r="L846" s="75"/>
      <c r="M846" s="6" t="s">
        <v>226</v>
      </c>
      <c r="N846" s="139">
        <v>105</v>
      </c>
      <c r="O846" s="140">
        <v>0.21042084168336672</v>
      </c>
    </row>
    <row r="847" spans="1:15" ht="13.15" x14ac:dyDescent="0.4">
      <c r="A847" s="73" t="s">
        <v>130</v>
      </c>
      <c r="B847" s="86">
        <v>83</v>
      </c>
      <c r="C847" s="86">
        <v>56</v>
      </c>
      <c r="D847" s="86">
        <v>22</v>
      </c>
      <c r="E847" s="86">
        <v>5</v>
      </c>
      <c r="F847" s="86"/>
      <c r="G847" s="75">
        <v>0.97647058823529409</v>
      </c>
      <c r="H847" s="75">
        <v>0.67469879518072284</v>
      </c>
      <c r="I847" s="75">
        <v>0.26506024096385544</v>
      </c>
      <c r="J847" s="75">
        <v>6.0240963855421686E-2</v>
      </c>
      <c r="K847" s="75"/>
      <c r="L847" s="75"/>
      <c r="M847" s="6" t="s">
        <v>230</v>
      </c>
      <c r="N847" s="139">
        <v>161</v>
      </c>
      <c r="O847" s="140">
        <v>0.32264529058116231</v>
      </c>
    </row>
    <row r="848" spans="1:15" ht="13.15" x14ac:dyDescent="0.4">
      <c r="A848" s="73" t="s">
        <v>131</v>
      </c>
      <c r="B848" s="86">
        <v>37</v>
      </c>
      <c r="C848" s="86">
        <v>27</v>
      </c>
      <c r="D848" s="86">
        <v>7</v>
      </c>
      <c r="E848" s="86">
        <v>3</v>
      </c>
      <c r="F848" s="86"/>
      <c r="G848" s="75">
        <v>0.97368421052631582</v>
      </c>
      <c r="H848" s="75">
        <v>0.72972972972972971</v>
      </c>
      <c r="I848" s="75">
        <v>0.1891891891891892</v>
      </c>
      <c r="J848" s="75">
        <v>8.1081081081081086E-2</v>
      </c>
      <c r="K848" s="72"/>
      <c r="L848" s="75"/>
      <c r="M848" s="6" t="s">
        <v>227</v>
      </c>
      <c r="N848" s="139">
        <v>38</v>
      </c>
      <c r="O848" s="140">
        <v>7.6152304609218444E-2</v>
      </c>
    </row>
    <row r="849" spans="1:15" ht="13.15" x14ac:dyDescent="0.4">
      <c r="A849" s="73" t="s">
        <v>132</v>
      </c>
      <c r="B849" s="86">
        <v>55</v>
      </c>
      <c r="C849" s="86">
        <v>43</v>
      </c>
      <c r="D849" s="86">
        <v>6</v>
      </c>
      <c r="E849" s="86">
        <v>6</v>
      </c>
      <c r="F849" s="86"/>
      <c r="G849" s="75">
        <v>1</v>
      </c>
      <c r="H849" s="75">
        <v>0.78181818181818186</v>
      </c>
      <c r="I849" s="75">
        <v>0.10909090909090909</v>
      </c>
      <c r="J849" s="75">
        <v>0.10909090909090909</v>
      </c>
      <c r="K849" s="74"/>
      <c r="L849" s="75"/>
      <c r="M849" s="6"/>
      <c r="N849" s="139"/>
      <c r="O849" s="140"/>
    </row>
    <row r="850" spans="1:15" ht="13.15" x14ac:dyDescent="0.4">
      <c r="A850" s="73" t="s">
        <v>133</v>
      </c>
      <c r="B850" s="86">
        <v>86</v>
      </c>
      <c r="C850" s="86">
        <v>54</v>
      </c>
      <c r="D850" s="86">
        <v>22</v>
      </c>
      <c r="E850" s="86">
        <v>10</v>
      </c>
      <c r="F850" s="87"/>
      <c r="G850" s="75">
        <v>1</v>
      </c>
      <c r="H850" s="75">
        <v>0.62790697674418605</v>
      </c>
      <c r="I850" s="75">
        <v>0.2558139534883721</v>
      </c>
      <c r="J850" s="75">
        <v>0.11627906976744186</v>
      </c>
      <c r="K850" s="75"/>
      <c r="L850" s="75"/>
      <c r="M850" s="72"/>
      <c r="N850" s="114"/>
      <c r="O850" s="72"/>
    </row>
    <row r="851" spans="1:15" ht="13.15" x14ac:dyDescent="0.4">
      <c r="A851" s="73" t="s">
        <v>134</v>
      </c>
      <c r="B851" s="86">
        <v>66</v>
      </c>
      <c r="C851" s="86">
        <v>47</v>
      </c>
      <c r="D851" s="86">
        <v>12</v>
      </c>
      <c r="E851" s="86">
        <v>7</v>
      </c>
      <c r="F851" s="87"/>
      <c r="G851" s="75">
        <v>0.9850746268656716</v>
      </c>
      <c r="H851" s="75">
        <v>0.71212121212121215</v>
      </c>
      <c r="I851" s="75">
        <v>0.18181818181818182</v>
      </c>
      <c r="J851" s="75">
        <v>0.10606060606060606</v>
      </c>
      <c r="K851" s="75"/>
      <c r="L851" s="75"/>
      <c r="M851" s="72"/>
    </row>
    <row r="852" spans="1:15" ht="13.15" x14ac:dyDescent="0.4">
      <c r="A852" s="73" t="s">
        <v>376</v>
      </c>
      <c r="B852" s="86">
        <v>6</v>
      </c>
      <c r="C852" s="86">
        <v>5</v>
      </c>
      <c r="D852" s="86">
        <v>1</v>
      </c>
      <c r="E852" s="86">
        <v>0</v>
      </c>
      <c r="F852" s="87"/>
      <c r="G852" s="75">
        <v>1</v>
      </c>
      <c r="H852" s="75">
        <v>0.83333333333333337</v>
      </c>
      <c r="I852" s="75">
        <v>0.16666666666666666</v>
      </c>
      <c r="J852" s="75">
        <v>0</v>
      </c>
      <c r="K852" s="75"/>
      <c r="L852" s="75"/>
      <c r="M852" s="72"/>
      <c r="N852" s="118"/>
      <c r="O852" s="118"/>
    </row>
    <row r="853" spans="1:15" ht="13.15" x14ac:dyDescent="0.4">
      <c r="A853" s="73" t="s">
        <v>135</v>
      </c>
      <c r="B853" s="86">
        <v>30</v>
      </c>
      <c r="C853" s="86">
        <v>21</v>
      </c>
      <c r="D853" s="86">
        <v>8</v>
      </c>
      <c r="E853" s="86">
        <v>1</v>
      </c>
      <c r="F853" s="87"/>
      <c r="G853" s="75">
        <v>1</v>
      </c>
      <c r="H853" s="75">
        <v>0.7</v>
      </c>
      <c r="I853" s="75">
        <v>0.26666666666666666</v>
      </c>
      <c r="J853" s="75">
        <v>3.3333333333333333E-2</v>
      </c>
      <c r="K853" s="75"/>
      <c r="L853" s="75"/>
      <c r="M853" s="72"/>
      <c r="N853" s="118"/>
      <c r="O853" s="118"/>
    </row>
    <row r="854" spans="1:15" ht="13.15" x14ac:dyDescent="0.4">
      <c r="A854" s="73" t="s">
        <v>23</v>
      </c>
      <c r="B854" s="87">
        <v>498</v>
      </c>
      <c r="C854" s="86">
        <v>337</v>
      </c>
      <c r="D854" s="86">
        <v>114</v>
      </c>
      <c r="E854" s="87">
        <v>47</v>
      </c>
      <c r="F854" s="72"/>
      <c r="G854" s="75">
        <v>0.99203187250996017</v>
      </c>
      <c r="H854" s="75">
        <v>0.67670682730923692</v>
      </c>
      <c r="I854" s="75">
        <v>0.2289156626506024</v>
      </c>
      <c r="J854" s="75">
        <v>9.4377510040160636E-2</v>
      </c>
      <c r="K854" s="75"/>
      <c r="L854" s="75"/>
      <c r="M854" s="72"/>
      <c r="N854" s="118"/>
      <c r="O854" s="118"/>
    </row>
    <row r="855" spans="1:15" ht="13.15" x14ac:dyDescent="0.4">
      <c r="A855" s="73"/>
      <c r="B855" s="87"/>
      <c r="C855" s="87"/>
      <c r="D855" s="87"/>
      <c r="E855" s="87"/>
      <c r="F855" s="72"/>
      <c r="G855" s="75"/>
      <c r="H855" s="75"/>
      <c r="I855" s="75"/>
      <c r="J855" s="75"/>
      <c r="K855" s="75"/>
      <c r="L855" s="75"/>
      <c r="M855" s="72"/>
      <c r="N855" s="118"/>
      <c r="O855" s="118"/>
    </row>
    <row r="856" spans="1:15" ht="13.15" x14ac:dyDescent="0.4">
      <c r="A856" s="73"/>
      <c r="B856" s="87"/>
      <c r="C856" s="87"/>
      <c r="D856" s="87"/>
      <c r="E856" s="87"/>
      <c r="F856" s="72"/>
      <c r="G856" s="75"/>
      <c r="H856" s="75"/>
      <c r="I856" s="75"/>
      <c r="J856" s="75"/>
      <c r="K856" s="75"/>
      <c r="L856" s="75"/>
      <c r="M856" s="7"/>
    </row>
    <row r="857" spans="1:15" ht="13.15" x14ac:dyDescent="0.4">
      <c r="A857" s="73" t="s">
        <v>198</v>
      </c>
      <c r="B857" s="72" t="s">
        <v>139</v>
      </c>
      <c r="C857" s="72"/>
      <c r="D857" s="72"/>
      <c r="E857" s="72"/>
      <c r="F857" s="86"/>
      <c r="G857" s="72" t="s">
        <v>146</v>
      </c>
      <c r="H857" s="72"/>
      <c r="I857" s="72"/>
      <c r="J857" s="72"/>
      <c r="K857" s="75"/>
      <c r="L857" s="75"/>
      <c r="M857" s="98"/>
    </row>
    <row r="858" spans="1:15" ht="15" x14ac:dyDescent="0.4">
      <c r="A858" s="73" t="s">
        <v>136</v>
      </c>
      <c r="B858" s="74" t="s">
        <v>112</v>
      </c>
      <c r="C858" s="74" t="s">
        <v>113</v>
      </c>
      <c r="D858" s="74" t="s">
        <v>114</v>
      </c>
      <c r="E858" s="74" t="s">
        <v>115</v>
      </c>
      <c r="F858" s="86"/>
      <c r="G858" s="74" t="s">
        <v>112</v>
      </c>
      <c r="H858" s="74" t="s">
        <v>113</v>
      </c>
      <c r="I858" s="74" t="s">
        <v>114</v>
      </c>
      <c r="J858" s="74" t="s">
        <v>115</v>
      </c>
      <c r="K858" s="75"/>
      <c r="L858" s="72"/>
      <c r="M858" s="6" t="s">
        <v>231</v>
      </c>
      <c r="N858" s="6"/>
      <c r="O858" s="113"/>
    </row>
    <row r="859" spans="1:15" ht="13.15" x14ac:dyDescent="0.4">
      <c r="A859" s="73" t="s">
        <v>127</v>
      </c>
      <c r="B859" s="86">
        <v>43</v>
      </c>
      <c r="C859" s="86">
        <v>28</v>
      </c>
      <c r="D859" s="86">
        <v>15</v>
      </c>
      <c r="E859" s="86">
        <v>0</v>
      </c>
      <c r="F859" s="86"/>
      <c r="G859" s="75">
        <f>B859/43</f>
        <v>1</v>
      </c>
      <c r="H859" s="75">
        <f>C859/B859</f>
        <v>0.65116279069767447</v>
      </c>
      <c r="I859" s="75">
        <f>D859/B859</f>
        <v>0.34883720930232559</v>
      </c>
      <c r="J859" s="75">
        <f>E859/B859</f>
        <v>0</v>
      </c>
      <c r="K859" s="75"/>
      <c r="L859" s="72"/>
      <c r="M859" s="6" t="s">
        <v>201</v>
      </c>
      <c r="N859" s="138">
        <v>497</v>
      </c>
      <c r="O859" s="141" t="s">
        <v>202</v>
      </c>
    </row>
    <row r="860" spans="1:15" ht="13.15" x14ac:dyDescent="0.4">
      <c r="A860" s="73" t="s">
        <v>128</v>
      </c>
      <c r="B860" s="86">
        <v>29</v>
      </c>
      <c r="C860" s="86">
        <v>23</v>
      </c>
      <c r="D860" s="86">
        <v>2</v>
      </c>
      <c r="E860" s="86">
        <v>4</v>
      </c>
      <c r="F860" s="86"/>
      <c r="G860" s="75">
        <f>B860/29</f>
        <v>1</v>
      </c>
      <c r="H860" s="75">
        <f t="shared" ref="H860:H869" si="29">C860/B860</f>
        <v>0.7931034482758621</v>
      </c>
      <c r="I860" s="75">
        <f t="shared" ref="I860:I869" si="30">D860/B860</f>
        <v>6.8965517241379309E-2</v>
      </c>
      <c r="J860" s="75">
        <f t="shared" ref="J860:J869" si="31">E860/B860</f>
        <v>0.13793103448275862</v>
      </c>
      <c r="K860" s="75"/>
      <c r="L860" s="72"/>
      <c r="M860" s="6" t="s">
        <v>225</v>
      </c>
      <c r="N860" s="139">
        <v>337</v>
      </c>
      <c r="O860" s="140">
        <v>0.67806841046277666</v>
      </c>
    </row>
    <row r="861" spans="1:15" ht="13.15" x14ac:dyDescent="0.4">
      <c r="A861" s="73" t="s">
        <v>129</v>
      </c>
      <c r="B861" s="86">
        <v>64</v>
      </c>
      <c r="C861" s="86">
        <v>46</v>
      </c>
      <c r="D861" s="86">
        <v>7</v>
      </c>
      <c r="E861" s="86">
        <v>11</v>
      </c>
      <c r="F861" s="86"/>
      <c r="G861" s="75">
        <f>B861/64</f>
        <v>1</v>
      </c>
      <c r="H861" s="75">
        <f t="shared" si="29"/>
        <v>0.71875</v>
      </c>
      <c r="I861" s="75">
        <f t="shared" si="30"/>
        <v>0.109375</v>
      </c>
      <c r="J861" s="75">
        <f t="shared" si="31"/>
        <v>0.171875</v>
      </c>
      <c r="K861" s="75"/>
      <c r="L861" s="72"/>
      <c r="M861" s="6" t="s">
        <v>226</v>
      </c>
      <c r="N861" s="139">
        <v>106</v>
      </c>
      <c r="O861" s="140">
        <v>0.21327967806841047</v>
      </c>
    </row>
    <row r="862" spans="1:15" ht="13.15" x14ac:dyDescent="0.4">
      <c r="A862" s="73" t="s">
        <v>130</v>
      </c>
      <c r="B862" s="86">
        <v>84</v>
      </c>
      <c r="C862" s="86">
        <v>58</v>
      </c>
      <c r="D862" s="86">
        <v>20</v>
      </c>
      <c r="E862" s="86">
        <v>6</v>
      </c>
      <c r="F862" s="86"/>
      <c r="G862" s="75">
        <f>B862/85</f>
        <v>0.9882352941176471</v>
      </c>
      <c r="H862" s="75">
        <f t="shared" si="29"/>
        <v>0.69047619047619047</v>
      </c>
      <c r="I862" s="75">
        <f t="shared" si="30"/>
        <v>0.23809523809523808</v>
      </c>
      <c r="J862" s="75">
        <f t="shared" si="31"/>
        <v>7.1428571428571425E-2</v>
      </c>
      <c r="K862" s="75"/>
      <c r="L862" s="74"/>
      <c r="M862" s="6" t="s">
        <v>228</v>
      </c>
      <c r="N862" s="139">
        <v>154</v>
      </c>
      <c r="O862" s="140">
        <v>0.30985915492957744</v>
      </c>
    </row>
    <row r="863" spans="1:15" ht="13.15" x14ac:dyDescent="0.4">
      <c r="A863" s="73" t="s">
        <v>131</v>
      </c>
      <c r="B863" s="86">
        <v>40</v>
      </c>
      <c r="C863" s="86">
        <v>26</v>
      </c>
      <c r="D863" s="86">
        <v>8</v>
      </c>
      <c r="E863" s="86">
        <v>6</v>
      </c>
      <c r="F863" s="86"/>
      <c r="G863" s="75">
        <f>B863/40</f>
        <v>1</v>
      </c>
      <c r="H863" s="75">
        <f t="shared" si="29"/>
        <v>0.65</v>
      </c>
      <c r="I863" s="75">
        <f t="shared" si="30"/>
        <v>0.2</v>
      </c>
      <c r="J863" s="75">
        <f t="shared" si="31"/>
        <v>0.15</v>
      </c>
      <c r="K863" s="75"/>
      <c r="L863" s="75"/>
      <c r="M863" s="6" t="s">
        <v>227</v>
      </c>
      <c r="N863" s="139">
        <v>30</v>
      </c>
      <c r="O863" s="140">
        <v>6.0362173038229376E-2</v>
      </c>
    </row>
    <row r="864" spans="1:15" ht="13.15" x14ac:dyDescent="0.4">
      <c r="A864" s="73" t="s">
        <v>132</v>
      </c>
      <c r="B864" s="86">
        <v>55</v>
      </c>
      <c r="C864" s="86">
        <v>39</v>
      </c>
      <c r="D864" s="86">
        <v>9</v>
      </c>
      <c r="E864" s="86">
        <v>7</v>
      </c>
      <c r="F864" s="86"/>
      <c r="G864" s="75">
        <f>B864/55</f>
        <v>1</v>
      </c>
      <c r="H864" s="75">
        <f t="shared" si="29"/>
        <v>0.70909090909090911</v>
      </c>
      <c r="I864" s="75">
        <f t="shared" si="30"/>
        <v>0.16363636363636364</v>
      </c>
      <c r="J864" s="75">
        <f t="shared" si="31"/>
        <v>0.12727272727272726</v>
      </c>
      <c r="K864" s="72"/>
      <c r="L864" s="75"/>
      <c r="M864" s="122"/>
      <c r="N864" s="53"/>
      <c r="O864" s="53"/>
    </row>
    <row r="865" spans="1:15" ht="13.15" x14ac:dyDescent="0.4">
      <c r="A865" s="73" t="s">
        <v>133</v>
      </c>
      <c r="B865" s="86">
        <v>85</v>
      </c>
      <c r="C865" s="86">
        <v>51</v>
      </c>
      <c r="D865" s="86">
        <v>28</v>
      </c>
      <c r="E865" s="86">
        <v>6</v>
      </c>
      <c r="F865" s="87"/>
      <c r="G865" s="75">
        <f>B865/85</f>
        <v>1</v>
      </c>
      <c r="H865" s="75">
        <f t="shared" si="29"/>
        <v>0.6</v>
      </c>
      <c r="I865" s="75">
        <f t="shared" si="30"/>
        <v>0.32941176470588235</v>
      </c>
      <c r="J865" s="75">
        <f t="shared" si="31"/>
        <v>7.0588235294117646E-2</v>
      </c>
      <c r="K865" s="74"/>
      <c r="L865" s="75"/>
      <c r="M865" s="121"/>
      <c r="N865" s="53"/>
      <c r="O865" s="53"/>
    </row>
    <row r="866" spans="1:15" ht="13.15" x14ac:dyDescent="0.4">
      <c r="A866" s="73" t="s">
        <v>134</v>
      </c>
      <c r="B866" s="86">
        <v>64</v>
      </c>
      <c r="C866" s="86">
        <v>54</v>
      </c>
      <c r="D866" s="86">
        <v>4</v>
      </c>
      <c r="E866" s="86">
        <v>6</v>
      </c>
      <c r="F866" s="87"/>
      <c r="G866" s="75">
        <f>B866/65</f>
        <v>0.98461538461538467</v>
      </c>
      <c r="H866" s="75">
        <f t="shared" si="29"/>
        <v>0.84375</v>
      </c>
      <c r="I866" s="75">
        <f t="shared" si="30"/>
        <v>6.25E-2</v>
      </c>
      <c r="J866" s="75">
        <f t="shared" si="31"/>
        <v>9.375E-2</v>
      </c>
      <c r="K866" s="75"/>
      <c r="L866" s="75"/>
      <c r="M866" s="124"/>
      <c r="N866" s="53"/>
      <c r="O866" s="53"/>
    </row>
    <row r="867" spans="1:15" ht="13.15" x14ac:dyDescent="0.4">
      <c r="A867" s="73" t="s">
        <v>376</v>
      </c>
      <c r="B867" s="86">
        <v>6</v>
      </c>
      <c r="C867" s="86">
        <v>2</v>
      </c>
      <c r="D867" s="86">
        <v>1</v>
      </c>
      <c r="E867" s="86">
        <v>3</v>
      </c>
      <c r="F867" s="87"/>
      <c r="G867" s="75">
        <f>B867/6</f>
        <v>1</v>
      </c>
      <c r="H867" s="75">
        <f t="shared" si="29"/>
        <v>0.33333333333333331</v>
      </c>
      <c r="I867" s="75">
        <f t="shared" si="30"/>
        <v>0.16666666666666666</v>
      </c>
      <c r="J867" s="75">
        <f t="shared" si="31"/>
        <v>0.5</v>
      </c>
      <c r="K867" s="75"/>
      <c r="L867" s="75"/>
      <c r="M867" s="82"/>
      <c r="N867" s="53"/>
      <c r="O867" s="53"/>
    </row>
    <row r="868" spans="1:15" ht="13.15" x14ac:dyDescent="0.4">
      <c r="A868" s="73" t="s">
        <v>135</v>
      </c>
      <c r="B868" s="86">
        <v>30</v>
      </c>
      <c r="C868" s="86">
        <v>16</v>
      </c>
      <c r="D868" s="86">
        <v>11</v>
      </c>
      <c r="E868" s="86">
        <v>3</v>
      </c>
      <c r="F868" s="87"/>
      <c r="G868" s="75">
        <f>B868/30</f>
        <v>1</v>
      </c>
      <c r="H868" s="75">
        <f t="shared" si="29"/>
        <v>0.53333333333333333</v>
      </c>
      <c r="I868" s="75">
        <f t="shared" si="30"/>
        <v>0.36666666666666664</v>
      </c>
      <c r="J868" s="75">
        <f t="shared" si="31"/>
        <v>0.1</v>
      </c>
      <c r="K868" s="75"/>
      <c r="L868" s="75"/>
      <c r="M868" s="82"/>
    </row>
    <row r="869" spans="1:15" ht="13.15" x14ac:dyDescent="0.4">
      <c r="A869" s="73" t="s">
        <v>23</v>
      </c>
      <c r="B869" s="87">
        <v>500</v>
      </c>
      <c r="C869" s="86">
        <v>343</v>
      </c>
      <c r="D869" s="86">
        <v>105</v>
      </c>
      <c r="E869" s="87">
        <v>52</v>
      </c>
      <c r="F869" s="72"/>
      <c r="G869" s="75">
        <f>B869/502</f>
        <v>0.99601593625498008</v>
      </c>
      <c r="H869" s="75">
        <f t="shared" si="29"/>
        <v>0.68600000000000005</v>
      </c>
      <c r="I869" s="75">
        <f t="shared" si="30"/>
        <v>0.21</v>
      </c>
      <c r="J869" s="75">
        <f t="shared" si="31"/>
        <v>0.104</v>
      </c>
      <c r="K869" s="75"/>
      <c r="L869" s="75"/>
      <c r="M869" s="82"/>
    </row>
    <row r="870" spans="1:15" ht="13.15" x14ac:dyDescent="0.4">
      <c r="A870" s="73"/>
      <c r="B870" s="87"/>
      <c r="C870" s="86"/>
      <c r="D870" s="86"/>
      <c r="E870" s="87"/>
      <c r="F870" s="72"/>
      <c r="G870" s="75"/>
      <c r="H870" s="75"/>
      <c r="I870" s="75"/>
      <c r="J870" s="75"/>
      <c r="K870" s="75"/>
      <c r="L870" s="75"/>
      <c r="M870" s="82"/>
    </row>
    <row r="871" spans="1:15" ht="13.15" x14ac:dyDescent="0.4">
      <c r="A871" s="73"/>
      <c r="B871" s="87"/>
      <c r="C871" s="87"/>
      <c r="D871" s="87"/>
      <c r="E871" s="87"/>
      <c r="F871" s="72"/>
      <c r="G871" s="75"/>
      <c r="H871" s="75"/>
      <c r="I871" s="75"/>
      <c r="J871" s="75"/>
      <c r="K871" s="75"/>
      <c r="L871" s="75"/>
      <c r="M871" s="82"/>
      <c r="N871" s="72"/>
      <c r="O871" s="72"/>
    </row>
    <row r="872" spans="1:15" ht="13.15" x14ac:dyDescent="0.4">
      <c r="A872" s="73" t="s">
        <v>234</v>
      </c>
      <c r="B872" s="87"/>
      <c r="C872" s="86"/>
      <c r="D872" s="86"/>
      <c r="E872" s="87"/>
      <c r="F872" s="72"/>
      <c r="G872" s="75"/>
      <c r="H872" s="75"/>
      <c r="I872" s="75"/>
      <c r="J872" s="75"/>
      <c r="K872" s="75"/>
      <c r="L872" s="75"/>
      <c r="M872" s="116"/>
      <c r="N872" s="72"/>
      <c r="O872" s="72"/>
    </row>
    <row r="873" spans="1:15" ht="13.15" x14ac:dyDescent="0.4">
      <c r="A873" s="73" t="s">
        <v>199</v>
      </c>
      <c r="B873" s="72" t="s">
        <v>139</v>
      </c>
      <c r="C873" s="72"/>
      <c r="D873" s="72"/>
      <c r="E873" s="72"/>
      <c r="F873" s="86"/>
      <c r="G873" s="72" t="s">
        <v>146</v>
      </c>
      <c r="H873" s="72"/>
      <c r="I873" s="72"/>
      <c r="J873" s="72"/>
      <c r="K873" s="75"/>
      <c r="L873" s="75"/>
      <c r="M873" s="116"/>
      <c r="N873" s="72"/>
      <c r="O873" s="72"/>
    </row>
    <row r="874" spans="1:15" ht="13.15" x14ac:dyDescent="0.4">
      <c r="A874" s="73" t="s">
        <v>136</v>
      </c>
      <c r="B874" s="74" t="s">
        <v>112</v>
      </c>
      <c r="C874" s="74" t="s">
        <v>113</v>
      </c>
      <c r="D874" s="74" t="s">
        <v>114</v>
      </c>
      <c r="E874" s="74" t="s">
        <v>115</v>
      </c>
      <c r="F874" s="86"/>
      <c r="G874" s="74" t="s">
        <v>112</v>
      </c>
      <c r="H874" s="74" t="s">
        <v>113</v>
      </c>
      <c r="I874" s="74" t="s">
        <v>114</v>
      </c>
      <c r="J874" s="74" t="s">
        <v>115</v>
      </c>
      <c r="K874" s="75"/>
      <c r="L874" s="75"/>
      <c r="M874" s="116"/>
      <c r="N874" s="72"/>
      <c r="O874" s="72"/>
    </row>
    <row r="875" spans="1:15" ht="13.15" x14ac:dyDescent="0.4">
      <c r="A875" s="73" t="s">
        <v>127</v>
      </c>
      <c r="B875" s="86">
        <v>43</v>
      </c>
      <c r="C875" s="86">
        <v>31</v>
      </c>
      <c r="D875" s="86">
        <v>8</v>
      </c>
      <c r="E875" s="86">
        <v>4</v>
      </c>
      <c r="F875" s="86"/>
      <c r="G875" s="75">
        <f>B875/43</f>
        <v>1</v>
      </c>
      <c r="H875" s="75">
        <f>C875/B875</f>
        <v>0.72093023255813948</v>
      </c>
      <c r="I875" s="75">
        <f>D875/B875</f>
        <v>0.18604651162790697</v>
      </c>
      <c r="J875" s="75">
        <f>E875/B875</f>
        <v>9.3023255813953487E-2</v>
      </c>
      <c r="K875" s="75"/>
      <c r="L875" s="75"/>
      <c r="M875"/>
    </row>
    <row r="876" spans="1:15" ht="13.15" x14ac:dyDescent="0.4">
      <c r="A876" s="73" t="s">
        <v>128</v>
      </c>
      <c r="B876" s="86">
        <v>30</v>
      </c>
      <c r="C876" s="86">
        <v>20</v>
      </c>
      <c r="D876" s="86">
        <v>5</v>
      </c>
      <c r="E876" s="86">
        <v>5</v>
      </c>
      <c r="F876" s="86"/>
      <c r="G876" s="75">
        <f>B876/30</f>
        <v>1</v>
      </c>
      <c r="H876" s="75">
        <f t="shared" ref="H876:H885" si="32">C876/B876</f>
        <v>0.66666666666666663</v>
      </c>
      <c r="I876" s="75">
        <f t="shared" ref="I876:I885" si="33">D876/B876</f>
        <v>0.16666666666666666</v>
      </c>
      <c r="J876" s="75">
        <f t="shared" ref="J876:J885" si="34">E876/B876</f>
        <v>0.16666666666666666</v>
      </c>
      <c r="K876" s="75"/>
      <c r="L876" s="72"/>
      <c r="M876"/>
    </row>
    <row r="877" spans="1:15" ht="13.15" x14ac:dyDescent="0.4">
      <c r="A877" s="73" t="s">
        <v>129</v>
      </c>
      <c r="B877" s="86">
        <v>64</v>
      </c>
      <c r="C877" s="86">
        <v>54</v>
      </c>
      <c r="D877" s="86">
        <v>6</v>
      </c>
      <c r="E877" s="86">
        <v>4</v>
      </c>
      <c r="F877" s="86"/>
      <c r="G877" s="75">
        <f>B877/65</f>
        <v>0.98461538461538467</v>
      </c>
      <c r="H877" s="75">
        <f t="shared" si="32"/>
        <v>0.84375</v>
      </c>
      <c r="I877" s="75">
        <f t="shared" si="33"/>
        <v>9.375E-2</v>
      </c>
      <c r="J877" s="75">
        <f t="shared" si="34"/>
        <v>6.25E-2</v>
      </c>
      <c r="K877" s="75"/>
      <c r="L877" s="72"/>
      <c r="M877"/>
    </row>
    <row r="878" spans="1:15" ht="13.15" x14ac:dyDescent="0.4">
      <c r="A878" s="73" t="s">
        <v>130</v>
      </c>
      <c r="B878" s="86">
        <v>83</v>
      </c>
      <c r="C878" s="86">
        <v>59</v>
      </c>
      <c r="D878" s="86">
        <v>17</v>
      </c>
      <c r="E878" s="86">
        <v>7</v>
      </c>
      <c r="F878" s="86"/>
      <c r="G878" s="75">
        <f>B878/84</f>
        <v>0.98809523809523814</v>
      </c>
      <c r="H878" s="75">
        <f t="shared" si="32"/>
        <v>0.71084337349397586</v>
      </c>
      <c r="I878" s="75">
        <f t="shared" si="33"/>
        <v>0.20481927710843373</v>
      </c>
      <c r="J878" s="75">
        <f t="shared" si="34"/>
        <v>8.4337349397590355E-2</v>
      </c>
      <c r="K878" s="75"/>
      <c r="L878" s="72"/>
      <c r="M878"/>
    </row>
    <row r="879" spans="1:15" ht="13.15" x14ac:dyDescent="0.4">
      <c r="A879" s="73" t="s">
        <v>131</v>
      </c>
      <c r="B879" s="86">
        <v>40</v>
      </c>
      <c r="C879" s="86">
        <v>30</v>
      </c>
      <c r="D879" s="86">
        <v>6</v>
      </c>
      <c r="E879" s="86">
        <v>4</v>
      </c>
      <c r="F879" s="86"/>
      <c r="G879" s="75">
        <f>B879/40</f>
        <v>1</v>
      </c>
      <c r="H879" s="75">
        <f t="shared" si="32"/>
        <v>0.75</v>
      </c>
      <c r="I879" s="75">
        <f t="shared" si="33"/>
        <v>0.15</v>
      </c>
      <c r="J879" s="75">
        <f t="shared" si="34"/>
        <v>0.1</v>
      </c>
      <c r="K879" s="72"/>
      <c r="L879" s="72"/>
      <c r="M879"/>
    </row>
    <row r="880" spans="1:15" ht="13.15" x14ac:dyDescent="0.4">
      <c r="A880" s="73" t="s">
        <v>132</v>
      </c>
      <c r="B880" s="86">
        <v>55</v>
      </c>
      <c r="C880" s="86">
        <v>43</v>
      </c>
      <c r="D880" s="86">
        <v>7</v>
      </c>
      <c r="E880" s="86">
        <v>5</v>
      </c>
      <c r="F880" s="86"/>
      <c r="G880" s="75">
        <f>B880/55</f>
        <v>1</v>
      </c>
      <c r="H880" s="75">
        <f t="shared" si="32"/>
        <v>0.78181818181818186</v>
      </c>
      <c r="I880" s="75">
        <f t="shared" si="33"/>
        <v>0.12727272727272726</v>
      </c>
      <c r="J880" s="75">
        <f t="shared" si="34"/>
        <v>9.0909090909090912E-2</v>
      </c>
      <c r="K880" s="72"/>
      <c r="L880" s="74"/>
      <c r="M880"/>
    </row>
    <row r="881" spans="1:13" ht="13.15" x14ac:dyDescent="0.4">
      <c r="A881" s="73" t="s">
        <v>133</v>
      </c>
      <c r="B881" s="86">
        <v>84</v>
      </c>
      <c r="C881" s="86">
        <v>61</v>
      </c>
      <c r="D881" s="86">
        <v>16</v>
      </c>
      <c r="E881" s="86">
        <v>7</v>
      </c>
      <c r="F881" s="87"/>
      <c r="G881" s="75">
        <f>B881/84</f>
        <v>1</v>
      </c>
      <c r="H881" s="75">
        <f t="shared" si="32"/>
        <v>0.72619047619047616</v>
      </c>
      <c r="I881" s="75">
        <f t="shared" si="33"/>
        <v>0.19047619047619047</v>
      </c>
      <c r="J881" s="75">
        <f t="shared" si="34"/>
        <v>8.3333333333333329E-2</v>
      </c>
      <c r="K881" s="74"/>
      <c r="L881" s="75"/>
      <c r="M881"/>
    </row>
    <row r="882" spans="1:13" ht="13.15" x14ac:dyDescent="0.4">
      <c r="A882" s="73" t="s">
        <v>134</v>
      </c>
      <c r="B882" s="86">
        <v>65</v>
      </c>
      <c r="C882" s="86">
        <v>54</v>
      </c>
      <c r="D882" s="86">
        <v>8</v>
      </c>
      <c r="E882" s="86">
        <v>3</v>
      </c>
      <c r="F882" s="87"/>
      <c r="G882" s="75">
        <f>B882/66</f>
        <v>0.98484848484848486</v>
      </c>
      <c r="H882" s="75">
        <f t="shared" si="32"/>
        <v>0.83076923076923082</v>
      </c>
      <c r="I882" s="75">
        <f t="shared" si="33"/>
        <v>0.12307692307692308</v>
      </c>
      <c r="J882" s="75">
        <f t="shared" si="34"/>
        <v>4.6153846153846156E-2</v>
      </c>
      <c r="K882" s="75"/>
      <c r="L882" s="75"/>
      <c r="M882"/>
    </row>
    <row r="883" spans="1:13" ht="13.15" x14ac:dyDescent="0.4">
      <c r="A883" s="73" t="s">
        <v>376</v>
      </c>
      <c r="B883" s="86">
        <v>5</v>
      </c>
      <c r="C883" s="86">
        <v>2</v>
      </c>
      <c r="D883" s="86">
        <v>3</v>
      </c>
      <c r="E883" s="86">
        <v>0</v>
      </c>
      <c r="F883" s="87"/>
      <c r="G883" s="75">
        <f>B883/5</f>
        <v>1</v>
      </c>
      <c r="H883" s="75">
        <f t="shared" si="32"/>
        <v>0.4</v>
      </c>
      <c r="I883" s="75">
        <f t="shared" si="33"/>
        <v>0.6</v>
      </c>
      <c r="J883" s="75">
        <f t="shared" si="34"/>
        <v>0</v>
      </c>
      <c r="K883" s="75"/>
      <c r="L883" s="75"/>
      <c r="M883"/>
    </row>
    <row r="884" spans="1:13" ht="13.15" x14ac:dyDescent="0.4">
      <c r="A884" s="73" t="s">
        <v>135</v>
      </c>
      <c r="B884" s="86">
        <v>30</v>
      </c>
      <c r="C884" s="86">
        <v>14</v>
      </c>
      <c r="D884" s="86">
        <v>10</v>
      </c>
      <c r="E884" s="86">
        <v>6</v>
      </c>
      <c r="F884" s="87"/>
      <c r="G884" s="75">
        <f>B884/30</f>
        <v>1</v>
      </c>
      <c r="H884" s="75">
        <f t="shared" si="32"/>
        <v>0.46666666666666667</v>
      </c>
      <c r="I884" s="75">
        <f t="shared" si="33"/>
        <v>0.33333333333333331</v>
      </c>
      <c r="J884" s="75">
        <f t="shared" si="34"/>
        <v>0.2</v>
      </c>
      <c r="K884" s="75"/>
      <c r="L884" s="75"/>
      <c r="M884"/>
    </row>
    <row r="885" spans="1:13" ht="13.15" x14ac:dyDescent="0.4">
      <c r="A885" s="73" t="s">
        <v>23</v>
      </c>
      <c r="B885" s="87">
        <v>499</v>
      </c>
      <c r="C885" s="86">
        <v>368</v>
      </c>
      <c r="D885" s="86">
        <v>86</v>
      </c>
      <c r="E885" s="87">
        <v>45</v>
      </c>
      <c r="F885" s="72"/>
      <c r="G885" s="75">
        <f>B885/502</f>
        <v>0.99402390438247012</v>
      </c>
      <c r="H885" s="75">
        <f t="shared" si="32"/>
        <v>0.73747494989979956</v>
      </c>
      <c r="I885" s="75">
        <f t="shared" si="33"/>
        <v>0.17234468937875752</v>
      </c>
      <c r="J885" s="75">
        <f t="shared" si="34"/>
        <v>9.0180360721442893E-2</v>
      </c>
      <c r="K885" s="75"/>
      <c r="L885" s="75"/>
      <c r="M885"/>
    </row>
    <row r="886" spans="1:13" ht="13.15" x14ac:dyDescent="0.4">
      <c r="A886" s="73"/>
      <c r="B886" s="87"/>
      <c r="C886" s="87"/>
      <c r="D886" s="87"/>
      <c r="E886" s="87"/>
      <c r="F886" s="72"/>
      <c r="G886" s="75"/>
      <c r="H886" s="75"/>
      <c r="I886" s="75"/>
      <c r="J886" s="75"/>
      <c r="K886" s="75"/>
      <c r="L886" s="75"/>
      <c r="M886"/>
    </row>
    <row r="887" spans="1:13" ht="13.15" x14ac:dyDescent="0.4">
      <c r="A887" s="73"/>
      <c r="B887" s="87"/>
      <c r="C887" s="86"/>
      <c r="D887" s="86"/>
      <c r="E887" s="87"/>
      <c r="F887" s="72"/>
      <c r="G887" s="75"/>
      <c r="H887" s="75"/>
      <c r="I887" s="75"/>
      <c r="J887" s="75"/>
      <c r="K887" s="75"/>
      <c r="L887" s="75"/>
      <c r="M887"/>
    </row>
    <row r="888" spans="1:13" ht="13.15" x14ac:dyDescent="0.4">
      <c r="A888" s="73" t="s">
        <v>235</v>
      </c>
      <c r="B888" s="87"/>
      <c r="C888" s="86"/>
      <c r="D888" s="86"/>
      <c r="E888" s="87"/>
      <c r="F888" s="72"/>
      <c r="G888" s="75"/>
      <c r="H888" s="75"/>
      <c r="I888" s="75"/>
      <c r="J888" s="75"/>
      <c r="K888" s="75"/>
      <c r="L888" s="75"/>
      <c r="M888"/>
    </row>
    <row r="889" spans="1:13" ht="13.15" x14ac:dyDescent="0.4">
      <c r="A889" s="73" t="s">
        <v>200</v>
      </c>
      <c r="B889" s="72" t="s">
        <v>139</v>
      </c>
      <c r="C889" s="72"/>
      <c r="D889" s="72"/>
      <c r="E889" s="72"/>
      <c r="F889" s="86"/>
      <c r="G889" s="72" t="s">
        <v>146</v>
      </c>
      <c r="H889" s="72"/>
      <c r="I889" s="72"/>
      <c r="J889" s="72"/>
      <c r="K889" s="75"/>
      <c r="L889" s="75"/>
      <c r="M889"/>
    </row>
    <row r="890" spans="1:13" ht="13.15" x14ac:dyDescent="0.4">
      <c r="A890" s="73" t="s">
        <v>136</v>
      </c>
      <c r="B890" s="74" t="s">
        <v>112</v>
      </c>
      <c r="C890" s="74" t="s">
        <v>113</v>
      </c>
      <c r="D890" s="74" t="s">
        <v>114</v>
      </c>
      <c r="E890" s="74" t="s">
        <v>115</v>
      </c>
      <c r="F890" s="86"/>
      <c r="G890" s="74" t="s">
        <v>112</v>
      </c>
      <c r="H890" s="74" t="s">
        <v>113</v>
      </c>
      <c r="I890" s="74" t="s">
        <v>114</v>
      </c>
      <c r="J890" s="74" t="s">
        <v>115</v>
      </c>
      <c r="K890" s="75"/>
      <c r="L890" s="75"/>
      <c r="M890"/>
    </row>
    <row r="891" spans="1:13" ht="13.15" x14ac:dyDescent="0.4">
      <c r="A891" s="73" t="s">
        <v>127</v>
      </c>
      <c r="B891" s="86">
        <v>45</v>
      </c>
      <c r="C891" s="86">
        <v>25</v>
      </c>
      <c r="D891" s="86">
        <v>15</v>
      </c>
      <c r="E891" s="86">
        <v>5</v>
      </c>
      <c r="F891" s="86"/>
      <c r="G891" s="75">
        <v>1</v>
      </c>
      <c r="H891" s="75">
        <v>0.55555555555555558</v>
      </c>
      <c r="I891" s="75">
        <v>0.33333333333333331</v>
      </c>
      <c r="J891" s="75">
        <v>0.1111111111111111</v>
      </c>
      <c r="K891" s="75"/>
      <c r="L891" s="75"/>
      <c r="M891" s="119"/>
    </row>
    <row r="892" spans="1:13" ht="13.15" x14ac:dyDescent="0.4">
      <c r="A892" s="73" t="s">
        <v>128</v>
      </c>
      <c r="B892" s="86">
        <v>30</v>
      </c>
      <c r="C892" s="86">
        <v>21</v>
      </c>
      <c r="D892" s="86">
        <v>7</v>
      </c>
      <c r="E892" s="86">
        <v>2</v>
      </c>
      <c r="F892" s="86"/>
      <c r="G892" s="75">
        <v>1</v>
      </c>
      <c r="H892" s="75">
        <v>0.7</v>
      </c>
      <c r="I892" s="75">
        <v>0.23333333333333334</v>
      </c>
      <c r="J892" s="75">
        <v>6.6666666666666666E-2</v>
      </c>
      <c r="K892" s="75"/>
      <c r="L892" s="75"/>
      <c r="M892" s="119"/>
    </row>
    <row r="893" spans="1:13" ht="13.15" x14ac:dyDescent="0.4">
      <c r="A893" s="73" t="s">
        <v>129</v>
      </c>
      <c r="B893" s="86">
        <v>64</v>
      </c>
      <c r="C893" s="86">
        <v>40</v>
      </c>
      <c r="D893" s="86">
        <v>12</v>
      </c>
      <c r="E893" s="86">
        <v>12</v>
      </c>
      <c r="F893" s="86"/>
      <c r="G893" s="75">
        <v>1</v>
      </c>
      <c r="H893" s="75">
        <v>0.625</v>
      </c>
      <c r="I893" s="75">
        <v>0.1875</v>
      </c>
      <c r="J893" s="75">
        <v>0.1875</v>
      </c>
      <c r="K893" s="75"/>
      <c r="L893" s="75"/>
      <c r="M893" s="119"/>
    </row>
    <row r="894" spans="1:13" ht="13.15" x14ac:dyDescent="0.4">
      <c r="A894" s="73" t="s">
        <v>130</v>
      </c>
      <c r="B894" s="86">
        <v>84</v>
      </c>
      <c r="C894" s="86">
        <v>55</v>
      </c>
      <c r="D894" s="86">
        <v>17</v>
      </c>
      <c r="E894" s="86">
        <v>12</v>
      </c>
      <c r="F894" s="86"/>
      <c r="G894" s="75">
        <v>1</v>
      </c>
      <c r="H894" s="75">
        <v>0.65476190476190477</v>
      </c>
      <c r="I894" s="75">
        <v>0.20238095238095238</v>
      </c>
      <c r="J894" s="75">
        <v>0.14285714285714285</v>
      </c>
      <c r="K894" s="75"/>
      <c r="L894" s="72"/>
      <c r="M894" s="119"/>
    </row>
    <row r="895" spans="1:13" ht="13.15" x14ac:dyDescent="0.4">
      <c r="A895" s="73" t="s">
        <v>131</v>
      </c>
      <c r="B895" s="86">
        <v>40</v>
      </c>
      <c r="C895" s="86">
        <v>19</v>
      </c>
      <c r="D895" s="86">
        <v>14</v>
      </c>
      <c r="E895" s="86">
        <v>7</v>
      </c>
      <c r="F895" s="86"/>
      <c r="G895" s="75">
        <v>1</v>
      </c>
      <c r="H895" s="75">
        <v>0.47499999999999998</v>
      </c>
      <c r="I895" s="75">
        <v>0.35</v>
      </c>
      <c r="J895" s="75">
        <v>0.17499999999999999</v>
      </c>
      <c r="K895" s="72"/>
      <c r="L895" s="72"/>
      <c r="M895" s="119"/>
    </row>
    <row r="896" spans="1:13" ht="13.15" x14ac:dyDescent="0.4">
      <c r="A896" s="73" t="s">
        <v>132</v>
      </c>
      <c r="B896" s="86">
        <v>53</v>
      </c>
      <c r="C896" s="86">
        <v>44</v>
      </c>
      <c r="D896" s="86">
        <v>3</v>
      </c>
      <c r="E896" s="86">
        <v>6</v>
      </c>
      <c r="F896" s="86"/>
      <c r="G896" s="75">
        <v>1</v>
      </c>
      <c r="H896" s="75">
        <v>0.83018867924528306</v>
      </c>
      <c r="I896" s="75">
        <v>5.6603773584905662E-2</v>
      </c>
      <c r="J896" s="75">
        <v>0.11320754716981132</v>
      </c>
      <c r="K896" s="72"/>
      <c r="L896" s="72"/>
    </row>
    <row r="897" spans="1:12" ht="13.15" x14ac:dyDescent="0.4">
      <c r="A897" s="73" t="s">
        <v>133</v>
      </c>
      <c r="B897" s="86">
        <v>83</v>
      </c>
      <c r="C897" s="86">
        <v>59</v>
      </c>
      <c r="D897" s="86">
        <v>14</v>
      </c>
      <c r="E897" s="86">
        <v>10</v>
      </c>
      <c r="F897" s="87"/>
      <c r="G897" s="75">
        <v>0.98809523809523814</v>
      </c>
      <c r="H897" s="75">
        <v>0.71084337349397586</v>
      </c>
      <c r="I897" s="75">
        <v>0.16867469879518071</v>
      </c>
      <c r="J897" s="75">
        <v>0.12048192771084337</v>
      </c>
      <c r="K897" s="74"/>
      <c r="L897" s="74"/>
    </row>
    <row r="898" spans="1:12" ht="13.15" x14ac:dyDescent="0.4">
      <c r="A898" s="73" t="s">
        <v>134</v>
      </c>
      <c r="B898" s="86">
        <v>65</v>
      </c>
      <c r="C898" s="86">
        <v>47</v>
      </c>
      <c r="D898" s="86">
        <v>10</v>
      </c>
      <c r="E898" s="86">
        <v>8</v>
      </c>
      <c r="F898" s="87"/>
      <c r="G898" s="75">
        <v>0.98484848484848486</v>
      </c>
      <c r="H898" s="75">
        <v>0.72307692307692306</v>
      </c>
      <c r="I898" s="75">
        <v>0.15384615384615385</v>
      </c>
      <c r="J898" s="75">
        <v>0.12307692307692308</v>
      </c>
      <c r="K898" s="75"/>
      <c r="L898" s="75"/>
    </row>
    <row r="899" spans="1:12" ht="13.15" x14ac:dyDescent="0.4">
      <c r="A899" s="73" t="s">
        <v>376</v>
      </c>
      <c r="B899" s="86">
        <v>5</v>
      </c>
      <c r="C899" s="86">
        <v>1</v>
      </c>
      <c r="D899" s="86">
        <v>4</v>
      </c>
      <c r="E899" s="86">
        <v>0</v>
      </c>
      <c r="F899" s="87"/>
      <c r="G899" s="75">
        <v>1</v>
      </c>
      <c r="H899" s="75">
        <v>0.2</v>
      </c>
      <c r="I899" s="75">
        <v>0.8</v>
      </c>
      <c r="J899" s="75">
        <v>0</v>
      </c>
      <c r="K899" s="75"/>
      <c r="L899" s="75"/>
    </row>
    <row r="900" spans="1:12" ht="13.15" x14ac:dyDescent="0.4">
      <c r="A900" s="73" t="s">
        <v>135</v>
      </c>
      <c r="B900" s="86">
        <v>30</v>
      </c>
      <c r="C900" s="86">
        <v>17</v>
      </c>
      <c r="D900" s="86">
        <v>10</v>
      </c>
      <c r="E900" s="86">
        <v>3</v>
      </c>
      <c r="F900" s="87"/>
      <c r="G900" s="75">
        <v>1</v>
      </c>
      <c r="H900" s="75">
        <v>0.56666666666666665</v>
      </c>
      <c r="I900" s="75">
        <v>0.33333333333333331</v>
      </c>
      <c r="J900" s="75">
        <v>0.1</v>
      </c>
      <c r="K900" s="75"/>
      <c r="L900" s="75"/>
    </row>
    <row r="901" spans="1:12" ht="13.15" x14ac:dyDescent="0.4">
      <c r="A901" s="73" t="s">
        <v>23</v>
      </c>
      <c r="B901" s="87">
        <v>499</v>
      </c>
      <c r="C901" s="86">
        <v>328</v>
      </c>
      <c r="D901" s="86">
        <v>106</v>
      </c>
      <c r="E901" s="87">
        <v>65</v>
      </c>
      <c r="F901" s="72"/>
      <c r="G901" s="75">
        <v>0.99600798403193613</v>
      </c>
      <c r="H901" s="75">
        <v>0.65731462925851702</v>
      </c>
      <c r="I901" s="75">
        <v>0.21242484969939879</v>
      </c>
      <c r="J901" s="75">
        <v>0.13026052104208416</v>
      </c>
      <c r="K901" s="75"/>
      <c r="L901" s="75"/>
    </row>
    <row r="902" spans="1:12" ht="13.15" x14ac:dyDescent="0.4">
      <c r="A902" s="73"/>
      <c r="B902" s="87"/>
      <c r="C902" s="86"/>
      <c r="D902" s="86"/>
      <c r="E902" s="87"/>
      <c r="F902" s="72"/>
      <c r="G902" s="75"/>
      <c r="H902" s="75"/>
      <c r="I902" s="75"/>
      <c r="J902" s="75"/>
      <c r="K902" s="75"/>
      <c r="L902" s="75"/>
    </row>
    <row r="903" spans="1:12" ht="13.15" x14ac:dyDescent="0.4">
      <c r="A903" s="73"/>
      <c r="B903" s="87"/>
      <c r="C903" s="86"/>
      <c r="D903" s="86"/>
      <c r="E903" s="87"/>
      <c r="F903" s="72"/>
      <c r="G903" s="75"/>
      <c r="H903" s="75"/>
      <c r="I903" s="75"/>
      <c r="J903" s="75"/>
      <c r="K903" s="75"/>
      <c r="L903" s="75"/>
    </row>
    <row r="904" spans="1:12" ht="13.15" x14ac:dyDescent="0.4">
      <c r="A904" s="104" t="s">
        <v>242</v>
      </c>
      <c r="B904" s="72"/>
      <c r="C904" s="72"/>
      <c r="D904" s="72"/>
      <c r="E904" s="72"/>
      <c r="F904" s="74"/>
      <c r="G904" s="72"/>
      <c r="H904" s="72"/>
      <c r="I904" s="72"/>
      <c r="J904" s="72"/>
      <c r="K904" s="75"/>
      <c r="L904" s="75"/>
    </row>
    <row r="905" spans="1:12" ht="13.15" x14ac:dyDescent="0.4">
      <c r="A905" s="73" t="s">
        <v>193</v>
      </c>
      <c r="B905" s="72" t="s">
        <v>139</v>
      </c>
      <c r="C905" s="72"/>
      <c r="D905" s="72"/>
      <c r="E905" s="72"/>
      <c r="F905" s="86"/>
      <c r="G905" s="72" t="s">
        <v>146</v>
      </c>
      <c r="H905" s="72"/>
      <c r="I905" s="72"/>
      <c r="J905" s="72"/>
      <c r="K905" s="75"/>
      <c r="L905" s="75"/>
    </row>
    <row r="906" spans="1:12" ht="13.15" x14ac:dyDescent="0.4">
      <c r="A906" s="73" t="s">
        <v>136</v>
      </c>
      <c r="B906" s="74" t="s">
        <v>112</v>
      </c>
      <c r="C906" s="74" t="s">
        <v>113</v>
      </c>
      <c r="D906" s="74" t="s">
        <v>114</v>
      </c>
      <c r="E906" s="74" t="s">
        <v>115</v>
      </c>
      <c r="F906" s="86"/>
      <c r="G906" s="74" t="s">
        <v>112</v>
      </c>
      <c r="H906" s="74" t="s">
        <v>113</v>
      </c>
      <c r="I906" s="74" t="s">
        <v>114</v>
      </c>
      <c r="J906" s="74" t="s">
        <v>115</v>
      </c>
      <c r="K906" s="75"/>
      <c r="L906" s="75"/>
    </row>
    <row r="907" spans="1:12" ht="13.15" x14ac:dyDescent="0.4">
      <c r="A907" s="73" t="s">
        <v>127</v>
      </c>
      <c r="B907" s="86">
        <v>44</v>
      </c>
      <c r="C907" s="86">
        <v>35</v>
      </c>
      <c r="D907" s="86">
        <v>7</v>
      </c>
      <c r="E907" s="86">
        <v>2</v>
      </c>
      <c r="F907" s="86"/>
      <c r="G907" s="75">
        <f>B907/44</f>
        <v>1</v>
      </c>
      <c r="H907" s="75">
        <f>C907/B907</f>
        <v>0.79545454545454541</v>
      </c>
      <c r="I907" s="75">
        <f>D907/B907</f>
        <v>0.15909090909090909</v>
      </c>
      <c r="J907" s="75">
        <f>E907/B907</f>
        <v>4.5454545454545456E-2</v>
      </c>
      <c r="K907" s="75"/>
      <c r="L907" s="75"/>
    </row>
    <row r="908" spans="1:12" ht="13.15" x14ac:dyDescent="0.4">
      <c r="A908" s="73" t="s">
        <v>128</v>
      </c>
      <c r="B908" s="86">
        <v>31</v>
      </c>
      <c r="C908" s="86">
        <v>18</v>
      </c>
      <c r="D908" s="86">
        <v>8</v>
      </c>
      <c r="E908" s="86">
        <v>5</v>
      </c>
      <c r="F908" s="86"/>
      <c r="G908" s="75">
        <f>B908/31</f>
        <v>1</v>
      </c>
      <c r="H908" s="75">
        <f t="shared" ref="H908:H917" si="35">C908/B908</f>
        <v>0.58064516129032262</v>
      </c>
      <c r="I908" s="75">
        <f t="shared" ref="I908:I917" si="36">D908/B908</f>
        <v>0.25806451612903225</v>
      </c>
      <c r="J908" s="75">
        <f t="shared" ref="J908:J917" si="37">E908/B908</f>
        <v>0.16129032258064516</v>
      </c>
      <c r="K908" s="75"/>
      <c r="L908" s="75"/>
    </row>
    <row r="909" spans="1:12" ht="13.15" x14ac:dyDescent="0.4">
      <c r="A909" s="73" t="s">
        <v>129</v>
      </c>
      <c r="B909" s="86">
        <v>64</v>
      </c>
      <c r="C909" s="86">
        <v>43</v>
      </c>
      <c r="D909" s="86">
        <v>11</v>
      </c>
      <c r="E909" s="86">
        <v>10</v>
      </c>
      <c r="F909" s="86"/>
      <c r="G909" s="75">
        <f>B909/64</f>
        <v>1</v>
      </c>
      <c r="H909" s="75">
        <f t="shared" si="35"/>
        <v>0.671875</v>
      </c>
      <c r="I909" s="75">
        <f t="shared" si="36"/>
        <v>0.171875</v>
      </c>
      <c r="J909" s="75">
        <f t="shared" si="37"/>
        <v>0.15625</v>
      </c>
      <c r="K909" s="75"/>
      <c r="L909" s="75"/>
    </row>
    <row r="910" spans="1:12" ht="13.15" x14ac:dyDescent="0.4">
      <c r="A910" s="73" t="s">
        <v>130</v>
      </c>
      <c r="B910" s="86">
        <v>84</v>
      </c>
      <c r="C910" s="86">
        <v>55</v>
      </c>
      <c r="D910" s="86">
        <v>22</v>
      </c>
      <c r="E910" s="86">
        <v>7</v>
      </c>
      <c r="F910" s="86"/>
      <c r="G910" s="75">
        <f>B910/84</f>
        <v>1</v>
      </c>
      <c r="H910" s="75">
        <f t="shared" si="35"/>
        <v>0.65476190476190477</v>
      </c>
      <c r="I910" s="75">
        <f t="shared" si="36"/>
        <v>0.26190476190476192</v>
      </c>
      <c r="J910" s="75">
        <f t="shared" si="37"/>
        <v>8.3333333333333329E-2</v>
      </c>
      <c r="K910" s="75"/>
      <c r="L910" s="75"/>
    </row>
    <row r="911" spans="1:12" ht="13.15" x14ac:dyDescent="0.4">
      <c r="A911" s="73" t="s">
        <v>131</v>
      </c>
      <c r="B911" s="86">
        <v>39</v>
      </c>
      <c r="C911" s="86">
        <v>22</v>
      </c>
      <c r="D911" s="86">
        <v>13</v>
      </c>
      <c r="E911" s="86">
        <v>4</v>
      </c>
      <c r="F911" s="86"/>
      <c r="G911" s="75">
        <f>B911/41</f>
        <v>0.95121951219512191</v>
      </c>
      <c r="H911" s="75">
        <f t="shared" si="35"/>
        <v>0.5641025641025641</v>
      </c>
      <c r="I911" s="75">
        <f t="shared" si="36"/>
        <v>0.33333333333333331</v>
      </c>
      <c r="J911" s="75">
        <f t="shared" si="37"/>
        <v>0.10256410256410256</v>
      </c>
      <c r="K911" s="72"/>
      <c r="L911" s="75"/>
    </row>
    <row r="912" spans="1:12" ht="13.15" x14ac:dyDescent="0.4">
      <c r="A912" s="73" t="s">
        <v>132</v>
      </c>
      <c r="B912" s="86">
        <v>54</v>
      </c>
      <c r="C912" s="86">
        <v>35</v>
      </c>
      <c r="D912" s="86">
        <v>14</v>
      </c>
      <c r="E912" s="86">
        <v>5</v>
      </c>
      <c r="F912" s="86"/>
      <c r="G912" s="75">
        <f>B912/54</f>
        <v>1</v>
      </c>
      <c r="H912" s="75">
        <f t="shared" si="35"/>
        <v>0.64814814814814814</v>
      </c>
      <c r="I912" s="75">
        <f t="shared" si="36"/>
        <v>0.25925925925925924</v>
      </c>
      <c r="J912" s="75">
        <f t="shared" si="37"/>
        <v>9.2592592592592587E-2</v>
      </c>
      <c r="K912" s="74"/>
      <c r="L912" s="74"/>
    </row>
    <row r="913" spans="1:12" ht="13.15" x14ac:dyDescent="0.4">
      <c r="A913" s="73" t="s">
        <v>133</v>
      </c>
      <c r="B913" s="86">
        <v>82</v>
      </c>
      <c r="C913" s="86">
        <v>52</v>
      </c>
      <c r="D913" s="86">
        <v>22</v>
      </c>
      <c r="E913" s="86">
        <v>8</v>
      </c>
      <c r="F913" s="87"/>
      <c r="G913" s="75">
        <f>B913/82</f>
        <v>1</v>
      </c>
      <c r="H913" s="75">
        <f t="shared" si="35"/>
        <v>0.63414634146341464</v>
      </c>
      <c r="I913" s="75">
        <f t="shared" si="36"/>
        <v>0.26829268292682928</v>
      </c>
      <c r="J913" s="75">
        <f t="shared" si="37"/>
        <v>9.7560975609756101E-2</v>
      </c>
      <c r="K913" s="75"/>
      <c r="L913" s="75"/>
    </row>
    <row r="914" spans="1:12" ht="13.15" x14ac:dyDescent="0.4">
      <c r="A914" s="73" t="s">
        <v>134</v>
      </c>
      <c r="B914" s="86">
        <v>66</v>
      </c>
      <c r="C914" s="86">
        <v>50</v>
      </c>
      <c r="D914" s="86">
        <v>8</v>
      </c>
      <c r="E914" s="86">
        <v>8</v>
      </c>
      <c r="F914" s="87"/>
      <c r="G914" s="75">
        <f>B914/65</f>
        <v>1.0153846153846153</v>
      </c>
      <c r="H914" s="75">
        <f t="shared" si="35"/>
        <v>0.75757575757575757</v>
      </c>
      <c r="I914" s="75">
        <f t="shared" si="36"/>
        <v>0.12121212121212122</v>
      </c>
      <c r="J914" s="75">
        <f t="shared" si="37"/>
        <v>0.12121212121212122</v>
      </c>
      <c r="K914" s="75"/>
      <c r="L914" s="75"/>
    </row>
    <row r="915" spans="1:12" ht="13.15" x14ac:dyDescent="0.4">
      <c r="A915" s="73" t="s">
        <v>376</v>
      </c>
      <c r="B915" s="86">
        <v>5</v>
      </c>
      <c r="C915" s="86">
        <v>2</v>
      </c>
      <c r="D915" s="86">
        <v>3</v>
      </c>
      <c r="E915" s="86">
        <v>0</v>
      </c>
      <c r="F915" s="87"/>
      <c r="G915" s="75">
        <f>B915/5</f>
        <v>1</v>
      </c>
      <c r="H915" s="75">
        <f t="shared" si="35"/>
        <v>0.4</v>
      </c>
      <c r="I915" s="75">
        <f t="shared" si="36"/>
        <v>0.6</v>
      </c>
      <c r="J915" s="75">
        <f t="shared" si="37"/>
        <v>0</v>
      </c>
      <c r="K915" s="75"/>
      <c r="L915" s="75"/>
    </row>
    <row r="916" spans="1:12" ht="13.15" x14ac:dyDescent="0.4">
      <c r="A916" s="73" t="s">
        <v>135</v>
      </c>
      <c r="B916" s="86">
        <v>30</v>
      </c>
      <c r="C916" s="86">
        <v>23</v>
      </c>
      <c r="D916" s="86">
        <v>5</v>
      </c>
      <c r="E916" s="86">
        <v>2</v>
      </c>
      <c r="F916" s="87"/>
      <c r="G916" s="75">
        <f>B916/30</f>
        <v>1</v>
      </c>
      <c r="H916" s="75">
        <f t="shared" si="35"/>
        <v>0.76666666666666672</v>
      </c>
      <c r="I916" s="75">
        <f t="shared" si="36"/>
        <v>0.16666666666666666</v>
      </c>
      <c r="J916" s="75">
        <f t="shared" si="37"/>
        <v>6.6666666666666666E-2</v>
      </c>
      <c r="K916" s="75"/>
      <c r="L916" s="75"/>
    </row>
    <row r="917" spans="1:12" ht="13.15" x14ac:dyDescent="0.4">
      <c r="A917" s="73" t="s">
        <v>23</v>
      </c>
      <c r="B917" s="87">
        <v>499</v>
      </c>
      <c r="C917" s="86">
        <v>335</v>
      </c>
      <c r="D917" s="86">
        <v>113</v>
      </c>
      <c r="E917" s="87">
        <v>51</v>
      </c>
      <c r="F917" s="72"/>
      <c r="G917" s="75">
        <f>B917/500</f>
        <v>0.998</v>
      </c>
      <c r="H917" s="75">
        <f t="shared" si="35"/>
        <v>0.67134268537074149</v>
      </c>
      <c r="I917" s="75">
        <f t="shared" si="36"/>
        <v>0.22645290581162325</v>
      </c>
      <c r="J917" s="75">
        <f t="shared" si="37"/>
        <v>0.10220440881763528</v>
      </c>
      <c r="K917" s="75"/>
      <c r="L917" s="75"/>
    </row>
    <row r="918" spans="1:12" ht="13.15" x14ac:dyDescent="0.4">
      <c r="A918" s="73"/>
      <c r="B918" s="87"/>
      <c r="C918" s="86"/>
      <c r="D918" s="86"/>
      <c r="E918" s="87"/>
      <c r="F918" s="72"/>
      <c r="G918" s="75"/>
      <c r="H918" s="75"/>
      <c r="I918" s="75"/>
      <c r="J918" s="75"/>
      <c r="K918" s="75"/>
      <c r="L918" s="75"/>
    </row>
    <row r="919" spans="1:12" ht="13.15" x14ac:dyDescent="0.4">
      <c r="A919" s="73"/>
      <c r="B919" s="87"/>
      <c r="C919" s="86"/>
      <c r="D919" s="86"/>
      <c r="E919" s="87"/>
      <c r="F919" s="72"/>
      <c r="G919" s="75"/>
      <c r="H919" s="75"/>
      <c r="I919" s="75"/>
      <c r="J919" s="75"/>
      <c r="K919" s="75"/>
      <c r="L919" s="75"/>
    </row>
    <row r="920" spans="1:12" ht="13.15" x14ac:dyDescent="0.4">
      <c r="A920" s="104" t="s">
        <v>236</v>
      </c>
      <c r="B920" s="72"/>
      <c r="C920" s="72"/>
      <c r="D920" s="72"/>
      <c r="E920" s="72"/>
      <c r="F920" s="74"/>
      <c r="G920" s="72"/>
      <c r="H920" s="72"/>
      <c r="I920" s="72"/>
      <c r="J920" s="72"/>
      <c r="K920" s="75"/>
      <c r="L920" s="75"/>
    </row>
    <row r="921" spans="1:12" ht="13.15" x14ac:dyDescent="0.4">
      <c r="A921" s="73" t="s">
        <v>191</v>
      </c>
      <c r="B921" s="72" t="s">
        <v>139</v>
      </c>
      <c r="C921" s="72"/>
      <c r="D921" s="72"/>
      <c r="E921" s="72"/>
      <c r="F921" s="86"/>
      <c r="G921" s="72" t="s">
        <v>146</v>
      </c>
      <c r="H921" s="72"/>
      <c r="I921" s="72"/>
      <c r="J921" s="72"/>
      <c r="K921" s="75"/>
      <c r="L921" s="75"/>
    </row>
    <row r="922" spans="1:12" ht="13.15" x14ac:dyDescent="0.4">
      <c r="A922" s="73" t="s">
        <v>136</v>
      </c>
      <c r="B922" s="74" t="s">
        <v>112</v>
      </c>
      <c r="C922" s="74" t="s">
        <v>113</v>
      </c>
      <c r="D922" s="74" t="s">
        <v>114</v>
      </c>
      <c r="E922" s="74" t="s">
        <v>115</v>
      </c>
      <c r="F922" s="86"/>
      <c r="G922" s="74" t="s">
        <v>112</v>
      </c>
      <c r="H922" s="74" t="s">
        <v>113</v>
      </c>
      <c r="I922" s="74" t="s">
        <v>114</v>
      </c>
      <c r="J922" s="74" t="s">
        <v>115</v>
      </c>
      <c r="K922" s="75"/>
      <c r="L922" s="75"/>
    </row>
    <row r="923" spans="1:12" ht="13.15" x14ac:dyDescent="0.4">
      <c r="A923" s="73" t="s">
        <v>127</v>
      </c>
      <c r="B923" s="86">
        <v>44</v>
      </c>
      <c r="C923" s="86">
        <v>25</v>
      </c>
      <c r="D923" s="86">
        <v>16</v>
      </c>
      <c r="E923" s="86">
        <v>3</v>
      </c>
      <c r="F923" s="86"/>
      <c r="G923" s="75">
        <f>B923/44</f>
        <v>1</v>
      </c>
      <c r="H923" s="75">
        <f>C923/B923</f>
        <v>0.56818181818181823</v>
      </c>
      <c r="I923" s="75">
        <f>D923/B923</f>
        <v>0.36363636363636365</v>
      </c>
      <c r="J923" s="75">
        <f>E923/B923</f>
        <v>6.8181818181818177E-2</v>
      </c>
      <c r="K923" s="75"/>
      <c r="L923" s="75"/>
    </row>
    <row r="924" spans="1:12" ht="13.15" x14ac:dyDescent="0.4">
      <c r="A924" s="73" t="s">
        <v>128</v>
      </c>
      <c r="B924" s="86">
        <v>31</v>
      </c>
      <c r="C924" s="86">
        <v>21</v>
      </c>
      <c r="D924" s="86">
        <v>8</v>
      </c>
      <c r="E924" s="86">
        <v>2</v>
      </c>
      <c r="F924" s="86"/>
      <c r="G924" s="75">
        <f>B924/31</f>
        <v>1</v>
      </c>
      <c r="H924" s="75">
        <f t="shared" ref="H924:H933" si="38">C924/B924</f>
        <v>0.67741935483870963</v>
      </c>
      <c r="I924" s="75">
        <f t="shared" ref="I924:I933" si="39">D924/B924</f>
        <v>0.25806451612903225</v>
      </c>
      <c r="J924" s="75">
        <f t="shared" ref="J924:J933" si="40">E924/B924</f>
        <v>6.4516129032258063E-2</v>
      </c>
      <c r="K924" s="75"/>
      <c r="L924" s="75"/>
    </row>
    <row r="925" spans="1:12" ht="13.15" x14ac:dyDescent="0.4">
      <c r="A925" s="73" t="s">
        <v>129</v>
      </c>
      <c r="B925" s="86">
        <v>64</v>
      </c>
      <c r="C925" s="86">
        <v>37</v>
      </c>
      <c r="D925" s="86">
        <v>18</v>
      </c>
      <c r="E925" s="86">
        <v>9</v>
      </c>
      <c r="F925" s="86"/>
      <c r="G925" s="75">
        <f>B925/64</f>
        <v>1</v>
      </c>
      <c r="H925" s="75">
        <f t="shared" si="38"/>
        <v>0.578125</v>
      </c>
      <c r="I925" s="75">
        <f t="shared" si="39"/>
        <v>0.28125</v>
      </c>
      <c r="J925" s="75">
        <f t="shared" si="40"/>
        <v>0.140625</v>
      </c>
      <c r="K925" s="75"/>
      <c r="L925" s="75"/>
    </row>
    <row r="926" spans="1:12" ht="13.15" x14ac:dyDescent="0.4">
      <c r="A926" s="73" t="s">
        <v>130</v>
      </c>
      <c r="B926" s="86">
        <v>83</v>
      </c>
      <c r="C926" s="86">
        <v>50</v>
      </c>
      <c r="D926" s="86">
        <v>24</v>
      </c>
      <c r="E926" s="86">
        <v>9</v>
      </c>
      <c r="F926" s="86"/>
      <c r="G926" s="75">
        <f>B926/83</f>
        <v>1</v>
      </c>
      <c r="H926" s="75">
        <f t="shared" si="38"/>
        <v>0.60240963855421692</v>
      </c>
      <c r="I926" s="75">
        <f t="shared" si="39"/>
        <v>0.28915662650602408</v>
      </c>
      <c r="J926" s="75">
        <f t="shared" si="40"/>
        <v>0.10843373493975904</v>
      </c>
      <c r="K926" s="72"/>
      <c r="L926" s="75"/>
    </row>
    <row r="927" spans="1:12" ht="13.15" x14ac:dyDescent="0.4">
      <c r="A927" s="73" t="s">
        <v>131</v>
      </c>
      <c r="B927" s="86">
        <v>40</v>
      </c>
      <c r="C927" s="86">
        <v>22</v>
      </c>
      <c r="D927" s="86">
        <v>13</v>
      </c>
      <c r="E927" s="86">
        <v>5</v>
      </c>
      <c r="F927" s="86"/>
      <c r="G927" s="75">
        <f>B927/40</f>
        <v>1</v>
      </c>
      <c r="H927" s="75">
        <f t="shared" si="38"/>
        <v>0.55000000000000004</v>
      </c>
      <c r="I927" s="75">
        <f t="shared" si="39"/>
        <v>0.32500000000000001</v>
      </c>
      <c r="J927" s="75">
        <f t="shared" si="40"/>
        <v>0.125</v>
      </c>
      <c r="K927" s="72"/>
      <c r="L927" s="72"/>
    </row>
    <row r="928" spans="1:12" ht="13.15" x14ac:dyDescent="0.4">
      <c r="A928" s="73" t="s">
        <v>132</v>
      </c>
      <c r="B928" s="86">
        <v>54</v>
      </c>
      <c r="C928" s="86">
        <v>34</v>
      </c>
      <c r="D928" s="86">
        <v>8</v>
      </c>
      <c r="E928" s="86">
        <v>12</v>
      </c>
      <c r="F928" s="86"/>
      <c r="G928" s="75">
        <f>B928/55</f>
        <v>0.98181818181818181</v>
      </c>
      <c r="H928" s="75">
        <f t="shared" si="38"/>
        <v>0.62962962962962965</v>
      </c>
      <c r="I928" s="75">
        <f t="shared" si="39"/>
        <v>0.14814814814814814</v>
      </c>
      <c r="J928" s="75">
        <f t="shared" si="40"/>
        <v>0.22222222222222221</v>
      </c>
      <c r="K928" s="74"/>
      <c r="L928" s="74"/>
    </row>
    <row r="929" spans="1:12" ht="13.15" x14ac:dyDescent="0.4">
      <c r="A929" s="73" t="s">
        <v>133</v>
      </c>
      <c r="B929" s="86">
        <v>81</v>
      </c>
      <c r="C929" s="86">
        <v>56</v>
      </c>
      <c r="D929" s="86">
        <v>19</v>
      </c>
      <c r="E929" s="86">
        <v>6</v>
      </c>
      <c r="F929" s="87"/>
      <c r="G929" s="75">
        <f>B929/81</f>
        <v>1</v>
      </c>
      <c r="H929" s="75">
        <f t="shared" si="38"/>
        <v>0.69135802469135799</v>
      </c>
      <c r="I929" s="75">
        <f t="shared" si="39"/>
        <v>0.23456790123456789</v>
      </c>
      <c r="J929" s="75">
        <f t="shared" si="40"/>
        <v>7.407407407407407E-2</v>
      </c>
      <c r="K929" s="75"/>
      <c r="L929" s="75"/>
    </row>
    <row r="930" spans="1:12" ht="13.15" x14ac:dyDescent="0.4">
      <c r="A930" s="73" t="s">
        <v>134</v>
      </c>
      <c r="B930" s="86">
        <v>65</v>
      </c>
      <c r="C930" s="86">
        <v>49</v>
      </c>
      <c r="D930" s="86">
        <v>11</v>
      </c>
      <c r="E930" s="86">
        <v>5</v>
      </c>
      <c r="F930" s="87"/>
      <c r="G930" s="75">
        <f>B930/65</f>
        <v>1</v>
      </c>
      <c r="H930" s="75">
        <f t="shared" si="38"/>
        <v>0.75384615384615383</v>
      </c>
      <c r="I930" s="75">
        <f t="shared" si="39"/>
        <v>0.16923076923076924</v>
      </c>
      <c r="J930" s="75">
        <f t="shared" si="40"/>
        <v>7.6923076923076927E-2</v>
      </c>
      <c r="K930" s="75"/>
      <c r="L930" s="75"/>
    </row>
    <row r="931" spans="1:12" ht="13.15" x14ac:dyDescent="0.4">
      <c r="A931" s="73" t="s">
        <v>376</v>
      </c>
      <c r="B931" s="86">
        <v>6</v>
      </c>
      <c r="C931" s="86">
        <v>4</v>
      </c>
      <c r="D931" s="86">
        <v>1</v>
      </c>
      <c r="E931" s="86">
        <v>1</v>
      </c>
      <c r="F931" s="87"/>
      <c r="G931" s="75">
        <f>B931/6</f>
        <v>1</v>
      </c>
      <c r="H931" s="75">
        <f t="shared" si="38"/>
        <v>0.66666666666666663</v>
      </c>
      <c r="I931" s="75">
        <f t="shared" si="39"/>
        <v>0.16666666666666666</v>
      </c>
      <c r="J931" s="75">
        <f t="shared" si="40"/>
        <v>0.16666666666666666</v>
      </c>
      <c r="K931" s="75"/>
      <c r="L931" s="75"/>
    </row>
    <row r="932" spans="1:12" ht="13.15" x14ac:dyDescent="0.4">
      <c r="A932" s="73" t="s">
        <v>135</v>
      </c>
      <c r="B932" s="86">
        <v>31</v>
      </c>
      <c r="C932" s="86">
        <v>21</v>
      </c>
      <c r="D932" s="86">
        <v>8</v>
      </c>
      <c r="E932" s="86">
        <v>2</v>
      </c>
      <c r="F932" s="87"/>
      <c r="G932" s="75">
        <f>B932/31</f>
        <v>1</v>
      </c>
      <c r="H932" s="75">
        <f t="shared" si="38"/>
        <v>0.67741935483870963</v>
      </c>
      <c r="I932" s="75">
        <f t="shared" si="39"/>
        <v>0.25806451612903225</v>
      </c>
      <c r="J932" s="75">
        <f t="shared" si="40"/>
        <v>6.4516129032258063E-2</v>
      </c>
      <c r="K932" s="75"/>
      <c r="L932" s="75"/>
    </row>
    <row r="933" spans="1:12" ht="13.15" x14ac:dyDescent="0.4">
      <c r="A933" s="73" t="s">
        <v>23</v>
      </c>
      <c r="B933" s="87">
        <v>499</v>
      </c>
      <c r="C933" s="86">
        <v>319</v>
      </c>
      <c r="D933" s="86">
        <v>126</v>
      </c>
      <c r="E933" s="87">
        <v>54</v>
      </c>
      <c r="F933" s="72"/>
      <c r="G933" s="75">
        <f>B933/500</f>
        <v>0.998</v>
      </c>
      <c r="H933" s="75">
        <f t="shared" si="38"/>
        <v>0.63927855711422843</v>
      </c>
      <c r="I933" s="75">
        <f t="shared" si="39"/>
        <v>0.25250501002004005</v>
      </c>
      <c r="J933" s="75">
        <f t="shared" si="40"/>
        <v>0.10821643286573146</v>
      </c>
      <c r="K933" s="75"/>
      <c r="L933" s="75"/>
    </row>
    <row r="934" spans="1:12" ht="13.15" x14ac:dyDescent="0.4">
      <c r="A934" s="73"/>
      <c r="B934" s="87"/>
      <c r="C934" s="87"/>
      <c r="D934" s="87"/>
      <c r="E934" s="87"/>
      <c r="F934" s="72"/>
      <c r="G934" s="75"/>
      <c r="H934" s="75"/>
      <c r="I934" s="75"/>
      <c r="J934" s="75"/>
      <c r="K934" s="75"/>
      <c r="L934" s="75"/>
    </row>
    <row r="935" spans="1:12" ht="13.15" x14ac:dyDescent="0.4">
      <c r="A935" s="73"/>
      <c r="B935" s="87"/>
      <c r="C935" s="86"/>
      <c r="D935" s="86"/>
      <c r="E935" s="87"/>
      <c r="F935" s="72"/>
      <c r="G935" s="75"/>
      <c r="H935" s="75"/>
      <c r="I935" s="75"/>
      <c r="J935" s="75"/>
      <c r="K935" s="75"/>
      <c r="L935" s="75"/>
    </row>
    <row r="936" spans="1:12" ht="13.15" x14ac:dyDescent="0.4">
      <c r="A936" s="73" t="s">
        <v>177</v>
      </c>
      <c r="B936" s="72" t="s">
        <v>139</v>
      </c>
      <c r="C936" s="72"/>
      <c r="D936" s="72"/>
      <c r="E936" s="72"/>
      <c r="F936" s="86"/>
      <c r="G936" s="72" t="s">
        <v>146</v>
      </c>
      <c r="H936" s="72"/>
      <c r="I936" s="72"/>
      <c r="J936" s="72"/>
      <c r="K936" s="75"/>
      <c r="L936" s="75"/>
    </row>
    <row r="937" spans="1:12" ht="13.15" x14ac:dyDescent="0.4">
      <c r="A937" s="73" t="s">
        <v>136</v>
      </c>
      <c r="B937" s="74" t="s">
        <v>112</v>
      </c>
      <c r="C937" s="74" t="s">
        <v>113</v>
      </c>
      <c r="D937" s="74" t="s">
        <v>114</v>
      </c>
      <c r="E937" s="74" t="s">
        <v>115</v>
      </c>
      <c r="F937" s="86"/>
      <c r="G937" s="74" t="s">
        <v>112</v>
      </c>
      <c r="H937" s="74" t="s">
        <v>113</v>
      </c>
      <c r="I937" s="74" t="s">
        <v>114</v>
      </c>
      <c r="J937" s="74" t="s">
        <v>115</v>
      </c>
      <c r="K937" s="75"/>
      <c r="L937" s="75"/>
    </row>
    <row r="938" spans="1:12" ht="13.15" x14ac:dyDescent="0.4">
      <c r="A938" s="73" t="s">
        <v>127</v>
      </c>
      <c r="B938" s="86">
        <v>43</v>
      </c>
      <c r="C938" s="86">
        <v>28</v>
      </c>
      <c r="D938" s="86">
        <v>15</v>
      </c>
      <c r="E938" s="86">
        <v>0</v>
      </c>
      <c r="F938" s="86"/>
      <c r="G938" s="75">
        <f>B938/43</f>
        <v>1</v>
      </c>
      <c r="H938" s="75">
        <f>C938/B938</f>
        <v>0.65116279069767447</v>
      </c>
      <c r="I938" s="75">
        <f>D938/B938</f>
        <v>0.34883720930232559</v>
      </c>
      <c r="J938" s="75">
        <f>E938/B938</f>
        <v>0</v>
      </c>
      <c r="K938" s="75"/>
      <c r="L938" s="75"/>
    </row>
    <row r="939" spans="1:12" ht="13.15" x14ac:dyDescent="0.4">
      <c r="A939" s="73" t="s">
        <v>128</v>
      </c>
      <c r="B939" s="86">
        <v>31</v>
      </c>
      <c r="C939" s="86">
        <v>20</v>
      </c>
      <c r="D939" s="86">
        <v>8</v>
      </c>
      <c r="E939" s="86">
        <v>3</v>
      </c>
      <c r="F939" s="86"/>
      <c r="G939" s="75">
        <f>B939/31</f>
        <v>1</v>
      </c>
      <c r="H939" s="75">
        <f t="shared" ref="H939:H948" si="41">C939/B939</f>
        <v>0.64516129032258063</v>
      </c>
      <c r="I939" s="75">
        <f t="shared" ref="I939:I948" si="42">D939/B939</f>
        <v>0.25806451612903225</v>
      </c>
      <c r="J939" s="75">
        <f t="shared" ref="J939:J948" si="43">E939/B939</f>
        <v>9.6774193548387094E-2</v>
      </c>
      <c r="K939" s="75"/>
      <c r="L939" s="75"/>
    </row>
    <row r="940" spans="1:12" ht="13.15" x14ac:dyDescent="0.4">
      <c r="A940" s="73" t="s">
        <v>129</v>
      </c>
      <c r="B940" s="86">
        <v>63</v>
      </c>
      <c r="C940" s="86">
        <v>39</v>
      </c>
      <c r="D940" s="86">
        <v>13</v>
      </c>
      <c r="E940" s="86">
        <v>11</v>
      </c>
      <c r="F940" s="86"/>
      <c r="G940" s="75">
        <f>B940/63</f>
        <v>1</v>
      </c>
      <c r="H940" s="75">
        <f t="shared" si="41"/>
        <v>0.61904761904761907</v>
      </c>
      <c r="I940" s="75">
        <f t="shared" si="42"/>
        <v>0.20634920634920634</v>
      </c>
      <c r="J940" s="75">
        <f t="shared" si="43"/>
        <v>0.17460317460317459</v>
      </c>
      <c r="K940" s="75"/>
      <c r="L940" s="75"/>
    </row>
    <row r="941" spans="1:12" ht="13.15" x14ac:dyDescent="0.4">
      <c r="A941" s="73" t="s">
        <v>130</v>
      </c>
      <c r="B941" s="86">
        <v>83</v>
      </c>
      <c r="C941" s="86">
        <v>57</v>
      </c>
      <c r="D941" s="86">
        <v>18</v>
      </c>
      <c r="E941" s="86">
        <v>8</v>
      </c>
      <c r="F941" s="86"/>
      <c r="G941" s="75">
        <f>B941/83</f>
        <v>1</v>
      </c>
      <c r="H941" s="75">
        <f t="shared" si="41"/>
        <v>0.68674698795180722</v>
      </c>
      <c r="I941" s="75">
        <f t="shared" si="42"/>
        <v>0.21686746987951808</v>
      </c>
      <c r="J941" s="75">
        <f t="shared" si="43"/>
        <v>9.6385542168674704E-2</v>
      </c>
      <c r="K941" s="75"/>
      <c r="L941" s="75"/>
    </row>
    <row r="942" spans="1:12" ht="13.15" x14ac:dyDescent="0.4">
      <c r="A942" s="73" t="s">
        <v>131</v>
      </c>
      <c r="B942" s="86">
        <v>40</v>
      </c>
      <c r="C942" s="86">
        <v>24</v>
      </c>
      <c r="D942" s="86">
        <v>8</v>
      </c>
      <c r="E942" s="86">
        <v>8</v>
      </c>
      <c r="F942" s="86"/>
      <c r="G942" s="75">
        <f>B942/40</f>
        <v>1</v>
      </c>
      <c r="H942" s="75">
        <f t="shared" si="41"/>
        <v>0.6</v>
      </c>
      <c r="I942" s="75">
        <f t="shared" si="42"/>
        <v>0.2</v>
      </c>
      <c r="J942" s="75">
        <f t="shared" si="43"/>
        <v>0.2</v>
      </c>
      <c r="K942" s="72"/>
      <c r="L942" s="75"/>
    </row>
    <row r="943" spans="1:12" ht="13.15" x14ac:dyDescent="0.4">
      <c r="A943" s="73" t="s">
        <v>132</v>
      </c>
      <c r="B943" s="86">
        <v>55</v>
      </c>
      <c r="C943" s="86">
        <v>41</v>
      </c>
      <c r="D943" s="86">
        <v>6</v>
      </c>
      <c r="E943" s="86">
        <v>8</v>
      </c>
      <c r="F943" s="86"/>
      <c r="G943" s="75">
        <f>B943/55</f>
        <v>1</v>
      </c>
      <c r="H943" s="75">
        <f t="shared" si="41"/>
        <v>0.74545454545454548</v>
      </c>
      <c r="I943" s="75">
        <f t="shared" si="42"/>
        <v>0.10909090909090909</v>
      </c>
      <c r="J943" s="75">
        <f t="shared" si="43"/>
        <v>0.14545454545454545</v>
      </c>
      <c r="K943" s="72"/>
      <c r="L943" s="72"/>
    </row>
    <row r="944" spans="1:12" ht="13.15" x14ac:dyDescent="0.4">
      <c r="A944" s="73" t="s">
        <v>133</v>
      </c>
      <c r="B944" s="86">
        <v>81</v>
      </c>
      <c r="C944" s="86">
        <v>48</v>
      </c>
      <c r="D944" s="86">
        <v>27</v>
      </c>
      <c r="E944" s="86">
        <v>6</v>
      </c>
      <c r="F944" s="87"/>
      <c r="G944" s="75">
        <f>B944/81</f>
        <v>1</v>
      </c>
      <c r="H944" s="75">
        <f t="shared" si="41"/>
        <v>0.59259259259259256</v>
      </c>
      <c r="I944" s="75">
        <f t="shared" si="42"/>
        <v>0.33333333333333331</v>
      </c>
      <c r="J944" s="75">
        <f t="shared" si="43"/>
        <v>7.407407407407407E-2</v>
      </c>
      <c r="K944" s="74"/>
      <c r="L944" s="74"/>
    </row>
    <row r="945" spans="1:12" ht="13.15" x14ac:dyDescent="0.4">
      <c r="A945" s="73" t="s">
        <v>134</v>
      </c>
      <c r="B945" s="86">
        <v>66</v>
      </c>
      <c r="C945" s="86">
        <v>55</v>
      </c>
      <c r="D945" s="86">
        <v>7</v>
      </c>
      <c r="E945" s="86">
        <v>4</v>
      </c>
      <c r="F945" s="87"/>
      <c r="G945" s="75">
        <f>B945/67</f>
        <v>0.9850746268656716</v>
      </c>
      <c r="H945" s="75">
        <f t="shared" si="41"/>
        <v>0.83333333333333337</v>
      </c>
      <c r="I945" s="75">
        <f t="shared" si="42"/>
        <v>0.10606060606060606</v>
      </c>
      <c r="J945" s="75">
        <f t="shared" si="43"/>
        <v>6.0606060606060608E-2</v>
      </c>
      <c r="K945" s="75"/>
      <c r="L945" s="75"/>
    </row>
    <row r="946" spans="1:12" ht="13.15" x14ac:dyDescent="0.4">
      <c r="A946" s="73" t="s">
        <v>376</v>
      </c>
      <c r="B946" s="86">
        <v>6</v>
      </c>
      <c r="C946" s="86">
        <v>2</v>
      </c>
      <c r="D946" s="86">
        <v>2</v>
      </c>
      <c r="E946" s="86">
        <v>2</v>
      </c>
      <c r="F946" s="87"/>
      <c r="G946" s="75">
        <f>B946/6</f>
        <v>1</v>
      </c>
      <c r="H946" s="75">
        <f t="shared" si="41"/>
        <v>0.33333333333333331</v>
      </c>
      <c r="I946" s="75">
        <f t="shared" si="42"/>
        <v>0.33333333333333331</v>
      </c>
      <c r="J946" s="75">
        <f t="shared" si="43"/>
        <v>0.33333333333333331</v>
      </c>
      <c r="K946" s="75"/>
      <c r="L946" s="75"/>
    </row>
    <row r="947" spans="1:12" ht="13.15" x14ac:dyDescent="0.4">
      <c r="A947" s="73" t="s">
        <v>135</v>
      </c>
      <c r="B947" s="86">
        <v>31</v>
      </c>
      <c r="C947" s="86">
        <v>16</v>
      </c>
      <c r="D947" s="86">
        <v>12</v>
      </c>
      <c r="E947" s="86">
        <v>3</v>
      </c>
      <c r="F947" s="87"/>
      <c r="G947" s="75">
        <f>B947/31</f>
        <v>1</v>
      </c>
      <c r="H947" s="75">
        <f t="shared" si="41"/>
        <v>0.5161290322580645</v>
      </c>
      <c r="I947" s="75">
        <f t="shared" si="42"/>
        <v>0.38709677419354838</v>
      </c>
      <c r="J947" s="75">
        <f t="shared" si="43"/>
        <v>9.6774193548387094E-2</v>
      </c>
      <c r="K947" s="75"/>
      <c r="L947" s="75"/>
    </row>
    <row r="948" spans="1:12" ht="13.15" x14ac:dyDescent="0.4">
      <c r="A948" s="73" t="s">
        <v>23</v>
      </c>
      <c r="B948" s="87">
        <v>499</v>
      </c>
      <c r="C948" s="86">
        <v>330</v>
      </c>
      <c r="D948" s="86">
        <v>116</v>
      </c>
      <c r="E948" s="87">
        <v>53</v>
      </c>
      <c r="F948" s="72"/>
      <c r="G948" s="75">
        <f>B948/500</f>
        <v>0.998</v>
      </c>
      <c r="H948" s="75">
        <f t="shared" si="41"/>
        <v>0.66132264529058116</v>
      </c>
      <c r="I948" s="75">
        <f t="shared" si="42"/>
        <v>0.23246492985971945</v>
      </c>
      <c r="J948" s="75">
        <f t="shared" si="43"/>
        <v>0.10621242484969939</v>
      </c>
      <c r="K948" s="75"/>
      <c r="L948" s="75"/>
    </row>
    <row r="949" spans="1:12" ht="13.15" x14ac:dyDescent="0.4">
      <c r="A949" s="73"/>
      <c r="B949" s="87"/>
      <c r="C949" s="87"/>
      <c r="D949" s="87"/>
      <c r="E949" s="87"/>
      <c r="F949" s="72"/>
      <c r="G949" s="75"/>
      <c r="H949" s="75"/>
      <c r="I949" s="75"/>
      <c r="J949" s="75"/>
      <c r="K949" s="75"/>
      <c r="L949" s="75"/>
    </row>
    <row r="950" spans="1:12" ht="13.15" x14ac:dyDescent="0.4">
      <c r="A950" s="73"/>
      <c r="B950" s="87"/>
      <c r="C950" s="86"/>
      <c r="D950" s="86"/>
      <c r="E950" s="87"/>
      <c r="F950" s="72"/>
      <c r="G950" s="75"/>
      <c r="H950" s="75"/>
      <c r="I950" s="75"/>
      <c r="J950" s="75"/>
      <c r="K950" s="75"/>
      <c r="L950" s="75"/>
    </row>
    <row r="951" spans="1:12" ht="13.15" x14ac:dyDescent="0.4">
      <c r="A951" s="104" t="s">
        <v>237</v>
      </c>
      <c r="B951" s="72"/>
      <c r="C951" s="72"/>
      <c r="D951" s="72"/>
      <c r="E951" s="72"/>
      <c r="F951" s="74"/>
      <c r="G951" s="72"/>
      <c r="H951" s="72"/>
      <c r="I951" s="72"/>
      <c r="J951" s="72"/>
      <c r="K951" s="75"/>
      <c r="L951" s="75"/>
    </row>
    <row r="952" spans="1:12" ht="13.15" x14ac:dyDescent="0.4">
      <c r="A952" s="73" t="s">
        <v>176</v>
      </c>
      <c r="B952" s="72" t="s">
        <v>139</v>
      </c>
      <c r="C952" s="72"/>
      <c r="D952" s="72"/>
      <c r="E952" s="72"/>
      <c r="F952" s="86"/>
      <c r="G952" s="72" t="s">
        <v>146</v>
      </c>
      <c r="H952" s="72"/>
      <c r="I952" s="72"/>
      <c r="J952" s="72"/>
      <c r="K952" s="75"/>
      <c r="L952" s="75"/>
    </row>
    <row r="953" spans="1:12" ht="13.15" x14ac:dyDescent="0.4">
      <c r="A953" s="73" t="s">
        <v>136</v>
      </c>
      <c r="B953" s="74" t="s">
        <v>112</v>
      </c>
      <c r="C953" s="74" t="s">
        <v>113</v>
      </c>
      <c r="D953" s="74" t="s">
        <v>114</v>
      </c>
      <c r="E953" s="74" t="s">
        <v>115</v>
      </c>
      <c r="F953" s="86"/>
      <c r="G953" s="74" t="s">
        <v>112</v>
      </c>
      <c r="H953" s="74" t="s">
        <v>113</v>
      </c>
      <c r="I953" s="74" t="s">
        <v>114</v>
      </c>
      <c r="J953" s="74" t="s">
        <v>115</v>
      </c>
      <c r="K953" s="75"/>
      <c r="L953" s="75"/>
    </row>
    <row r="954" spans="1:12" ht="13.15" x14ac:dyDescent="0.4">
      <c r="A954" s="73" t="s">
        <v>127</v>
      </c>
      <c r="B954" s="86">
        <v>43</v>
      </c>
      <c r="C954" s="86">
        <v>26</v>
      </c>
      <c r="D954" s="86">
        <v>16</v>
      </c>
      <c r="E954" s="86">
        <v>1</v>
      </c>
      <c r="F954" s="86"/>
      <c r="G954" s="75">
        <f>B954/43</f>
        <v>1</v>
      </c>
      <c r="H954" s="75">
        <f>C954/B954</f>
        <v>0.60465116279069764</v>
      </c>
      <c r="I954" s="75">
        <f>D954/B954</f>
        <v>0.37209302325581395</v>
      </c>
      <c r="J954" s="75">
        <f>E954/B954</f>
        <v>2.3255813953488372E-2</v>
      </c>
      <c r="K954" s="75"/>
      <c r="L954" s="75"/>
    </row>
    <row r="955" spans="1:12" ht="13.15" x14ac:dyDescent="0.4">
      <c r="A955" s="73" t="s">
        <v>128</v>
      </c>
      <c r="B955" s="86">
        <v>30</v>
      </c>
      <c r="C955" s="86">
        <v>17</v>
      </c>
      <c r="D955" s="86">
        <v>9</v>
      </c>
      <c r="E955" s="86">
        <v>4</v>
      </c>
      <c r="F955" s="86"/>
      <c r="G955" s="75">
        <f>B955/30</f>
        <v>1</v>
      </c>
      <c r="H955" s="75">
        <f t="shared" ref="H955:H964" si="44">C955/B955</f>
        <v>0.56666666666666665</v>
      </c>
      <c r="I955" s="75">
        <f t="shared" ref="I955:I964" si="45">D955/B955</f>
        <v>0.3</v>
      </c>
      <c r="J955" s="75">
        <f t="shared" ref="J955:J964" si="46">E955/B955</f>
        <v>0.13333333333333333</v>
      </c>
      <c r="K955" s="75"/>
      <c r="L955" s="75"/>
    </row>
    <row r="956" spans="1:12" ht="13.15" x14ac:dyDescent="0.4">
      <c r="A956" s="73" t="s">
        <v>129</v>
      </c>
      <c r="B956" s="86">
        <v>61</v>
      </c>
      <c r="C956" s="86">
        <v>39</v>
      </c>
      <c r="D956" s="86">
        <v>16</v>
      </c>
      <c r="E956" s="86">
        <v>6</v>
      </c>
      <c r="F956" s="86"/>
      <c r="G956" s="75">
        <f>B956/61</f>
        <v>1</v>
      </c>
      <c r="H956" s="75">
        <f t="shared" si="44"/>
        <v>0.63934426229508201</v>
      </c>
      <c r="I956" s="75">
        <f t="shared" si="45"/>
        <v>0.26229508196721313</v>
      </c>
      <c r="J956" s="75">
        <f t="shared" si="46"/>
        <v>9.8360655737704916E-2</v>
      </c>
      <c r="K956" s="75"/>
      <c r="L956" s="75"/>
    </row>
    <row r="957" spans="1:12" ht="13.15" x14ac:dyDescent="0.4">
      <c r="A957" s="73" t="s">
        <v>130</v>
      </c>
      <c r="B957" s="86">
        <v>83</v>
      </c>
      <c r="C957" s="86">
        <v>53</v>
      </c>
      <c r="D957" s="86">
        <v>26</v>
      </c>
      <c r="E957" s="86">
        <v>4</v>
      </c>
      <c r="F957" s="86"/>
      <c r="G957" s="75">
        <f>B957/83</f>
        <v>1</v>
      </c>
      <c r="H957" s="75">
        <f t="shared" si="44"/>
        <v>0.63855421686746983</v>
      </c>
      <c r="I957" s="75">
        <f t="shared" si="45"/>
        <v>0.31325301204819278</v>
      </c>
      <c r="J957" s="75">
        <f t="shared" si="46"/>
        <v>4.8192771084337352E-2</v>
      </c>
      <c r="K957" s="75"/>
      <c r="L957" s="75"/>
    </row>
    <row r="958" spans="1:12" ht="13.15" x14ac:dyDescent="0.4">
      <c r="A958" s="73" t="s">
        <v>131</v>
      </c>
      <c r="B958" s="86">
        <v>40</v>
      </c>
      <c r="C958" s="86">
        <v>25</v>
      </c>
      <c r="D958" s="86">
        <v>9</v>
      </c>
      <c r="E958" s="86">
        <v>6</v>
      </c>
      <c r="F958" s="86"/>
      <c r="G958" s="75">
        <f>B958/40</f>
        <v>1</v>
      </c>
      <c r="H958" s="75">
        <f t="shared" si="44"/>
        <v>0.625</v>
      </c>
      <c r="I958" s="75">
        <f t="shared" si="45"/>
        <v>0.22500000000000001</v>
      </c>
      <c r="J958" s="75">
        <f t="shared" si="46"/>
        <v>0.15</v>
      </c>
      <c r="K958" s="72"/>
      <c r="L958" s="75"/>
    </row>
    <row r="959" spans="1:12" ht="13.15" x14ac:dyDescent="0.4">
      <c r="A959" s="73" t="s">
        <v>132</v>
      </c>
      <c r="B959" s="86">
        <v>54</v>
      </c>
      <c r="C959" s="86">
        <v>40</v>
      </c>
      <c r="D959" s="86">
        <v>9</v>
      </c>
      <c r="E959" s="86">
        <v>5</v>
      </c>
      <c r="F959" s="86"/>
      <c r="G959" s="75">
        <f>B959/54</f>
        <v>1</v>
      </c>
      <c r="H959" s="75">
        <f t="shared" si="44"/>
        <v>0.7407407407407407</v>
      </c>
      <c r="I959" s="75">
        <f t="shared" si="45"/>
        <v>0.16666666666666666</v>
      </c>
      <c r="J959" s="75">
        <f t="shared" si="46"/>
        <v>9.2592592592592587E-2</v>
      </c>
      <c r="K959" s="72"/>
      <c r="L959" s="72"/>
    </row>
    <row r="960" spans="1:12" ht="13.15" x14ac:dyDescent="0.4">
      <c r="A960" s="73" t="s">
        <v>133</v>
      </c>
      <c r="B960" s="86">
        <v>81</v>
      </c>
      <c r="C960" s="86">
        <v>57</v>
      </c>
      <c r="D960" s="86">
        <v>20</v>
      </c>
      <c r="E960" s="86">
        <v>4</v>
      </c>
      <c r="F960" s="87"/>
      <c r="G960" s="75">
        <f>B960/81</f>
        <v>1</v>
      </c>
      <c r="H960" s="75">
        <f t="shared" si="44"/>
        <v>0.70370370370370372</v>
      </c>
      <c r="I960" s="75">
        <f t="shared" si="45"/>
        <v>0.24691358024691357</v>
      </c>
      <c r="J960" s="75">
        <f t="shared" si="46"/>
        <v>4.9382716049382713E-2</v>
      </c>
      <c r="K960" s="74"/>
      <c r="L960" s="74"/>
    </row>
    <row r="961" spans="1:13" ht="13.15" x14ac:dyDescent="0.4">
      <c r="A961" s="73" t="s">
        <v>134</v>
      </c>
      <c r="B961" s="86">
        <v>70</v>
      </c>
      <c r="C961" s="86">
        <v>51</v>
      </c>
      <c r="D961" s="86">
        <v>13</v>
      </c>
      <c r="E961" s="86">
        <v>6</v>
      </c>
      <c r="F961" s="87"/>
      <c r="G961" s="75">
        <f>B961/70</f>
        <v>1</v>
      </c>
      <c r="H961" s="75">
        <f t="shared" si="44"/>
        <v>0.72857142857142854</v>
      </c>
      <c r="I961" s="75">
        <f t="shared" si="45"/>
        <v>0.18571428571428572</v>
      </c>
      <c r="J961" s="75">
        <f t="shared" si="46"/>
        <v>8.5714285714285715E-2</v>
      </c>
      <c r="K961" s="75"/>
      <c r="L961" s="75"/>
    </row>
    <row r="962" spans="1:13" ht="13.15" x14ac:dyDescent="0.4">
      <c r="A962" s="73" t="s">
        <v>376</v>
      </c>
      <c r="B962" s="86">
        <v>7</v>
      </c>
      <c r="C962" s="86">
        <v>2</v>
      </c>
      <c r="D962" s="86">
        <v>3</v>
      </c>
      <c r="E962" s="86">
        <v>2</v>
      </c>
      <c r="F962" s="87"/>
      <c r="G962" s="75">
        <f>B962/7</f>
        <v>1</v>
      </c>
      <c r="H962" s="75">
        <f t="shared" si="44"/>
        <v>0.2857142857142857</v>
      </c>
      <c r="I962" s="75">
        <f t="shared" si="45"/>
        <v>0.42857142857142855</v>
      </c>
      <c r="J962" s="75">
        <f t="shared" si="46"/>
        <v>0.2857142857142857</v>
      </c>
      <c r="K962" s="75"/>
      <c r="L962" s="75"/>
    </row>
    <row r="963" spans="1:13" ht="13.15" x14ac:dyDescent="0.4">
      <c r="A963" s="73" t="s">
        <v>135</v>
      </c>
      <c r="B963" s="86">
        <v>31</v>
      </c>
      <c r="C963" s="86">
        <v>17</v>
      </c>
      <c r="D963" s="86">
        <v>13</v>
      </c>
      <c r="E963" s="86">
        <v>1</v>
      </c>
      <c r="F963" s="87"/>
      <c r="G963" s="75">
        <f>B963/31</f>
        <v>1</v>
      </c>
      <c r="H963" s="75">
        <f t="shared" si="44"/>
        <v>0.54838709677419351</v>
      </c>
      <c r="I963" s="75">
        <f t="shared" si="45"/>
        <v>0.41935483870967744</v>
      </c>
      <c r="J963" s="75">
        <f t="shared" si="46"/>
        <v>3.2258064516129031E-2</v>
      </c>
      <c r="K963" s="75"/>
      <c r="L963" s="75"/>
    </row>
    <row r="964" spans="1:13" ht="13.15" x14ac:dyDescent="0.4">
      <c r="A964" s="73" t="s">
        <v>23</v>
      </c>
      <c r="B964" s="87">
        <v>500</v>
      </c>
      <c r="C964" s="86">
        <v>327</v>
      </c>
      <c r="D964" s="86">
        <v>134</v>
      </c>
      <c r="E964" s="87">
        <v>39</v>
      </c>
      <c r="F964" s="72"/>
      <c r="G964" s="75">
        <f>B964/500</f>
        <v>1</v>
      </c>
      <c r="H964" s="75">
        <f t="shared" si="44"/>
        <v>0.65400000000000003</v>
      </c>
      <c r="I964" s="75">
        <f t="shared" si="45"/>
        <v>0.26800000000000002</v>
      </c>
      <c r="J964" s="75">
        <f t="shared" si="46"/>
        <v>7.8E-2</v>
      </c>
      <c r="K964" s="75"/>
      <c r="L964" s="75"/>
    </row>
    <row r="965" spans="1:13" ht="13.15" x14ac:dyDescent="0.4">
      <c r="A965" s="73"/>
      <c r="B965" s="87"/>
      <c r="C965" s="86"/>
      <c r="D965" s="86"/>
      <c r="E965" s="87"/>
      <c r="F965" s="72"/>
      <c r="G965" s="75"/>
      <c r="H965" s="75"/>
      <c r="I965" s="75"/>
      <c r="J965" s="75"/>
      <c r="K965" s="75"/>
      <c r="L965" s="75"/>
    </row>
    <row r="966" spans="1:13" ht="13.15" x14ac:dyDescent="0.4">
      <c r="A966" s="73"/>
      <c r="B966" s="87"/>
      <c r="C966" s="86"/>
      <c r="D966" s="86"/>
      <c r="E966" s="87"/>
      <c r="F966" s="86"/>
      <c r="G966" s="75"/>
      <c r="H966" s="75"/>
      <c r="I966" s="75"/>
      <c r="J966" s="75"/>
      <c r="K966" s="75"/>
      <c r="L966" s="75"/>
    </row>
    <row r="967" spans="1:13" ht="13.15" x14ac:dyDescent="0.4">
      <c r="A967" s="104" t="s">
        <v>238</v>
      </c>
      <c r="B967" s="72"/>
      <c r="C967" s="72"/>
      <c r="D967" s="72"/>
      <c r="E967" s="72"/>
      <c r="F967" s="74"/>
      <c r="G967" s="72"/>
      <c r="H967" s="72"/>
      <c r="I967" s="72"/>
      <c r="J967" s="72"/>
      <c r="K967" s="75"/>
      <c r="L967" s="75"/>
    </row>
    <row r="968" spans="1:13" ht="13.15" x14ac:dyDescent="0.4">
      <c r="A968" s="73" t="s">
        <v>175</v>
      </c>
      <c r="B968" s="72" t="s">
        <v>139</v>
      </c>
      <c r="C968" s="72"/>
      <c r="D968" s="72"/>
      <c r="E968" s="72"/>
      <c r="F968" s="86"/>
      <c r="G968" s="72" t="s">
        <v>146</v>
      </c>
      <c r="H968" s="72"/>
      <c r="I968" s="72"/>
      <c r="J968" s="72"/>
      <c r="K968" s="75"/>
      <c r="L968" s="75"/>
    </row>
    <row r="969" spans="1:13" ht="13.15" x14ac:dyDescent="0.4">
      <c r="A969" s="73" t="s">
        <v>136</v>
      </c>
      <c r="B969" s="74" t="s">
        <v>112</v>
      </c>
      <c r="C969" s="74" t="s">
        <v>113</v>
      </c>
      <c r="D969" s="74" t="s">
        <v>114</v>
      </c>
      <c r="E969" s="74" t="s">
        <v>115</v>
      </c>
      <c r="F969" s="86"/>
      <c r="G969" s="74" t="s">
        <v>112</v>
      </c>
      <c r="H969" s="74" t="s">
        <v>113</v>
      </c>
      <c r="I969" s="74" t="s">
        <v>114</v>
      </c>
      <c r="J969" s="74" t="s">
        <v>115</v>
      </c>
      <c r="K969" s="75"/>
      <c r="L969" s="75"/>
      <c r="M969"/>
    </row>
    <row r="970" spans="1:13" ht="13.15" x14ac:dyDescent="0.4">
      <c r="A970" s="73" t="s">
        <v>127</v>
      </c>
      <c r="B970" s="86">
        <v>43</v>
      </c>
      <c r="C970" s="86">
        <v>31</v>
      </c>
      <c r="D970" s="86">
        <v>11</v>
      </c>
      <c r="E970" s="86">
        <v>1</v>
      </c>
      <c r="F970" s="86"/>
      <c r="G970" s="75">
        <f>B970/43</f>
        <v>1</v>
      </c>
      <c r="H970" s="75">
        <f>C970/B970</f>
        <v>0.72093023255813948</v>
      </c>
      <c r="I970" s="75">
        <f>D970/B970</f>
        <v>0.2558139534883721</v>
      </c>
      <c r="J970" s="75">
        <f>E970/B970</f>
        <v>2.3255813953488372E-2</v>
      </c>
      <c r="K970" s="75"/>
      <c r="L970" s="75"/>
      <c r="M970"/>
    </row>
    <row r="971" spans="1:13" ht="13.15" x14ac:dyDescent="0.4">
      <c r="A971" s="73" t="s">
        <v>128</v>
      </c>
      <c r="B971" s="86">
        <v>30</v>
      </c>
      <c r="C971" s="86">
        <v>15</v>
      </c>
      <c r="D971" s="86">
        <v>10</v>
      </c>
      <c r="E971" s="86">
        <v>5</v>
      </c>
      <c r="F971" s="86"/>
      <c r="G971" s="75">
        <f>B971/30</f>
        <v>1</v>
      </c>
      <c r="H971" s="75">
        <f t="shared" ref="H971:H980" si="47">C971/B971</f>
        <v>0.5</v>
      </c>
      <c r="I971" s="75">
        <f t="shared" ref="I971:I980" si="48">D971/B971</f>
        <v>0.33333333333333331</v>
      </c>
      <c r="J971" s="75">
        <f t="shared" ref="J971:J980" si="49">E971/B971</f>
        <v>0.16666666666666666</v>
      </c>
      <c r="K971" s="75"/>
      <c r="L971" s="75"/>
      <c r="M971"/>
    </row>
    <row r="972" spans="1:13" ht="13.15" x14ac:dyDescent="0.4">
      <c r="A972" s="73" t="s">
        <v>129</v>
      </c>
      <c r="B972" s="86">
        <v>61</v>
      </c>
      <c r="C972" s="86">
        <v>34</v>
      </c>
      <c r="D972" s="86">
        <v>20</v>
      </c>
      <c r="E972" s="86">
        <v>7</v>
      </c>
      <c r="F972" s="86"/>
      <c r="G972" s="75">
        <f>B972/60</f>
        <v>1.0166666666666666</v>
      </c>
      <c r="H972" s="75">
        <f t="shared" si="47"/>
        <v>0.55737704918032782</v>
      </c>
      <c r="I972" s="75">
        <f t="shared" si="48"/>
        <v>0.32786885245901637</v>
      </c>
      <c r="J972" s="75">
        <f t="shared" si="49"/>
        <v>0.11475409836065574</v>
      </c>
      <c r="K972" s="75"/>
      <c r="L972" s="75"/>
      <c r="M972"/>
    </row>
    <row r="973" spans="1:13" ht="13.15" x14ac:dyDescent="0.4">
      <c r="A973" s="73" t="s">
        <v>130</v>
      </c>
      <c r="B973" s="86">
        <v>81</v>
      </c>
      <c r="C973" s="86">
        <v>57</v>
      </c>
      <c r="D973" s="86">
        <v>15</v>
      </c>
      <c r="E973" s="86">
        <v>9</v>
      </c>
      <c r="F973" s="86"/>
      <c r="G973" s="75">
        <f>B973/82</f>
        <v>0.98780487804878048</v>
      </c>
      <c r="H973" s="75">
        <f t="shared" si="47"/>
        <v>0.70370370370370372</v>
      </c>
      <c r="I973" s="75">
        <f t="shared" si="48"/>
        <v>0.18518518518518517</v>
      </c>
      <c r="J973" s="75">
        <f t="shared" si="49"/>
        <v>0.1111111111111111</v>
      </c>
      <c r="K973" s="75"/>
      <c r="L973" s="74"/>
      <c r="M973"/>
    </row>
    <row r="974" spans="1:13" ht="13.15" x14ac:dyDescent="0.4">
      <c r="A974" s="73" t="s">
        <v>131</v>
      </c>
      <c r="B974" s="86">
        <v>41</v>
      </c>
      <c r="C974" s="86">
        <v>25</v>
      </c>
      <c r="D974" s="86">
        <v>11</v>
      </c>
      <c r="E974" s="86">
        <v>5</v>
      </c>
      <c r="F974" s="86"/>
      <c r="G974" s="75">
        <f>B974/42</f>
        <v>0.97619047619047616</v>
      </c>
      <c r="H974" s="75">
        <f t="shared" si="47"/>
        <v>0.6097560975609756</v>
      </c>
      <c r="I974" s="75">
        <f t="shared" si="48"/>
        <v>0.26829268292682928</v>
      </c>
      <c r="J974" s="75">
        <f t="shared" si="49"/>
        <v>0.12195121951219512</v>
      </c>
      <c r="K974" s="72"/>
      <c r="L974" s="128"/>
    </row>
    <row r="975" spans="1:13" ht="13.15" x14ac:dyDescent="0.4">
      <c r="A975" s="73" t="s">
        <v>132</v>
      </c>
      <c r="B975" s="86">
        <v>53</v>
      </c>
      <c r="C975" s="86">
        <v>38</v>
      </c>
      <c r="D975" s="86">
        <v>12</v>
      </c>
      <c r="E975" s="86">
        <v>3</v>
      </c>
      <c r="F975" s="86"/>
      <c r="G975" s="75">
        <f>B975/53</f>
        <v>1</v>
      </c>
      <c r="H975" s="75">
        <f t="shared" si="47"/>
        <v>0.71698113207547165</v>
      </c>
      <c r="I975" s="75">
        <f t="shared" si="48"/>
        <v>0.22641509433962265</v>
      </c>
      <c r="J975" s="75">
        <f t="shared" si="49"/>
        <v>5.6603773584905662E-2</v>
      </c>
      <c r="K975" s="72"/>
      <c r="L975" s="128"/>
    </row>
    <row r="976" spans="1:13" ht="13.15" x14ac:dyDescent="0.4">
      <c r="A976" s="73" t="s">
        <v>133</v>
      </c>
      <c r="B976" s="86">
        <v>81</v>
      </c>
      <c r="C976" s="86">
        <v>60</v>
      </c>
      <c r="D976" s="86">
        <v>16</v>
      </c>
      <c r="E976" s="86">
        <v>5</v>
      </c>
      <c r="F976" s="87"/>
      <c r="G976" s="75">
        <f>B976/81</f>
        <v>1</v>
      </c>
      <c r="H976" s="75">
        <f t="shared" si="47"/>
        <v>0.7407407407407407</v>
      </c>
      <c r="I976" s="75">
        <f t="shared" si="48"/>
        <v>0.19753086419753085</v>
      </c>
      <c r="J976" s="75">
        <f t="shared" si="49"/>
        <v>6.1728395061728392E-2</v>
      </c>
      <c r="K976" s="74"/>
      <c r="L976" s="128"/>
    </row>
    <row r="977" spans="1:12" ht="13.15" x14ac:dyDescent="0.4">
      <c r="A977" s="73" t="s">
        <v>134</v>
      </c>
      <c r="B977" s="86">
        <v>70</v>
      </c>
      <c r="C977" s="86">
        <v>47</v>
      </c>
      <c r="D977" s="86">
        <v>19</v>
      </c>
      <c r="E977" s="86">
        <v>4</v>
      </c>
      <c r="F977" s="87"/>
      <c r="G977" s="75">
        <f>B977/70</f>
        <v>1</v>
      </c>
      <c r="H977" s="75">
        <f t="shared" si="47"/>
        <v>0.67142857142857137</v>
      </c>
      <c r="I977" s="75">
        <f t="shared" si="48"/>
        <v>0.27142857142857141</v>
      </c>
      <c r="J977" s="75">
        <f t="shared" si="49"/>
        <v>5.7142857142857141E-2</v>
      </c>
      <c r="K977" s="75"/>
      <c r="L977" s="128"/>
    </row>
    <row r="978" spans="1:12" ht="13.15" x14ac:dyDescent="0.4">
      <c r="A978" s="73" t="s">
        <v>376</v>
      </c>
      <c r="B978" s="86">
        <v>8</v>
      </c>
      <c r="C978" s="86">
        <v>5</v>
      </c>
      <c r="D978" s="86">
        <v>2</v>
      </c>
      <c r="E978" s="86">
        <v>1</v>
      </c>
      <c r="F978" s="87"/>
      <c r="G978" s="75">
        <f>B978/8</f>
        <v>1</v>
      </c>
      <c r="H978" s="75">
        <f t="shared" si="47"/>
        <v>0.625</v>
      </c>
      <c r="I978" s="75">
        <f t="shared" si="48"/>
        <v>0.25</v>
      </c>
      <c r="J978" s="75">
        <f t="shared" si="49"/>
        <v>0.125</v>
      </c>
      <c r="K978" s="75"/>
      <c r="L978" s="128"/>
    </row>
    <row r="979" spans="1:12" ht="13.15" x14ac:dyDescent="0.4">
      <c r="A979" s="73" t="s">
        <v>135</v>
      </c>
      <c r="B979" s="86">
        <v>31</v>
      </c>
      <c r="C979" s="86">
        <v>17</v>
      </c>
      <c r="D979" s="86">
        <v>13</v>
      </c>
      <c r="E979" s="86">
        <v>1</v>
      </c>
      <c r="F979" s="87"/>
      <c r="G979" s="75">
        <f>B979/31</f>
        <v>1</v>
      </c>
      <c r="H979" s="75">
        <f t="shared" si="47"/>
        <v>0.54838709677419351</v>
      </c>
      <c r="I979" s="75">
        <f t="shared" si="48"/>
        <v>0.41935483870967744</v>
      </c>
      <c r="J979" s="75">
        <f t="shared" si="49"/>
        <v>3.2258064516129031E-2</v>
      </c>
      <c r="K979" s="75"/>
      <c r="L979" s="128"/>
    </row>
    <row r="980" spans="1:12" ht="13.15" x14ac:dyDescent="0.4">
      <c r="A980" s="73" t="s">
        <v>23</v>
      </c>
      <c r="B980" s="87">
        <v>499</v>
      </c>
      <c r="C980" s="86">
        <v>329</v>
      </c>
      <c r="D980" s="86">
        <v>129</v>
      </c>
      <c r="E980" s="87">
        <v>41</v>
      </c>
      <c r="F980" s="72"/>
      <c r="G980" s="75">
        <f>B980/500</f>
        <v>0.998</v>
      </c>
      <c r="H980" s="75">
        <f t="shared" si="47"/>
        <v>0.65931863727454909</v>
      </c>
      <c r="I980" s="75">
        <f t="shared" si="48"/>
        <v>0.25851703406813625</v>
      </c>
      <c r="J980" s="75">
        <f t="shared" si="49"/>
        <v>8.2164328657314628E-2</v>
      </c>
      <c r="K980" s="75"/>
      <c r="L980" s="128"/>
    </row>
    <row r="981" spans="1:12" ht="13.15" x14ac:dyDescent="0.4">
      <c r="A981" s="73"/>
      <c r="B981" s="87"/>
      <c r="C981" s="86"/>
      <c r="D981" s="86"/>
      <c r="E981" s="87"/>
      <c r="F981" s="72"/>
      <c r="G981" s="75"/>
      <c r="H981" s="75"/>
      <c r="I981" s="75"/>
      <c r="J981" s="75"/>
      <c r="K981" s="75"/>
      <c r="L981" s="128"/>
    </row>
    <row r="982" spans="1:12" ht="13.15" x14ac:dyDescent="0.4">
      <c r="A982" s="73"/>
      <c r="B982" s="87"/>
      <c r="C982" s="86"/>
      <c r="D982" s="86"/>
      <c r="E982" s="87"/>
      <c r="F982" s="86"/>
      <c r="G982" s="75"/>
      <c r="H982" s="75"/>
      <c r="I982" s="75"/>
      <c r="J982" s="75"/>
      <c r="K982" s="75"/>
      <c r="L982" s="128"/>
    </row>
    <row r="983" spans="1:12" ht="13.15" x14ac:dyDescent="0.4">
      <c r="A983" s="104" t="s">
        <v>241</v>
      </c>
      <c r="B983" s="72"/>
      <c r="C983" s="72"/>
      <c r="D983" s="72"/>
      <c r="E983" s="72"/>
      <c r="F983" s="86"/>
      <c r="G983" s="72"/>
      <c r="H983" s="72"/>
      <c r="I983" s="72"/>
      <c r="J983" s="72"/>
      <c r="K983" s="75"/>
      <c r="L983" s="128"/>
    </row>
    <row r="984" spans="1:12" ht="13.15" x14ac:dyDescent="0.4">
      <c r="A984" s="73" t="s">
        <v>168</v>
      </c>
      <c r="B984" s="72" t="s">
        <v>139</v>
      </c>
      <c r="C984" s="72"/>
      <c r="D984" s="72"/>
      <c r="E984" s="72"/>
      <c r="F984" s="86"/>
      <c r="G984" s="72" t="s">
        <v>146</v>
      </c>
      <c r="H984" s="72"/>
      <c r="I984" s="72"/>
      <c r="J984" s="72"/>
      <c r="K984" s="75"/>
      <c r="L984" s="128"/>
    </row>
    <row r="985" spans="1:12" ht="13.15" x14ac:dyDescent="0.4">
      <c r="A985" s="73" t="s">
        <v>136</v>
      </c>
      <c r="B985" s="74" t="s">
        <v>112</v>
      </c>
      <c r="C985" s="74" t="s">
        <v>113</v>
      </c>
      <c r="D985" s="74" t="s">
        <v>114</v>
      </c>
      <c r="E985" s="74" t="s">
        <v>115</v>
      </c>
      <c r="F985" s="86"/>
      <c r="G985" s="74" t="s">
        <v>112</v>
      </c>
      <c r="H985" s="74" t="s">
        <v>113</v>
      </c>
      <c r="I985" s="74" t="s">
        <v>114</v>
      </c>
      <c r="J985" s="74" t="s">
        <v>115</v>
      </c>
      <c r="K985" s="75"/>
      <c r="L985" s="128"/>
    </row>
    <row r="986" spans="1:12" ht="13.15" x14ac:dyDescent="0.4">
      <c r="A986" s="73" t="s">
        <v>127</v>
      </c>
      <c r="B986" s="86">
        <v>43</v>
      </c>
      <c r="C986" s="86">
        <v>23</v>
      </c>
      <c r="D986" s="86">
        <v>16</v>
      </c>
      <c r="E986" s="86">
        <v>4</v>
      </c>
      <c r="F986" s="86"/>
      <c r="G986" s="75">
        <f>B986/43</f>
        <v>1</v>
      </c>
      <c r="H986" s="75">
        <f>C986/B986</f>
        <v>0.53488372093023251</v>
      </c>
      <c r="I986" s="75">
        <f>D986/B986</f>
        <v>0.37209302325581395</v>
      </c>
      <c r="J986" s="75">
        <f>E986/B986</f>
        <v>9.3023255813953487E-2</v>
      </c>
      <c r="K986" s="75"/>
      <c r="L986" s="128"/>
    </row>
    <row r="987" spans="1:12" ht="13.15" x14ac:dyDescent="0.4">
      <c r="A987" s="73" t="s">
        <v>128</v>
      </c>
      <c r="B987" s="86">
        <v>30</v>
      </c>
      <c r="C987" s="86">
        <v>15</v>
      </c>
      <c r="D987" s="86">
        <v>10</v>
      </c>
      <c r="E987" s="86">
        <v>5</v>
      </c>
      <c r="F987" s="86"/>
      <c r="G987" s="75">
        <f>B987/30</f>
        <v>1</v>
      </c>
      <c r="H987" s="75">
        <f t="shared" ref="H987:H996" si="50">C987/B987</f>
        <v>0.5</v>
      </c>
      <c r="I987" s="75">
        <f t="shared" ref="I987:I996" si="51">D987/B987</f>
        <v>0.33333333333333331</v>
      </c>
      <c r="J987" s="75">
        <f t="shared" ref="J987:J996" si="52">E987/B987</f>
        <v>0.16666666666666666</v>
      </c>
      <c r="K987" s="75"/>
    </row>
    <row r="988" spans="1:12" ht="13.15" x14ac:dyDescent="0.4">
      <c r="A988" s="73" t="s">
        <v>129</v>
      </c>
      <c r="B988" s="86">
        <v>60</v>
      </c>
      <c r="C988" s="86">
        <v>36</v>
      </c>
      <c r="D988" s="86">
        <v>19</v>
      </c>
      <c r="E988" s="86">
        <v>5</v>
      </c>
      <c r="F988" s="86"/>
      <c r="G988" s="75">
        <f>B988/60</f>
        <v>1</v>
      </c>
      <c r="H988" s="75">
        <f t="shared" si="50"/>
        <v>0.6</v>
      </c>
      <c r="I988" s="75">
        <f t="shared" si="51"/>
        <v>0.31666666666666665</v>
      </c>
      <c r="J988" s="75">
        <f t="shared" si="52"/>
        <v>8.3333333333333329E-2</v>
      </c>
      <c r="K988" s="75"/>
    </row>
    <row r="989" spans="1:12" ht="13.15" x14ac:dyDescent="0.4">
      <c r="A989" s="73" t="s">
        <v>130</v>
      </c>
      <c r="B989" s="86">
        <v>83</v>
      </c>
      <c r="C989" s="86">
        <v>59</v>
      </c>
      <c r="D989" s="86">
        <v>18</v>
      </c>
      <c r="E989" s="86">
        <v>6</v>
      </c>
      <c r="F989" s="86"/>
      <c r="G989" s="75">
        <f>B989/83</f>
        <v>1</v>
      </c>
      <c r="H989" s="75">
        <f t="shared" si="50"/>
        <v>0.71084337349397586</v>
      </c>
      <c r="I989" s="75">
        <f t="shared" si="51"/>
        <v>0.21686746987951808</v>
      </c>
      <c r="J989" s="75">
        <f t="shared" si="52"/>
        <v>7.2289156626506021E-2</v>
      </c>
      <c r="K989" s="75"/>
    </row>
    <row r="990" spans="1:12" ht="13.15" x14ac:dyDescent="0.4">
      <c r="A990" s="73" t="s">
        <v>131</v>
      </c>
      <c r="B990" s="86">
        <v>42</v>
      </c>
      <c r="C990" s="86">
        <v>30</v>
      </c>
      <c r="D990" s="86">
        <v>11</v>
      </c>
      <c r="E990" s="86">
        <v>1</v>
      </c>
      <c r="F990" s="86"/>
      <c r="G990" s="75">
        <f>B990/42</f>
        <v>1</v>
      </c>
      <c r="H990" s="75">
        <f t="shared" si="50"/>
        <v>0.7142857142857143</v>
      </c>
      <c r="I990" s="75">
        <f t="shared" si="51"/>
        <v>0.26190476190476192</v>
      </c>
      <c r="J990" s="75">
        <f t="shared" si="52"/>
        <v>2.3809523809523808E-2</v>
      </c>
      <c r="K990" s="75"/>
    </row>
    <row r="991" spans="1:12" ht="13.15" x14ac:dyDescent="0.4">
      <c r="A991" s="73" t="s">
        <v>132</v>
      </c>
      <c r="B991" s="86">
        <v>52</v>
      </c>
      <c r="C991" s="86">
        <v>32</v>
      </c>
      <c r="D991" s="86">
        <v>11</v>
      </c>
      <c r="E991" s="86">
        <v>9</v>
      </c>
      <c r="F991" s="86"/>
      <c r="G991" s="75">
        <f>B991/52</f>
        <v>1</v>
      </c>
      <c r="H991" s="75">
        <f t="shared" si="50"/>
        <v>0.61538461538461542</v>
      </c>
      <c r="I991" s="75">
        <f t="shared" si="51"/>
        <v>0.21153846153846154</v>
      </c>
      <c r="J991" s="75">
        <f t="shared" si="52"/>
        <v>0.17307692307692307</v>
      </c>
      <c r="K991" s="72"/>
    </row>
    <row r="992" spans="1:12" ht="13.15" x14ac:dyDescent="0.4">
      <c r="A992" s="73" t="s">
        <v>133</v>
      </c>
      <c r="B992" s="86">
        <v>81</v>
      </c>
      <c r="C992" s="86">
        <v>53</v>
      </c>
      <c r="D992" s="86">
        <v>20</v>
      </c>
      <c r="E992" s="86">
        <v>8</v>
      </c>
      <c r="F992" s="87"/>
      <c r="G992" s="75">
        <f>B992/81</f>
        <v>1</v>
      </c>
      <c r="H992" s="75">
        <f t="shared" si="50"/>
        <v>0.65432098765432101</v>
      </c>
      <c r="I992" s="75">
        <f t="shared" si="51"/>
        <v>0.24691358024691357</v>
      </c>
      <c r="J992" s="75">
        <f t="shared" si="52"/>
        <v>9.8765432098765427E-2</v>
      </c>
      <c r="K992" s="74"/>
    </row>
    <row r="993" spans="1:11" ht="13.15" x14ac:dyDescent="0.4">
      <c r="A993" s="73" t="s">
        <v>134</v>
      </c>
      <c r="B993" s="86">
        <v>70</v>
      </c>
      <c r="C993" s="86">
        <v>56</v>
      </c>
      <c r="D993" s="86">
        <v>8</v>
      </c>
      <c r="E993" s="86">
        <v>6</v>
      </c>
      <c r="F993" s="87"/>
      <c r="G993" s="75">
        <f>B993/70</f>
        <v>1</v>
      </c>
      <c r="H993" s="75">
        <f t="shared" si="50"/>
        <v>0.8</v>
      </c>
      <c r="I993" s="75">
        <f t="shared" si="51"/>
        <v>0.11428571428571428</v>
      </c>
      <c r="J993" s="75">
        <f t="shared" si="52"/>
        <v>8.5714285714285715E-2</v>
      </c>
      <c r="K993" s="75"/>
    </row>
    <row r="994" spans="1:11" ht="13.15" x14ac:dyDescent="0.4">
      <c r="A994" s="73" t="s">
        <v>376</v>
      </c>
      <c r="B994" s="86">
        <v>8</v>
      </c>
      <c r="C994" s="86">
        <v>2</v>
      </c>
      <c r="D994" s="86">
        <v>3</v>
      </c>
      <c r="E994" s="86">
        <v>3</v>
      </c>
      <c r="F994" s="87"/>
      <c r="G994" s="75">
        <f>B994/8</f>
        <v>1</v>
      </c>
      <c r="H994" s="75">
        <f t="shared" si="50"/>
        <v>0.25</v>
      </c>
      <c r="I994" s="75">
        <f t="shared" si="51"/>
        <v>0.375</v>
      </c>
      <c r="J994" s="75">
        <f t="shared" si="52"/>
        <v>0.375</v>
      </c>
      <c r="K994" s="75"/>
    </row>
    <row r="995" spans="1:11" ht="13.15" x14ac:dyDescent="0.4">
      <c r="A995" s="73" t="s">
        <v>135</v>
      </c>
      <c r="B995" s="86">
        <v>31</v>
      </c>
      <c r="C995" s="86">
        <v>18</v>
      </c>
      <c r="D995" s="86">
        <v>8</v>
      </c>
      <c r="E995" s="86">
        <v>5</v>
      </c>
      <c r="F995" s="87"/>
      <c r="G995" s="75">
        <f>B995/31</f>
        <v>1</v>
      </c>
      <c r="H995" s="75">
        <f t="shared" si="50"/>
        <v>0.58064516129032262</v>
      </c>
      <c r="I995" s="75">
        <f t="shared" si="51"/>
        <v>0.25806451612903225</v>
      </c>
      <c r="J995" s="75">
        <f t="shared" si="52"/>
        <v>0.16129032258064516</v>
      </c>
      <c r="K995" s="75"/>
    </row>
    <row r="996" spans="1:11" ht="13.15" x14ac:dyDescent="0.4">
      <c r="A996" s="73" t="s">
        <v>23</v>
      </c>
      <c r="B996" s="87">
        <v>500</v>
      </c>
      <c r="C996" s="86">
        <v>324</v>
      </c>
      <c r="D996" s="86">
        <v>124</v>
      </c>
      <c r="E996" s="87">
        <v>52</v>
      </c>
      <c r="F996" s="72"/>
      <c r="G996" s="75">
        <f>B996/500</f>
        <v>1</v>
      </c>
      <c r="H996" s="75">
        <f t="shared" si="50"/>
        <v>0.64800000000000002</v>
      </c>
      <c r="I996" s="75">
        <f t="shared" si="51"/>
        <v>0.248</v>
      </c>
      <c r="J996" s="75">
        <f t="shared" si="52"/>
        <v>0.104</v>
      </c>
      <c r="K996" s="75"/>
    </row>
    <row r="997" spans="1:11" ht="13.15" x14ac:dyDescent="0.4">
      <c r="A997" s="73"/>
      <c r="B997" s="87"/>
      <c r="C997" s="86"/>
      <c r="D997" s="86"/>
      <c r="E997" s="87"/>
      <c r="F997" s="72"/>
      <c r="G997" s="75"/>
      <c r="H997" s="75"/>
      <c r="I997" s="75"/>
      <c r="J997" s="75"/>
      <c r="K997" s="75"/>
    </row>
    <row r="998" spans="1:11" ht="13.15" x14ac:dyDescent="0.4">
      <c r="A998" s="73"/>
      <c r="B998" s="87"/>
      <c r="C998" s="86"/>
      <c r="D998" s="86"/>
      <c r="E998" s="87"/>
      <c r="F998" s="86"/>
      <c r="G998" s="75"/>
      <c r="H998" s="75"/>
      <c r="I998" s="75"/>
      <c r="J998" s="75"/>
      <c r="K998" s="75"/>
    </row>
    <row r="999" spans="1:11" ht="13.15" x14ac:dyDescent="0.4">
      <c r="A999" s="104" t="s">
        <v>240</v>
      </c>
      <c r="B999" s="72"/>
      <c r="C999" s="72"/>
      <c r="D999" s="72"/>
      <c r="E999" s="72"/>
      <c r="F999" s="86"/>
      <c r="G999" s="72"/>
      <c r="H999" s="72"/>
      <c r="I999" s="72"/>
      <c r="J999" s="72"/>
      <c r="K999" s="75"/>
    </row>
    <row r="1000" spans="1:11" ht="13.15" x14ac:dyDescent="0.4">
      <c r="A1000" s="73" t="s">
        <v>156</v>
      </c>
      <c r="B1000" s="72" t="s">
        <v>139</v>
      </c>
      <c r="C1000" s="72"/>
      <c r="D1000" s="72"/>
      <c r="E1000" s="72"/>
      <c r="F1000" s="86"/>
      <c r="G1000" s="72" t="s">
        <v>146</v>
      </c>
      <c r="H1000" s="72"/>
      <c r="I1000" s="72"/>
      <c r="J1000" s="72"/>
      <c r="K1000" s="75"/>
    </row>
    <row r="1001" spans="1:11" ht="13.15" x14ac:dyDescent="0.4">
      <c r="A1001" s="73" t="s">
        <v>136</v>
      </c>
      <c r="B1001" s="74" t="s">
        <v>112</v>
      </c>
      <c r="C1001" s="74" t="s">
        <v>113</v>
      </c>
      <c r="D1001" s="74" t="s">
        <v>114</v>
      </c>
      <c r="E1001" s="74" t="s">
        <v>115</v>
      </c>
      <c r="F1001" s="86"/>
      <c r="G1001" s="74" t="s">
        <v>112</v>
      </c>
      <c r="H1001" s="74" t="s">
        <v>113</v>
      </c>
      <c r="I1001" s="74" t="s">
        <v>114</v>
      </c>
      <c r="J1001" s="74" t="s">
        <v>115</v>
      </c>
      <c r="K1001" s="75"/>
    </row>
    <row r="1002" spans="1:11" ht="13.15" x14ac:dyDescent="0.4">
      <c r="A1002" s="73" t="s">
        <v>127</v>
      </c>
      <c r="B1002" s="86">
        <v>44</v>
      </c>
      <c r="C1002" s="86">
        <v>26</v>
      </c>
      <c r="D1002" s="86">
        <v>16</v>
      </c>
      <c r="E1002" s="86">
        <v>2</v>
      </c>
      <c r="F1002" s="86"/>
      <c r="G1002" s="75">
        <f>B1002/44</f>
        <v>1</v>
      </c>
      <c r="H1002" s="75">
        <f>C1002/B1002</f>
        <v>0.59090909090909094</v>
      </c>
      <c r="I1002" s="75">
        <f>D1002/B1002</f>
        <v>0.36363636363636365</v>
      </c>
      <c r="J1002" s="75">
        <f>E1002/B1002</f>
        <v>4.5454545454545456E-2</v>
      </c>
      <c r="K1002" s="75"/>
    </row>
    <row r="1003" spans="1:11" ht="13.15" x14ac:dyDescent="0.4">
      <c r="A1003" s="73" t="s">
        <v>128</v>
      </c>
      <c r="B1003" s="86">
        <v>31</v>
      </c>
      <c r="C1003" s="86">
        <v>12</v>
      </c>
      <c r="D1003" s="86">
        <v>13</v>
      </c>
      <c r="E1003" s="86">
        <v>6</v>
      </c>
      <c r="F1003" s="86"/>
      <c r="G1003" s="75">
        <f>B1003/30</f>
        <v>1.0333333333333334</v>
      </c>
      <c r="H1003" s="75">
        <f t="shared" ref="H1003:H1012" si="53">C1003/B1003</f>
        <v>0.38709677419354838</v>
      </c>
      <c r="I1003" s="75">
        <f t="shared" ref="I1003:I1012" si="54">D1003/B1003</f>
        <v>0.41935483870967744</v>
      </c>
      <c r="J1003" s="75">
        <f t="shared" ref="J1003:J1012" si="55">E1003/B1003</f>
        <v>0.19354838709677419</v>
      </c>
      <c r="K1003" s="75"/>
    </row>
    <row r="1004" spans="1:11" ht="13.15" x14ac:dyDescent="0.4">
      <c r="A1004" s="73" t="s">
        <v>129</v>
      </c>
      <c r="B1004" s="86">
        <v>59</v>
      </c>
      <c r="C1004" s="86">
        <v>35</v>
      </c>
      <c r="D1004" s="86">
        <v>17</v>
      </c>
      <c r="E1004" s="86">
        <v>7</v>
      </c>
      <c r="F1004" s="86"/>
      <c r="G1004" s="75">
        <f>B1004/61</f>
        <v>0.96721311475409832</v>
      </c>
      <c r="H1004" s="75">
        <f t="shared" si="53"/>
        <v>0.59322033898305082</v>
      </c>
      <c r="I1004" s="75">
        <f t="shared" si="54"/>
        <v>0.28813559322033899</v>
      </c>
      <c r="J1004" s="75">
        <f t="shared" si="55"/>
        <v>0.11864406779661017</v>
      </c>
      <c r="K1004" s="75"/>
    </row>
    <row r="1005" spans="1:11" ht="13.15" x14ac:dyDescent="0.4">
      <c r="A1005" s="73" t="s">
        <v>130</v>
      </c>
      <c r="B1005" s="86">
        <v>78</v>
      </c>
      <c r="C1005" s="86">
        <v>53</v>
      </c>
      <c r="D1005" s="86">
        <v>16</v>
      </c>
      <c r="E1005" s="86">
        <v>9</v>
      </c>
      <c r="F1005" s="86"/>
      <c r="G1005" s="75">
        <f>B1005/81</f>
        <v>0.96296296296296291</v>
      </c>
      <c r="H1005" s="75">
        <f t="shared" si="53"/>
        <v>0.67948717948717952</v>
      </c>
      <c r="I1005" s="75">
        <f t="shared" si="54"/>
        <v>0.20512820512820512</v>
      </c>
      <c r="J1005" s="75">
        <f t="shared" si="55"/>
        <v>0.11538461538461539</v>
      </c>
    </row>
    <row r="1006" spans="1:11" ht="13.15" x14ac:dyDescent="0.4">
      <c r="A1006" s="73" t="s">
        <v>131</v>
      </c>
      <c r="B1006" s="86">
        <v>40</v>
      </c>
      <c r="C1006" s="86">
        <v>27</v>
      </c>
      <c r="D1006" s="86">
        <v>6</v>
      </c>
      <c r="E1006" s="86">
        <v>7</v>
      </c>
      <c r="F1006" s="86"/>
      <c r="G1006" s="75">
        <f>B1006/41</f>
        <v>0.97560975609756095</v>
      </c>
      <c r="H1006" s="75">
        <f t="shared" si="53"/>
        <v>0.67500000000000004</v>
      </c>
      <c r="I1006" s="75">
        <f t="shared" si="54"/>
        <v>0.15</v>
      </c>
      <c r="J1006" s="75">
        <f t="shared" si="55"/>
        <v>0.17499999999999999</v>
      </c>
    </row>
    <row r="1007" spans="1:11" ht="13.15" x14ac:dyDescent="0.4">
      <c r="A1007" s="73" t="s">
        <v>132</v>
      </c>
      <c r="B1007" s="86">
        <v>51</v>
      </c>
      <c r="C1007" s="86">
        <v>39</v>
      </c>
      <c r="D1007" s="86">
        <v>6</v>
      </c>
      <c r="E1007" s="86">
        <v>6</v>
      </c>
      <c r="F1007" s="86"/>
      <c r="G1007" s="75">
        <f>B1007/52</f>
        <v>0.98076923076923073</v>
      </c>
      <c r="H1007" s="75">
        <f t="shared" si="53"/>
        <v>0.76470588235294112</v>
      </c>
      <c r="I1007" s="75">
        <f t="shared" si="54"/>
        <v>0.11764705882352941</v>
      </c>
      <c r="J1007" s="75">
        <f t="shared" si="55"/>
        <v>0.11764705882352941</v>
      </c>
    </row>
    <row r="1008" spans="1:11" ht="13.15" x14ac:dyDescent="0.4">
      <c r="A1008" s="73" t="s">
        <v>133</v>
      </c>
      <c r="B1008" s="86">
        <v>81</v>
      </c>
      <c r="C1008" s="86">
        <v>53</v>
      </c>
      <c r="D1008" s="86">
        <v>18</v>
      </c>
      <c r="E1008" s="86">
        <v>10</v>
      </c>
      <c r="F1008" s="87"/>
      <c r="G1008" s="75">
        <f>B1008/81</f>
        <v>1</v>
      </c>
      <c r="H1008" s="75">
        <f t="shared" si="53"/>
        <v>0.65432098765432101</v>
      </c>
      <c r="I1008" s="75">
        <f t="shared" si="54"/>
        <v>0.22222222222222221</v>
      </c>
      <c r="J1008" s="75">
        <f t="shared" si="55"/>
        <v>0.12345679012345678</v>
      </c>
    </row>
    <row r="1009" spans="1:10" ht="13.15" x14ac:dyDescent="0.4">
      <c r="A1009" s="73" t="s">
        <v>134</v>
      </c>
      <c r="B1009" s="86">
        <v>70</v>
      </c>
      <c r="C1009" s="86">
        <v>45</v>
      </c>
      <c r="D1009" s="86">
        <v>12</v>
      </c>
      <c r="E1009" s="86">
        <v>13</v>
      </c>
      <c r="F1009" s="87"/>
      <c r="G1009" s="75">
        <f>B1009/70</f>
        <v>1</v>
      </c>
      <c r="H1009" s="75">
        <f t="shared" si="53"/>
        <v>0.6428571428571429</v>
      </c>
      <c r="I1009" s="75">
        <f t="shared" si="54"/>
        <v>0.17142857142857143</v>
      </c>
      <c r="J1009" s="75">
        <f t="shared" si="55"/>
        <v>0.18571428571428572</v>
      </c>
    </row>
    <row r="1010" spans="1:10" ht="13.15" x14ac:dyDescent="0.4">
      <c r="A1010" s="73" t="s">
        <v>376</v>
      </c>
      <c r="B1010" s="86">
        <v>8</v>
      </c>
      <c r="C1010" s="86">
        <v>4</v>
      </c>
      <c r="D1010" s="86">
        <v>2</v>
      </c>
      <c r="E1010" s="86">
        <v>2</v>
      </c>
      <c r="F1010" s="87"/>
      <c r="G1010" s="75">
        <f>B1010/8</f>
        <v>1</v>
      </c>
      <c r="H1010" s="75">
        <f t="shared" si="53"/>
        <v>0.5</v>
      </c>
      <c r="I1010" s="75">
        <f t="shared" si="54"/>
        <v>0.25</v>
      </c>
      <c r="J1010" s="75">
        <f t="shared" si="55"/>
        <v>0.25</v>
      </c>
    </row>
    <row r="1011" spans="1:10" ht="13.15" x14ac:dyDescent="0.4">
      <c r="A1011" s="73" t="s">
        <v>135</v>
      </c>
      <c r="B1011" s="86">
        <v>31</v>
      </c>
      <c r="C1011" s="86">
        <v>18</v>
      </c>
      <c r="D1011" s="86">
        <v>11</v>
      </c>
      <c r="E1011" s="86">
        <v>2</v>
      </c>
      <c r="F1011" s="87"/>
      <c r="G1011" s="75">
        <f>B1011/32</f>
        <v>0.96875</v>
      </c>
      <c r="H1011" s="75">
        <f t="shared" si="53"/>
        <v>0.58064516129032262</v>
      </c>
      <c r="I1011" s="75">
        <f t="shared" si="54"/>
        <v>0.35483870967741937</v>
      </c>
      <c r="J1011" s="75">
        <f t="shared" si="55"/>
        <v>6.4516129032258063E-2</v>
      </c>
    </row>
    <row r="1012" spans="1:10" ht="13.15" x14ac:dyDescent="0.4">
      <c r="A1012" s="73" t="s">
        <v>23</v>
      </c>
      <c r="B1012" s="87">
        <v>493</v>
      </c>
      <c r="C1012" s="86">
        <v>312</v>
      </c>
      <c r="D1012" s="86">
        <v>117</v>
      </c>
      <c r="E1012" s="87">
        <v>64</v>
      </c>
      <c r="F1012" s="72"/>
      <c r="G1012" s="75">
        <f>B1012/500</f>
        <v>0.98599999999999999</v>
      </c>
      <c r="H1012" s="75">
        <f t="shared" si="53"/>
        <v>0.63286004056795131</v>
      </c>
      <c r="I1012" s="75">
        <f t="shared" si="54"/>
        <v>0.23732251521298176</v>
      </c>
      <c r="J1012" s="75">
        <f t="shared" si="55"/>
        <v>0.12981744421906694</v>
      </c>
    </row>
    <row r="1013" spans="1:10" ht="13.15" x14ac:dyDescent="0.4">
      <c r="A1013" s="73"/>
      <c r="B1013" s="87"/>
      <c r="C1013" s="86"/>
      <c r="D1013" s="86"/>
      <c r="E1013" s="87"/>
      <c r="F1013" s="74"/>
      <c r="G1013" s="75"/>
      <c r="H1013" s="75"/>
      <c r="I1013" s="75"/>
      <c r="J1013" s="75"/>
    </row>
    <row r="1014" spans="1:10" ht="13.15" x14ac:dyDescent="0.4">
      <c r="A1014" s="73"/>
      <c r="B1014" s="87"/>
      <c r="C1014" s="86"/>
      <c r="D1014" s="86"/>
      <c r="E1014" s="87"/>
      <c r="F1014" s="86"/>
      <c r="G1014" s="75"/>
      <c r="H1014" s="75"/>
      <c r="I1014" s="75"/>
      <c r="J1014" s="75"/>
    </row>
    <row r="1015" spans="1:10" ht="13.15" x14ac:dyDescent="0.4">
      <c r="A1015" s="73" t="s">
        <v>239</v>
      </c>
      <c r="B1015" s="87"/>
      <c r="C1015" s="86"/>
      <c r="D1015" s="86"/>
      <c r="E1015" s="87"/>
      <c r="F1015" s="86"/>
      <c r="G1015" s="75"/>
      <c r="H1015" s="75"/>
      <c r="I1015" s="75"/>
      <c r="J1015" s="75"/>
    </row>
    <row r="1016" spans="1:10" ht="13.15" x14ac:dyDescent="0.4">
      <c r="A1016" s="73" t="s">
        <v>153</v>
      </c>
      <c r="B1016" s="72" t="s">
        <v>139</v>
      </c>
      <c r="C1016" s="72"/>
      <c r="D1016" s="72"/>
      <c r="E1016" s="72"/>
      <c r="F1016" s="86"/>
      <c r="G1016" s="72" t="s">
        <v>146</v>
      </c>
      <c r="H1016" s="72"/>
      <c r="I1016" s="72"/>
      <c r="J1016" s="72"/>
    </row>
    <row r="1017" spans="1:10" ht="13.15" x14ac:dyDescent="0.4">
      <c r="A1017" s="73" t="s">
        <v>136</v>
      </c>
      <c r="B1017" s="74" t="s">
        <v>112</v>
      </c>
      <c r="C1017" s="74" t="s">
        <v>113</v>
      </c>
      <c r="D1017" s="74" t="s">
        <v>114</v>
      </c>
      <c r="E1017" s="74" t="s">
        <v>115</v>
      </c>
      <c r="F1017" s="86"/>
      <c r="G1017" s="74" t="s">
        <v>112</v>
      </c>
      <c r="H1017" s="74" t="s">
        <v>113</v>
      </c>
      <c r="I1017" s="74" t="s">
        <v>114</v>
      </c>
      <c r="J1017" s="74" t="s">
        <v>115</v>
      </c>
    </row>
    <row r="1018" spans="1:10" ht="13.15" x14ac:dyDescent="0.4">
      <c r="A1018" s="73" t="s">
        <v>127</v>
      </c>
      <c r="B1018" s="86">
        <v>44</v>
      </c>
      <c r="C1018" s="86">
        <v>21</v>
      </c>
      <c r="D1018" s="86">
        <v>18</v>
      </c>
      <c r="E1018" s="86">
        <v>5</v>
      </c>
      <c r="F1018" s="86"/>
      <c r="G1018" s="75">
        <f>B1018/44</f>
        <v>1</v>
      </c>
      <c r="H1018" s="75">
        <f>C1018/B1018</f>
        <v>0.47727272727272729</v>
      </c>
      <c r="I1018" s="75">
        <f>D1018/B1018</f>
        <v>0.40909090909090912</v>
      </c>
      <c r="J1018" s="75">
        <f>E1018/B1018</f>
        <v>0.11363636363636363</v>
      </c>
    </row>
    <row r="1019" spans="1:10" ht="13.15" x14ac:dyDescent="0.4">
      <c r="A1019" s="73" t="s">
        <v>128</v>
      </c>
      <c r="B1019" s="86">
        <v>30</v>
      </c>
      <c r="C1019" s="86">
        <v>16</v>
      </c>
      <c r="D1019" s="86">
        <v>6</v>
      </c>
      <c r="E1019" s="86">
        <v>8</v>
      </c>
      <c r="F1019" s="86"/>
      <c r="G1019" s="75">
        <f>B1019/30</f>
        <v>1</v>
      </c>
      <c r="H1019" s="75">
        <f t="shared" ref="H1019:H1028" si="56">C1019/B1019</f>
        <v>0.53333333333333333</v>
      </c>
      <c r="I1019" s="75">
        <f t="shared" ref="I1019:I1028" si="57">D1019/B1019</f>
        <v>0.2</v>
      </c>
      <c r="J1019" s="75">
        <f t="shared" ref="J1019:J1028" si="58">E1019/B1019</f>
        <v>0.26666666666666666</v>
      </c>
    </row>
    <row r="1020" spans="1:10" ht="13.15" x14ac:dyDescent="0.4">
      <c r="A1020" s="73" t="s">
        <v>129</v>
      </c>
      <c r="B1020" s="86">
        <v>60</v>
      </c>
      <c r="C1020" s="86">
        <v>46</v>
      </c>
      <c r="D1020" s="86">
        <v>10</v>
      </c>
      <c r="E1020" s="86">
        <v>4</v>
      </c>
      <c r="F1020" s="86"/>
      <c r="G1020" s="75">
        <f>B1020/61</f>
        <v>0.98360655737704916</v>
      </c>
      <c r="H1020" s="75">
        <f t="shared" si="56"/>
        <v>0.76666666666666672</v>
      </c>
      <c r="I1020" s="75">
        <f t="shared" si="57"/>
        <v>0.16666666666666666</v>
      </c>
      <c r="J1020" s="75">
        <f t="shared" si="58"/>
        <v>6.6666666666666666E-2</v>
      </c>
    </row>
    <row r="1021" spans="1:10" ht="13.15" x14ac:dyDescent="0.4">
      <c r="A1021" s="73" t="s">
        <v>130</v>
      </c>
      <c r="B1021" s="86">
        <v>81</v>
      </c>
      <c r="C1021" s="86">
        <v>51</v>
      </c>
      <c r="D1021" s="86">
        <v>22</v>
      </c>
      <c r="E1021" s="86">
        <v>8</v>
      </c>
      <c r="F1021" s="86"/>
      <c r="G1021" s="75">
        <f>B1021/81</f>
        <v>1</v>
      </c>
      <c r="H1021" s="75">
        <f t="shared" si="56"/>
        <v>0.62962962962962965</v>
      </c>
      <c r="I1021" s="75">
        <f t="shared" si="57"/>
        <v>0.27160493827160492</v>
      </c>
      <c r="J1021" s="75">
        <f t="shared" si="58"/>
        <v>9.8765432098765427E-2</v>
      </c>
    </row>
    <row r="1022" spans="1:10" ht="13.15" x14ac:dyDescent="0.4">
      <c r="A1022" s="73" t="s">
        <v>131</v>
      </c>
      <c r="B1022" s="86">
        <v>41</v>
      </c>
      <c r="C1022" s="86">
        <v>30</v>
      </c>
      <c r="D1022" s="86">
        <v>7</v>
      </c>
      <c r="E1022" s="86">
        <v>4</v>
      </c>
      <c r="F1022" s="86"/>
      <c r="G1022" s="75">
        <f>B1022/41</f>
        <v>1</v>
      </c>
      <c r="H1022" s="75">
        <f t="shared" si="56"/>
        <v>0.73170731707317072</v>
      </c>
      <c r="I1022" s="75">
        <f t="shared" si="57"/>
        <v>0.17073170731707318</v>
      </c>
      <c r="J1022" s="75">
        <f t="shared" si="58"/>
        <v>9.7560975609756101E-2</v>
      </c>
    </row>
    <row r="1023" spans="1:10" ht="13.15" x14ac:dyDescent="0.4">
      <c r="A1023" s="73" t="s">
        <v>132</v>
      </c>
      <c r="B1023" s="86">
        <v>52</v>
      </c>
      <c r="C1023" s="86">
        <v>38</v>
      </c>
      <c r="D1023" s="86">
        <v>8</v>
      </c>
      <c r="E1023" s="86">
        <v>6</v>
      </c>
      <c r="F1023" s="86"/>
      <c r="G1023" s="75">
        <f>B1023/52</f>
        <v>1</v>
      </c>
      <c r="H1023" s="75">
        <f t="shared" si="56"/>
        <v>0.73076923076923073</v>
      </c>
      <c r="I1023" s="75">
        <f t="shared" si="57"/>
        <v>0.15384615384615385</v>
      </c>
      <c r="J1023" s="75">
        <f t="shared" si="58"/>
        <v>0.11538461538461539</v>
      </c>
    </row>
    <row r="1024" spans="1:10" ht="13.15" x14ac:dyDescent="0.4">
      <c r="A1024" s="73" t="s">
        <v>133</v>
      </c>
      <c r="B1024" s="86">
        <v>81</v>
      </c>
      <c r="C1024" s="86">
        <v>48</v>
      </c>
      <c r="D1024" s="86">
        <v>28</v>
      </c>
      <c r="E1024" s="86">
        <v>5</v>
      </c>
      <c r="F1024" s="87"/>
      <c r="G1024" s="75">
        <f>B1024/81</f>
        <v>1</v>
      </c>
      <c r="H1024" s="75">
        <f t="shared" si="56"/>
        <v>0.59259259259259256</v>
      </c>
      <c r="I1024" s="75">
        <f t="shared" si="57"/>
        <v>0.34567901234567899</v>
      </c>
      <c r="J1024" s="75">
        <f t="shared" si="58"/>
        <v>6.1728395061728392E-2</v>
      </c>
    </row>
    <row r="1025" spans="1:10" ht="13.15" x14ac:dyDescent="0.4">
      <c r="A1025" s="73" t="s">
        <v>134</v>
      </c>
      <c r="B1025" s="86">
        <v>70</v>
      </c>
      <c r="C1025" s="86">
        <v>48</v>
      </c>
      <c r="D1025" s="86">
        <v>11</v>
      </c>
      <c r="E1025" s="86">
        <v>11</v>
      </c>
      <c r="F1025" s="87"/>
      <c r="G1025" s="75">
        <f>B1025/70</f>
        <v>1</v>
      </c>
      <c r="H1025" s="75">
        <f t="shared" si="56"/>
        <v>0.68571428571428572</v>
      </c>
      <c r="I1025" s="75">
        <f t="shared" si="57"/>
        <v>0.15714285714285714</v>
      </c>
      <c r="J1025" s="75">
        <f t="shared" si="58"/>
        <v>0.15714285714285714</v>
      </c>
    </row>
    <row r="1026" spans="1:10" ht="13.15" x14ac:dyDescent="0.4">
      <c r="A1026" s="73" t="s">
        <v>376</v>
      </c>
      <c r="B1026" s="86">
        <v>8</v>
      </c>
      <c r="C1026" s="86">
        <v>5</v>
      </c>
      <c r="D1026" s="86">
        <v>1</v>
      </c>
      <c r="E1026" s="86">
        <v>2</v>
      </c>
      <c r="F1026" s="74"/>
      <c r="G1026" s="75">
        <f>B1026/8</f>
        <v>1</v>
      </c>
      <c r="H1026" s="75">
        <f t="shared" si="56"/>
        <v>0.625</v>
      </c>
      <c r="I1026" s="75">
        <f t="shared" si="57"/>
        <v>0.125</v>
      </c>
      <c r="J1026" s="75">
        <f t="shared" si="58"/>
        <v>0.25</v>
      </c>
    </row>
    <row r="1027" spans="1:10" ht="13.15" x14ac:dyDescent="0.4">
      <c r="A1027" s="73" t="s">
        <v>135</v>
      </c>
      <c r="B1027" s="86">
        <v>32</v>
      </c>
      <c r="C1027" s="86">
        <v>19</v>
      </c>
      <c r="D1027" s="86">
        <v>12</v>
      </c>
      <c r="E1027" s="86">
        <v>1</v>
      </c>
      <c r="F1027" s="86"/>
      <c r="G1027" s="75">
        <f>B1027/32</f>
        <v>1</v>
      </c>
      <c r="H1027" s="75">
        <f t="shared" si="56"/>
        <v>0.59375</v>
      </c>
      <c r="I1027" s="75">
        <f t="shared" si="57"/>
        <v>0.375</v>
      </c>
      <c r="J1027" s="75">
        <f t="shared" si="58"/>
        <v>3.125E-2</v>
      </c>
    </row>
    <row r="1028" spans="1:10" ht="13.15" x14ac:dyDescent="0.4">
      <c r="A1028" s="73" t="s">
        <v>23</v>
      </c>
      <c r="B1028" s="87">
        <v>499</v>
      </c>
      <c r="C1028" s="86">
        <v>322</v>
      </c>
      <c r="D1028" s="86">
        <v>123</v>
      </c>
      <c r="E1028" s="87">
        <v>54</v>
      </c>
      <c r="F1028" s="86"/>
      <c r="G1028" s="75">
        <f>B1028/500</f>
        <v>0.998</v>
      </c>
      <c r="H1028" s="75">
        <f t="shared" si="56"/>
        <v>0.64529058116232463</v>
      </c>
      <c r="I1028" s="75">
        <f t="shared" si="57"/>
        <v>0.24649298597194388</v>
      </c>
      <c r="J1028" s="75">
        <f t="shared" si="58"/>
        <v>0.10821643286573146</v>
      </c>
    </row>
    <row r="1029" spans="1:10" ht="13.15" x14ac:dyDescent="0.4">
      <c r="A1029" s="73"/>
      <c r="B1029" s="87"/>
      <c r="C1029" s="86"/>
      <c r="D1029" s="86"/>
      <c r="E1029" s="87"/>
      <c r="F1029" s="86"/>
      <c r="G1029" s="75"/>
      <c r="H1029" s="75"/>
      <c r="I1029" s="75"/>
      <c r="J1029"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21"/>
  <sheetViews>
    <sheetView zoomScale="115" zoomScaleNormal="115" workbookViewId="0">
      <selection activeCell="G1" sqref="G1"/>
    </sheetView>
  </sheetViews>
  <sheetFormatPr defaultColWidth="10.86328125" defaultRowHeight="13.5" x14ac:dyDescent="0.35"/>
  <cols>
    <col min="1" max="1" width="12.3984375" style="300" customWidth="1"/>
    <col min="2" max="2" width="6.3984375" style="300" bestFit="1" customWidth="1"/>
    <col min="3" max="3" width="10" style="300" bestFit="1" customWidth="1"/>
    <col min="4" max="4" width="51.59765625" style="300" bestFit="1" customWidth="1"/>
    <col min="5" max="5" width="24.86328125" style="300" bestFit="1" customWidth="1"/>
    <col min="6" max="6" width="42.73046875" style="300" bestFit="1" customWidth="1"/>
    <col min="7" max="7" width="10.86328125" style="299"/>
    <col min="8" max="8" width="28.86328125" style="299" bestFit="1" customWidth="1"/>
    <col min="9" max="9" width="59.59765625" style="299" bestFit="1" customWidth="1"/>
    <col min="10" max="16384" width="10.86328125" style="299"/>
  </cols>
  <sheetData>
    <row r="1" spans="1:12" s="298" customFormat="1" ht="15" x14ac:dyDescent="0.4">
      <c r="A1" s="209" t="s">
        <v>828</v>
      </c>
      <c r="B1" s="271"/>
      <c r="C1" s="271"/>
      <c r="D1" s="271"/>
      <c r="E1" s="271"/>
      <c r="F1" s="209"/>
      <c r="G1" s="299"/>
      <c r="H1" s="294">
        <v>45900</v>
      </c>
      <c r="I1" s="295" t="s">
        <v>621</v>
      </c>
      <c r="J1" s="299"/>
    </row>
    <row r="2" spans="1:12" s="298" customFormat="1" ht="15" x14ac:dyDescent="0.4">
      <c r="A2" s="209" t="s">
        <v>829</v>
      </c>
      <c r="B2" s="271"/>
      <c r="C2" s="271"/>
      <c r="D2" s="271"/>
      <c r="E2" s="271"/>
      <c r="F2" s="209"/>
      <c r="G2" s="299"/>
      <c r="H2" s="296">
        <v>45870</v>
      </c>
      <c r="I2" s="297" t="s">
        <v>698</v>
      </c>
      <c r="J2" s="299"/>
      <c r="K2" s="299"/>
      <c r="L2" s="299"/>
    </row>
    <row r="3" spans="1:12" s="298" customFormat="1" ht="15" x14ac:dyDescent="0.4">
      <c r="A3" s="209" t="s">
        <v>670</v>
      </c>
      <c r="B3" s="271" t="s">
        <v>671</v>
      </c>
      <c r="C3" s="271" t="s">
        <v>672</v>
      </c>
      <c r="D3" s="271" t="s">
        <v>673</v>
      </c>
      <c r="E3" s="271" t="s">
        <v>136</v>
      </c>
      <c r="F3" s="209" t="s">
        <v>674</v>
      </c>
      <c r="G3" s="299"/>
      <c r="H3" s="296">
        <v>45870</v>
      </c>
      <c r="I3" s="297" t="s">
        <v>691</v>
      </c>
      <c r="J3" s="299"/>
      <c r="K3" s="299"/>
      <c r="L3" s="299"/>
    </row>
    <row r="4" spans="1:12" s="298" customFormat="1" ht="13.9" x14ac:dyDescent="0.4">
      <c r="A4" s="302" t="s">
        <v>734</v>
      </c>
      <c r="B4" s="299"/>
      <c r="C4" s="299" t="s">
        <v>830</v>
      </c>
      <c r="D4" s="299" t="s">
        <v>831</v>
      </c>
      <c r="E4" s="299" t="s">
        <v>132</v>
      </c>
      <c r="F4" s="303" t="s">
        <v>793</v>
      </c>
      <c r="G4" s="299"/>
      <c r="H4" s="296">
        <v>45870</v>
      </c>
      <c r="I4" s="297" t="s">
        <v>694</v>
      </c>
      <c r="J4" s="299"/>
    </row>
    <row r="5" spans="1:12" s="298" customFormat="1" ht="13.9" x14ac:dyDescent="0.4">
      <c r="A5" s="302" t="s">
        <v>788</v>
      </c>
      <c r="B5" s="299"/>
      <c r="C5" s="299" t="s">
        <v>832</v>
      </c>
      <c r="D5" s="299" t="s">
        <v>833</v>
      </c>
      <c r="E5" s="299" t="s">
        <v>150</v>
      </c>
      <c r="F5" s="303" t="s">
        <v>760</v>
      </c>
      <c r="G5" s="299"/>
      <c r="H5" s="296">
        <v>45870</v>
      </c>
      <c r="I5" s="297" t="s">
        <v>692</v>
      </c>
      <c r="J5" s="299"/>
    </row>
    <row r="6" spans="1:12" s="298" customFormat="1" ht="13.9" x14ac:dyDescent="0.4">
      <c r="A6" s="302" t="s">
        <v>788</v>
      </c>
      <c r="B6" s="299"/>
      <c r="C6" s="299" t="s">
        <v>834</v>
      </c>
      <c r="D6" s="299" t="s">
        <v>835</v>
      </c>
      <c r="E6" s="299" t="s">
        <v>149</v>
      </c>
      <c r="F6" s="303" t="s">
        <v>787</v>
      </c>
      <c r="G6" s="299"/>
      <c r="H6" s="296">
        <v>45870</v>
      </c>
      <c r="I6" s="297" t="s">
        <v>699</v>
      </c>
      <c r="J6" s="299"/>
    </row>
    <row r="7" spans="1:12" ht="13.9" x14ac:dyDescent="0.4">
      <c r="A7" s="302" t="s">
        <v>788</v>
      </c>
      <c r="B7" s="299"/>
      <c r="C7" s="299" t="s">
        <v>836</v>
      </c>
      <c r="D7" s="299" t="s">
        <v>837</v>
      </c>
      <c r="E7" s="299" t="s">
        <v>150</v>
      </c>
      <c r="F7" s="303" t="s">
        <v>761</v>
      </c>
      <c r="G7" s="298"/>
      <c r="H7" s="296">
        <v>45873</v>
      </c>
      <c r="I7" s="297" t="s">
        <v>693</v>
      </c>
    </row>
    <row r="8" spans="1:12" ht="13.9" x14ac:dyDescent="0.4">
      <c r="A8" s="302" t="s">
        <v>788</v>
      </c>
      <c r="B8" s="299"/>
      <c r="C8" s="299" t="s">
        <v>838</v>
      </c>
      <c r="D8" s="299" t="s">
        <v>839</v>
      </c>
      <c r="E8" s="299" t="s">
        <v>150</v>
      </c>
      <c r="F8" s="303" t="s">
        <v>761</v>
      </c>
      <c r="G8" s="298"/>
      <c r="H8" s="296">
        <v>45874</v>
      </c>
      <c r="I8" s="297" t="s">
        <v>696</v>
      </c>
    </row>
    <row r="9" spans="1:12" ht="13.9" x14ac:dyDescent="0.4">
      <c r="A9" s="302" t="s">
        <v>788</v>
      </c>
      <c r="B9" s="299"/>
      <c r="C9" s="299" t="s">
        <v>840</v>
      </c>
      <c r="D9" s="299" t="s">
        <v>841</v>
      </c>
      <c r="E9" s="299" t="s">
        <v>152</v>
      </c>
      <c r="F9" s="303" t="s">
        <v>791</v>
      </c>
      <c r="G9" s="298"/>
      <c r="H9" s="296">
        <v>45874</v>
      </c>
      <c r="I9" s="297" t="s">
        <v>695</v>
      </c>
    </row>
    <row r="10" spans="1:12" ht="13.9" x14ac:dyDescent="0.4">
      <c r="A10" s="302" t="s">
        <v>788</v>
      </c>
      <c r="B10" s="299"/>
      <c r="C10" s="299" t="s">
        <v>842</v>
      </c>
      <c r="D10" s="299" t="s">
        <v>843</v>
      </c>
      <c r="E10" s="299" t="s">
        <v>150</v>
      </c>
      <c r="F10" s="303" t="s">
        <v>817</v>
      </c>
      <c r="G10" s="298"/>
      <c r="H10" s="296">
        <v>45874</v>
      </c>
      <c r="I10" s="297" t="s">
        <v>697</v>
      </c>
    </row>
    <row r="11" spans="1:12" ht="13.9" x14ac:dyDescent="0.4">
      <c r="A11" s="302" t="s">
        <v>788</v>
      </c>
      <c r="B11" s="299"/>
      <c r="C11" s="299" t="s">
        <v>844</v>
      </c>
      <c r="D11" s="299" t="s">
        <v>845</v>
      </c>
      <c r="E11" s="299" t="s">
        <v>132</v>
      </c>
      <c r="F11" s="303" t="s">
        <v>827</v>
      </c>
      <c r="G11" s="298"/>
      <c r="H11" s="296">
        <v>45876</v>
      </c>
      <c r="I11" s="297" t="s">
        <v>1394</v>
      </c>
      <c r="K11" s="298"/>
      <c r="L11" s="298"/>
    </row>
    <row r="12" spans="1:12" s="298" customFormat="1" ht="13.9" x14ac:dyDescent="0.4">
      <c r="A12" s="302" t="s">
        <v>788</v>
      </c>
      <c r="B12" s="299"/>
      <c r="C12" s="299" t="s">
        <v>846</v>
      </c>
      <c r="D12" s="299" t="s">
        <v>847</v>
      </c>
      <c r="E12" s="299" t="s">
        <v>151</v>
      </c>
      <c r="F12" s="303" t="s">
        <v>820</v>
      </c>
      <c r="H12" s="296">
        <v>45876</v>
      </c>
      <c r="I12" s="297" t="s">
        <v>764</v>
      </c>
    </row>
    <row r="13" spans="1:12" s="298" customFormat="1" ht="13.9" x14ac:dyDescent="0.4">
      <c r="A13" s="302" t="s">
        <v>788</v>
      </c>
      <c r="B13" s="299"/>
      <c r="C13" s="299" t="s">
        <v>848</v>
      </c>
      <c r="D13" s="299" t="s">
        <v>849</v>
      </c>
      <c r="E13" s="299" t="s">
        <v>151</v>
      </c>
      <c r="F13" s="303" t="s">
        <v>820</v>
      </c>
      <c r="G13" s="299"/>
      <c r="H13" s="296">
        <v>45881</v>
      </c>
      <c r="I13" s="297" t="s">
        <v>701</v>
      </c>
    </row>
    <row r="14" spans="1:12" s="298" customFormat="1" ht="13.9" x14ac:dyDescent="0.4">
      <c r="A14" s="302" t="s">
        <v>788</v>
      </c>
      <c r="B14" s="299"/>
      <c r="C14" s="299" t="s">
        <v>850</v>
      </c>
      <c r="D14" s="299" t="s">
        <v>851</v>
      </c>
      <c r="E14" s="299" t="s">
        <v>303</v>
      </c>
      <c r="F14" s="303" t="s">
        <v>789</v>
      </c>
      <c r="H14" s="296">
        <v>45882</v>
      </c>
      <c r="I14" s="297" t="s">
        <v>700</v>
      </c>
    </row>
    <row r="15" spans="1:12" ht="13.9" x14ac:dyDescent="0.4">
      <c r="A15" s="302" t="s">
        <v>690</v>
      </c>
      <c r="B15" s="299"/>
      <c r="C15" s="299" t="s">
        <v>852</v>
      </c>
      <c r="D15" s="299" t="s">
        <v>853</v>
      </c>
      <c r="E15" s="299" t="s">
        <v>303</v>
      </c>
      <c r="F15" s="303" t="s">
        <v>815</v>
      </c>
      <c r="G15" s="298"/>
      <c r="H15" s="296">
        <v>45884</v>
      </c>
      <c r="I15" s="297" t="s">
        <v>752</v>
      </c>
      <c r="K15" s="298"/>
      <c r="L15" s="298"/>
    </row>
    <row r="16" spans="1:12" s="298" customFormat="1" ht="13.9" x14ac:dyDescent="0.4">
      <c r="A16" s="302" t="s">
        <v>690</v>
      </c>
      <c r="B16" s="299"/>
      <c r="C16" s="299" t="s">
        <v>854</v>
      </c>
      <c r="D16" s="299" t="s">
        <v>855</v>
      </c>
      <c r="E16" s="299" t="s">
        <v>151</v>
      </c>
      <c r="F16" s="303" t="s">
        <v>812</v>
      </c>
      <c r="H16" s="296">
        <v>45884</v>
      </c>
      <c r="I16" s="297" t="s">
        <v>702</v>
      </c>
    </row>
    <row r="17" spans="1:12" s="298" customFormat="1" ht="13.9" x14ac:dyDescent="0.4">
      <c r="A17" s="302" t="s">
        <v>690</v>
      </c>
      <c r="B17" s="299"/>
      <c r="C17" s="299" t="s">
        <v>856</v>
      </c>
      <c r="D17" s="299" t="s">
        <v>857</v>
      </c>
      <c r="E17" s="299" t="s">
        <v>303</v>
      </c>
      <c r="F17" s="303" t="s">
        <v>805</v>
      </c>
      <c r="H17" s="296">
        <v>45884</v>
      </c>
      <c r="I17" s="297" t="s">
        <v>751</v>
      </c>
    </row>
    <row r="18" spans="1:12" s="298" customFormat="1" ht="13.9" x14ac:dyDescent="0.4">
      <c r="A18" s="302" t="s">
        <v>690</v>
      </c>
      <c r="B18" s="299"/>
      <c r="C18" s="299" t="s">
        <v>858</v>
      </c>
      <c r="D18" s="299" t="s">
        <v>859</v>
      </c>
      <c r="E18" s="299" t="s">
        <v>149</v>
      </c>
      <c r="F18" s="303" t="s">
        <v>809</v>
      </c>
      <c r="G18" s="299"/>
      <c r="H18" s="296">
        <v>45884</v>
      </c>
      <c r="I18" s="297" t="s">
        <v>699</v>
      </c>
    </row>
    <row r="19" spans="1:12" ht="13.9" x14ac:dyDescent="0.4">
      <c r="A19" s="302" t="s">
        <v>690</v>
      </c>
      <c r="B19" s="299"/>
      <c r="C19" s="299" t="s">
        <v>860</v>
      </c>
      <c r="D19" s="299" t="s">
        <v>861</v>
      </c>
      <c r="E19" s="299" t="s">
        <v>152</v>
      </c>
      <c r="F19" s="303" t="s">
        <v>803</v>
      </c>
      <c r="H19" s="296">
        <v>45887</v>
      </c>
      <c r="I19" s="297" t="s">
        <v>763</v>
      </c>
      <c r="J19" s="298"/>
      <c r="K19" s="298"/>
      <c r="L19" s="298"/>
    </row>
    <row r="20" spans="1:12" s="298" customFormat="1" ht="13.9" x14ac:dyDescent="0.4">
      <c r="A20" s="302" t="s">
        <v>690</v>
      </c>
      <c r="B20" s="299"/>
      <c r="C20" s="299" t="s">
        <v>862</v>
      </c>
      <c r="D20" s="299" t="s">
        <v>863</v>
      </c>
      <c r="E20" s="299" t="s">
        <v>151</v>
      </c>
      <c r="F20" s="303" t="s">
        <v>864</v>
      </c>
      <c r="G20" s="299"/>
      <c r="H20" s="296">
        <v>45889</v>
      </c>
      <c r="I20" s="297" t="s">
        <v>1395</v>
      </c>
    </row>
    <row r="21" spans="1:12" s="298" customFormat="1" ht="13.9" x14ac:dyDescent="0.4">
      <c r="A21" s="302" t="s">
        <v>690</v>
      </c>
      <c r="B21" s="299"/>
      <c r="C21" s="299" t="s">
        <v>865</v>
      </c>
      <c r="D21" s="299" t="s">
        <v>866</v>
      </c>
      <c r="E21" s="299" t="s">
        <v>132</v>
      </c>
      <c r="F21" s="303" t="s">
        <v>867</v>
      </c>
      <c r="G21" s="299"/>
      <c r="H21" s="296">
        <v>45890</v>
      </c>
      <c r="I21" s="297" t="s">
        <v>753</v>
      </c>
    </row>
    <row r="22" spans="1:12" s="298" customFormat="1" ht="13.9" x14ac:dyDescent="0.4">
      <c r="A22" s="302" t="s">
        <v>690</v>
      </c>
      <c r="B22" s="299"/>
      <c r="C22" s="299" t="s">
        <v>868</v>
      </c>
      <c r="D22" s="299" t="s">
        <v>869</v>
      </c>
      <c r="E22" s="299" t="s">
        <v>151</v>
      </c>
      <c r="F22" s="303" t="s">
        <v>812</v>
      </c>
      <c r="H22" s="296">
        <v>45890</v>
      </c>
      <c r="I22" s="297" t="s">
        <v>703</v>
      </c>
    </row>
    <row r="23" spans="1:12" s="298" customFormat="1" ht="13.9" x14ac:dyDescent="0.4">
      <c r="A23" s="302" t="s">
        <v>690</v>
      </c>
      <c r="B23" s="299" t="s">
        <v>671</v>
      </c>
      <c r="C23" s="299" t="s">
        <v>870</v>
      </c>
      <c r="D23" s="299" t="s">
        <v>871</v>
      </c>
      <c r="E23" s="299" t="s">
        <v>132</v>
      </c>
      <c r="F23" s="303" t="s">
        <v>759</v>
      </c>
      <c r="H23" s="296">
        <v>45890</v>
      </c>
      <c r="I23" s="297" t="s">
        <v>1396</v>
      </c>
    </row>
    <row r="24" spans="1:12" s="298" customFormat="1" ht="13.9" x14ac:dyDescent="0.4">
      <c r="A24" s="302" t="s">
        <v>690</v>
      </c>
      <c r="B24" s="299"/>
      <c r="C24" s="299" t="s">
        <v>872</v>
      </c>
      <c r="D24" s="299" t="s">
        <v>873</v>
      </c>
      <c r="E24" s="299" t="s">
        <v>151</v>
      </c>
      <c r="F24" s="303" t="s">
        <v>816</v>
      </c>
      <c r="H24" s="296">
        <v>45891</v>
      </c>
      <c r="I24" s="297" t="s">
        <v>1399</v>
      </c>
    </row>
    <row r="25" spans="1:12" s="298" customFormat="1" ht="13.9" x14ac:dyDescent="0.4">
      <c r="A25" s="302" t="s">
        <v>690</v>
      </c>
      <c r="B25" s="299"/>
      <c r="C25" s="299" t="s">
        <v>874</v>
      </c>
      <c r="D25" s="299" t="s">
        <v>875</v>
      </c>
      <c r="E25" s="299" t="s">
        <v>150</v>
      </c>
      <c r="F25" s="303" t="s">
        <v>876</v>
      </c>
      <c r="G25" s="299"/>
      <c r="H25" s="296">
        <v>45894</v>
      </c>
      <c r="I25" s="297" t="s">
        <v>736</v>
      </c>
    </row>
    <row r="26" spans="1:12" s="298" customFormat="1" ht="13.9" x14ac:dyDescent="0.4">
      <c r="A26" s="302" t="s">
        <v>690</v>
      </c>
      <c r="B26" s="299" t="s">
        <v>671</v>
      </c>
      <c r="C26" s="299" t="s">
        <v>877</v>
      </c>
      <c r="D26" s="299" t="s">
        <v>878</v>
      </c>
      <c r="E26" s="299" t="s">
        <v>131</v>
      </c>
      <c r="F26" s="303" t="s">
        <v>879</v>
      </c>
      <c r="G26" s="299"/>
      <c r="H26" s="296">
        <v>45895</v>
      </c>
      <c r="I26" s="297" t="s">
        <v>754</v>
      </c>
    </row>
    <row r="27" spans="1:12" s="298" customFormat="1" ht="13.9" x14ac:dyDescent="0.4">
      <c r="A27" s="302" t="s">
        <v>690</v>
      </c>
      <c r="B27" s="299"/>
      <c r="C27" s="299" t="s">
        <v>880</v>
      </c>
      <c r="D27" s="299" t="s">
        <v>881</v>
      </c>
      <c r="E27" s="299" t="s">
        <v>130</v>
      </c>
      <c r="F27" s="303" t="s">
        <v>810</v>
      </c>
      <c r="G27" s="299"/>
      <c r="H27" s="296">
        <v>45895</v>
      </c>
      <c r="I27" s="297" t="s">
        <v>643</v>
      </c>
      <c r="K27" s="299"/>
      <c r="L27" s="299"/>
    </row>
    <row r="28" spans="1:12" ht="13.9" x14ac:dyDescent="0.4">
      <c r="A28" s="302" t="s">
        <v>690</v>
      </c>
      <c r="B28" s="299"/>
      <c r="C28" s="299" t="s">
        <v>882</v>
      </c>
      <c r="D28" s="299" t="s">
        <v>883</v>
      </c>
      <c r="E28" s="299" t="s">
        <v>151</v>
      </c>
      <c r="F28" s="303" t="s">
        <v>800</v>
      </c>
      <c r="H28" s="296">
        <v>45895</v>
      </c>
      <c r="I28" s="297" t="s">
        <v>644</v>
      </c>
      <c r="J28" s="298"/>
    </row>
    <row r="29" spans="1:12" s="298" customFormat="1" ht="13.9" x14ac:dyDescent="0.4">
      <c r="A29" s="302" t="s">
        <v>690</v>
      </c>
      <c r="B29" s="299"/>
      <c r="C29" s="299" t="s">
        <v>884</v>
      </c>
      <c r="D29" s="299" t="s">
        <v>885</v>
      </c>
      <c r="E29" s="299" t="s">
        <v>131</v>
      </c>
      <c r="F29" s="303" t="s">
        <v>886</v>
      </c>
      <c r="G29" s="299"/>
      <c r="H29" s="296">
        <v>45895</v>
      </c>
      <c r="I29" s="297" t="s">
        <v>765</v>
      </c>
      <c r="K29" s="299"/>
      <c r="L29" s="299"/>
    </row>
    <row r="30" spans="1:12" s="298" customFormat="1" ht="13.9" x14ac:dyDescent="0.4">
      <c r="A30" s="302" t="s">
        <v>690</v>
      </c>
      <c r="B30" s="299" t="s">
        <v>671</v>
      </c>
      <c r="C30" s="299" t="s">
        <v>887</v>
      </c>
      <c r="D30" s="299" t="s">
        <v>888</v>
      </c>
      <c r="E30" s="299" t="s">
        <v>132</v>
      </c>
      <c r="F30" s="303" t="s">
        <v>819</v>
      </c>
      <c r="G30" s="299"/>
      <c r="H30" s="296">
        <v>45897</v>
      </c>
      <c r="I30" s="297" t="s">
        <v>737</v>
      </c>
      <c r="J30" s="299"/>
      <c r="K30" s="299"/>
      <c r="L30" s="299"/>
    </row>
    <row r="31" spans="1:12" s="298" customFormat="1" ht="13.9" x14ac:dyDescent="0.4">
      <c r="A31" s="302" t="s">
        <v>804</v>
      </c>
      <c r="B31" s="299"/>
      <c r="C31" s="299" t="s">
        <v>889</v>
      </c>
      <c r="D31" s="299" t="s">
        <v>890</v>
      </c>
      <c r="E31" s="299" t="s">
        <v>150</v>
      </c>
      <c r="F31" s="303" t="s">
        <v>761</v>
      </c>
      <c r="G31" s="299"/>
      <c r="H31" s="296">
        <v>45897</v>
      </c>
      <c r="I31" s="297" t="s">
        <v>1397</v>
      </c>
      <c r="J31" s="299"/>
      <c r="K31" s="299"/>
      <c r="L31" s="299"/>
    </row>
    <row r="32" spans="1:12" s="298" customFormat="1" ht="13.9" x14ac:dyDescent="0.4">
      <c r="A32" s="302" t="s">
        <v>804</v>
      </c>
      <c r="B32" s="299"/>
      <c r="C32" s="299" t="s">
        <v>891</v>
      </c>
      <c r="D32" s="299" t="s">
        <v>892</v>
      </c>
      <c r="E32" s="299" t="s">
        <v>130</v>
      </c>
      <c r="F32" s="303" t="s">
        <v>810</v>
      </c>
      <c r="G32" s="299"/>
      <c r="H32" s="296">
        <v>45897</v>
      </c>
      <c r="I32" s="297" t="s">
        <v>655</v>
      </c>
    </row>
    <row r="33" spans="1:12" s="298" customFormat="1" ht="13.9" x14ac:dyDescent="0.4">
      <c r="A33" s="302" t="s">
        <v>804</v>
      </c>
      <c r="B33" s="299"/>
      <c r="C33" s="299" t="s">
        <v>893</v>
      </c>
      <c r="D33" s="299" t="s">
        <v>894</v>
      </c>
      <c r="E33" s="299" t="s">
        <v>303</v>
      </c>
      <c r="F33" s="303" t="s">
        <v>895</v>
      </c>
      <c r="G33" s="299"/>
      <c r="H33" s="296">
        <v>45898</v>
      </c>
      <c r="I33" s="297" t="s">
        <v>696</v>
      </c>
    </row>
    <row r="34" spans="1:12" s="298" customFormat="1" ht="13.9" x14ac:dyDescent="0.4">
      <c r="A34" s="302" t="s">
        <v>804</v>
      </c>
      <c r="B34" s="299"/>
      <c r="C34" s="299" t="s">
        <v>896</v>
      </c>
      <c r="D34" s="299" t="s">
        <v>897</v>
      </c>
      <c r="E34" s="299" t="s">
        <v>130</v>
      </c>
      <c r="F34" s="303" t="s">
        <v>898</v>
      </c>
      <c r="G34" s="299"/>
      <c r="H34" s="296">
        <v>45898</v>
      </c>
      <c r="I34" s="297" t="s">
        <v>766</v>
      </c>
    </row>
    <row r="35" spans="1:12" s="298" customFormat="1" ht="13.9" x14ac:dyDescent="0.4">
      <c r="A35" s="302" t="s">
        <v>804</v>
      </c>
      <c r="B35" s="299"/>
      <c r="C35" s="299" t="s">
        <v>899</v>
      </c>
      <c r="D35" s="299" t="s">
        <v>900</v>
      </c>
      <c r="E35" s="299" t="s">
        <v>377</v>
      </c>
      <c r="F35" s="303" t="s">
        <v>901</v>
      </c>
      <c r="G35" s="299"/>
      <c r="H35" s="296">
        <v>45898</v>
      </c>
      <c r="I35" s="297" t="s">
        <v>733</v>
      </c>
    </row>
    <row r="36" spans="1:12" s="298" customFormat="1" ht="13.9" x14ac:dyDescent="0.4">
      <c r="A36" s="302" t="s">
        <v>804</v>
      </c>
      <c r="B36" s="299"/>
      <c r="C36" s="299" t="s">
        <v>902</v>
      </c>
      <c r="D36" s="299" t="s">
        <v>903</v>
      </c>
      <c r="E36" s="299" t="s">
        <v>303</v>
      </c>
      <c r="F36" s="303" t="s">
        <v>904</v>
      </c>
      <c r="G36" s="299"/>
      <c r="H36" s="296">
        <v>45898</v>
      </c>
      <c r="I36" s="297" t="s">
        <v>764</v>
      </c>
    </row>
    <row r="37" spans="1:12" s="298" customFormat="1" ht="13.9" x14ac:dyDescent="0.4">
      <c r="A37" s="302" t="s">
        <v>804</v>
      </c>
      <c r="B37" s="299"/>
      <c r="C37" s="299" t="s">
        <v>905</v>
      </c>
      <c r="D37" s="299" t="s">
        <v>906</v>
      </c>
      <c r="E37" s="299" t="s">
        <v>152</v>
      </c>
      <c r="F37" s="303" t="s">
        <v>803</v>
      </c>
      <c r="G37" s="299"/>
      <c r="H37" s="296">
        <v>45898</v>
      </c>
      <c r="I37" s="297" t="s">
        <v>699</v>
      </c>
    </row>
    <row r="38" spans="1:12" ht="13.9" x14ac:dyDescent="0.4">
      <c r="A38" s="302" t="s">
        <v>804</v>
      </c>
      <c r="B38" s="299"/>
      <c r="C38" s="299" t="s">
        <v>907</v>
      </c>
      <c r="D38" s="299" t="s">
        <v>908</v>
      </c>
      <c r="E38" s="299" t="s">
        <v>303</v>
      </c>
      <c r="F38" s="303" t="s">
        <v>909</v>
      </c>
      <c r="H38" s="296">
        <v>45898</v>
      </c>
      <c r="I38" s="297" t="s">
        <v>1398</v>
      </c>
      <c r="J38" s="298"/>
      <c r="K38" s="298"/>
      <c r="L38" s="298"/>
    </row>
    <row r="39" spans="1:12" ht="13.9" x14ac:dyDescent="0.4">
      <c r="A39" s="302" t="s">
        <v>804</v>
      </c>
      <c r="B39" s="299"/>
      <c r="C39" s="299" t="s">
        <v>910</v>
      </c>
      <c r="D39" s="299" t="s">
        <v>911</v>
      </c>
      <c r="E39" s="299" t="s">
        <v>151</v>
      </c>
      <c r="F39" s="303" t="s">
        <v>820</v>
      </c>
      <c r="H39" s="296" t="s">
        <v>622</v>
      </c>
      <c r="I39" s="297" t="s">
        <v>667</v>
      </c>
      <c r="J39" s="298"/>
    </row>
    <row r="40" spans="1:12" s="298" customFormat="1" ht="13.9" x14ac:dyDescent="0.4">
      <c r="A40" s="302" t="s">
        <v>804</v>
      </c>
      <c r="B40" s="299" t="s">
        <v>671</v>
      </c>
      <c r="C40" s="299" t="s">
        <v>912</v>
      </c>
      <c r="D40" s="299" t="s">
        <v>913</v>
      </c>
      <c r="E40" s="299" t="s">
        <v>150</v>
      </c>
      <c r="F40" s="303" t="s">
        <v>876</v>
      </c>
      <c r="G40" s="299"/>
      <c r="H40" s="296" t="s">
        <v>622</v>
      </c>
      <c r="I40" s="297" t="s">
        <v>668</v>
      </c>
      <c r="K40" s="299"/>
      <c r="L40" s="299"/>
    </row>
    <row r="41" spans="1:12" s="298" customFormat="1" ht="13.9" x14ac:dyDescent="0.4">
      <c r="A41" s="302" t="s">
        <v>756</v>
      </c>
      <c r="B41" s="299"/>
      <c r="C41" s="299" t="s">
        <v>914</v>
      </c>
      <c r="D41" s="299" t="s">
        <v>915</v>
      </c>
      <c r="E41" s="299" t="s">
        <v>131</v>
      </c>
      <c r="F41" s="303" t="s">
        <v>801</v>
      </c>
      <c r="G41" s="299"/>
      <c r="H41" s="296" t="s">
        <v>623</v>
      </c>
      <c r="I41" s="297" t="s">
        <v>624</v>
      </c>
    </row>
    <row r="42" spans="1:12" s="298" customFormat="1" ht="13.9" x14ac:dyDescent="0.4">
      <c r="A42" s="302" t="s">
        <v>756</v>
      </c>
      <c r="B42" s="299"/>
      <c r="C42" s="299" t="s">
        <v>916</v>
      </c>
      <c r="D42" s="299" t="s">
        <v>917</v>
      </c>
      <c r="E42" s="299" t="s">
        <v>205</v>
      </c>
      <c r="F42" s="303" t="s">
        <v>813</v>
      </c>
      <c r="G42" s="299"/>
      <c r="H42"/>
      <c r="I42"/>
    </row>
    <row r="43" spans="1:12" s="298" customFormat="1" ht="13.9" x14ac:dyDescent="0.4">
      <c r="A43" s="302" t="s">
        <v>756</v>
      </c>
      <c r="B43" s="299"/>
      <c r="C43" s="299" t="s">
        <v>918</v>
      </c>
      <c r="D43" s="299" t="s">
        <v>919</v>
      </c>
      <c r="E43" s="299" t="s">
        <v>151</v>
      </c>
      <c r="F43" s="303" t="s">
        <v>920</v>
      </c>
      <c r="G43" s="299"/>
      <c r="H43" s="299"/>
      <c r="I43" s="299"/>
    </row>
    <row r="44" spans="1:12" s="298" customFormat="1" ht="13.9" x14ac:dyDescent="0.4">
      <c r="A44" s="302" t="s">
        <v>756</v>
      </c>
      <c r="B44" s="299"/>
      <c r="C44" s="299" t="s">
        <v>921</v>
      </c>
      <c r="D44" s="299" t="s">
        <v>922</v>
      </c>
      <c r="E44" s="299" t="s">
        <v>131</v>
      </c>
      <c r="F44" s="303" t="s">
        <v>923</v>
      </c>
      <c r="G44" s="299"/>
      <c r="H44" s="299"/>
      <c r="I44" s="299"/>
      <c r="J44" s="299"/>
    </row>
    <row r="45" spans="1:12" ht="13.9" x14ac:dyDescent="0.4">
      <c r="A45" s="302" t="s">
        <v>756</v>
      </c>
      <c r="B45" s="299"/>
      <c r="C45" s="299" t="s">
        <v>924</v>
      </c>
      <c r="D45" s="299" t="s">
        <v>925</v>
      </c>
      <c r="E45" s="299" t="s">
        <v>151</v>
      </c>
      <c r="F45" s="303" t="s">
        <v>800</v>
      </c>
      <c r="K45" s="298"/>
      <c r="L45" s="298"/>
    </row>
    <row r="46" spans="1:12" x14ac:dyDescent="0.35">
      <c r="A46" s="302" t="s">
        <v>756</v>
      </c>
      <c r="B46" s="299"/>
      <c r="C46" s="299" t="s">
        <v>926</v>
      </c>
      <c r="D46" s="299" t="s">
        <v>927</v>
      </c>
      <c r="E46" s="299" t="s">
        <v>130</v>
      </c>
      <c r="F46" s="303" t="s">
        <v>928</v>
      </c>
    </row>
    <row r="47" spans="1:12" s="298" customFormat="1" ht="13.9" x14ac:dyDescent="0.4">
      <c r="A47" s="302" t="s">
        <v>756</v>
      </c>
      <c r="B47" s="299"/>
      <c r="C47" s="299" t="s">
        <v>929</v>
      </c>
      <c r="D47" s="299" t="s">
        <v>930</v>
      </c>
      <c r="E47" s="299" t="s">
        <v>132</v>
      </c>
      <c r="F47" s="303" t="s">
        <v>808</v>
      </c>
      <c r="G47" s="299"/>
      <c r="H47" s="299"/>
      <c r="I47" s="299"/>
      <c r="J47" s="299"/>
      <c r="K47" s="299"/>
      <c r="L47" s="299"/>
    </row>
    <row r="48" spans="1:12" s="298" customFormat="1" ht="13.9" x14ac:dyDescent="0.4">
      <c r="A48" s="302" t="s">
        <v>756</v>
      </c>
      <c r="B48" s="299"/>
      <c r="C48" s="299" t="s">
        <v>931</v>
      </c>
      <c r="D48" s="299" t="s">
        <v>932</v>
      </c>
      <c r="E48" s="299" t="s">
        <v>131</v>
      </c>
      <c r="F48" s="303" t="s">
        <v>811</v>
      </c>
      <c r="G48" s="299"/>
      <c r="H48" s="299"/>
      <c r="I48" s="299"/>
    </row>
    <row r="49" spans="1:9" s="298" customFormat="1" ht="13.9" x14ac:dyDescent="0.4">
      <c r="A49" s="302" t="s">
        <v>756</v>
      </c>
      <c r="B49" s="299"/>
      <c r="C49" s="299" t="s">
        <v>933</v>
      </c>
      <c r="D49" s="299" t="s">
        <v>934</v>
      </c>
      <c r="E49" s="299" t="s">
        <v>155</v>
      </c>
      <c r="F49" s="303" t="s">
        <v>807</v>
      </c>
      <c r="G49" s="299"/>
      <c r="H49" s="299"/>
      <c r="I49" s="299"/>
    </row>
    <row r="50" spans="1:9" s="298" customFormat="1" ht="13.9" x14ac:dyDescent="0.4">
      <c r="A50" s="302" t="s">
        <v>756</v>
      </c>
      <c r="B50" s="299"/>
      <c r="C50" s="299" t="s">
        <v>935</v>
      </c>
      <c r="D50" s="299" t="s">
        <v>936</v>
      </c>
      <c r="E50" s="299" t="s">
        <v>132</v>
      </c>
      <c r="F50" s="303" t="s">
        <v>819</v>
      </c>
      <c r="G50" s="299"/>
      <c r="H50" s="299"/>
      <c r="I50" s="299"/>
    </row>
    <row r="51" spans="1:9" s="298" customFormat="1" ht="13.9" x14ac:dyDescent="0.4">
      <c r="A51" s="302" t="s">
        <v>756</v>
      </c>
      <c r="B51" s="299"/>
      <c r="C51" s="299" t="s">
        <v>937</v>
      </c>
      <c r="D51" s="299" t="s">
        <v>938</v>
      </c>
      <c r="E51" s="299" t="s">
        <v>151</v>
      </c>
      <c r="F51" s="303" t="s">
        <v>800</v>
      </c>
      <c r="G51" s="299"/>
      <c r="H51" s="299"/>
      <c r="I51" s="299"/>
    </row>
    <row r="52" spans="1:9" s="298" customFormat="1" ht="13.9" x14ac:dyDescent="0.4">
      <c r="A52" s="302" t="s">
        <v>756</v>
      </c>
      <c r="B52" s="299"/>
      <c r="C52" s="299" t="s">
        <v>939</v>
      </c>
      <c r="D52" s="299" t="s">
        <v>940</v>
      </c>
      <c r="E52" s="299" t="s">
        <v>151</v>
      </c>
      <c r="F52" s="303" t="s">
        <v>800</v>
      </c>
      <c r="G52" s="299"/>
      <c r="H52" s="299"/>
      <c r="I52" s="299"/>
    </row>
    <row r="53" spans="1:9" s="298" customFormat="1" ht="13.9" x14ac:dyDescent="0.4">
      <c r="A53" s="302" t="s">
        <v>756</v>
      </c>
      <c r="B53" s="299"/>
      <c r="C53" s="299" t="s">
        <v>941</v>
      </c>
      <c r="D53" s="299" t="s">
        <v>942</v>
      </c>
      <c r="E53" s="299" t="s">
        <v>131</v>
      </c>
      <c r="F53" s="303" t="s">
        <v>811</v>
      </c>
      <c r="G53" s="299"/>
      <c r="H53" s="299"/>
      <c r="I53" s="299"/>
    </row>
    <row r="54" spans="1:9" s="298" customFormat="1" ht="13.9" x14ac:dyDescent="0.4">
      <c r="A54" s="302" t="s">
        <v>756</v>
      </c>
      <c r="B54" s="299"/>
      <c r="C54" s="299" t="s">
        <v>943</v>
      </c>
      <c r="D54" s="299" t="s">
        <v>944</v>
      </c>
      <c r="E54" s="299" t="s">
        <v>151</v>
      </c>
      <c r="F54" s="303" t="s">
        <v>945</v>
      </c>
      <c r="G54" s="299"/>
      <c r="H54" s="299"/>
      <c r="I54" s="299"/>
    </row>
    <row r="55" spans="1:9" s="298" customFormat="1" ht="13.9" x14ac:dyDescent="0.4">
      <c r="A55" s="302" t="s">
        <v>756</v>
      </c>
      <c r="B55" s="299"/>
      <c r="C55" s="299" t="s">
        <v>946</v>
      </c>
      <c r="D55" s="299" t="s">
        <v>947</v>
      </c>
      <c r="E55" s="299" t="s">
        <v>152</v>
      </c>
      <c r="F55" s="303" t="s">
        <v>792</v>
      </c>
      <c r="G55" s="299"/>
      <c r="H55" s="299"/>
      <c r="I55" s="299"/>
    </row>
    <row r="56" spans="1:9" x14ac:dyDescent="0.35">
      <c r="A56" s="302" t="s">
        <v>756</v>
      </c>
      <c r="B56" s="299"/>
      <c r="C56" s="299" t="s">
        <v>948</v>
      </c>
      <c r="D56" s="299" t="s">
        <v>949</v>
      </c>
      <c r="E56" s="299" t="s">
        <v>151</v>
      </c>
      <c r="F56" s="303" t="s">
        <v>812</v>
      </c>
    </row>
    <row r="57" spans="1:9" ht="13.9" x14ac:dyDescent="0.4">
      <c r="A57" s="302" t="s">
        <v>756</v>
      </c>
      <c r="B57" s="299"/>
      <c r="C57" s="299" t="s">
        <v>950</v>
      </c>
      <c r="D57" s="299" t="s">
        <v>951</v>
      </c>
      <c r="E57" s="299" t="s">
        <v>205</v>
      </c>
      <c r="F57" s="303" t="s">
        <v>822</v>
      </c>
      <c r="G57" s="298"/>
    </row>
    <row r="58" spans="1:9" ht="13.9" x14ac:dyDescent="0.4">
      <c r="A58" s="302" t="s">
        <v>814</v>
      </c>
      <c r="B58" s="299"/>
      <c r="C58" s="299" t="s">
        <v>952</v>
      </c>
      <c r="D58" s="299" t="s">
        <v>953</v>
      </c>
      <c r="E58" s="299" t="s">
        <v>152</v>
      </c>
      <c r="F58" s="303" t="s">
        <v>803</v>
      </c>
      <c r="G58" s="298"/>
    </row>
    <row r="59" spans="1:9" ht="13.9" x14ac:dyDescent="0.4">
      <c r="A59" s="302" t="s">
        <v>814</v>
      </c>
      <c r="B59" s="299"/>
      <c r="C59" s="299" t="s">
        <v>954</v>
      </c>
      <c r="D59" s="299" t="s">
        <v>955</v>
      </c>
      <c r="E59" s="299" t="s">
        <v>132</v>
      </c>
      <c r="F59" s="303" t="s">
        <v>956</v>
      </c>
      <c r="G59" s="298"/>
    </row>
    <row r="60" spans="1:9" ht="13.9" x14ac:dyDescent="0.4">
      <c r="A60" s="302" t="s">
        <v>814</v>
      </c>
      <c r="B60" s="299"/>
      <c r="C60" s="299" t="s">
        <v>957</v>
      </c>
      <c r="D60" s="299" t="s">
        <v>958</v>
      </c>
      <c r="E60" s="299" t="s">
        <v>205</v>
      </c>
      <c r="F60" s="303" t="s">
        <v>959</v>
      </c>
      <c r="G60" s="298"/>
    </row>
    <row r="61" spans="1:9" s="298" customFormat="1" ht="13.9" x14ac:dyDescent="0.4">
      <c r="A61" s="302" t="s">
        <v>814</v>
      </c>
      <c r="B61" s="299"/>
      <c r="C61" s="299" t="s">
        <v>960</v>
      </c>
      <c r="D61" s="299" t="s">
        <v>961</v>
      </c>
      <c r="E61" s="299" t="s">
        <v>303</v>
      </c>
      <c r="F61" s="303" t="s">
        <v>904</v>
      </c>
      <c r="G61" s="299"/>
      <c r="H61" s="299"/>
      <c r="I61" s="299"/>
    </row>
    <row r="62" spans="1:9" s="298" customFormat="1" ht="13.9" x14ac:dyDescent="0.4">
      <c r="A62" s="302" t="s">
        <v>814</v>
      </c>
      <c r="B62" s="299"/>
      <c r="C62" s="299" t="s">
        <v>962</v>
      </c>
      <c r="D62" s="299" t="s">
        <v>963</v>
      </c>
      <c r="E62" s="299" t="s">
        <v>151</v>
      </c>
      <c r="F62" s="303" t="s">
        <v>964</v>
      </c>
      <c r="G62" s="299"/>
      <c r="H62" s="299"/>
      <c r="I62" s="299"/>
    </row>
    <row r="63" spans="1:9" s="298" customFormat="1" ht="13.9" x14ac:dyDescent="0.4">
      <c r="A63" s="302" t="s">
        <v>814</v>
      </c>
      <c r="B63" s="299"/>
      <c r="C63" s="299" t="s">
        <v>965</v>
      </c>
      <c r="D63" s="299" t="s">
        <v>966</v>
      </c>
      <c r="E63" s="299" t="s">
        <v>149</v>
      </c>
      <c r="F63" s="303" t="s">
        <v>818</v>
      </c>
      <c r="G63" s="299"/>
      <c r="H63" s="299"/>
      <c r="I63" s="299"/>
    </row>
    <row r="64" spans="1:9" s="298" customFormat="1" ht="13.9" x14ac:dyDescent="0.4">
      <c r="A64" s="302" t="s">
        <v>814</v>
      </c>
      <c r="B64" s="299"/>
      <c r="C64" s="299" t="s">
        <v>967</v>
      </c>
      <c r="D64" s="299" t="s">
        <v>968</v>
      </c>
      <c r="E64" s="299" t="s">
        <v>132</v>
      </c>
      <c r="F64" s="303" t="s">
        <v>808</v>
      </c>
      <c r="H64" s="299"/>
      <c r="I64" s="299"/>
    </row>
    <row r="65" spans="1:12" s="298" customFormat="1" ht="13.9" x14ac:dyDescent="0.4">
      <c r="A65" s="302" t="s">
        <v>814</v>
      </c>
      <c r="B65" s="299"/>
      <c r="C65" s="299" t="s">
        <v>969</v>
      </c>
      <c r="D65" s="299" t="s">
        <v>970</v>
      </c>
      <c r="E65" s="299" t="s">
        <v>303</v>
      </c>
      <c r="F65" s="303" t="s">
        <v>825</v>
      </c>
      <c r="H65" s="299"/>
      <c r="I65" s="299"/>
    </row>
    <row r="66" spans="1:12" ht="13.9" x14ac:dyDescent="0.4">
      <c r="A66" s="302" t="s">
        <v>814</v>
      </c>
      <c r="B66" s="299"/>
      <c r="C66" s="299" t="s">
        <v>971</v>
      </c>
      <c r="D66" s="299" t="s">
        <v>972</v>
      </c>
      <c r="E66" s="299" t="s">
        <v>150</v>
      </c>
      <c r="F66" s="303" t="s">
        <v>973</v>
      </c>
      <c r="G66" s="298"/>
      <c r="J66" s="298"/>
    </row>
    <row r="67" spans="1:12" ht="13.9" x14ac:dyDescent="0.4">
      <c r="A67" s="302" t="s">
        <v>814</v>
      </c>
      <c r="B67" s="299"/>
      <c r="C67" s="299" t="s">
        <v>974</v>
      </c>
      <c r="D67" s="299" t="s">
        <v>975</v>
      </c>
      <c r="E67" s="299" t="s">
        <v>303</v>
      </c>
      <c r="F67" s="303" t="s">
        <v>976</v>
      </c>
      <c r="G67" s="298"/>
      <c r="J67" s="298"/>
    </row>
    <row r="68" spans="1:12" s="298" customFormat="1" ht="13.9" x14ac:dyDescent="0.4">
      <c r="A68" s="302" t="s">
        <v>814</v>
      </c>
      <c r="B68" s="299"/>
      <c r="C68" s="299" t="s">
        <v>977</v>
      </c>
      <c r="D68" s="299" t="s">
        <v>978</v>
      </c>
      <c r="E68" s="299" t="s">
        <v>149</v>
      </c>
      <c r="F68" s="303" t="s">
        <v>979</v>
      </c>
      <c r="H68" s="299"/>
      <c r="I68" s="299"/>
    </row>
    <row r="69" spans="1:12" s="298" customFormat="1" ht="13.9" x14ac:dyDescent="0.4">
      <c r="A69" s="302" t="s">
        <v>814</v>
      </c>
      <c r="B69" s="299"/>
      <c r="C69" s="299" t="s">
        <v>980</v>
      </c>
      <c r="D69" s="299" t="s">
        <v>981</v>
      </c>
      <c r="E69" s="299" t="s">
        <v>205</v>
      </c>
      <c r="F69" s="303" t="s">
        <v>813</v>
      </c>
      <c r="H69" s="299"/>
      <c r="I69" s="299"/>
    </row>
    <row r="70" spans="1:12" s="298" customFormat="1" ht="13.9" x14ac:dyDescent="0.4">
      <c r="A70" s="302" t="s">
        <v>814</v>
      </c>
      <c r="B70" s="299"/>
      <c r="C70" s="299" t="s">
        <v>982</v>
      </c>
      <c r="D70" s="299" t="s">
        <v>983</v>
      </c>
      <c r="E70" s="299" t="s">
        <v>130</v>
      </c>
      <c r="F70" s="303" t="s">
        <v>795</v>
      </c>
      <c r="H70" s="299"/>
      <c r="I70" s="299"/>
    </row>
    <row r="71" spans="1:12" s="298" customFormat="1" ht="13.9" x14ac:dyDescent="0.4">
      <c r="A71" s="302" t="s">
        <v>814</v>
      </c>
      <c r="B71" s="299"/>
      <c r="C71" s="299" t="s">
        <v>984</v>
      </c>
      <c r="D71" s="299" t="s">
        <v>985</v>
      </c>
      <c r="E71" s="299" t="s">
        <v>132</v>
      </c>
      <c r="F71" s="303" t="s">
        <v>808</v>
      </c>
      <c r="G71" s="299"/>
      <c r="H71" s="299"/>
      <c r="I71" s="299"/>
    </row>
    <row r="72" spans="1:12" x14ac:dyDescent="0.35">
      <c r="A72" s="302" t="s">
        <v>814</v>
      </c>
      <c r="B72" s="299"/>
      <c r="C72" s="299" t="s">
        <v>986</v>
      </c>
      <c r="D72" s="299" t="s">
        <v>987</v>
      </c>
      <c r="E72" s="299" t="s">
        <v>303</v>
      </c>
      <c r="F72" s="303" t="s">
        <v>988</v>
      </c>
    </row>
    <row r="73" spans="1:12" x14ac:dyDescent="0.35">
      <c r="A73" s="302" t="s">
        <v>814</v>
      </c>
      <c r="B73" s="299"/>
      <c r="C73" s="299" t="s">
        <v>989</v>
      </c>
      <c r="D73" s="299" t="s">
        <v>990</v>
      </c>
      <c r="E73" s="299" t="s">
        <v>303</v>
      </c>
      <c r="F73" s="303" t="s">
        <v>991</v>
      </c>
    </row>
    <row r="74" spans="1:12" s="298" customFormat="1" ht="13.9" x14ac:dyDescent="0.4">
      <c r="A74" s="302" t="s">
        <v>814</v>
      </c>
      <c r="B74" s="299"/>
      <c r="C74" s="299" t="s">
        <v>992</v>
      </c>
      <c r="D74" s="299" t="s">
        <v>993</v>
      </c>
      <c r="E74" s="299" t="s">
        <v>149</v>
      </c>
      <c r="F74" s="303" t="s">
        <v>806</v>
      </c>
      <c r="G74" s="299"/>
      <c r="H74" s="299"/>
      <c r="I74" s="299"/>
    </row>
    <row r="75" spans="1:12" s="298" customFormat="1" ht="13.9" x14ac:dyDescent="0.4">
      <c r="A75" s="302" t="s">
        <v>814</v>
      </c>
      <c r="B75" s="299"/>
      <c r="C75" s="299" t="s">
        <v>994</v>
      </c>
      <c r="D75" s="299" t="s">
        <v>995</v>
      </c>
      <c r="E75" s="299" t="s">
        <v>377</v>
      </c>
      <c r="F75" s="303" t="s">
        <v>996</v>
      </c>
      <c r="H75" s="299"/>
      <c r="I75" s="299"/>
    </row>
    <row r="76" spans="1:12" s="298" customFormat="1" ht="13.9" x14ac:dyDescent="0.4">
      <c r="A76" s="302" t="s">
        <v>814</v>
      </c>
      <c r="B76" s="299"/>
      <c r="C76" s="299" t="s">
        <v>997</v>
      </c>
      <c r="D76" s="299" t="s">
        <v>998</v>
      </c>
      <c r="E76" s="299" t="s">
        <v>130</v>
      </c>
      <c r="F76" s="303" t="s">
        <v>898</v>
      </c>
      <c r="H76" s="299"/>
      <c r="I76" s="299"/>
    </row>
    <row r="77" spans="1:12" ht="13.9" x14ac:dyDescent="0.4">
      <c r="A77" s="302" t="s">
        <v>814</v>
      </c>
      <c r="B77" s="299" t="s">
        <v>671</v>
      </c>
      <c r="C77" s="299" t="s">
        <v>999</v>
      </c>
      <c r="D77" s="299" t="s">
        <v>1000</v>
      </c>
      <c r="E77" s="299" t="s">
        <v>149</v>
      </c>
      <c r="F77" s="303" t="s">
        <v>821</v>
      </c>
      <c r="G77" s="298"/>
    </row>
    <row r="78" spans="1:12" x14ac:dyDescent="0.35">
      <c r="A78" s="302" t="s">
        <v>814</v>
      </c>
      <c r="B78" s="299"/>
      <c r="C78" s="299" t="s">
        <v>1001</v>
      </c>
      <c r="D78" s="299" t="s">
        <v>1002</v>
      </c>
      <c r="E78" s="299" t="s">
        <v>303</v>
      </c>
      <c r="F78" s="303" t="s">
        <v>904</v>
      </c>
    </row>
    <row r="79" spans="1:12" x14ac:dyDescent="0.35">
      <c r="A79" s="302" t="s">
        <v>814</v>
      </c>
      <c r="B79" s="299"/>
      <c r="C79" s="299" t="s">
        <v>1003</v>
      </c>
      <c r="D79" s="299" t="s">
        <v>1004</v>
      </c>
      <c r="E79" s="299" t="s">
        <v>150</v>
      </c>
      <c r="F79" s="303" t="s">
        <v>817</v>
      </c>
    </row>
    <row r="80" spans="1:12" ht="13.9" x14ac:dyDescent="0.4">
      <c r="A80" s="302" t="s">
        <v>814</v>
      </c>
      <c r="B80" s="299"/>
      <c r="C80" s="299" t="s">
        <v>1005</v>
      </c>
      <c r="D80" s="299" t="s">
        <v>1006</v>
      </c>
      <c r="E80" s="299" t="s">
        <v>149</v>
      </c>
      <c r="F80" s="303" t="s">
        <v>787</v>
      </c>
      <c r="J80" s="298"/>
      <c r="K80" s="298"/>
      <c r="L80" s="298"/>
    </row>
    <row r="81" spans="1:10" s="298" customFormat="1" ht="13.9" x14ac:dyDescent="0.4">
      <c r="A81" s="302" t="s">
        <v>814</v>
      </c>
      <c r="B81" s="299"/>
      <c r="C81" s="299" t="s">
        <v>1007</v>
      </c>
      <c r="D81" s="299" t="s">
        <v>1008</v>
      </c>
      <c r="E81" s="299" t="s">
        <v>303</v>
      </c>
      <c r="F81" s="303" t="s">
        <v>976</v>
      </c>
      <c r="G81" s="299"/>
      <c r="H81" s="299"/>
      <c r="I81" s="299"/>
      <c r="J81" s="299"/>
    </row>
    <row r="82" spans="1:10" s="298" customFormat="1" ht="13.9" x14ac:dyDescent="0.4">
      <c r="A82" s="302" t="s">
        <v>814</v>
      </c>
      <c r="B82" s="299"/>
      <c r="C82" s="299" t="s">
        <v>1009</v>
      </c>
      <c r="D82" s="299" t="s">
        <v>1010</v>
      </c>
      <c r="E82" s="299" t="s">
        <v>303</v>
      </c>
      <c r="F82" s="303" t="s">
        <v>904</v>
      </c>
      <c r="G82" s="299"/>
      <c r="H82" s="299"/>
      <c r="I82" s="299"/>
      <c r="J82" s="299"/>
    </row>
    <row r="83" spans="1:10" s="298" customFormat="1" ht="13.9" x14ac:dyDescent="0.4">
      <c r="A83" s="302" t="s">
        <v>814</v>
      </c>
      <c r="B83" s="299"/>
      <c r="C83" s="299" t="s">
        <v>1011</v>
      </c>
      <c r="D83" s="299" t="s">
        <v>1012</v>
      </c>
      <c r="E83" s="299" t="s">
        <v>303</v>
      </c>
      <c r="F83" s="303" t="s">
        <v>789</v>
      </c>
      <c r="G83" s="299"/>
      <c r="H83" s="299"/>
      <c r="I83" s="299"/>
      <c r="J83" s="299"/>
    </row>
    <row r="84" spans="1:10" s="298" customFormat="1" ht="13.9" x14ac:dyDescent="0.4">
      <c r="A84" s="302" t="s">
        <v>814</v>
      </c>
      <c r="B84" s="299"/>
      <c r="C84" s="299" t="s">
        <v>1013</v>
      </c>
      <c r="D84" s="299" t="s">
        <v>1014</v>
      </c>
      <c r="E84" s="299" t="s">
        <v>303</v>
      </c>
      <c r="F84" s="303" t="s">
        <v>1015</v>
      </c>
      <c r="G84" s="299"/>
      <c r="H84" s="299"/>
      <c r="I84" s="299"/>
      <c r="J84" s="299"/>
    </row>
    <row r="85" spans="1:10" s="298" customFormat="1" ht="13.9" x14ac:dyDescent="0.4">
      <c r="A85" s="302" t="s">
        <v>675</v>
      </c>
      <c r="B85" s="299"/>
      <c r="C85" s="299" t="s">
        <v>1016</v>
      </c>
      <c r="D85" s="299" t="s">
        <v>1017</v>
      </c>
      <c r="E85" s="299" t="s">
        <v>132</v>
      </c>
      <c r="F85" s="303" t="s">
        <v>867</v>
      </c>
      <c r="G85" s="299"/>
      <c r="H85" s="299"/>
      <c r="I85" s="299"/>
    </row>
    <row r="86" spans="1:10" s="298" customFormat="1" ht="13.9" x14ac:dyDescent="0.4">
      <c r="A86" s="302" t="s">
        <v>675</v>
      </c>
      <c r="B86" s="299"/>
      <c r="C86" s="299" t="s">
        <v>1018</v>
      </c>
      <c r="D86" s="299" t="s">
        <v>1019</v>
      </c>
      <c r="E86" s="299" t="s">
        <v>152</v>
      </c>
      <c r="F86" s="303" t="s">
        <v>1020</v>
      </c>
      <c r="G86" s="299"/>
      <c r="H86" s="299"/>
      <c r="I86" s="299"/>
    </row>
    <row r="87" spans="1:10" s="298" customFormat="1" ht="13.9" x14ac:dyDescent="0.4">
      <c r="A87" s="302" t="s">
        <v>675</v>
      </c>
      <c r="B87" s="299"/>
      <c r="C87" s="299" t="s">
        <v>1021</v>
      </c>
      <c r="D87" s="299" t="s">
        <v>1022</v>
      </c>
      <c r="E87" s="299" t="s">
        <v>130</v>
      </c>
      <c r="F87" s="303" t="s">
        <v>1023</v>
      </c>
      <c r="G87" s="299"/>
      <c r="H87" s="299"/>
      <c r="I87" s="299"/>
    </row>
    <row r="88" spans="1:10" x14ac:dyDescent="0.35">
      <c r="A88" s="302" t="s">
        <v>675</v>
      </c>
      <c r="B88" s="299"/>
      <c r="C88" s="299" t="s">
        <v>1024</v>
      </c>
      <c r="D88" s="299" t="s">
        <v>1025</v>
      </c>
      <c r="E88" s="299" t="s">
        <v>132</v>
      </c>
      <c r="F88" s="303" t="s">
        <v>867</v>
      </c>
    </row>
    <row r="89" spans="1:10" x14ac:dyDescent="0.35">
      <c r="A89" s="302" t="s">
        <v>675</v>
      </c>
      <c r="B89" s="299"/>
      <c r="C89" s="299" t="s">
        <v>1026</v>
      </c>
      <c r="D89" s="299" t="s">
        <v>1027</v>
      </c>
      <c r="E89" s="299" t="s">
        <v>132</v>
      </c>
      <c r="F89" s="303" t="s">
        <v>759</v>
      </c>
    </row>
    <row r="90" spans="1:10" x14ac:dyDescent="0.35">
      <c r="A90" s="302" t="s">
        <v>675</v>
      </c>
      <c r="B90" s="299"/>
      <c r="C90" s="299" t="s">
        <v>1028</v>
      </c>
      <c r="D90" s="299" t="s">
        <v>1029</v>
      </c>
      <c r="E90" s="299" t="s">
        <v>151</v>
      </c>
      <c r="F90" s="303" t="s">
        <v>812</v>
      </c>
    </row>
    <row r="91" spans="1:10" x14ac:dyDescent="0.35">
      <c r="A91" s="302" t="s">
        <v>675</v>
      </c>
      <c r="B91" s="299"/>
      <c r="C91" s="299" t="s">
        <v>1030</v>
      </c>
      <c r="D91" s="299" t="s">
        <v>1031</v>
      </c>
      <c r="E91" s="299" t="s">
        <v>205</v>
      </c>
      <c r="F91" s="303" t="s">
        <v>822</v>
      </c>
    </row>
    <row r="92" spans="1:10" s="298" customFormat="1" ht="13.9" x14ac:dyDescent="0.4">
      <c r="A92" s="302" t="s">
        <v>675</v>
      </c>
      <c r="B92" s="299"/>
      <c r="C92" s="299" t="s">
        <v>1032</v>
      </c>
      <c r="D92" s="299" t="s">
        <v>1033</v>
      </c>
      <c r="E92" s="299" t="s">
        <v>132</v>
      </c>
      <c r="F92" s="303" t="s">
        <v>802</v>
      </c>
      <c r="H92" s="299"/>
      <c r="I92" s="299"/>
    </row>
    <row r="93" spans="1:10" s="298" customFormat="1" ht="13.9" x14ac:dyDescent="0.4">
      <c r="A93" s="302" t="s">
        <v>675</v>
      </c>
      <c r="B93" s="299"/>
      <c r="C93" s="299" t="s">
        <v>1034</v>
      </c>
      <c r="D93" s="299" t="s">
        <v>1035</v>
      </c>
      <c r="E93" s="299" t="s">
        <v>205</v>
      </c>
      <c r="F93" s="303" t="s">
        <v>813</v>
      </c>
      <c r="H93" s="299"/>
      <c r="I93" s="299"/>
    </row>
    <row r="94" spans="1:10" s="298" customFormat="1" ht="13.9" x14ac:dyDescent="0.4">
      <c r="A94" s="302" t="s">
        <v>675</v>
      </c>
      <c r="B94" s="299"/>
      <c r="C94" s="299" t="s">
        <v>1036</v>
      </c>
      <c r="D94" s="299" t="s">
        <v>1037</v>
      </c>
      <c r="E94" s="299" t="s">
        <v>151</v>
      </c>
      <c r="F94" s="303" t="s">
        <v>797</v>
      </c>
      <c r="H94" s="299"/>
      <c r="I94" s="299"/>
    </row>
    <row r="95" spans="1:10" ht="13.9" x14ac:dyDescent="0.4">
      <c r="A95" s="302" t="s">
        <v>675</v>
      </c>
      <c r="B95" s="299"/>
      <c r="C95" s="299" t="s">
        <v>1038</v>
      </c>
      <c r="D95" s="299" t="s">
        <v>1039</v>
      </c>
      <c r="E95" s="299" t="s">
        <v>151</v>
      </c>
      <c r="F95" s="303" t="s">
        <v>797</v>
      </c>
      <c r="G95" s="298"/>
      <c r="J95" s="298"/>
    </row>
    <row r="96" spans="1:10" x14ac:dyDescent="0.35">
      <c r="A96" s="302" t="s">
        <v>675</v>
      </c>
      <c r="B96" s="299"/>
      <c r="C96" s="299" t="s">
        <v>1040</v>
      </c>
      <c r="D96" s="299" t="s">
        <v>1041</v>
      </c>
      <c r="E96" s="299" t="s">
        <v>150</v>
      </c>
      <c r="F96" s="303" t="s">
        <v>798</v>
      </c>
    </row>
    <row r="97" spans="1:10" x14ac:dyDescent="0.35">
      <c r="A97" s="302" t="s">
        <v>675</v>
      </c>
      <c r="B97" s="299"/>
      <c r="C97" s="299" t="s">
        <v>1042</v>
      </c>
      <c r="D97" s="299" t="s">
        <v>1043</v>
      </c>
      <c r="E97" s="299" t="s">
        <v>152</v>
      </c>
      <c r="F97" s="303" t="s">
        <v>792</v>
      </c>
    </row>
    <row r="98" spans="1:10" ht="13.9" x14ac:dyDescent="0.4">
      <c r="A98" s="302" t="s">
        <v>675</v>
      </c>
      <c r="B98" s="299"/>
      <c r="C98" s="299" t="s">
        <v>1044</v>
      </c>
      <c r="D98" s="299" t="s">
        <v>1045</v>
      </c>
      <c r="E98" s="299" t="s">
        <v>131</v>
      </c>
      <c r="F98" s="303" t="s">
        <v>811</v>
      </c>
      <c r="G98" s="298"/>
    </row>
    <row r="99" spans="1:10" ht="13.9" x14ac:dyDescent="0.4">
      <c r="A99" s="302" t="s">
        <v>675</v>
      </c>
      <c r="B99" s="299"/>
      <c r="C99" s="299" t="s">
        <v>1046</v>
      </c>
      <c r="D99" s="299" t="s">
        <v>1047</v>
      </c>
      <c r="E99" s="299" t="s">
        <v>303</v>
      </c>
      <c r="F99" s="303" t="s">
        <v>909</v>
      </c>
      <c r="G99" s="298"/>
    </row>
    <row r="100" spans="1:10" ht="13.9" x14ac:dyDescent="0.4">
      <c r="A100" s="302" t="s">
        <v>675</v>
      </c>
      <c r="B100" s="299"/>
      <c r="C100" s="299" t="s">
        <v>1048</v>
      </c>
      <c r="D100" s="299" t="s">
        <v>1049</v>
      </c>
      <c r="E100" s="299" t="s">
        <v>151</v>
      </c>
      <c r="F100" s="303" t="s">
        <v>812</v>
      </c>
      <c r="G100" s="298"/>
    </row>
    <row r="101" spans="1:10" x14ac:dyDescent="0.35">
      <c r="A101" s="302" t="s">
        <v>675</v>
      </c>
      <c r="B101" s="299"/>
      <c r="C101" s="299" t="s">
        <v>1050</v>
      </c>
      <c r="D101" s="299" t="s">
        <v>1051</v>
      </c>
      <c r="E101" s="299" t="s">
        <v>205</v>
      </c>
      <c r="F101" s="303" t="s">
        <v>813</v>
      </c>
    </row>
    <row r="102" spans="1:10" x14ac:dyDescent="0.35">
      <c r="A102" s="302" t="s">
        <v>675</v>
      </c>
      <c r="B102" s="299"/>
      <c r="C102" s="299" t="s">
        <v>1052</v>
      </c>
      <c r="D102" s="299" t="s">
        <v>1053</v>
      </c>
      <c r="E102" s="299" t="s">
        <v>205</v>
      </c>
      <c r="F102" s="303" t="s">
        <v>813</v>
      </c>
    </row>
    <row r="103" spans="1:10" x14ac:dyDescent="0.35">
      <c r="A103" s="302" t="s">
        <v>675</v>
      </c>
      <c r="B103" s="299"/>
      <c r="C103" s="299" t="s">
        <v>1054</v>
      </c>
      <c r="D103" s="299" t="s">
        <v>1055</v>
      </c>
      <c r="E103" s="299" t="s">
        <v>150</v>
      </c>
      <c r="F103" s="303" t="s">
        <v>798</v>
      </c>
    </row>
    <row r="104" spans="1:10" x14ac:dyDescent="0.35">
      <c r="A104" s="302" t="s">
        <v>675</v>
      </c>
      <c r="B104" s="299"/>
      <c r="C104" s="299" t="s">
        <v>1056</v>
      </c>
      <c r="D104" s="299" t="s">
        <v>1057</v>
      </c>
      <c r="E104" s="299" t="s">
        <v>205</v>
      </c>
      <c r="F104" s="303" t="s">
        <v>813</v>
      </c>
    </row>
    <row r="105" spans="1:10" s="298" customFormat="1" ht="13.9" x14ac:dyDescent="0.4">
      <c r="A105" s="302" t="s">
        <v>675</v>
      </c>
      <c r="B105" s="299"/>
      <c r="C105" s="299" t="s">
        <v>1058</v>
      </c>
      <c r="D105" s="299" t="s">
        <v>1059</v>
      </c>
      <c r="E105" s="299" t="s">
        <v>132</v>
      </c>
      <c r="F105" s="303" t="s">
        <v>802</v>
      </c>
      <c r="H105" s="299"/>
      <c r="I105" s="299"/>
      <c r="J105" s="299"/>
    </row>
    <row r="106" spans="1:10" s="298" customFormat="1" ht="13.9" x14ac:dyDescent="0.4">
      <c r="A106" s="302" t="s">
        <v>675</v>
      </c>
      <c r="B106" s="299"/>
      <c r="C106" s="299" t="s">
        <v>1060</v>
      </c>
      <c r="D106" s="299" t="s">
        <v>1061</v>
      </c>
      <c r="E106" s="299" t="s">
        <v>150</v>
      </c>
      <c r="F106" s="303" t="s">
        <v>760</v>
      </c>
      <c r="H106" s="299"/>
      <c r="I106" s="299"/>
      <c r="J106" s="299"/>
    </row>
    <row r="107" spans="1:10" s="298" customFormat="1" ht="13.9" x14ac:dyDescent="0.4">
      <c r="A107" s="302" t="s">
        <v>675</v>
      </c>
      <c r="B107" s="299"/>
      <c r="C107" s="299" t="s">
        <v>1062</v>
      </c>
      <c r="D107" s="299" t="s">
        <v>1063</v>
      </c>
      <c r="E107" s="299" t="s">
        <v>205</v>
      </c>
      <c r="F107" s="303" t="s">
        <v>813</v>
      </c>
      <c r="H107" s="299"/>
      <c r="I107" s="299"/>
      <c r="J107" s="299"/>
    </row>
    <row r="108" spans="1:10" s="298" customFormat="1" ht="14.25" customHeight="1" x14ac:dyDescent="0.4">
      <c r="A108" s="302" t="s">
        <v>675</v>
      </c>
      <c r="B108" s="299"/>
      <c r="C108" s="299" t="s">
        <v>1064</v>
      </c>
      <c r="D108" s="299" t="s">
        <v>1065</v>
      </c>
      <c r="E108" s="299" t="s">
        <v>151</v>
      </c>
      <c r="F108" s="303" t="s">
        <v>800</v>
      </c>
      <c r="G108" s="299"/>
      <c r="H108" s="299"/>
      <c r="I108" s="299"/>
    </row>
    <row r="109" spans="1:10" s="298" customFormat="1" ht="14.25" customHeight="1" x14ac:dyDescent="0.4">
      <c r="A109" s="302" t="s">
        <v>735</v>
      </c>
      <c r="B109" s="299"/>
      <c r="C109" s="299" t="s">
        <v>1066</v>
      </c>
      <c r="D109" s="299" t="s">
        <v>1067</v>
      </c>
      <c r="E109" s="299" t="s">
        <v>205</v>
      </c>
      <c r="F109" s="303" t="s">
        <v>822</v>
      </c>
      <c r="G109" s="299"/>
      <c r="H109" s="299"/>
      <c r="I109" s="299"/>
    </row>
    <row r="110" spans="1:10" s="298" customFormat="1" ht="13.9" x14ac:dyDescent="0.4">
      <c r="A110" s="302" t="s">
        <v>735</v>
      </c>
      <c r="B110" s="299" t="s">
        <v>671</v>
      </c>
      <c r="C110" s="299" t="s">
        <v>1068</v>
      </c>
      <c r="D110" s="299" t="s">
        <v>1069</v>
      </c>
      <c r="E110" s="299" t="s">
        <v>149</v>
      </c>
      <c r="F110" s="303" t="s">
        <v>1070</v>
      </c>
      <c r="H110" s="299"/>
      <c r="I110" s="299"/>
    </row>
    <row r="111" spans="1:10" s="298" customFormat="1" ht="13.9" x14ac:dyDescent="0.4">
      <c r="A111" s="302" t="s">
        <v>735</v>
      </c>
      <c r="B111" s="299"/>
      <c r="C111" s="299" t="s">
        <v>1071</v>
      </c>
      <c r="D111" s="299" t="s">
        <v>1072</v>
      </c>
      <c r="E111" s="299" t="s">
        <v>150</v>
      </c>
      <c r="F111" s="303" t="s">
        <v>760</v>
      </c>
      <c r="H111" s="299"/>
      <c r="I111" s="299"/>
    </row>
    <row r="112" spans="1:10" s="298" customFormat="1" ht="13.9" x14ac:dyDescent="0.4">
      <c r="A112" s="302" t="s">
        <v>735</v>
      </c>
      <c r="B112" s="299"/>
      <c r="C112" s="299" t="s">
        <v>1073</v>
      </c>
      <c r="D112" s="299" t="s">
        <v>1074</v>
      </c>
      <c r="E112" s="299" t="s">
        <v>303</v>
      </c>
      <c r="F112" s="303" t="s">
        <v>904</v>
      </c>
      <c r="H112" s="299"/>
      <c r="I112" s="299"/>
    </row>
    <row r="113" spans="1:12" s="298" customFormat="1" ht="13.9" x14ac:dyDescent="0.4">
      <c r="A113" s="302" t="s">
        <v>735</v>
      </c>
      <c r="B113" s="299"/>
      <c r="C113" s="299" t="s">
        <v>1075</v>
      </c>
      <c r="D113" s="299" t="s">
        <v>1076</v>
      </c>
      <c r="E113" s="299" t="s">
        <v>131</v>
      </c>
      <c r="F113" s="303" t="s">
        <v>879</v>
      </c>
      <c r="G113" s="299"/>
      <c r="H113" s="299"/>
      <c r="I113" s="299"/>
    </row>
    <row r="114" spans="1:12" s="298" customFormat="1" ht="13.9" x14ac:dyDescent="0.4">
      <c r="A114" s="302" t="s">
        <v>735</v>
      </c>
      <c r="B114" s="299"/>
      <c r="C114" s="299" t="s">
        <v>1077</v>
      </c>
      <c r="D114" s="299" t="s">
        <v>1078</v>
      </c>
      <c r="E114" s="299" t="s">
        <v>150</v>
      </c>
      <c r="F114" s="303" t="s">
        <v>798</v>
      </c>
      <c r="G114" s="299"/>
      <c r="H114" s="299"/>
      <c r="I114" s="299"/>
    </row>
    <row r="115" spans="1:12" s="298" customFormat="1" ht="13.9" x14ac:dyDescent="0.4">
      <c r="A115" s="302" t="s">
        <v>735</v>
      </c>
      <c r="B115" s="299"/>
      <c r="C115" s="299" t="s">
        <v>1079</v>
      </c>
      <c r="D115" s="299" t="s">
        <v>1080</v>
      </c>
      <c r="E115" s="299" t="s">
        <v>152</v>
      </c>
      <c r="F115" s="303" t="s">
        <v>803</v>
      </c>
      <c r="G115" s="299"/>
      <c r="H115" s="299"/>
      <c r="I115" s="299"/>
    </row>
    <row r="116" spans="1:12" ht="13.9" x14ac:dyDescent="0.4">
      <c r="A116" s="302" t="s">
        <v>735</v>
      </c>
      <c r="B116" s="299"/>
      <c r="C116" s="299" t="s">
        <v>1081</v>
      </c>
      <c r="D116" s="299" t="s">
        <v>1082</v>
      </c>
      <c r="E116" s="299" t="s">
        <v>205</v>
      </c>
      <c r="F116" s="303" t="s">
        <v>813</v>
      </c>
      <c r="K116" s="298"/>
      <c r="L116" s="298"/>
    </row>
    <row r="117" spans="1:12" ht="13.9" x14ac:dyDescent="0.4">
      <c r="A117" s="302" t="s">
        <v>735</v>
      </c>
      <c r="B117" s="299"/>
      <c r="C117" s="299" t="s">
        <v>1083</v>
      </c>
      <c r="D117" s="299" t="s">
        <v>1084</v>
      </c>
      <c r="E117" s="299" t="s">
        <v>205</v>
      </c>
      <c r="F117" s="303" t="s">
        <v>813</v>
      </c>
      <c r="G117" s="298"/>
      <c r="K117" s="298"/>
      <c r="L117" s="298"/>
    </row>
    <row r="118" spans="1:12" ht="13.9" x14ac:dyDescent="0.4">
      <c r="A118" s="302" t="s">
        <v>735</v>
      </c>
      <c r="B118" s="299"/>
      <c r="C118" s="299" t="s">
        <v>1085</v>
      </c>
      <c r="D118" s="299" t="s">
        <v>1086</v>
      </c>
      <c r="E118" s="299" t="s">
        <v>151</v>
      </c>
      <c r="F118" s="303" t="s">
        <v>800</v>
      </c>
      <c r="G118" s="298"/>
      <c r="K118" s="298"/>
      <c r="L118" s="298"/>
    </row>
    <row r="119" spans="1:12" ht="13.9" x14ac:dyDescent="0.4">
      <c r="A119" s="302" t="s">
        <v>735</v>
      </c>
      <c r="B119" s="299"/>
      <c r="C119" s="299" t="s">
        <v>1087</v>
      </c>
      <c r="D119" s="299" t="s">
        <v>1088</v>
      </c>
      <c r="E119" s="299" t="s">
        <v>149</v>
      </c>
      <c r="F119" s="303" t="s">
        <v>806</v>
      </c>
      <c r="G119" s="298"/>
      <c r="K119" s="298"/>
      <c r="L119" s="298"/>
    </row>
    <row r="120" spans="1:12" ht="13.9" x14ac:dyDescent="0.4">
      <c r="A120" s="302" t="s">
        <v>735</v>
      </c>
      <c r="B120" s="299"/>
      <c r="C120" s="299" t="s">
        <v>1089</v>
      </c>
      <c r="D120" s="299" t="s">
        <v>1090</v>
      </c>
      <c r="E120" s="299" t="s">
        <v>132</v>
      </c>
      <c r="F120" s="303" t="s">
        <v>793</v>
      </c>
      <c r="G120" s="298"/>
      <c r="K120" s="298"/>
      <c r="L120" s="298"/>
    </row>
    <row r="121" spans="1:12" ht="13.9" x14ac:dyDescent="0.4">
      <c r="A121" s="302" t="s">
        <v>735</v>
      </c>
      <c r="B121" s="299"/>
      <c r="C121" s="299" t="s">
        <v>1091</v>
      </c>
      <c r="D121" s="299" t="s">
        <v>1092</v>
      </c>
      <c r="E121" s="299" t="s">
        <v>132</v>
      </c>
      <c r="F121" s="303" t="s">
        <v>808</v>
      </c>
      <c r="K121" s="298"/>
      <c r="L121" s="298"/>
    </row>
    <row r="122" spans="1:12" s="298" customFormat="1" ht="13.9" x14ac:dyDescent="0.4">
      <c r="A122" s="302" t="s">
        <v>735</v>
      </c>
      <c r="B122" s="299"/>
      <c r="C122" s="299" t="s">
        <v>1093</v>
      </c>
      <c r="D122" s="299" t="s">
        <v>1094</v>
      </c>
      <c r="E122" s="299" t="s">
        <v>132</v>
      </c>
      <c r="F122" s="303" t="s">
        <v>808</v>
      </c>
      <c r="G122" s="299"/>
      <c r="H122" s="299"/>
      <c r="I122" s="299"/>
    </row>
    <row r="123" spans="1:12" s="298" customFormat="1" ht="13.9" x14ac:dyDescent="0.4">
      <c r="A123" s="302" t="s">
        <v>755</v>
      </c>
      <c r="B123" s="299"/>
      <c r="C123" s="299" t="s">
        <v>1095</v>
      </c>
      <c r="D123" s="299" t="s">
        <v>1096</v>
      </c>
      <c r="E123" s="299" t="s">
        <v>150</v>
      </c>
      <c r="F123" s="303" t="s">
        <v>798</v>
      </c>
      <c r="G123" s="299"/>
      <c r="H123" s="299"/>
      <c r="I123" s="299"/>
    </row>
    <row r="124" spans="1:12" s="298" customFormat="1" ht="13.9" x14ac:dyDescent="0.4">
      <c r="A124" s="302" t="s">
        <v>755</v>
      </c>
      <c r="B124" s="299" t="s">
        <v>671</v>
      </c>
      <c r="C124" s="299" t="s">
        <v>1097</v>
      </c>
      <c r="D124" s="299" t="s">
        <v>1098</v>
      </c>
      <c r="E124" s="299" t="s">
        <v>155</v>
      </c>
      <c r="F124" s="303" t="s">
        <v>1099</v>
      </c>
      <c r="G124" s="299"/>
      <c r="H124" s="299"/>
      <c r="I124" s="299"/>
    </row>
    <row r="125" spans="1:12" s="298" customFormat="1" ht="13.9" x14ac:dyDescent="0.4">
      <c r="A125" s="302" t="s">
        <v>755</v>
      </c>
      <c r="B125" s="299"/>
      <c r="C125" s="299" t="s">
        <v>1100</v>
      </c>
      <c r="D125" s="299" t="s">
        <v>1101</v>
      </c>
      <c r="E125" s="299" t="s">
        <v>131</v>
      </c>
      <c r="F125" s="303" t="s">
        <v>879</v>
      </c>
      <c r="H125" s="299"/>
      <c r="I125" s="299"/>
    </row>
    <row r="126" spans="1:12" s="298" customFormat="1" ht="13.9" x14ac:dyDescent="0.4">
      <c r="A126" s="302" t="s">
        <v>755</v>
      </c>
      <c r="B126" s="299"/>
      <c r="C126" s="299" t="s">
        <v>1102</v>
      </c>
      <c r="D126" s="299" t="s">
        <v>1103</v>
      </c>
      <c r="E126" s="299" t="s">
        <v>131</v>
      </c>
      <c r="F126" s="303" t="s">
        <v>879</v>
      </c>
      <c r="H126" s="299"/>
      <c r="I126" s="299"/>
      <c r="J126" s="299"/>
      <c r="K126" s="299"/>
      <c r="L126" s="299"/>
    </row>
    <row r="127" spans="1:12" s="298" customFormat="1" ht="13.9" x14ac:dyDescent="0.4">
      <c r="A127" s="302" t="s">
        <v>755</v>
      </c>
      <c r="B127" s="299"/>
      <c r="C127" s="299" t="s">
        <v>1104</v>
      </c>
      <c r="D127" s="299" t="s">
        <v>1105</v>
      </c>
      <c r="E127" s="299" t="s">
        <v>205</v>
      </c>
      <c r="F127" s="303" t="s">
        <v>822</v>
      </c>
      <c r="H127" s="299"/>
      <c r="I127" s="299"/>
      <c r="J127" s="299"/>
      <c r="K127" s="299"/>
      <c r="L127" s="299"/>
    </row>
    <row r="128" spans="1:12" x14ac:dyDescent="0.35">
      <c r="A128" s="302" t="s">
        <v>755</v>
      </c>
      <c r="B128" s="299"/>
      <c r="C128" s="299" t="s">
        <v>1106</v>
      </c>
      <c r="D128" s="299" t="s">
        <v>1107</v>
      </c>
      <c r="E128" s="299" t="s">
        <v>155</v>
      </c>
      <c r="F128" s="303" t="s">
        <v>1099</v>
      </c>
    </row>
    <row r="129" spans="1:12" s="298" customFormat="1" ht="13.9" x14ac:dyDescent="0.4">
      <c r="A129" s="302" t="s">
        <v>755</v>
      </c>
      <c r="B129" s="299"/>
      <c r="C129" s="299" t="s">
        <v>1108</v>
      </c>
      <c r="D129" s="299" t="s">
        <v>1109</v>
      </c>
      <c r="E129" s="299" t="s">
        <v>150</v>
      </c>
      <c r="F129" s="303" t="s">
        <v>758</v>
      </c>
      <c r="G129" s="299"/>
      <c r="H129" s="299"/>
      <c r="I129" s="299"/>
    </row>
    <row r="130" spans="1:12" s="298" customFormat="1" ht="13.9" x14ac:dyDescent="0.4">
      <c r="A130" s="302" t="s">
        <v>755</v>
      </c>
      <c r="B130" s="299"/>
      <c r="C130" s="299" t="s">
        <v>1110</v>
      </c>
      <c r="D130" s="299" t="s">
        <v>1111</v>
      </c>
      <c r="E130" s="299" t="s">
        <v>151</v>
      </c>
      <c r="F130" s="303" t="s">
        <v>757</v>
      </c>
      <c r="G130" s="299"/>
      <c r="H130" s="299"/>
      <c r="I130" s="299"/>
    </row>
    <row r="131" spans="1:12" s="298" customFormat="1" ht="13.9" x14ac:dyDescent="0.4">
      <c r="A131" s="302" t="s">
        <v>755</v>
      </c>
      <c r="B131" s="299"/>
      <c r="C131" s="299" t="s">
        <v>1112</v>
      </c>
      <c r="D131" s="299" t="s">
        <v>1113</v>
      </c>
      <c r="E131" s="299" t="s">
        <v>131</v>
      </c>
      <c r="F131" s="303" t="s">
        <v>879</v>
      </c>
      <c r="G131" s="299"/>
      <c r="H131" s="299"/>
      <c r="I131" s="299"/>
    </row>
    <row r="132" spans="1:12" s="298" customFormat="1" ht="13.9" x14ac:dyDescent="0.4">
      <c r="A132" s="302" t="s">
        <v>755</v>
      </c>
      <c r="B132" s="299"/>
      <c r="C132" s="299" t="s">
        <v>1114</v>
      </c>
      <c r="D132" s="299" t="s">
        <v>1115</v>
      </c>
      <c r="E132" s="299" t="s">
        <v>152</v>
      </c>
      <c r="F132" s="303" t="s">
        <v>1020</v>
      </c>
      <c r="G132" s="299"/>
      <c r="H132" s="299"/>
      <c r="I132" s="299"/>
    </row>
    <row r="133" spans="1:12" s="298" customFormat="1" ht="13.9" x14ac:dyDescent="0.4">
      <c r="A133" s="302" t="s">
        <v>755</v>
      </c>
      <c r="B133" s="299"/>
      <c r="C133" s="299" t="s">
        <v>1116</v>
      </c>
      <c r="D133" s="299" t="s">
        <v>1117</v>
      </c>
      <c r="E133" s="299" t="s">
        <v>152</v>
      </c>
      <c r="F133" s="303" t="s">
        <v>823</v>
      </c>
      <c r="H133" s="299"/>
      <c r="I133" s="299"/>
    </row>
    <row r="134" spans="1:12" s="298" customFormat="1" ht="13.9" x14ac:dyDescent="0.4">
      <c r="A134" s="302" t="s">
        <v>755</v>
      </c>
      <c r="B134" s="299"/>
      <c r="C134" s="299" t="s">
        <v>1118</v>
      </c>
      <c r="D134" s="299" t="s">
        <v>1119</v>
      </c>
      <c r="E134" s="299" t="s">
        <v>132</v>
      </c>
      <c r="F134" s="303" t="s">
        <v>867</v>
      </c>
      <c r="H134" s="299"/>
      <c r="I134" s="299"/>
      <c r="J134" s="299"/>
    </row>
    <row r="135" spans="1:12" s="298" customFormat="1" ht="13.9" x14ac:dyDescent="0.4">
      <c r="A135" s="302" t="s">
        <v>755</v>
      </c>
      <c r="B135" s="299"/>
      <c r="C135" s="299" t="s">
        <v>1120</v>
      </c>
      <c r="D135" s="299" t="s">
        <v>1121</v>
      </c>
      <c r="E135" s="299" t="s">
        <v>150</v>
      </c>
      <c r="F135" s="303" t="s">
        <v>758</v>
      </c>
      <c r="H135" s="299"/>
      <c r="I135" s="299"/>
      <c r="J135" s="299"/>
    </row>
    <row r="136" spans="1:12" ht="15" x14ac:dyDescent="0.4">
      <c r="A136" s="212"/>
      <c r="B136" s="222"/>
      <c r="C136" s="222"/>
      <c r="D136" s="222"/>
      <c r="E136" s="222"/>
      <c r="F136" s="212"/>
      <c r="G136" s="298"/>
      <c r="K136" s="298"/>
      <c r="L136" s="298"/>
    </row>
    <row r="137" spans="1:12" ht="15" x14ac:dyDescent="0.4">
      <c r="A137" s="304"/>
      <c r="B137" s="222"/>
      <c r="C137" s="222"/>
      <c r="D137" s="222"/>
      <c r="E137" s="222"/>
      <c r="F137" s="222"/>
      <c r="G137" s="298"/>
    </row>
    <row r="138" spans="1:12" s="298" customFormat="1" ht="15" x14ac:dyDescent="0.4">
      <c r="A138" s="304"/>
      <c r="B138" s="222"/>
      <c r="C138" s="222"/>
      <c r="D138" s="222"/>
      <c r="E138" s="222"/>
      <c r="F138" s="222"/>
      <c r="H138" s="299"/>
      <c r="I138" s="299"/>
      <c r="K138" s="299"/>
      <c r="L138" s="299"/>
    </row>
    <row r="139" spans="1:12" s="298" customFormat="1" ht="15" x14ac:dyDescent="0.4">
      <c r="A139" s="209" t="s">
        <v>1244</v>
      </c>
      <c r="B139" s="271"/>
      <c r="C139" s="271"/>
      <c r="D139" s="271"/>
      <c r="E139" s="271"/>
      <c r="F139" s="209"/>
      <c r="G139" s="299"/>
      <c r="H139" s="299"/>
      <c r="I139" s="299"/>
      <c r="K139" s="299"/>
      <c r="L139" s="299"/>
    </row>
    <row r="140" spans="1:12" s="298" customFormat="1" ht="15" x14ac:dyDescent="0.4">
      <c r="A140" s="209" t="s">
        <v>1245</v>
      </c>
      <c r="B140" s="271"/>
      <c r="C140" s="271"/>
      <c r="D140" s="271"/>
      <c r="E140" s="271"/>
      <c r="F140" s="209"/>
      <c r="G140" s="299"/>
      <c r="H140" s="299"/>
      <c r="I140" s="299"/>
    </row>
    <row r="141" spans="1:12" s="298" customFormat="1" ht="15" x14ac:dyDescent="0.4">
      <c r="A141" s="209" t="s">
        <v>670</v>
      </c>
      <c r="B141" s="271" t="s">
        <v>671</v>
      </c>
      <c r="C141" s="271" t="s">
        <v>672</v>
      </c>
      <c r="D141" s="271" t="s">
        <v>673</v>
      </c>
      <c r="E141" s="271" t="s">
        <v>136</v>
      </c>
      <c r="F141" s="209" t="s">
        <v>674</v>
      </c>
      <c r="G141" s="299"/>
      <c r="H141" s="299"/>
      <c r="I141" s="299"/>
    </row>
    <row r="142" spans="1:12" s="298" customFormat="1" ht="13.9" x14ac:dyDescent="0.4">
      <c r="A142" s="302" t="s">
        <v>734</v>
      </c>
      <c r="B142" s="299"/>
      <c r="C142" s="299" t="s">
        <v>1122</v>
      </c>
      <c r="D142" s="299" t="s">
        <v>1123</v>
      </c>
      <c r="E142" s="299" t="s">
        <v>132</v>
      </c>
      <c r="F142" s="303" t="s">
        <v>808</v>
      </c>
      <c r="G142" s="299"/>
      <c r="H142" s="299"/>
      <c r="I142" s="299"/>
    </row>
    <row r="143" spans="1:12" ht="13.9" x14ac:dyDescent="0.4">
      <c r="A143" s="302" t="s">
        <v>734</v>
      </c>
      <c r="B143" s="299"/>
      <c r="C143" s="299" t="s">
        <v>1246</v>
      </c>
      <c r="D143" s="299" t="s">
        <v>1247</v>
      </c>
      <c r="E143" s="299" t="s">
        <v>149</v>
      </c>
      <c r="F143" s="303" t="s">
        <v>790</v>
      </c>
      <c r="J143" s="298"/>
    </row>
    <row r="144" spans="1:12" x14ac:dyDescent="0.35">
      <c r="A144" s="302" t="s">
        <v>734</v>
      </c>
      <c r="B144" s="299"/>
      <c r="C144" s="299" t="s">
        <v>1124</v>
      </c>
      <c r="D144" s="299" t="s">
        <v>1125</v>
      </c>
      <c r="E144" s="299" t="s">
        <v>131</v>
      </c>
      <c r="F144" s="303" t="s">
        <v>811</v>
      </c>
    </row>
    <row r="145" spans="1:12" x14ac:dyDescent="0.35">
      <c r="A145" s="302" t="s">
        <v>734</v>
      </c>
      <c r="B145" s="299"/>
      <c r="C145" s="299" t="s">
        <v>1126</v>
      </c>
      <c r="D145" s="299" t="s">
        <v>1127</v>
      </c>
      <c r="E145" s="299" t="s">
        <v>132</v>
      </c>
      <c r="F145" s="303" t="s">
        <v>793</v>
      </c>
    </row>
    <row r="146" spans="1:12" x14ac:dyDescent="0.35">
      <c r="A146" s="302" t="s">
        <v>788</v>
      </c>
      <c r="B146" s="299"/>
      <c r="C146" s="299" t="s">
        <v>1248</v>
      </c>
      <c r="D146" s="299" t="s">
        <v>1249</v>
      </c>
      <c r="E146" s="299" t="s">
        <v>151</v>
      </c>
      <c r="F146" s="303" t="s">
        <v>797</v>
      </c>
    </row>
    <row r="147" spans="1:12" s="298" customFormat="1" ht="13.9" x14ac:dyDescent="0.4">
      <c r="A147" s="302" t="s">
        <v>788</v>
      </c>
      <c r="B147" s="299"/>
      <c r="C147" s="299" t="s">
        <v>1128</v>
      </c>
      <c r="D147" s="299" t="s">
        <v>1129</v>
      </c>
      <c r="E147" s="299" t="s">
        <v>155</v>
      </c>
      <c r="F147" s="303" t="s">
        <v>807</v>
      </c>
      <c r="G147" s="299"/>
      <c r="H147" s="299"/>
      <c r="I147" s="299"/>
    </row>
    <row r="148" spans="1:12" s="298" customFormat="1" ht="13.9" x14ac:dyDescent="0.4">
      <c r="A148" s="302" t="s">
        <v>788</v>
      </c>
      <c r="B148" s="299"/>
      <c r="C148" s="299" t="s">
        <v>1130</v>
      </c>
      <c r="D148" s="299" t="s">
        <v>1131</v>
      </c>
      <c r="E148" s="299" t="s">
        <v>155</v>
      </c>
      <c r="F148" s="303" t="s">
        <v>807</v>
      </c>
      <c r="G148" s="299"/>
      <c r="H148" s="299"/>
      <c r="I148" s="299"/>
    </row>
    <row r="149" spans="1:12" s="298" customFormat="1" ht="13.9" x14ac:dyDescent="0.4">
      <c r="A149" s="302" t="s">
        <v>788</v>
      </c>
      <c r="B149" s="299"/>
      <c r="C149" s="299" t="s">
        <v>1132</v>
      </c>
      <c r="D149" s="299" t="s">
        <v>1133</v>
      </c>
      <c r="E149" s="299" t="s">
        <v>303</v>
      </c>
      <c r="F149" s="303" t="s">
        <v>904</v>
      </c>
      <c r="G149" s="299"/>
      <c r="H149" s="299"/>
      <c r="I149" s="299"/>
    </row>
    <row r="150" spans="1:12" s="298" customFormat="1" ht="13.9" x14ac:dyDescent="0.4">
      <c r="A150" s="302" t="s">
        <v>788</v>
      </c>
      <c r="B150" s="299"/>
      <c r="C150" s="299" t="s">
        <v>1134</v>
      </c>
      <c r="D150" s="299" t="s">
        <v>1135</v>
      </c>
      <c r="E150" s="299" t="s">
        <v>155</v>
      </c>
      <c r="F150" s="303" t="s">
        <v>1136</v>
      </c>
      <c r="H150" s="299"/>
      <c r="I150" s="299"/>
    </row>
    <row r="151" spans="1:12" s="298" customFormat="1" ht="13.9" x14ac:dyDescent="0.4">
      <c r="A151" s="302" t="s">
        <v>788</v>
      </c>
      <c r="B151" s="299"/>
      <c r="C151" s="299" t="s">
        <v>1250</v>
      </c>
      <c r="D151" s="299" t="s">
        <v>1251</v>
      </c>
      <c r="E151" s="299" t="s">
        <v>149</v>
      </c>
      <c r="F151" s="303" t="s">
        <v>787</v>
      </c>
      <c r="H151" s="299"/>
      <c r="I151" s="299"/>
    </row>
    <row r="152" spans="1:12" s="298" customFormat="1" ht="13.9" x14ac:dyDescent="0.4">
      <c r="A152" s="302" t="s">
        <v>788</v>
      </c>
      <c r="B152" s="299"/>
      <c r="C152" s="299" t="s">
        <v>1252</v>
      </c>
      <c r="D152" s="299" t="s">
        <v>1253</v>
      </c>
      <c r="E152" s="299" t="s">
        <v>303</v>
      </c>
      <c r="F152" s="303" t="s">
        <v>815</v>
      </c>
      <c r="H152" s="299"/>
      <c r="I152" s="299"/>
    </row>
    <row r="153" spans="1:12" x14ac:dyDescent="0.35">
      <c r="A153" s="302" t="s">
        <v>788</v>
      </c>
      <c r="B153" s="299"/>
      <c r="C153" s="299" t="s">
        <v>1137</v>
      </c>
      <c r="D153" s="299" t="s">
        <v>1138</v>
      </c>
      <c r="E153" s="299" t="s">
        <v>303</v>
      </c>
      <c r="F153" s="303" t="s">
        <v>909</v>
      </c>
    </row>
    <row r="154" spans="1:12" x14ac:dyDescent="0.35">
      <c r="A154" s="302" t="s">
        <v>788</v>
      </c>
      <c r="B154" s="299"/>
      <c r="C154" s="299" t="s">
        <v>1139</v>
      </c>
      <c r="D154" s="299" t="s">
        <v>1140</v>
      </c>
      <c r="E154" s="299" t="s">
        <v>132</v>
      </c>
      <c r="F154" s="303" t="s">
        <v>867</v>
      </c>
    </row>
    <row r="155" spans="1:12" s="298" customFormat="1" ht="13.9" x14ac:dyDescent="0.4">
      <c r="A155" s="302" t="s">
        <v>788</v>
      </c>
      <c r="B155" s="299"/>
      <c r="C155" s="299" t="s">
        <v>1254</v>
      </c>
      <c r="D155" s="299" t="s">
        <v>1255</v>
      </c>
      <c r="E155" s="299" t="s">
        <v>155</v>
      </c>
      <c r="F155" s="303" t="s">
        <v>1136</v>
      </c>
      <c r="G155" s="299"/>
      <c r="H155" s="299"/>
      <c r="I155" s="299"/>
      <c r="J155" s="299"/>
      <c r="K155" s="299"/>
      <c r="L155" s="299"/>
    </row>
    <row r="156" spans="1:12" s="298" customFormat="1" ht="13.9" x14ac:dyDescent="0.4">
      <c r="A156" s="302" t="s">
        <v>690</v>
      </c>
      <c r="B156" s="299"/>
      <c r="C156" s="299" t="s">
        <v>1256</v>
      </c>
      <c r="D156" s="299" t="s">
        <v>1257</v>
      </c>
      <c r="E156" s="299" t="s">
        <v>131</v>
      </c>
      <c r="F156" s="303" t="s">
        <v>923</v>
      </c>
      <c r="G156" s="299"/>
      <c r="H156" s="299"/>
      <c r="I156" s="299"/>
    </row>
    <row r="157" spans="1:12" s="298" customFormat="1" ht="13.9" x14ac:dyDescent="0.4">
      <c r="A157" s="302" t="s">
        <v>690</v>
      </c>
      <c r="B157" s="299"/>
      <c r="C157" s="299" t="s">
        <v>1141</v>
      </c>
      <c r="D157" s="299" t="s">
        <v>1142</v>
      </c>
      <c r="E157" s="299" t="s">
        <v>150</v>
      </c>
      <c r="F157" s="303" t="s">
        <v>1143</v>
      </c>
      <c r="H157" s="299"/>
      <c r="I157" s="299"/>
    </row>
    <row r="158" spans="1:12" s="298" customFormat="1" ht="13.9" x14ac:dyDescent="0.4">
      <c r="A158" s="302" t="s">
        <v>690</v>
      </c>
      <c r="B158" s="299"/>
      <c r="C158" s="299" t="s">
        <v>1144</v>
      </c>
      <c r="D158" s="299" t="s">
        <v>1145</v>
      </c>
      <c r="E158" s="299" t="s">
        <v>152</v>
      </c>
      <c r="F158" s="303" t="s">
        <v>1146</v>
      </c>
      <c r="H158" s="299"/>
      <c r="I158" s="299"/>
    </row>
    <row r="159" spans="1:12" s="298" customFormat="1" ht="13.9" x14ac:dyDescent="0.4">
      <c r="A159" s="302" t="s">
        <v>690</v>
      </c>
      <c r="B159" s="299"/>
      <c r="C159" s="299" t="s">
        <v>1258</v>
      </c>
      <c r="D159" s="299" t="s">
        <v>1259</v>
      </c>
      <c r="E159" s="299" t="s">
        <v>151</v>
      </c>
      <c r="F159" s="303" t="s">
        <v>1260</v>
      </c>
      <c r="H159" s="299"/>
      <c r="I159" s="299"/>
    </row>
    <row r="160" spans="1:12" s="298" customFormat="1" ht="13.9" x14ac:dyDescent="0.4">
      <c r="A160" s="302" t="s">
        <v>690</v>
      </c>
      <c r="B160" s="299" t="s">
        <v>671</v>
      </c>
      <c r="C160" s="299" t="s">
        <v>1261</v>
      </c>
      <c r="D160" s="299" t="s">
        <v>1262</v>
      </c>
      <c r="E160" s="299" t="s">
        <v>151</v>
      </c>
      <c r="F160" s="303" t="s">
        <v>799</v>
      </c>
      <c r="G160" s="299"/>
      <c r="H160" s="299"/>
      <c r="I160" s="299"/>
    </row>
    <row r="161" spans="1:10" s="298" customFormat="1" ht="13.9" x14ac:dyDescent="0.4">
      <c r="A161" s="302" t="s">
        <v>690</v>
      </c>
      <c r="B161" s="299"/>
      <c r="C161" s="299" t="s">
        <v>1263</v>
      </c>
      <c r="D161" s="299" t="s">
        <v>1264</v>
      </c>
      <c r="E161" s="299" t="s">
        <v>151</v>
      </c>
      <c r="F161" s="303" t="s">
        <v>799</v>
      </c>
      <c r="G161" s="299"/>
      <c r="H161" s="299"/>
      <c r="I161" s="299"/>
    </row>
    <row r="162" spans="1:10" x14ac:dyDescent="0.35">
      <c r="A162" s="302" t="s">
        <v>690</v>
      </c>
      <c r="B162" s="299"/>
      <c r="C162" s="299" t="s">
        <v>1147</v>
      </c>
      <c r="D162" s="299" t="s">
        <v>1148</v>
      </c>
      <c r="E162" s="299" t="s">
        <v>205</v>
      </c>
      <c r="F162" s="303" t="s">
        <v>813</v>
      </c>
    </row>
    <row r="163" spans="1:10" x14ac:dyDescent="0.35">
      <c r="A163" s="302" t="s">
        <v>690</v>
      </c>
      <c r="B163" s="299"/>
      <c r="C163" s="299" t="s">
        <v>1265</v>
      </c>
      <c r="D163" s="299" t="s">
        <v>1266</v>
      </c>
      <c r="E163" s="299" t="s">
        <v>152</v>
      </c>
      <c r="F163" s="303" t="s">
        <v>803</v>
      </c>
    </row>
    <row r="164" spans="1:10" x14ac:dyDescent="0.35">
      <c r="A164" s="302" t="s">
        <v>690</v>
      </c>
      <c r="B164" s="299"/>
      <c r="C164" s="299" t="s">
        <v>1267</v>
      </c>
      <c r="D164" s="299" t="s">
        <v>1268</v>
      </c>
      <c r="E164" s="299" t="s">
        <v>151</v>
      </c>
      <c r="F164" s="303" t="s">
        <v>864</v>
      </c>
    </row>
    <row r="165" spans="1:10" s="298" customFormat="1" ht="13.9" x14ac:dyDescent="0.4">
      <c r="A165" s="302" t="s">
        <v>690</v>
      </c>
      <c r="B165" s="299"/>
      <c r="C165" s="299" t="s">
        <v>1149</v>
      </c>
      <c r="D165" s="299" t="s">
        <v>1150</v>
      </c>
      <c r="E165" s="299" t="s">
        <v>151</v>
      </c>
      <c r="F165" s="303" t="s">
        <v>964</v>
      </c>
      <c r="G165" s="299"/>
      <c r="H165" s="299"/>
      <c r="I165" s="299"/>
    </row>
    <row r="166" spans="1:10" s="298" customFormat="1" ht="13.9" x14ac:dyDescent="0.4">
      <c r="A166" s="302" t="s">
        <v>690</v>
      </c>
      <c r="B166" s="299"/>
      <c r="C166" s="299" t="s">
        <v>1269</v>
      </c>
      <c r="D166" s="299" t="s">
        <v>1270</v>
      </c>
      <c r="E166" s="299" t="s">
        <v>150</v>
      </c>
      <c r="F166" s="303" t="s">
        <v>876</v>
      </c>
      <c r="G166" s="299"/>
      <c r="H166" s="299"/>
      <c r="I166" s="299"/>
    </row>
    <row r="167" spans="1:10" s="298" customFormat="1" ht="13.9" x14ac:dyDescent="0.4">
      <c r="A167" s="302" t="s">
        <v>690</v>
      </c>
      <c r="B167" s="299"/>
      <c r="C167" s="299" t="s">
        <v>1271</v>
      </c>
      <c r="D167" s="299" t="s">
        <v>1272</v>
      </c>
      <c r="E167" s="299" t="s">
        <v>377</v>
      </c>
      <c r="F167" s="303" t="s">
        <v>1273</v>
      </c>
      <c r="G167" s="299"/>
      <c r="H167" s="299"/>
      <c r="I167" s="299"/>
    </row>
    <row r="168" spans="1:10" s="298" customFormat="1" ht="13.9" x14ac:dyDescent="0.4">
      <c r="A168" s="302" t="s">
        <v>690</v>
      </c>
      <c r="B168" s="299"/>
      <c r="C168" s="299" t="s">
        <v>1274</v>
      </c>
      <c r="D168" s="299" t="s">
        <v>1275</v>
      </c>
      <c r="E168" s="299" t="s">
        <v>149</v>
      </c>
      <c r="F168" s="303" t="s">
        <v>818</v>
      </c>
      <c r="G168" s="299"/>
      <c r="H168" s="299"/>
      <c r="I168" s="299"/>
      <c r="J168" s="299"/>
    </row>
    <row r="169" spans="1:10" s="298" customFormat="1" ht="13.9" x14ac:dyDescent="0.4">
      <c r="A169" s="302" t="s">
        <v>690</v>
      </c>
      <c r="B169" s="299"/>
      <c r="C169" s="299" t="s">
        <v>1276</v>
      </c>
      <c r="D169" s="299" t="s">
        <v>1277</v>
      </c>
      <c r="E169" s="299" t="s">
        <v>132</v>
      </c>
      <c r="F169" s="303" t="s">
        <v>1181</v>
      </c>
      <c r="G169" s="299"/>
      <c r="H169" s="299"/>
      <c r="I169" s="299"/>
    </row>
    <row r="170" spans="1:10" s="298" customFormat="1" ht="13.9" x14ac:dyDescent="0.4">
      <c r="A170" s="302" t="s">
        <v>690</v>
      </c>
      <c r="B170" s="299"/>
      <c r="C170" s="299" t="s">
        <v>1278</v>
      </c>
      <c r="D170" s="299" t="s">
        <v>1279</v>
      </c>
      <c r="E170" s="299" t="s">
        <v>151</v>
      </c>
      <c r="F170" s="303" t="s">
        <v>794</v>
      </c>
      <c r="G170" s="299"/>
      <c r="H170" s="299"/>
      <c r="I170" s="299"/>
    </row>
    <row r="171" spans="1:10" s="298" customFormat="1" ht="13.9" x14ac:dyDescent="0.4">
      <c r="A171" s="302" t="s">
        <v>690</v>
      </c>
      <c r="B171" s="299"/>
      <c r="C171" s="299" t="s">
        <v>1151</v>
      </c>
      <c r="D171" s="299" t="s">
        <v>1152</v>
      </c>
      <c r="E171" s="299" t="s">
        <v>151</v>
      </c>
      <c r="F171" s="303" t="s">
        <v>794</v>
      </c>
      <c r="G171" s="299"/>
      <c r="H171" s="299"/>
      <c r="I171" s="299"/>
    </row>
    <row r="172" spans="1:10" s="298" customFormat="1" ht="13.9" x14ac:dyDescent="0.4">
      <c r="A172" s="302" t="s">
        <v>690</v>
      </c>
      <c r="B172" s="299"/>
      <c r="C172" s="299" t="s">
        <v>1153</v>
      </c>
      <c r="D172" s="299" t="s">
        <v>1154</v>
      </c>
      <c r="E172" s="299" t="s">
        <v>155</v>
      </c>
      <c r="F172" s="303" t="s">
        <v>824</v>
      </c>
      <c r="G172" s="299"/>
      <c r="H172" s="299"/>
      <c r="I172" s="299"/>
    </row>
    <row r="173" spans="1:10" s="298" customFormat="1" ht="13.9" x14ac:dyDescent="0.4">
      <c r="A173" s="302" t="s">
        <v>690</v>
      </c>
      <c r="B173" s="299"/>
      <c r="C173" s="299" t="s">
        <v>1155</v>
      </c>
      <c r="D173" s="299" t="s">
        <v>1156</v>
      </c>
      <c r="E173" s="299" t="s">
        <v>130</v>
      </c>
      <c r="F173" s="303" t="s">
        <v>810</v>
      </c>
      <c r="H173" s="299"/>
      <c r="I173" s="299"/>
    </row>
    <row r="174" spans="1:10" ht="13.9" x14ac:dyDescent="0.4">
      <c r="A174" s="302" t="s">
        <v>690</v>
      </c>
      <c r="B174" s="299"/>
      <c r="C174" s="299" t="s">
        <v>1157</v>
      </c>
      <c r="D174" s="299" t="s">
        <v>1158</v>
      </c>
      <c r="E174" s="299" t="s">
        <v>131</v>
      </c>
      <c r="F174" s="303" t="s">
        <v>1159</v>
      </c>
      <c r="G174" s="298"/>
    </row>
    <row r="175" spans="1:10" ht="13.9" x14ac:dyDescent="0.4">
      <c r="A175" s="302" t="s">
        <v>690</v>
      </c>
      <c r="B175" s="299"/>
      <c r="C175" s="299" t="s">
        <v>1160</v>
      </c>
      <c r="D175" s="299" t="s">
        <v>1161</v>
      </c>
      <c r="E175" s="299" t="s">
        <v>132</v>
      </c>
      <c r="F175" s="303" t="s">
        <v>759</v>
      </c>
      <c r="G175" s="298"/>
    </row>
    <row r="176" spans="1:10" x14ac:dyDescent="0.35">
      <c r="A176" s="302" t="s">
        <v>690</v>
      </c>
      <c r="B176" s="299"/>
      <c r="C176" s="299" t="s">
        <v>214</v>
      </c>
      <c r="D176" s="299" t="s">
        <v>1280</v>
      </c>
      <c r="E176" s="299" t="s">
        <v>205</v>
      </c>
      <c r="F176" s="303" t="s">
        <v>822</v>
      </c>
    </row>
    <row r="177" spans="1:10" x14ac:dyDescent="0.35">
      <c r="A177" s="302" t="s">
        <v>690</v>
      </c>
      <c r="B177" s="299"/>
      <c r="C177" s="299" t="s">
        <v>1281</v>
      </c>
      <c r="D177" s="299" t="s">
        <v>1282</v>
      </c>
      <c r="E177" s="299" t="s">
        <v>130</v>
      </c>
      <c r="F177" s="303" t="s">
        <v>786</v>
      </c>
    </row>
    <row r="178" spans="1:10" x14ac:dyDescent="0.35">
      <c r="A178" s="302" t="s">
        <v>690</v>
      </c>
      <c r="B178" s="299"/>
      <c r="C178" s="299" t="s">
        <v>1162</v>
      </c>
      <c r="D178" s="299" t="s">
        <v>1163</v>
      </c>
      <c r="E178" s="299" t="s">
        <v>149</v>
      </c>
      <c r="F178" s="303" t="s">
        <v>1164</v>
      </c>
    </row>
    <row r="179" spans="1:10" s="298" customFormat="1" ht="13.9" x14ac:dyDescent="0.4">
      <c r="A179" s="302" t="s">
        <v>804</v>
      </c>
      <c r="B179" s="299"/>
      <c r="C179" s="299" t="s">
        <v>1165</v>
      </c>
      <c r="D179" s="299" t="s">
        <v>1166</v>
      </c>
      <c r="E179" s="299" t="s">
        <v>149</v>
      </c>
      <c r="F179" s="303" t="s">
        <v>790</v>
      </c>
      <c r="G179" s="299"/>
      <c r="H179" s="299"/>
      <c r="I179" s="299"/>
    </row>
    <row r="180" spans="1:10" s="298" customFormat="1" ht="13.9" x14ac:dyDescent="0.4">
      <c r="A180" s="302" t="s">
        <v>804</v>
      </c>
      <c r="B180" s="299"/>
      <c r="C180" s="299" t="s">
        <v>1167</v>
      </c>
      <c r="D180" s="299" t="s">
        <v>1168</v>
      </c>
      <c r="E180" s="299" t="s">
        <v>150</v>
      </c>
      <c r="F180" s="303" t="s">
        <v>817</v>
      </c>
      <c r="G180" s="299"/>
      <c r="H180" s="299"/>
      <c r="I180" s="299"/>
    </row>
    <row r="181" spans="1:10" s="298" customFormat="1" ht="13.9" x14ac:dyDescent="0.4">
      <c r="A181" s="302" t="s">
        <v>804</v>
      </c>
      <c r="B181" s="299" t="s">
        <v>671</v>
      </c>
      <c r="C181" s="299" t="s">
        <v>1169</v>
      </c>
      <c r="D181" s="299" t="s">
        <v>1170</v>
      </c>
      <c r="E181" s="299" t="s">
        <v>132</v>
      </c>
      <c r="F181" s="303" t="s">
        <v>867</v>
      </c>
      <c r="G181" s="299"/>
      <c r="H181" s="299"/>
      <c r="I181" s="299"/>
    </row>
    <row r="182" spans="1:10" x14ac:dyDescent="0.35">
      <c r="A182" s="302" t="s">
        <v>804</v>
      </c>
      <c r="B182" s="299"/>
      <c r="C182" s="299" t="s">
        <v>1171</v>
      </c>
      <c r="D182" s="299" t="s">
        <v>1172</v>
      </c>
      <c r="E182" s="299" t="s">
        <v>149</v>
      </c>
      <c r="F182" s="303" t="s">
        <v>979</v>
      </c>
    </row>
    <row r="183" spans="1:10" x14ac:dyDescent="0.35">
      <c r="A183" s="302" t="s">
        <v>804</v>
      </c>
      <c r="B183" s="299"/>
      <c r="C183" s="299" t="s">
        <v>1173</v>
      </c>
      <c r="D183" s="299" t="s">
        <v>1174</v>
      </c>
      <c r="E183" s="299" t="s">
        <v>150</v>
      </c>
      <c r="F183" s="303" t="s">
        <v>761</v>
      </c>
    </row>
    <row r="184" spans="1:10" s="298" customFormat="1" ht="13.9" x14ac:dyDescent="0.4">
      <c r="A184" s="302" t="s">
        <v>804</v>
      </c>
      <c r="B184" s="299"/>
      <c r="C184" s="299" t="s">
        <v>1283</v>
      </c>
      <c r="D184" s="299" t="s">
        <v>1284</v>
      </c>
      <c r="E184" s="299" t="s">
        <v>132</v>
      </c>
      <c r="F184" s="303" t="s">
        <v>802</v>
      </c>
      <c r="G184" s="299"/>
      <c r="H184" s="299"/>
      <c r="I184" s="299"/>
      <c r="J184" s="299"/>
    </row>
    <row r="185" spans="1:10" s="298" customFormat="1" ht="13.9" x14ac:dyDescent="0.4">
      <c r="A185" s="302" t="s">
        <v>804</v>
      </c>
      <c r="B185" s="299"/>
      <c r="C185" s="299" t="s">
        <v>1175</v>
      </c>
      <c r="D185" s="299" t="s">
        <v>1176</v>
      </c>
      <c r="E185" s="299" t="s">
        <v>155</v>
      </c>
      <c r="F185" s="303" t="s">
        <v>807</v>
      </c>
      <c r="G185" s="299"/>
      <c r="H185" s="299"/>
      <c r="I185" s="299"/>
      <c r="J185" s="299"/>
    </row>
    <row r="186" spans="1:10" s="298" customFormat="1" ht="13.9" x14ac:dyDescent="0.4">
      <c r="A186" s="302" t="s">
        <v>804</v>
      </c>
      <c r="B186" s="299"/>
      <c r="C186" s="299" t="s">
        <v>1177</v>
      </c>
      <c r="D186" s="299" t="s">
        <v>1178</v>
      </c>
      <c r="E186" s="299" t="s">
        <v>152</v>
      </c>
      <c r="F186" s="303" t="s">
        <v>803</v>
      </c>
      <c r="G186" s="299"/>
      <c r="H186" s="299"/>
      <c r="I186" s="299"/>
      <c r="J186" s="299"/>
    </row>
    <row r="187" spans="1:10" s="298" customFormat="1" ht="13.9" x14ac:dyDescent="0.4">
      <c r="A187" s="302" t="s">
        <v>804</v>
      </c>
      <c r="B187" s="299"/>
      <c r="C187" s="299" t="s">
        <v>1285</v>
      </c>
      <c r="D187" s="299" t="s">
        <v>1286</v>
      </c>
      <c r="E187" s="299" t="s">
        <v>377</v>
      </c>
      <c r="F187" s="303" t="s">
        <v>996</v>
      </c>
      <c r="G187" s="299"/>
      <c r="H187" s="299"/>
      <c r="I187" s="299"/>
    </row>
    <row r="188" spans="1:10" s="298" customFormat="1" ht="13.9" x14ac:dyDescent="0.4">
      <c r="A188" s="302" t="s">
        <v>804</v>
      </c>
      <c r="B188" s="299"/>
      <c r="C188" s="299" t="s">
        <v>1287</v>
      </c>
      <c r="D188" s="299" t="s">
        <v>1288</v>
      </c>
      <c r="E188" s="299" t="s">
        <v>152</v>
      </c>
      <c r="F188" s="303" t="s">
        <v>1195</v>
      </c>
      <c r="G188" s="299"/>
      <c r="H188" s="299"/>
      <c r="I188" s="299"/>
    </row>
    <row r="189" spans="1:10" s="298" customFormat="1" ht="13.9" x14ac:dyDescent="0.4">
      <c r="A189" s="302" t="s">
        <v>804</v>
      </c>
      <c r="B189" s="299"/>
      <c r="C189" s="299" t="s">
        <v>1289</v>
      </c>
      <c r="D189" s="299" t="s">
        <v>1290</v>
      </c>
      <c r="E189" s="299" t="s">
        <v>377</v>
      </c>
      <c r="F189" s="303" t="s">
        <v>1291</v>
      </c>
      <c r="G189" s="299"/>
      <c r="H189" s="299"/>
      <c r="I189" s="299"/>
    </row>
    <row r="190" spans="1:10" s="298" customFormat="1" ht="13.9" x14ac:dyDescent="0.4">
      <c r="A190" s="302" t="s">
        <v>804</v>
      </c>
      <c r="B190" s="299"/>
      <c r="C190" s="299" t="s">
        <v>1292</v>
      </c>
      <c r="D190" s="299" t="s">
        <v>1293</v>
      </c>
      <c r="E190" s="299" t="s">
        <v>149</v>
      </c>
      <c r="F190" s="303" t="s">
        <v>790</v>
      </c>
      <c r="G190" s="299"/>
      <c r="H190" s="299"/>
      <c r="I190" s="299"/>
    </row>
    <row r="191" spans="1:10" s="298" customFormat="1" ht="13.9" x14ac:dyDescent="0.4">
      <c r="A191" s="302" t="s">
        <v>804</v>
      </c>
      <c r="B191" s="299"/>
      <c r="C191" s="299" t="s">
        <v>1294</v>
      </c>
      <c r="D191" s="299" t="s">
        <v>1295</v>
      </c>
      <c r="E191" s="299" t="s">
        <v>149</v>
      </c>
      <c r="F191" s="303" t="s">
        <v>1070</v>
      </c>
      <c r="G191" s="299"/>
      <c r="H191" s="299"/>
      <c r="I191" s="299"/>
    </row>
    <row r="192" spans="1:10" s="298" customFormat="1" ht="13.9" x14ac:dyDescent="0.4">
      <c r="A192" s="302" t="s">
        <v>756</v>
      </c>
      <c r="B192" s="299"/>
      <c r="C192" s="299" t="s">
        <v>1296</v>
      </c>
      <c r="D192" s="299" t="s">
        <v>1297</v>
      </c>
      <c r="E192" s="299" t="s">
        <v>132</v>
      </c>
      <c r="F192" s="303" t="s">
        <v>793</v>
      </c>
      <c r="G192" s="299"/>
      <c r="H192" s="299"/>
      <c r="I192" s="299"/>
    </row>
    <row r="193" spans="1:9" ht="13.9" x14ac:dyDescent="0.4">
      <c r="A193" s="302" t="s">
        <v>756</v>
      </c>
      <c r="B193" s="299"/>
      <c r="C193" s="299" t="s">
        <v>1298</v>
      </c>
      <c r="D193" s="299" t="s">
        <v>1299</v>
      </c>
      <c r="E193" s="299" t="s">
        <v>149</v>
      </c>
      <c r="F193" s="303" t="s">
        <v>1300</v>
      </c>
      <c r="G193" s="298"/>
    </row>
    <row r="194" spans="1:9" s="298" customFormat="1" ht="13.9" x14ac:dyDescent="0.4">
      <c r="A194" s="302" t="s">
        <v>756</v>
      </c>
      <c r="B194" s="299"/>
      <c r="C194" s="299" t="s">
        <v>1179</v>
      </c>
      <c r="D194" s="299" t="s">
        <v>1180</v>
      </c>
      <c r="E194" s="299" t="s">
        <v>132</v>
      </c>
      <c r="F194" s="303" t="s">
        <v>1181</v>
      </c>
      <c r="H194" s="299"/>
      <c r="I194" s="299"/>
    </row>
    <row r="195" spans="1:9" ht="13.9" x14ac:dyDescent="0.4">
      <c r="A195" s="302" t="s">
        <v>756</v>
      </c>
      <c r="B195" s="299"/>
      <c r="C195" s="299" t="s">
        <v>1301</v>
      </c>
      <c r="D195" s="299" t="s">
        <v>1302</v>
      </c>
      <c r="E195" s="299" t="s">
        <v>132</v>
      </c>
      <c r="F195" s="303" t="s">
        <v>793</v>
      </c>
      <c r="G195" s="298"/>
    </row>
    <row r="196" spans="1:9" x14ac:dyDescent="0.35">
      <c r="A196" s="302" t="s">
        <v>756</v>
      </c>
      <c r="B196" s="299"/>
      <c r="C196" s="299" t="s">
        <v>670</v>
      </c>
      <c r="D196" s="299" t="s">
        <v>1303</v>
      </c>
      <c r="E196" s="299" t="s">
        <v>151</v>
      </c>
      <c r="F196" s="303" t="s">
        <v>920</v>
      </c>
    </row>
    <row r="197" spans="1:9" x14ac:dyDescent="0.35">
      <c r="A197" s="302" t="s">
        <v>756</v>
      </c>
      <c r="B197" s="299"/>
      <c r="C197" s="299" t="s">
        <v>1304</v>
      </c>
      <c r="D197" s="299" t="s">
        <v>1305</v>
      </c>
      <c r="E197" s="299" t="s">
        <v>151</v>
      </c>
      <c r="F197" s="303" t="s">
        <v>864</v>
      </c>
    </row>
    <row r="198" spans="1:9" x14ac:dyDescent="0.35">
      <c r="A198" s="302" t="s">
        <v>756</v>
      </c>
      <c r="B198" s="299"/>
      <c r="C198" s="299" t="s">
        <v>1306</v>
      </c>
      <c r="D198" s="299" t="s">
        <v>1307</v>
      </c>
      <c r="E198" s="299" t="s">
        <v>150</v>
      </c>
      <c r="F198" s="303" t="s">
        <v>876</v>
      </c>
    </row>
    <row r="199" spans="1:9" x14ac:dyDescent="0.35">
      <c r="A199" s="302" t="s">
        <v>756</v>
      </c>
      <c r="B199" s="299"/>
      <c r="C199" s="299" t="s">
        <v>1308</v>
      </c>
      <c r="D199" s="299" t="s">
        <v>1309</v>
      </c>
      <c r="E199" s="299" t="s">
        <v>303</v>
      </c>
      <c r="F199" s="303" t="s">
        <v>1015</v>
      </c>
    </row>
    <row r="200" spans="1:9" x14ac:dyDescent="0.35">
      <c r="A200" s="302" t="s">
        <v>756</v>
      </c>
      <c r="B200" s="299"/>
      <c r="C200" s="299" t="s">
        <v>1310</v>
      </c>
      <c r="D200" s="299" t="s">
        <v>1311</v>
      </c>
      <c r="E200" s="299" t="s">
        <v>150</v>
      </c>
      <c r="F200" s="303" t="s">
        <v>798</v>
      </c>
    </row>
    <row r="201" spans="1:9" x14ac:dyDescent="0.35">
      <c r="A201" s="302" t="s">
        <v>756</v>
      </c>
      <c r="B201" s="299" t="s">
        <v>671</v>
      </c>
      <c r="C201" s="299" t="s">
        <v>1182</v>
      </c>
      <c r="D201" s="299" t="s">
        <v>1183</v>
      </c>
      <c r="E201" s="299" t="s">
        <v>130</v>
      </c>
      <c r="F201" s="303" t="s">
        <v>786</v>
      </c>
    </row>
    <row r="202" spans="1:9" x14ac:dyDescent="0.35">
      <c r="A202" s="302" t="s">
        <v>756</v>
      </c>
      <c r="B202" s="299"/>
      <c r="C202" s="299" t="s">
        <v>1312</v>
      </c>
      <c r="D202" s="299" t="s">
        <v>1313</v>
      </c>
      <c r="E202" s="299" t="s">
        <v>205</v>
      </c>
      <c r="F202" s="303" t="s">
        <v>822</v>
      </c>
    </row>
    <row r="203" spans="1:9" ht="13.9" x14ac:dyDescent="0.4">
      <c r="A203" s="302" t="s">
        <v>756</v>
      </c>
      <c r="B203" s="299"/>
      <c r="C203" s="299" t="s">
        <v>1314</v>
      </c>
      <c r="D203" s="299" t="s">
        <v>1315</v>
      </c>
      <c r="E203" s="299" t="s">
        <v>205</v>
      </c>
      <c r="F203" s="303" t="s">
        <v>813</v>
      </c>
      <c r="H203" s="298"/>
      <c r="I203" s="298"/>
    </row>
    <row r="204" spans="1:9" s="298" customFormat="1" ht="13.9" x14ac:dyDescent="0.4">
      <c r="A204" s="302" t="s">
        <v>756</v>
      </c>
      <c r="B204" s="299"/>
      <c r="C204" s="299" t="s">
        <v>1184</v>
      </c>
      <c r="D204" s="299" t="s">
        <v>1185</v>
      </c>
      <c r="E204" s="299" t="s">
        <v>205</v>
      </c>
      <c r="F204" s="303" t="s">
        <v>813</v>
      </c>
    </row>
    <row r="205" spans="1:9" s="298" customFormat="1" ht="13.9" x14ac:dyDescent="0.4">
      <c r="A205" s="300" t="s">
        <v>756</v>
      </c>
      <c r="B205" s="300"/>
      <c r="C205" s="300" t="s">
        <v>1316</v>
      </c>
      <c r="D205" s="300" t="s">
        <v>1317</v>
      </c>
      <c r="E205" s="300" t="s">
        <v>151</v>
      </c>
      <c r="F205" s="300" t="s">
        <v>864</v>
      </c>
    </row>
    <row r="206" spans="1:9" s="298" customFormat="1" ht="13.9" x14ac:dyDescent="0.4">
      <c r="A206" s="300" t="s">
        <v>756</v>
      </c>
      <c r="B206" s="300"/>
      <c r="C206" s="300" t="s">
        <v>1318</v>
      </c>
      <c r="D206" s="300" t="s">
        <v>1319</v>
      </c>
      <c r="E206" s="300" t="s">
        <v>149</v>
      </c>
      <c r="F206" s="300" t="s">
        <v>1164</v>
      </c>
      <c r="H206" s="299"/>
      <c r="I206" s="299"/>
    </row>
    <row r="207" spans="1:9" x14ac:dyDescent="0.35">
      <c r="A207" s="300" t="s">
        <v>756</v>
      </c>
      <c r="B207" s="300" t="s">
        <v>671</v>
      </c>
      <c r="C207" s="300" t="s">
        <v>1186</v>
      </c>
      <c r="D207" s="300" t="s">
        <v>1187</v>
      </c>
      <c r="E207" s="300" t="s">
        <v>377</v>
      </c>
      <c r="F207" s="300" t="s">
        <v>762</v>
      </c>
    </row>
    <row r="208" spans="1:9" x14ac:dyDescent="0.35">
      <c r="A208" s="300" t="s">
        <v>814</v>
      </c>
      <c r="C208" s="300" t="s">
        <v>1320</v>
      </c>
      <c r="D208" s="300" t="s">
        <v>1321</v>
      </c>
      <c r="E208" s="300" t="s">
        <v>130</v>
      </c>
      <c r="F208" s="300" t="s">
        <v>810</v>
      </c>
    </row>
    <row r="209" spans="1:10" x14ac:dyDescent="0.35">
      <c r="A209" s="300" t="s">
        <v>814</v>
      </c>
      <c r="C209" s="300" t="s">
        <v>1188</v>
      </c>
      <c r="D209" s="300" t="s">
        <v>1189</v>
      </c>
      <c r="E209" s="300" t="s">
        <v>150</v>
      </c>
      <c r="F209" s="300" t="s">
        <v>761</v>
      </c>
    </row>
    <row r="210" spans="1:10" ht="13.9" x14ac:dyDescent="0.4">
      <c r="A210" s="300" t="s">
        <v>814</v>
      </c>
      <c r="C210" s="300" t="s">
        <v>1190</v>
      </c>
      <c r="D210" s="300" t="s">
        <v>1191</v>
      </c>
      <c r="E210" s="300" t="s">
        <v>205</v>
      </c>
      <c r="F210" s="300" t="s">
        <v>1192</v>
      </c>
      <c r="J210" s="298"/>
    </row>
    <row r="211" spans="1:10" s="298" customFormat="1" ht="13.9" x14ac:dyDescent="0.4">
      <c r="A211" s="300" t="s">
        <v>814</v>
      </c>
      <c r="B211" s="300"/>
      <c r="C211" s="300" t="s">
        <v>1193</v>
      </c>
      <c r="D211" s="300" t="s">
        <v>1194</v>
      </c>
      <c r="E211" s="300" t="s">
        <v>152</v>
      </c>
      <c r="F211" s="300" t="s">
        <v>1195</v>
      </c>
      <c r="G211" s="299"/>
      <c r="H211" s="299"/>
      <c r="I211" s="299"/>
    </row>
    <row r="212" spans="1:10" s="298" customFormat="1" ht="13.9" x14ac:dyDescent="0.4">
      <c r="A212" s="300" t="s">
        <v>814</v>
      </c>
      <c r="B212" s="300"/>
      <c r="C212" s="300" t="s">
        <v>1322</v>
      </c>
      <c r="D212" s="300" t="s">
        <v>1323</v>
      </c>
      <c r="E212" s="300" t="s">
        <v>150</v>
      </c>
      <c r="F212" s="300" t="s">
        <v>876</v>
      </c>
      <c r="G212" s="299"/>
      <c r="H212" s="299"/>
      <c r="I212" s="299"/>
    </row>
    <row r="213" spans="1:10" s="298" customFormat="1" ht="13.9" x14ac:dyDescent="0.4">
      <c r="A213" s="300" t="s">
        <v>814</v>
      </c>
      <c r="B213" s="300"/>
      <c r="C213" s="300" t="s">
        <v>1196</v>
      </c>
      <c r="D213" s="300" t="s">
        <v>1197</v>
      </c>
      <c r="E213" s="300" t="s">
        <v>152</v>
      </c>
      <c r="F213" s="300" t="s">
        <v>1195</v>
      </c>
      <c r="G213" s="299"/>
    </row>
    <row r="214" spans="1:10" ht="13.9" x14ac:dyDescent="0.4">
      <c r="A214" s="300" t="s">
        <v>814</v>
      </c>
      <c r="C214" s="300" t="s">
        <v>1198</v>
      </c>
      <c r="D214" s="300" t="s">
        <v>1199</v>
      </c>
      <c r="E214" s="300" t="s">
        <v>130</v>
      </c>
      <c r="F214" s="300" t="s">
        <v>786</v>
      </c>
      <c r="H214" s="298"/>
      <c r="I214" s="298"/>
    </row>
    <row r="215" spans="1:10" ht="13.9" x14ac:dyDescent="0.4">
      <c r="A215" s="300" t="s">
        <v>814</v>
      </c>
      <c r="C215" s="300" t="s">
        <v>1200</v>
      </c>
      <c r="D215" s="300" t="s">
        <v>1201</v>
      </c>
      <c r="E215" s="300" t="s">
        <v>303</v>
      </c>
      <c r="F215" s="300" t="s">
        <v>909</v>
      </c>
      <c r="H215" s="298"/>
      <c r="I215" s="298"/>
    </row>
    <row r="216" spans="1:10" x14ac:dyDescent="0.35">
      <c r="A216" s="300" t="s">
        <v>814</v>
      </c>
      <c r="C216" s="300" t="s">
        <v>1202</v>
      </c>
      <c r="D216" s="300" t="s">
        <v>1203</v>
      </c>
      <c r="E216" s="300" t="s">
        <v>149</v>
      </c>
      <c r="F216" s="300" t="s">
        <v>821</v>
      </c>
    </row>
    <row r="217" spans="1:10" x14ac:dyDescent="0.35">
      <c r="A217" s="300" t="s">
        <v>814</v>
      </c>
      <c r="C217" s="300" t="s">
        <v>1204</v>
      </c>
      <c r="D217" s="300" t="s">
        <v>1205</v>
      </c>
      <c r="E217" s="300" t="s">
        <v>132</v>
      </c>
      <c r="F217" s="300" t="s">
        <v>1181</v>
      </c>
    </row>
    <row r="218" spans="1:10" s="298" customFormat="1" ht="13.9" x14ac:dyDescent="0.4">
      <c r="A218" s="300" t="s">
        <v>814</v>
      </c>
      <c r="B218" s="300"/>
      <c r="C218" s="300" t="s">
        <v>115</v>
      </c>
      <c r="D218" s="300" t="s">
        <v>1206</v>
      </c>
      <c r="E218" s="300" t="s">
        <v>150</v>
      </c>
      <c r="F218" s="300" t="s">
        <v>817</v>
      </c>
      <c r="G218" s="299"/>
      <c r="H218" s="299"/>
      <c r="I218" s="299"/>
    </row>
    <row r="219" spans="1:10" s="298" customFormat="1" ht="13.9" x14ac:dyDescent="0.4">
      <c r="A219" s="300" t="s">
        <v>814</v>
      </c>
      <c r="B219" s="300"/>
      <c r="C219" s="300" t="s">
        <v>1207</v>
      </c>
      <c r="D219" s="300" t="s">
        <v>1208</v>
      </c>
      <c r="E219" s="300" t="s">
        <v>155</v>
      </c>
      <c r="F219" s="300" t="s">
        <v>1099</v>
      </c>
      <c r="G219" s="299"/>
      <c r="H219" s="299"/>
      <c r="I219" s="299"/>
    </row>
    <row r="220" spans="1:10" s="298" customFormat="1" ht="13.9" x14ac:dyDescent="0.4">
      <c r="A220" s="300" t="s">
        <v>814</v>
      </c>
      <c r="B220" s="300"/>
      <c r="C220" s="300" t="s">
        <v>1324</v>
      </c>
      <c r="D220" s="300" t="s">
        <v>1325</v>
      </c>
      <c r="E220" s="300" t="s">
        <v>151</v>
      </c>
      <c r="F220" s="300" t="s">
        <v>920</v>
      </c>
      <c r="G220" s="299"/>
      <c r="H220" s="299"/>
      <c r="I220" s="299"/>
    </row>
    <row r="221" spans="1:10" x14ac:dyDescent="0.35">
      <c r="A221" s="300" t="s">
        <v>814</v>
      </c>
      <c r="C221" s="300" t="s">
        <v>1209</v>
      </c>
      <c r="D221" s="300" t="s">
        <v>1210</v>
      </c>
      <c r="E221" s="300" t="s">
        <v>303</v>
      </c>
      <c r="F221" s="300" t="s">
        <v>909</v>
      </c>
    </row>
    <row r="222" spans="1:10" x14ac:dyDescent="0.35">
      <c r="A222" s="300" t="s">
        <v>814</v>
      </c>
      <c r="C222" s="300" t="s">
        <v>1326</v>
      </c>
      <c r="D222" s="300" t="s">
        <v>1327</v>
      </c>
      <c r="E222" s="300" t="s">
        <v>132</v>
      </c>
      <c r="F222" s="300" t="s">
        <v>808</v>
      </c>
    </row>
    <row r="223" spans="1:10" x14ac:dyDescent="0.35">
      <c r="A223" s="300" t="s">
        <v>814</v>
      </c>
      <c r="C223" s="300" t="s">
        <v>1211</v>
      </c>
      <c r="D223" s="300" t="s">
        <v>1212</v>
      </c>
      <c r="E223" s="300" t="s">
        <v>377</v>
      </c>
      <c r="F223" s="300" t="s">
        <v>762</v>
      </c>
    </row>
    <row r="224" spans="1:10" x14ac:dyDescent="0.35">
      <c r="A224" s="300" t="s">
        <v>814</v>
      </c>
      <c r="C224" s="300" t="s">
        <v>1213</v>
      </c>
      <c r="D224" s="300" t="s">
        <v>1214</v>
      </c>
      <c r="E224" s="300" t="s">
        <v>151</v>
      </c>
      <c r="F224" s="300" t="s">
        <v>1215</v>
      </c>
    </row>
    <row r="225" spans="1:12" x14ac:dyDescent="0.35">
      <c r="A225" s="300" t="s">
        <v>675</v>
      </c>
      <c r="C225" s="300" t="s">
        <v>1216</v>
      </c>
      <c r="D225" s="300" t="s">
        <v>1217</v>
      </c>
      <c r="E225" s="300" t="s">
        <v>132</v>
      </c>
      <c r="F225" s="300" t="s">
        <v>808</v>
      </c>
    </row>
    <row r="226" spans="1:12" x14ac:dyDescent="0.35">
      <c r="A226" s="300" t="s">
        <v>675</v>
      </c>
      <c r="C226" s="300" t="s">
        <v>1218</v>
      </c>
      <c r="D226" s="300" t="s">
        <v>1219</v>
      </c>
      <c r="E226" s="300" t="s">
        <v>155</v>
      </c>
      <c r="F226" s="300" t="s">
        <v>807</v>
      </c>
    </row>
    <row r="227" spans="1:12" s="298" customFormat="1" ht="13.9" x14ac:dyDescent="0.4">
      <c r="A227" s="300" t="s">
        <v>675</v>
      </c>
      <c r="B227" s="300"/>
      <c r="C227" s="300" t="s">
        <v>1328</v>
      </c>
      <c r="D227" s="300" t="s">
        <v>1329</v>
      </c>
      <c r="E227" s="300" t="s">
        <v>205</v>
      </c>
      <c r="F227" s="300" t="s">
        <v>813</v>
      </c>
      <c r="G227" s="299"/>
      <c r="H227" s="299"/>
      <c r="I227" s="299"/>
    </row>
    <row r="228" spans="1:12" s="298" customFormat="1" ht="13.9" x14ac:dyDescent="0.4">
      <c r="A228" s="300" t="s">
        <v>675</v>
      </c>
      <c r="B228" s="300"/>
      <c r="C228" s="300" t="s">
        <v>1330</v>
      </c>
      <c r="D228" s="300" t="s">
        <v>1331</v>
      </c>
      <c r="E228" s="300" t="s">
        <v>149</v>
      </c>
      <c r="F228" s="300" t="s">
        <v>787</v>
      </c>
      <c r="G228" s="299"/>
      <c r="H228" s="299"/>
      <c r="I228" s="299"/>
    </row>
    <row r="229" spans="1:12" s="298" customFormat="1" ht="13.9" x14ac:dyDescent="0.4">
      <c r="A229" s="300" t="s">
        <v>675</v>
      </c>
      <c r="B229" s="300"/>
      <c r="C229" s="300" t="s">
        <v>1220</v>
      </c>
      <c r="D229" s="300" t="s">
        <v>1221</v>
      </c>
      <c r="E229" s="300" t="s">
        <v>132</v>
      </c>
      <c r="F229" s="300" t="s">
        <v>759</v>
      </c>
      <c r="G229" s="299"/>
      <c r="H229" s="299"/>
      <c r="I229" s="299"/>
    </row>
    <row r="230" spans="1:12" ht="13.9" x14ac:dyDescent="0.4">
      <c r="A230" s="300" t="s">
        <v>675</v>
      </c>
      <c r="C230" s="300" t="s">
        <v>1222</v>
      </c>
      <c r="D230" s="300" t="s">
        <v>1223</v>
      </c>
      <c r="E230" s="300" t="s">
        <v>149</v>
      </c>
      <c r="F230" s="300" t="s">
        <v>818</v>
      </c>
      <c r="J230" s="298"/>
      <c r="K230" s="298"/>
      <c r="L230" s="298"/>
    </row>
    <row r="231" spans="1:12" ht="13.9" x14ac:dyDescent="0.4">
      <c r="A231" s="300" t="s">
        <v>675</v>
      </c>
      <c r="C231" s="300" t="s">
        <v>1332</v>
      </c>
      <c r="D231" s="300" t="s">
        <v>1333</v>
      </c>
      <c r="E231" s="300" t="s">
        <v>205</v>
      </c>
      <c r="F231" s="300" t="s">
        <v>813</v>
      </c>
      <c r="J231" s="298"/>
      <c r="K231" s="298"/>
      <c r="L231" s="298"/>
    </row>
    <row r="232" spans="1:12" ht="13.9" x14ac:dyDescent="0.4">
      <c r="A232" s="300" t="s">
        <v>675</v>
      </c>
      <c r="C232" s="300" t="s">
        <v>1334</v>
      </c>
      <c r="D232" s="300" t="s">
        <v>1335</v>
      </c>
      <c r="E232" s="300" t="s">
        <v>131</v>
      </c>
      <c r="F232" s="300" t="s">
        <v>1336</v>
      </c>
      <c r="J232" s="298"/>
    </row>
    <row r="233" spans="1:12" s="298" customFormat="1" ht="13.9" x14ac:dyDescent="0.4">
      <c r="A233" s="300" t="s">
        <v>675</v>
      </c>
      <c r="B233" s="300"/>
      <c r="C233" s="300" t="s">
        <v>1337</v>
      </c>
      <c r="D233" s="300" t="s">
        <v>1338</v>
      </c>
      <c r="E233" s="300" t="s">
        <v>152</v>
      </c>
      <c r="F233" s="300" t="s">
        <v>1339</v>
      </c>
      <c r="G233" s="299"/>
      <c r="H233" s="299"/>
      <c r="I233" s="299"/>
    </row>
    <row r="234" spans="1:12" s="298" customFormat="1" ht="13.9" x14ac:dyDescent="0.4">
      <c r="A234" s="300" t="s">
        <v>675</v>
      </c>
      <c r="B234" s="300"/>
      <c r="C234" s="300" t="s">
        <v>1340</v>
      </c>
      <c r="D234" s="300" t="s">
        <v>1341</v>
      </c>
      <c r="E234" s="300" t="s">
        <v>151</v>
      </c>
      <c r="F234" s="300" t="s">
        <v>800</v>
      </c>
      <c r="G234" s="299"/>
      <c r="H234" s="299"/>
      <c r="I234" s="299"/>
    </row>
    <row r="235" spans="1:12" s="298" customFormat="1" ht="13.9" x14ac:dyDescent="0.4">
      <c r="A235" s="300" t="s">
        <v>675</v>
      </c>
      <c r="B235" s="300"/>
      <c r="C235" s="300" t="s">
        <v>1342</v>
      </c>
      <c r="D235" s="300" t="s">
        <v>1343</v>
      </c>
      <c r="E235" s="300" t="s">
        <v>130</v>
      </c>
      <c r="F235" s="300" t="s">
        <v>1344</v>
      </c>
      <c r="G235" s="299"/>
      <c r="H235" s="299"/>
      <c r="I235" s="299"/>
    </row>
    <row r="236" spans="1:12" s="298" customFormat="1" ht="13.9" x14ac:dyDescent="0.4">
      <c r="A236" s="300" t="s">
        <v>675</v>
      </c>
      <c r="B236" s="300"/>
      <c r="C236" s="300" t="s">
        <v>1345</v>
      </c>
      <c r="D236" s="300" t="s">
        <v>1346</v>
      </c>
      <c r="E236" s="300" t="s">
        <v>205</v>
      </c>
      <c r="F236" s="300" t="s">
        <v>822</v>
      </c>
      <c r="G236" s="299"/>
      <c r="H236" s="299"/>
      <c r="I236" s="299"/>
      <c r="J236" s="299"/>
      <c r="K236" s="299"/>
      <c r="L236" s="299"/>
    </row>
    <row r="237" spans="1:12" x14ac:dyDescent="0.35">
      <c r="A237" s="300" t="s">
        <v>675</v>
      </c>
      <c r="C237" s="300" t="s">
        <v>1224</v>
      </c>
      <c r="D237" s="300" t="s">
        <v>1225</v>
      </c>
      <c r="E237" s="300" t="s">
        <v>132</v>
      </c>
      <c r="F237" s="300" t="s">
        <v>759</v>
      </c>
    </row>
    <row r="238" spans="1:12" x14ac:dyDescent="0.35">
      <c r="A238" s="300" t="s">
        <v>675</v>
      </c>
      <c r="C238" s="300" t="s">
        <v>1226</v>
      </c>
      <c r="D238" s="300" t="s">
        <v>1227</v>
      </c>
      <c r="E238" s="300" t="s">
        <v>377</v>
      </c>
      <c r="F238" s="300" t="s">
        <v>762</v>
      </c>
    </row>
    <row r="239" spans="1:12" x14ac:dyDescent="0.35">
      <c r="A239" s="300" t="s">
        <v>675</v>
      </c>
      <c r="C239" s="300" t="s">
        <v>1228</v>
      </c>
      <c r="D239" s="300" t="s">
        <v>1229</v>
      </c>
      <c r="E239" s="300" t="s">
        <v>132</v>
      </c>
      <c r="F239" s="300" t="s">
        <v>808</v>
      </c>
    </row>
    <row r="240" spans="1:12" x14ac:dyDescent="0.35">
      <c r="A240" s="300" t="s">
        <v>735</v>
      </c>
      <c r="C240" s="300" t="s">
        <v>1230</v>
      </c>
      <c r="D240" s="300" t="s">
        <v>1231</v>
      </c>
      <c r="E240" s="300" t="s">
        <v>149</v>
      </c>
      <c r="F240" s="300" t="s">
        <v>826</v>
      </c>
    </row>
    <row r="241" spans="1:10" ht="13.9" x14ac:dyDescent="0.4">
      <c r="A241" s="300" t="s">
        <v>735</v>
      </c>
      <c r="C241" s="300" t="s">
        <v>1232</v>
      </c>
      <c r="D241" s="300" t="s">
        <v>1233</v>
      </c>
      <c r="E241" s="300" t="s">
        <v>205</v>
      </c>
      <c r="F241" s="300" t="s">
        <v>813</v>
      </c>
      <c r="G241" s="298"/>
    </row>
    <row r="242" spans="1:10" ht="13.9" x14ac:dyDescent="0.4">
      <c r="A242" s="300" t="s">
        <v>735</v>
      </c>
      <c r="C242" s="300" t="s">
        <v>1347</v>
      </c>
      <c r="D242" s="300" t="s">
        <v>1348</v>
      </c>
      <c r="E242" s="300" t="s">
        <v>150</v>
      </c>
      <c r="F242" s="300" t="s">
        <v>876</v>
      </c>
      <c r="G242" s="298"/>
    </row>
    <row r="243" spans="1:10" ht="13.9" x14ac:dyDescent="0.4">
      <c r="A243" s="300" t="s">
        <v>735</v>
      </c>
      <c r="C243" s="300" t="s">
        <v>1349</v>
      </c>
      <c r="D243" s="300" t="s">
        <v>1350</v>
      </c>
      <c r="E243" s="300" t="s">
        <v>205</v>
      </c>
      <c r="F243" s="300" t="s">
        <v>822</v>
      </c>
      <c r="G243" s="298"/>
      <c r="J243" s="298"/>
    </row>
    <row r="244" spans="1:10" ht="13.9" x14ac:dyDescent="0.4">
      <c r="A244" s="300" t="s">
        <v>735</v>
      </c>
      <c r="C244" s="300" t="s">
        <v>1234</v>
      </c>
      <c r="D244" s="300" t="s">
        <v>1235</v>
      </c>
      <c r="E244" s="300" t="s">
        <v>130</v>
      </c>
      <c r="F244" s="300" t="s">
        <v>810</v>
      </c>
      <c r="J244" s="298"/>
    </row>
    <row r="245" spans="1:10" ht="13.9" x14ac:dyDescent="0.4">
      <c r="A245" s="300" t="s">
        <v>735</v>
      </c>
      <c r="C245" s="300" t="s">
        <v>1236</v>
      </c>
      <c r="D245" s="300" t="s">
        <v>1237</v>
      </c>
      <c r="E245" s="300" t="s">
        <v>149</v>
      </c>
      <c r="F245" s="300" t="s">
        <v>821</v>
      </c>
      <c r="J245" s="298"/>
    </row>
    <row r="246" spans="1:10" ht="13.9" x14ac:dyDescent="0.4">
      <c r="A246" s="300" t="s">
        <v>735</v>
      </c>
      <c r="C246" s="300" t="s">
        <v>1351</v>
      </c>
      <c r="D246" s="300" t="s">
        <v>1352</v>
      </c>
      <c r="E246" s="300" t="s">
        <v>132</v>
      </c>
      <c r="F246" s="300" t="s">
        <v>867</v>
      </c>
      <c r="J246" s="298"/>
    </row>
    <row r="247" spans="1:10" s="298" customFormat="1" ht="13.9" x14ac:dyDescent="0.4">
      <c r="A247" s="300" t="s">
        <v>735</v>
      </c>
      <c r="B247" s="300"/>
      <c r="C247" s="300" t="s">
        <v>1238</v>
      </c>
      <c r="D247" s="300" t="s">
        <v>1239</v>
      </c>
      <c r="E247" s="300" t="s">
        <v>149</v>
      </c>
      <c r="F247" s="300" t="s">
        <v>826</v>
      </c>
      <c r="G247" s="299"/>
      <c r="H247" s="299"/>
      <c r="I247" s="299"/>
    </row>
    <row r="248" spans="1:10" s="298" customFormat="1" ht="13.9" x14ac:dyDescent="0.4">
      <c r="A248" s="300" t="s">
        <v>735</v>
      </c>
      <c r="B248" s="300"/>
      <c r="C248" s="300" t="s">
        <v>1240</v>
      </c>
      <c r="D248" s="300" t="s">
        <v>1241</v>
      </c>
      <c r="E248" s="300" t="s">
        <v>132</v>
      </c>
      <c r="F248" s="300" t="s">
        <v>808</v>
      </c>
      <c r="G248" s="299"/>
      <c r="H248" s="299"/>
      <c r="I248" s="299"/>
    </row>
    <row r="249" spans="1:10" s="298" customFormat="1" ht="13.9" x14ac:dyDescent="0.4">
      <c r="A249" s="300" t="s">
        <v>735</v>
      </c>
      <c r="B249" s="300"/>
      <c r="C249" s="300" t="s">
        <v>1353</v>
      </c>
      <c r="D249" s="300" t="s">
        <v>1354</v>
      </c>
      <c r="E249" s="300" t="s">
        <v>377</v>
      </c>
      <c r="F249" s="300" t="s">
        <v>762</v>
      </c>
      <c r="H249" s="299"/>
      <c r="I249" s="299"/>
    </row>
    <row r="250" spans="1:10" ht="13.9" x14ac:dyDescent="0.4">
      <c r="A250" s="300" t="s">
        <v>735</v>
      </c>
      <c r="C250" s="300" t="s">
        <v>1355</v>
      </c>
      <c r="D250" s="300" t="s">
        <v>1356</v>
      </c>
      <c r="E250" s="300" t="s">
        <v>149</v>
      </c>
      <c r="F250" s="300" t="s">
        <v>790</v>
      </c>
      <c r="G250" s="298"/>
    </row>
    <row r="251" spans="1:10" ht="13.9" x14ac:dyDescent="0.4">
      <c r="A251" s="300" t="s">
        <v>735</v>
      </c>
      <c r="C251" s="300" t="s">
        <v>1357</v>
      </c>
      <c r="D251" s="300" t="s">
        <v>1358</v>
      </c>
      <c r="E251" s="300" t="s">
        <v>149</v>
      </c>
      <c r="F251" s="300" t="s">
        <v>979</v>
      </c>
      <c r="G251" s="298"/>
      <c r="J251" s="298"/>
    </row>
    <row r="252" spans="1:10" ht="13.9" x14ac:dyDescent="0.4">
      <c r="A252" s="300" t="s">
        <v>735</v>
      </c>
      <c r="C252" s="300" t="s">
        <v>1359</v>
      </c>
      <c r="D252" s="300" t="s">
        <v>1360</v>
      </c>
      <c r="E252" s="300" t="s">
        <v>132</v>
      </c>
      <c r="F252" s="300" t="s">
        <v>956</v>
      </c>
      <c r="J252" s="298"/>
    </row>
    <row r="253" spans="1:10" ht="13.9" x14ac:dyDescent="0.4">
      <c r="A253" s="300" t="s">
        <v>735</v>
      </c>
      <c r="C253" s="300" t="s">
        <v>1242</v>
      </c>
      <c r="D253" s="300" t="s">
        <v>1243</v>
      </c>
      <c r="E253" s="300" t="s">
        <v>377</v>
      </c>
      <c r="F253" s="300" t="s">
        <v>901</v>
      </c>
      <c r="G253" s="298"/>
      <c r="J253" s="298"/>
    </row>
    <row r="254" spans="1:10" ht="13.9" x14ac:dyDescent="0.4">
      <c r="A254" s="300" t="s">
        <v>735</v>
      </c>
      <c r="C254" s="300" t="s">
        <v>1361</v>
      </c>
      <c r="D254" s="300" t="s">
        <v>1362</v>
      </c>
      <c r="E254" s="300" t="s">
        <v>377</v>
      </c>
      <c r="F254" s="300" t="s">
        <v>796</v>
      </c>
      <c r="G254" s="298"/>
    </row>
    <row r="255" spans="1:10" ht="13.9" x14ac:dyDescent="0.4">
      <c r="A255" s="300" t="s">
        <v>735</v>
      </c>
      <c r="C255" s="300" t="s">
        <v>1363</v>
      </c>
      <c r="D255" s="300" t="s">
        <v>1364</v>
      </c>
      <c r="E255" s="300" t="s">
        <v>130</v>
      </c>
      <c r="F255" s="300" t="s">
        <v>898</v>
      </c>
      <c r="G255" s="298"/>
    </row>
    <row r="257" spans="1:10" s="298" customFormat="1" ht="13.9" x14ac:dyDescent="0.4">
      <c r="A257" s="300"/>
      <c r="B257" s="300"/>
      <c r="C257" s="300"/>
      <c r="D257" s="300"/>
      <c r="E257" s="300"/>
      <c r="F257" s="300"/>
      <c r="H257" s="299"/>
      <c r="I257" s="299"/>
      <c r="J257" s="299"/>
    </row>
    <row r="258" spans="1:10" s="298" customFormat="1" ht="13.9" x14ac:dyDescent="0.4">
      <c r="A258" s="300"/>
      <c r="B258" s="300"/>
      <c r="C258" s="300"/>
      <c r="D258" s="300"/>
      <c r="E258" s="300"/>
      <c r="F258" s="300"/>
      <c r="H258" s="299"/>
      <c r="I258" s="299"/>
    </row>
    <row r="259" spans="1:10" s="298" customFormat="1" ht="13.9" x14ac:dyDescent="0.4">
      <c r="A259" s="305" t="s">
        <v>1365</v>
      </c>
      <c r="B259" s="305"/>
      <c r="C259" s="305"/>
      <c r="D259" s="305"/>
      <c r="E259" s="305"/>
      <c r="F259" s="305"/>
      <c r="H259" s="299"/>
      <c r="I259" s="299"/>
    </row>
    <row r="260" spans="1:10" s="298" customFormat="1" ht="13.9" x14ac:dyDescent="0.4">
      <c r="A260" s="305" t="s">
        <v>1366</v>
      </c>
      <c r="B260" s="305"/>
      <c r="C260" s="305"/>
      <c r="D260" s="305"/>
      <c r="E260" s="305"/>
      <c r="F260" s="305"/>
      <c r="H260" s="299"/>
      <c r="I260" s="299"/>
    </row>
    <row r="261" spans="1:10" s="298" customFormat="1" ht="13.9" x14ac:dyDescent="0.4">
      <c r="A261" s="305" t="s">
        <v>670</v>
      </c>
      <c r="B261" s="305" t="s">
        <v>671</v>
      </c>
      <c r="C261" s="305" t="s">
        <v>672</v>
      </c>
      <c r="D261" s="305" t="s">
        <v>673</v>
      </c>
      <c r="E261" s="305" t="s">
        <v>136</v>
      </c>
      <c r="F261" s="305" t="s">
        <v>674</v>
      </c>
      <c r="H261" s="299"/>
      <c r="I261" s="299"/>
    </row>
    <row r="262" spans="1:10" x14ac:dyDescent="0.35">
      <c r="A262" s="300" t="s">
        <v>690</v>
      </c>
      <c r="C262" s="300" t="s">
        <v>1367</v>
      </c>
      <c r="D262" s="300" t="s">
        <v>1368</v>
      </c>
      <c r="E262" s="300" t="s">
        <v>132</v>
      </c>
      <c r="F262" s="300" t="s">
        <v>1181</v>
      </c>
    </row>
    <row r="263" spans="1:10" x14ac:dyDescent="0.35">
      <c r="A263" s="300" t="s">
        <v>675</v>
      </c>
      <c r="C263" s="300" t="s">
        <v>1369</v>
      </c>
      <c r="D263" s="300" t="s">
        <v>1370</v>
      </c>
      <c r="E263" s="300" t="s">
        <v>151</v>
      </c>
      <c r="F263" s="300" t="s">
        <v>1371</v>
      </c>
    </row>
    <row r="264" spans="1:10" x14ac:dyDescent="0.35">
      <c r="A264" s="300" t="s">
        <v>675</v>
      </c>
      <c r="C264" s="300" t="s">
        <v>1372</v>
      </c>
      <c r="D264" s="300" t="s">
        <v>1373</v>
      </c>
      <c r="E264" s="300" t="s">
        <v>130</v>
      </c>
      <c r="F264" s="300" t="s">
        <v>1344</v>
      </c>
    </row>
    <row r="265" spans="1:10" x14ac:dyDescent="0.35">
      <c r="A265" s="300" t="s">
        <v>735</v>
      </c>
      <c r="C265" s="300" t="s">
        <v>1374</v>
      </c>
      <c r="D265" s="300" t="s">
        <v>1375</v>
      </c>
      <c r="E265" s="300" t="s">
        <v>149</v>
      </c>
      <c r="F265" s="300" t="s">
        <v>806</v>
      </c>
    </row>
    <row r="269" spans="1:10" s="298" customFormat="1" ht="13.9" x14ac:dyDescent="0.4">
      <c r="A269" s="305" t="s">
        <v>1376</v>
      </c>
      <c r="B269" s="305"/>
      <c r="C269" s="305"/>
      <c r="D269" s="305"/>
      <c r="E269" s="305"/>
      <c r="F269" s="305"/>
      <c r="H269" s="299"/>
      <c r="I269" s="299"/>
    </row>
    <row r="270" spans="1:10" s="298" customFormat="1" ht="13.9" x14ac:dyDescent="0.4">
      <c r="A270" s="305" t="s">
        <v>1377</v>
      </c>
      <c r="B270" s="305"/>
      <c r="C270" s="305"/>
      <c r="D270" s="305"/>
      <c r="E270" s="305"/>
      <c r="F270" s="305"/>
      <c r="H270" s="299"/>
      <c r="I270" s="299"/>
    </row>
    <row r="271" spans="1:10" s="298" customFormat="1" ht="13.9" x14ac:dyDescent="0.4">
      <c r="A271" s="305" t="s">
        <v>670</v>
      </c>
      <c r="B271" s="305" t="s">
        <v>671</v>
      </c>
      <c r="C271" s="305" t="s">
        <v>672</v>
      </c>
      <c r="D271" s="305" t="s">
        <v>673</v>
      </c>
      <c r="E271" s="305" t="s">
        <v>136</v>
      </c>
      <c r="F271" s="305" t="s">
        <v>674</v>
      </c>
      <c r="H271" s="299"/>
      <c r="I271" s="299"/>
    </row>
    <row r="272" spans="1:10" x14ac:dyDescent="0.35">
      <c r="A272" s="300" t="s">
        <v>690</v>
      </c>
      <c r="B272" s="300" t="s">
        <v>671</v>
      </c>
      <c r="C272" s="300" t="s">
        <v>1378</v>
      </c>
      <c r="D272" s="300" t="s">
        <v>1379</v>
      </c>
      <c r="E272" s="300" t="s">
        <v>130</v>
      </c>
      <c r="F272" s="300" t="s">
        <v>1380</v>
      </c>
    </row>
    <row r="273" spans="1:12" x14ac:dyDescent="0.35">
      <c r="A273" s="300" t="s">
        <v>690</v>
      </c>
      <c r="C273" s="300" t="s">
        <v>1381</v>
      </c>
      <c r="D273" s="300" t="s">
        <v>1382</v>
      </c>
      <c r="E273" s="300" t="s">
        <v>132</v>
      </c>
      <c r="F273" s="300" t="s">
        <v>808</v>
      </c>
    </row>
    <row r="274" spans="1:12" x14ac:dyDescent="0.35">
      <c r="A274" s="300" t="s">
        <v>756</v>
      </c>
      <c r="C274" s="300" t="s">
        <v>1383</v>
      </c>
      <c r="D274" s="300" t="s">
        <v>1384</v>
      </c>
      <c r="E274" s="300" t="s">
        <v>149</v>
      </c>
      <c r="F274" s="300" t="s">
        <v>790</v>
      </c>
    </row>
    <row r="275" spans="1:12" s="298" customFormat="1" ht="13.9" x14ac:dyDescent="0.4">
      <c r="A275" s="300" t="s">
        <v>756</v>
      </c>
      <c r="B275" s="300"/>
      <c r="C275" s="300" t="s">
        <v>1385</v>
      </c>
      <c r="D275" s="300" t="s">
        <v>1386</v>
      </c>
      <c r="E275" s="300" t="s">
        <v>131</v>
      </c>
      <c r="F275" s="300" t="s">
        <v>1336</v>
      </c>
      <c r="G275" s="299"/>
      <c r="H275" s="299"/>
      <c r="I275" s="299"/>
      <c r="J275" s="299"/>
    </row>
    <row r="276" spans="1:12" s="298" customFormat="1" ht="13.9" x14ac:dyDescent="0.4">
      <c r="A276" s="300" t="s">
        <v>756</v>
      </c>
      <c r="B276" s="300"/>
      <c r="C276" s="300" t="s">
        <v>1387</v>
      </c>
      <c r="D276" s="300" t="s">
        <v>1388</v>
      </c>
      <c r="E276" s="300" t="s">
        <v>130</v>
      </c>
      <c r="F276" s="300" t="s">
        <v>1380</v>
      </c>
      <c r="G276" s="299"/>
      <c r="H276" s="299"/>
      <c r="I276" s="299"/>
      <c r="J276" s="299"/>
    </row>
    <row r="277" spans="1:12" s="298" customFormat="1" ht="13.9" x14ac:dyDescent="0.4">
      <c r="A277" s="300" t="s">
        <v>756</v>
      </c>
      <c r="B277" s="300"/>
      <c r="C277" s="300" t="s">
        <v>1389</v>
      </c>
      <c r="D277" s="300" t="s">
        <v>1390</v>
      </c>
      <c r="E277" s="300" t="s">
        <v>131</v>
      </c>
      <c r="F277" s="300" t="s">
        <v>1391</v>
      </c>
      <c r="G277" s="299"/>
      <c r="H277" s="299"/>
      <c r="I277" s="299"/>
    </row>
    <row r="278" spans="1:12" s="298" customFormat="1" ht="13.9" x14ac:dyDescent="0.4">
      <c r="A278" s="300" t="s">
        <v>675</v>
      </c>
      <c r="B278" s="300" t="s">
        <v>671</v>
      </c>
      <c r="C278" s="300" t="s">
        <v>1392</v>
      </c>
      <c r="D278" s="300" t="s">
        <v>1393</v>
      </c>
      <c r="E278" s="300" t="s">
        <v>131</v>
      </c>
      <c r="F278" s="300" t="s">
        <v>1391</v>
      </c>
      <c r="G278" s="299"/>
      <c r="H278" s="299"/>
      <c r="I278" s="299"/>
    </row>
    <row r="279" spans="1:12" s="298" customFormat="1" ht="13.9" x14ac:dyDescent="0.4">
      <c r="A279" s="300"/>
      <c r="B279" s="300"/>
      <c r="C279" s="300"/>
      <c r="D279" s="300"/>
      <c r="E279" s="300"/>
      <c r="F279" s="300"/>
      <c r="G279" s="299"/>
      <c r="H279" s="299"/>
      <c r="I279" s="299"/>
    </row>
    <row r="280" spans="1:12" s="298" customFormat="1" ht="13.9" x14ac:dyDescent="0.4">
      <c r="A280" s="300"/>
      <c r="B280" s="300"/>
      <c r="C280" s="300"/>
      <c r="D280" s="300"/>
      <c r="E280" s="300"/>
      <c r="F280" s="300"/>
      <c r="G280" s="299"/>
      <c r="H280" s="299"/>
      <c r="I280" s="299"/>
    </row>
    <row r="281" spans="1:12" s="298" customFormat="1" ht="13.9" x14ac:dyDescent="0.4">
      <c r="A281" s="300"/>
      <c r="B281" s="300"/>
      <c r="C281" s="300"/>
      <c r="D281" s="300"/>
      <c r="E281" s="300"/>
      <c r="F281" s="300"/>
      <c r="G281" s="299"/>
      <c r="H281" s="299"/>
      <c r="I281" s="299"/>
      <c r="J281" s="299"/>
      <c r="K281" s="299"/>
      <c r="L281" s="299"/>
    </row>
    <row r="282" spans="1:12" s="298" customFormat="1" ht="13.9" x14ac:dyDescent="0.4">
      <c r="A282" s="300"/>
      <c r="B282" s="300"/>
      <c r="C282" s="300"/>
      <c r="D282" s="300"/>
      <c r="E282" s="300"/>
      <c r="F282" s="300"/>
      <c r="G282" s="299"/>
      <c r="H282" s="299"/>
      <c r="I282" s="299"/>
      <c r="K282" s="299"/>
      <c r="L282" s="299"/>
    </row>
    <row r="283" spans="1:12" ht="13.9" x14ac:dyDescent="0.4">
      <c r="J283" s="298"/>
    </row>
    <row r="284" spans="1:12" ht="13.9" x14ac:dyDescent="0.4">
      <c r="J284" s="298"/>
    </row>
    <row r="285" spans="1:12" ht="13.9" x14ac:dyDescent="0.4">
      <c r="G285" s="298"/>
      <c r="J285" s="298"/>
    </row>
    <row r="286" spans="1:12" ht="13.9" x14ac:dyDescent="0.4">
      <c r="G286" s="298"/>
    </row>
    <row r="287" spans="1:12" ht="13.9" x14ac:dyDescent="0.4">
      <c r="G287" s="298"/>
    </row>
    <row r="289" spans="1:12" ht="13.9" x14ac:dyDescent="0.4">
      <c r="G289" s="298"/>
    </row>
    <row r="290" spans="1:12" ht="13.9" x14ac:dyDescent="0.4">
      <c r="G290" s="298"/>
    </row>
    <row r="291" spans="1:12" ht="13.9" x14ac:dyDescent="0.4">
      <c r="G291" s="298"/>
    </row>
    <row r="293" spans="1:12" s="298" customFormat="1" ht="13.9" x14ac:dyDescent="0.4">
      <c r="A293" s="300"/>
      <c r="B293" s="300"/>
      <c r="C293" s="300"/>
      <c r="D293" s="300"/>
      <c r="E293" s="300"/>
      <c r="F293" s="300"/>
      <c r="G293" s="299"/>
      <c r="H293" s="299"/>
      <c r="I293" s="299"/>
      <c r="J293" s="299"/>
    </row>
    <row r="294" spans="1:12" s="298" customFormat="1" ht="13.9" x14ac:dyDescent="0.4">
      <c r="A294" s="300"/>
      <c r="B294" s="300"/>
      <c r="C294" s="300"/>
      <c r="D294" s="300"/>
      <c r="E294" s="300"/>
      <c r="F294" s="300"/>
      <c r="G294" s="299"/>
      <c r="H294" s="299"/>
      <c r="I294" s="299"/>
      <c r="J294" s="299"/>
    </row>
    <row r="295" spans="1:12" s="298" customFormat="1" ht="13.9" x14ac:dyDescent="0.4">
      <c r="A295" s="300"/>
      <c r="B295" s="300"/>
      <c r="C295" s="300"/>
      <c r="D295" s="300"/>
      <c r="E295" s="300"/>
      <c r="F295" s="300"/>
      <c r="G295" s="299"/>
      <c r="H295" s="299"/>
      <c r="I295" s="299"/>
    </row>
    <row r="296" spans="1:12" s="298" customFormat="1" ht="13.9" x14ac:dyDescent="0.4">
      <c r="A296" s="300"/>
      <c r="B296" s="300"/>
      <c r="C296" s="300"/>
      <c r="D296" s="300"/>
      <c r="E296" s="300"/>
      <c r="F296" s="300"/>
      <c r="G296" s="299"/>
      <c r="H296" s="299"/>
      <c r="I296" s="299"/>
    </row>
    <row r="297" spans="1:12" s="298" customFormat="1" ht="13.9" x14ac:dyDescent="0.4">
      <c r="A297" s="300"/>
      <c r="B297" s="300"/>
      <c r="C297" s="300"/>
      <c r="D297" s="300"/>
      <c r="E297" s="300"/>
      <c r="F297" s="300"/>
      <c r="G297" s="299"/>
      <c r="H297" s="299"/>
      <c r="I297" s="299"/>
    </row>
    <row r="298" spans="1:12" s="298" customFormat="1" ht="13.9" x14ac:dyDescent="0.4">
      <c r="A298" s="300"/>
      <c r="B298" s="300"/>
      <c r="C298" s="300"/>
      <c r="D298" s="300"/>
      <c r="E298" s="300"/>
      <c r="F298" s="300"/>
      <c r="G298" s="299"/>
      <c r="H298" s="299"/>
      <c r="I298" s="299"/>
    </row>
    <row r="299" spans="1:12" ht="13.9" x14ac:dyDescent="0.4">
      <c r="J299" s="298"/>
      <c r="K299" s="298"/>
      <c r="L299" s="298"/>
    </row>
    <row r="300" spans="1:12" ht="13.9" x14ac:dyDescent="0.4">
      <c r="J300" s="298"/>
      <c r="K300" s="298"/>
      <c r="L300" s="298"/>
    </row>
    <row r="301" spans="1:12" ht="13.9" x14ac:dyDescent="0.4">
      <c r="J301" s="298"/>
    </row>
    <row r="303" spans="1:12" s="298" customFormat="1" ht="13.9" x14ac:dyDescent="0.4">
      <c r="A303" s="300"/>
      <c r="B303" s="300"/>
      <c r="C303" s="300"/>
      <c r="D303" s="300"/>
      <c r="E303" s="300"/>
      <c r="F303" s="300"/>
      <c r="G303" s="299"/>
      <c r="H303" s="299"/>
      <c r="I303" s="299"/>
    </row>
    <row r="304" spans="1:12" s="298" customFormat="1" ht="13.9" x14ac:dyDescent="0.4">
      <c r="A304" s="300"/>
      <c r="B304" s="300"/>
      <c r="C304" s="300"/>
      <c r="D304" s="300"/>
      <c r="E304" s="300"/>
      <c r="F304" s="300"/>
      <c r="G304" s="299"/>
      <c r="H304" s="299"/>
      <c r="I304" s="299"/>
    </row>
    <row r="305" spans="1:10" s="298" customFormat="1" ht="13.9" x14ac:dyDescent="0.4">
      <c r="A305" s="300"/>
      <c r="B305" s="300"/>
      <c r="C305" s="300"/>
      <c r="D305" s="300"/>
      <c r="E305" s="300"/>
      <c r="F305" s="300"/>
      <c r="G305" s="299"/>
      <c r="H305" s="299"/>
      <c r="I305" s="299"/>
    </row>
    <row r="306" spans="1:10" s="298" customFormat="1" ht="13.9" x14ac:dyDescent="0.4">
      <c r="A306" s="300"/>
      <c r="B306" s="300"/>
      <c r="C306" s="300"/>
      <c r="D306" s="300"/>
      <c r="E306" s="300"/>
      <c r="F306" s="300"/>
      <c r="G306" s="299"/>
      <c r="H306" s="299"/>
      <c r="I306" s="299"/>
    </row>
    <row r="307" spans="1:10" s="298" customFormat="1" ht="13.9" x14ac:dyDescent="0.4">
      <c r="A307" s="300"/>
      <c r="B307" s="300"/>
      <c r="C307" s="300"/>
      <c r="D307" s="300"/>
      <c r="E307" s="300"/>
      <c r="F307" s="300"/>
      <c r="G307" s="299"/>
      <c r="H307" s="299"/>
      <c r="I307" s="299"/>
    </row>
    <row r="308" spans="1:10" s="298" customFormat="1" ht="13.9" x14ac:dyDescent="0.4">
      <c r="A308" s="300"/>
      <c r="B308" s="300"/>
      <c r="C308" s="300"/>
      <c r="D308" s="300"/>
      <c r="E308" s="300"/>
      <c r="F308" s="300"/>
      <c r="G308" s="299"/>
      <c r="H308" s="299"/>
      <c r="I308" s="299"/>
    </row>
    <row r="309" spans="1:10" s="298" customFormat="1" ht="13.9" x14ac:dyDescent="0.4">
      <c r="A309" s="300"/>
      <c r="B309" s="300"/>
      <c r="C309" s="300"/>
      <c r="D309" s="300"/>
      <c r="E309" s="300"/>
      <c r="F309" s="300"/>
      <c r="G309" s="299"/>
      <c r="H309" s="299"/>
      <c r="I309" s="299"/>
    </row>
    <row r="310" spans="1:10" ht="13.9" x14ac:dyDescent="0.4">
      <c r="G310" s="298"/>
      <c r="J310" s="298"/>
    </row>
    <row r="311" spans="1:10" s="298" customFormat="1" ht="13.9" x14ac:dyDescent="0.4">
      <c r="A311" s="300"/>
      <c r="B311" s="300"/>
      <c r="C311" s="300"/>
      <c r="D311" s="300"/>
      <c r="E311" s="300"/>
      <c r="F311" s="300"/>
      <c r="H311" s="299"/>
      <c r="I311" s="299"/>
    </row>
    <row r="312" spans="1:10" s="298" customFormat="1" ht="13.9" x14ac:dyDescent="0.4">
      <c r="A312" s="300"/>
      <c r="B312" s="300"/>
      <c r="C312" s="300"/>
      <c r="D312" s="300"/>
      <c r="E312" s="300"/>
      <c r="F312" s="300"/>
      <c r="H312" s="299"/>
      <c r="I312" s="299"/>
    </row>
    <row r="313" spans="1:10" s="298" customFormat="1" ht="13.9" x14ac:dyDescent="0.4">
      <c r="A313" s="300"/>
      <c r="B313" s="300"/>
      <c r="C313" s="300"/>
      <c r="D313" s="300"/>
      <c r="E313" s="300"/>
      <c r="F313" s="300"/>
      <c r="G313" s="299"/>
      <c r="H313" s="299"/>
      <c r="I313" s="299"/>
    </row>
    <row r="315" spans="1:10" ht="13.9" x14ac:dyDescent="0.4">
      <c r="J315" s="298"/>
    </row>
    <row r="316" spans="1:10" ht="13.9" x14ac:dyDescent="0.4">
      <c r="J316" s="298"/>
    </row>
    <row r="317" spans="1:10" ht="13.9" x14ac:dyDescent="0.4">
      <c r="J317" s="298"/>
    </row>
    <row r="322" spans="1:12" s="298" customFormat="1" ht="13.9" x14ac:dyDescent="0.4">
      <c r="A322" s="300"/>
      <c r="B322" s="300"/>
      <c r="C322" s="300"/>
      <c r="D322" s="300"/>
      <c r="E322" s="300"/>
      <c r="F322" s="300"/>
      <c r="G322" s="299"/>
      <c r="H322" s="299"/>
      <c r="I322" s="299"/>
      <c r="J322" s="299"/>
    </row>
    <row r="323" spans="1:12" s="298" customFormat="1" ht="13.9" x14ac:dyDescent="0.4">
      <c r="A323" s="300"/>
      <c r="B323" s="300"/>
      <c r="C323" s="300"/>
      <c r="D323" s="300"/>
      <c r="E323" s="300"/>
      <c r="F323" s="300"/>
      <c r="G323" s="299"/>
      <c r="H323" s="299"/>
      <c r="I323" s="299"/>
      <c r="J323" s="299"/>
    </row>
    <row r="324" spans="1:12" s="298" customFormat="1" ht="13.9" x14ac:dyDescent="0.4">
      <c r="A324" s="300"/>
      <c r="B324" s="300"/>
      <c r="C324" s="300"/>
      <c r="D324" s="300"/>
      <c r="E324" s="300"/>
      <c r="F324" s="300"/>
      <c r="G324" s="299"/>
      <c r="H324" s="299"/>
      <c r="I324" s="299"/>
      <c r="J324" s="299"/>
    </row>
    <row r="326" spans="1:12" s="298" customFormat="1" ht="13.9" x14ac:dyDescent="0.4">
      <c r="A326" s="300"/>
      <c r="B326" s="300"/>
      <c r="C326" s="300"/>
      <c r="D326" s="300"/>
      <c r="E326" s="300"/>
      <c r="F326" s="300"/>
      <c r="G326" s="299"/>
      <c r="H326" s="299"/>
      <c r="I326" s="299"/>
    </row>
    <row r="327" spans="1:12" s="298" customFormat="1" ht="13.9" x14ac:dyDescent="0.4">
      <c r="A327" s="300"/>
      <c r="B327" s="300"/>
      <c r="C327" s="300"/>
      <c r="D327" s="300"/>
      <c r="E327" s="300"/>
      <c r="F327" s="300"/>
      <c r="G327" s="299"/>
      <c r="H327" s="299"/>
      <c r="I327" s="299"/>
    </row>
    <row r="328" spans="1:12" s="298" customFormat="1" ht="13.9" x14ac:dyDescent="0.4">
      <c r="A328" s="300"/>
      <c r="B328" s="300"/>
      <c r="C328" s="300"/>
      <c r="D328" s="300"/>
      <c r="E328" s="300"/>
      <c r="F328" s="300"/>
      <c r="G328" s="299"/>
      <c r="H328" s="299"/>
      <c r="I328" s="299"/>
    </row>
    <row r="336" spans="1:12" ht="13.9" x14ac:dyDescent="0.4">
      <c r="K336" s="298"/>
      <c r="L336" s="298"/>
    </row>
    <row r="337" spans="1:12" ht="13.9" x14ac:dyDescent="0.4">
      <c r="K337" s="298"/>
      <c r="L337" s="298"/>
    </row>
    <row r="338" spans="1:12" ht="13.9" x14ac:dyDescent="0.4">
      <c r="K338" s="298"/>
      <c r="L338" s="298"/>
    </row>
    <row r="339" spans="1:12" s="298" customFormat="1" ht="13.9" x14ac:dyDescent="0.4">
      <c r="A339" s="300"/>
      <c r="B339" s="300"/>
      <c r="C339" s="300"/>
      <c r="D339" s="300"/>
      <c r="E339" s="300"/>
      <c r="F339" s="300"/>
      <c r="G339" s="299"/>
      <c r="H339" s="299"/>
      <c r="I339" s="299"/>
    </row>
    <row r="340" spans="1:12" s="298" customFormat="1" ht="13.9" x14ac:dyDescent="0.4">
      <c r="A340" s="300"/>
      <c r="B340" s="300"/>
      <c r="C340" s="300"/>
      <c r="D340" s="300"/>
      <c r="E340" s="300"/>
      <c r="F340" s="300"/>
      <c r="G340" s="299"/>
      <c r="H340" s="299"/>
      <c r="I340" s="299"/>
    </row>
    <row r="341" spans="1:12" s="298" customFormat="1" ht="13.9" x14ac:dyDescent="0.4">
      <c r="A341" s="300"/>
      <c r="B341" s="300"/>
      <c r="C341" s="300"/>
      <c r="D341" s="300"/>
      <c r="E341" s="300"/>
      <c r="F341" s="300"/>
      <c r="G341" s="299"/>
      <c r="H341" s="299"/>
      <c r="I341" s="299"/>
    </row>
    <row r="342" spans="1:12" s="298" customFormat="1" ht="13.9" x14ac:dyDescent="0.4">
      <c r="A342" s="300"/>
      <c r="B342" s="300"/>
      <c r="C342" s="300"/>
      <c r="D342" s="300"/>
      <c r="E342" s="300"/>
      <c r="F342" s="300"/>
      <c r="G342" s="299"/>
      <c r="H342" s="299"/>
      <c r="I342" s="299"/>
      <c r="K342" s="299"/>
      <c r="L342" s="299"/>
    </row>
    <row r="343" spans="1:12" s="298" customFormat="1" ht="13.9" x14ac:dyDescent="0.4">
      <c r="A343" s="300"/>
      <c r="B343" s="300"/>
      <c r="C343" s="300"/>
      <c r="D343" s="300"/>
      <c r="E343" s="300"/>
      <c r="F343" s="300"/>
      <c r="G343" s="299"/>
      <c r="H343" s="299"/>
      <c r="I343" s="299"/>
    </row>
    <row r="344" spans="1:12" s="298" customFormat="1" ht="13.9" x14ac:dyDescent="0.4">
      <c r="A344" s="300"/>
      <c r="B344" s="300"/>
      <c r="C344" s="300"/>
      <c r="D344" s="300"/>
      <c r="E344" s="300"/>
      <c r="F344" s="300"/>
      <c r="G344" s="299"/>
      <c r="H344" s="299"/>
      <c r="I344" s="299"/>
    </row>
    <row r="345" spans="1:12" s="298" customFormat="1" ht="13.9" x14ac:dyDescent="0.4">
      <c r="A345" s="300"/>
      <c r="B345" s="300"/>
      <c r="C345" s="300"/>
      <c r="D345" s="300"/>
      <c r="E345" s="300"/>
      <c r="F345" s="300"/>
      <c r="G345" s="299"/>
      <c r="H345" s="299"/>
      <c r="I345" s="299"/>
    </row>
    <row r="346" spans="1:12" s="298" customFormat="1" ht="13.9" x14ac:dyDescent="0.4">
      <c r="A346" s="300"/>
      <c r="B346" s="300"/>
      <c r="C346" s="300"/>
      <c r="D346" s="300"/>
      <c r="E346" s="300"/>
      <c r="F346" s="300"/>
      <c r="G346" s="299"/>
      <c r="H346" s="299"/>
      <c r="I346" s="299"/>
      <c r="J346" s="299"/>
    </row>
    <row r="351" spans="1:12" ht="13.9" x14ac:dyDescent="0.4">
      <c r="K351" s="298"/>
      <c r="L351" s="298"/>
    </row>
    <row r="352" spans="1:12" ht="13.9" x14ac:dyDescent="0.4">
      <c r="K352" s="298"/>
      <c r="L352" s="298"/>
    </row>
    <row r="353" spans="1:12" ht="13.9" x14ac:dyDescent="0.4">
      <c r="K353" s="298"/>
      <c r="L353" s="298"/>
    </row>
    <row r="355" spans="1:12" s="298" customFormat="1" ht="13.9" x14ac:dyDescent="0.4">
      <c r="A355" s="300"/>
      <c r="B355" s="300"/>
      <c r="C355" s="300"/>
      <c r="D355" s="300"/>
      <c r="E355" s="300"/>
      <c r="F355" s="300"/>
      <c r="G355" s="299"/>
      <c r="H355" s="299"/>
      <c r="I355" s="299"/>
      <c r="J355" s="299"/>
    </row>
    <row r="356" spans="1:12" s="298" customFormat="1" ht="13.9" x14ac:dyDescent="0.4">
      <c r="A356" s="300"/>
      <c r="B356" s="300"/>
      <c r="C356" s="300"/>
      <c r="D356" s="300"/>
      <c r="E356" s="300"/>
      <c r="F356" s="300"/>
      <c r="G356" s="299"/>
      <c r="H356" s="299"/>
      <c r="I356" s="299"/>
      <c r="J356" s="299"/>
    </row>
    <row r="357" spans="1:12" s="298" customFormat="1" ht="13.9" x14ac:dyDescent="0.4">
      <c r="A357" s="300"/>
      <c r="B357" s="300"/>
      <c r="C357" s="300"/>
      <c r="D357" s="300"/>
      <c r="E357" s="300"/>
      <c r="F357" s="300"/>
      <c r="G357" s="299"/>
      <c r="H357" s="299"/>
      <c r="I357" s="299"/>
      <c r="J357" s="299"/>
    </row>
    <row r="358" spans="1:12" s="298" customFormat="1" ht="13.9" x14ac:dyDescent="0.4">
      <c r="A358" s="300"/>
      <c r="B358" s="300"/>
      <c r="C358" s="300"/>
      <c r="D358" s="300"/>
      <c r="E358" s="300"/>
      <c r="F358" s="300"/>
      <c r="G358" s="299"/>
      <c r="H358" s="299"/>
      <c r="I358" s="299"/>
      <c r="J358" s="299"/>
      <c r="K358" s="299"/>
      <c r="L358" s="299"/>
    </row>
    <row r="359" spans="1:12" ht="13.9" x14ac:dyDescent="0.4">
      <c r="J359" s="298"/>
    </row>
    <row r="360" spans="1:12" ht="13.9" x14ac:dyDescent="0.4">
      <c r="J360" s="298"/>
    </row>
    <row r="361" spans="1:12" s="298" customFormat="1" ht="13.9" x14ac:dyDescent="0.4">
      <c r="A361" s="300"/>
      <c r="B361" s="300"/>
      <c r="C361" s="300"/>
      <c r="D361" s="300"/>
      <c r="E361" s="300"/>
      <c r="F361" s="300"/>
      <c r="H361" s="299"/>
      <c r="I361" s="299"/>
    </row>
    <row r="362" spans="1:12" s="298" customFormat="1" ht="13.9" x14ac:dyDescent="0.4">
      <c r="A362" s="300"/>
      <c r="B362" s="300"/>
      <c r="C362" s="300"/>
      <c r="D362" s="300"/>
      <c r="E362" s="300"/>
      <c r="F362" s="300"/>
      <c r="H362" s="299"/>
      <c r="I362" s="299"/>
    </row>
    <row r="363" spans="1:12" s="298" customFormat="1" ht="13.9" x14ac:dyDescent="0.4">
      <c r="A363" s="300"/>
      <c r="B363" s="300"/>
      <c r="C363" s="300"/>
      <c r="D363" s="300"/>
      <c r="E363" s="300"/>
      <c r="F363" s="300"/>
      <c r="H363" s="299"/>
      <c r="I363" s="299"/>
    </row>
    <row r="364" spans="1:12" s="298" customFormat="1" ht="13.9" x14ac:dyDescent="0.4">
      <c r="A364" s="300"/>
      <c r="B364" s="300"/>
      <c r="C364" s="300"/>
      <c r="D364" s="300"/>
      <c r="E364" s="300"/>
      <c r="F364" s="300"/>
      <c r="G364" s="299"/>
      <c r="H364" s="299"/>
      <c r="I364" s="299"/>
    </row>
    <row r="365" spans="1:12" s="298" customFormat="1" ht="13.9" x14ac:dyDescent="0.4">
      <c r="A365" s="300"/>
      <c r="B365" s="300"/>
      <c r="C365" s="300"/>
      <c r="D365" s="300"/>
      <c r="E365" s="300"/>
      <c r="F365" s="300"/>
      <c r="G365" s="299"/>
      <c r="H365" s="299"/>
      <c r="I365" s="299"/>
    </row>
    <row r="366" spans="1:12" s="298" customFormat="1" ht="13.9" x14ac:dyDescent="0.4">
      <c r="A366" s="300"/>
      <c r="B366" s="300"/>
      <c r="C366" s="300"/>
      <c r="D366" s="300"/>
      <c r="E366" s="300"/>
      <c r="F366" s="300"/>
      <c r="G366" s="299"/>
      <c r="H366" s="299"/>
      <c r="I366" s="299"/>
    </row>
    <row r="369" spans="1:12" ht="13.9" x14ac:dyDescent="0.4">
      <c r="K369" s="298"/>
      <c r="L369" s="298"/>
    </row>
    <row r="370" spans="1:12" ht="13.9" x14ac:dyDescent="0.4">
      <c r="K370" s="298"/>
      <c r="L370" s="298"/>
    </row>
    <row r="371" spans="1:12" ht="13.9" x14ac:dyDescent="0.4">
      <c r="K371" s="298"/>
      <c r="L371" s="298"/>
    </row>
    <row r="373" spans="1:12" ht="13.9" x14ac:dyDescent="0.4">
      <c r="J373" s="298"/>
    </row>
    <row r="374" spans="1:12" s="298" customFormat="1" ht="13.9" x14ac:dyDescent="0.4">
      <c r="A374" s="300"/>
      <c r="B374" s="300"/>
      <c r="C374" s="300"/>
      <c r="D374" s="300"/>
      <c r="E374" s="300"/>
      <c r="F374" s="300"/>
      <c r="G374" s="299"/>
      <c r="H374" s="299"/>
      <c r="I374" s="299"/>
      <c r="K374" s="299"/>
      <c r="L374" s="299"/>
    </row>
    <row r="375" spans="1:12" s="298" customFormat="1" ht="13.9" x14ac:dyDescent="0.4">
      <c r="A375" s="300"/>
      <c r="B375" s="300"/>
      <c r="C375" s="300"/>
      <c r="D375" s="300"/>
      <c r="E375" s="300"/>
      <c r="F375" s="300"/>
      <c r="G375" s="299"/>
      <c r="H375" s="299"/>
      <c r="I375" s="299"/>
      <c r="K375" s="299"/>
      <c r="L375" s="299"/>
    </row>
    <row r="376" spans="1:12" s="298" customFormat="1" ht="13.9" x14ac:dyDescent="0.4">
      <c r="A376" s="300"/>
      <c r="B376" s="300"/>
      <c r="C376" s="300"/>
      <c r="D376" s="300"/>
      <c r="E376" s="300"/>
      <c r="F376" s="300"/>
      <c r="G376" s="299"/>
      <c r="H376" s="299"/>
      <c r="I376" s="299"/>
      <c r="J376" s="299"/>
      <c r="K376" s="299"/>
      <c r="L376" s="299"/>
    </row>
    <row r="384" spans="1:12" s="298" customFormat="1" ht="13.9" x14ac:dyDescent="0.4">
      <c r="A384" s="300"/>
      <c r="B384" s="300"/>
      <c r="C384" s="300"/>
      <c r="D384" s="300"/>
      <c r="E384" s="300"/>
      <c r="F384" s="300"/>
      <c r="G384" s="299"/>
      <c r="H384" s="299"/>
      <c r="I384" s="299"/>
      <c r="J384" s="299"/>
    </row>
    <row r="387" spans="1:10" s="298" customFormat="1" ht="13.9" x14ac:dyDescent="0.4">
      <c r="A387" s="300"/>
      <c r="B387" s="300"/>
      <c r="C387" s="300"/>
      <c r="D387" s="300"/>
      <c r="E387" s="300"/>
      <c r="F387" s="300"/>
      <c r="G387" s="299"/>
      <c r="H387" s="299"/>
      <c r="I387" s="299"/>
      <c r="J387" s="299"/>
    </row>
    <row r="388" spans="1:10" s="298" customFormat="1" ht="13.9" x14ac:dyDescent="0.4">
      <c r="A388" s="300"/>
      <c r="B388" s="300"/>
      <c r="C388" s="300"/>
      <c r="D388" s="300"/>
      <c r="E388" s="300"/>
      <c r="F388" s="300"/>
      <c r="G388" s="299"/>
      <c r="H388" s="299"/>
      <c r="I388" s="299"/>
      <c r="J388" s="299"/>
    </row>
    <row r="389" spans="1:10" s="298" customFormat="1" ht="13.9" x14ac:dyDescent="0.4">
      <c r="A389" s="300"/>
      <c r="B389" s="300"/>
      <c r="C389" s="300"/>
      <c r="D389" s="300"/>
      <c r="E389" s="300"/>
      <c r="F389" s="300"/>
      <c r="G389" s="299"/>
      <c r="H389" s="299"/>
      <c r="I389" s="299"/>
      <c r="J389" s="299"/>
    </row>
    <row r="405" spans="1:10" s="298" customFormat="1" ht="13.9" x14ac:dyDescent="0.4">
      <c r="A405" s="300"/>
      <c r="B405" s="300"/>
      <c r="C405" s="300"/>
      <c r="D405" s="300"/>
      <c r="E405" s="300"/>
      <c r="F405" s="300"/>
      <c r="G405" s="299"/>
      <c r="H405" s="299"/>
      <c r="I405" s="299"/>
      <c r="J405" s="299"/>
    </row>
    <row r="406" spans="1:10" s="298" customFormat="1" ht="13.9" x14ac:dyDescent="0.4">
      <c r="A406" s="300"/>
      <c r="B406" s="300"/>
      <c r="C406" s="300"/>
      <c r="D406" s="300"/>
      <c r="E406" s="300"/>
      <c r="F406" s="300"/>
      <c r="G406" s="299"/>
      <c r="H406" s="299"/>
      <c r="I406" s="299"/>
      <c r="J406" s="299"/>
    </row>
    <row r="407" spans="1:10" s="298" customFormat="1" ht="13.9" x14ac:dyDescent="0.4">
      <c r="A407" s="300"/>
      <c r="B407" s="300"/>
      <c r="C407" s="300"/>
      <c r="D407" s="300"/>
      <c r="E407" s="300"/>
      <c r="F407" s="300"/>
      <c r="G407" s="299"/>
      <c r="H407" s="299"/>
      <c r="I407" s="299"/>
      <c r="J407" s="299"/>
    </row>
    <row r="415" spans="1:10" s="298" customFormat="1" ht="13.9" x14ac:dyDescent="0.4">
      <c r="A415" s="300"/>
      <c r="B415" s="300"/>
      <c r="C415" s="300"/>
      <c r="D415" s="300"/>
      <c r="E415" s="300"/>
      <c r="F415" s="300"/>
      <c r="G415" s="299"/>
      <c r="H415" s="299"/>
      <c r="I415" s="299"/>
    </row>
    <row r="416" spans="1:10" s="298" customFormat="1" ht="13.9" x14ac:dyDescent="0.4">
      <c r="A416" s="300"/>
      <c r="B416" s="300"/>
      <c r="C416" s="300"/>
      <c r="D416" s="300"/>
      <c r="E416" s="300"/>
      <c r="F416" s="300"/>
      <c r="G416" s="299"/>
      <c r="H416" s="299"/>
      <c r="I416" s="299"/>
    </row>
    <row r="417" spans="1:10" s="298" customFormat="1" ht="13.9" x14ac:dyDescent="0.4">
      <c r="A417" s="300"/>
      <c r="B417" s="300"/>
      <c r="C417" s="300"/>
      <c r="D417" s="300"/>
      <c r="E417" s="300"/>
      <c r="F417" s="300"/>
      <c r="G417" s="299"/>
      <c r="H417" s="299"/>
      <c r="I417" s="299"/>
    </row>
    <row r="419" spans="1:10" s="298" customFormat="1" ht="13.9" x14ac:dyDescent="0.4">
      <c r="A419" s="300"/>
      <c r="B419" s="300"/>
      <c r="C419" s="300"/>
      <c r="D419" s="300"/>
      <c r="E419" s="300"/>
      <c r="F419" s="300"/>
      <c r="G419" s="299"/>
      <c r="H419" s="299"/>
      <c r="I419" s="299"/>
      <c r="J419" s="299"/>
    </row>
    <row r="420" spans="1:10" s="298" customFormat="1" ht="13.9" x14ac:dyDescent="0.4">
      <c r="A420" s="300"/>
      <c r="B420" s="300"/>
      <c r="C420" s="300"/>
      <c r="D420" s="300"/>
      <c r="E420" s="300"/>
      <c r="F420" s="300"/>
      <c r="G420" s="299"/>
      <c r="H420" s="299"/>
      <c r="I420" s="299"/>
      <c r="J420" s="299"/>
    </row>
    <row r="421" spans="1:10" s="298" customFormat="1" ht="13.9" x14ac:dyDescent="0.4">
      <c r="A421" s="300"/>
      <c r="B421" s="300"/>
      <c r="C421" s="300"/>
      <c r="D421" s="300"/>
      <c r="E421" s="300"/>
      <c r="F421" s="300"/>
      <c r="G421" s="299"/>
      <c r="H421" s="299"/>
      <c r="I421" s="299"/>
      <c r="J421" s="299"/>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Richard Kopcke</cp:lastModifiedBy>
  <cp:lastPrinted>2020-06-25T18:18:36Z</cp:lastPrinted>
  <dcterms:created xsi:type="dcterms:W3CDTF">2002-07-09T14:08:29Z</dcterms:created>
  <dcterms:modified xsi:type="dcterms:W3CDTF">2025-08-04T20:23:21Z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