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15" windowWidth="24495" windowHeight="13500" activeTab="1"/>
  </bookViews>
  <sheets>
    <sheet name="環球影城 2023-11-4" sheetId="7" r:id="rId1"/>
    <sheet name="東京 2023-3-18" sheetId="9" r:id="rId2"/>
    <sheet name="花蓮 2022-10-28" sheetId="1" r:id="rId3"/>
    <sheet name="台南 2022-04-30" sheetId="2" r:id="rId4"/>
    <sheet name="金門 2021-12-31" sheetId="3" r:id="rId5"/>
    <sheet name="台東 2021-10-09" sheetId="4" r:id="rId6"/>
    <sheet name="馬祖 2021-02-26" sheetId="5" r:id="rId7"/>
  </sheets>
  <calcPr calcId="145621"/>
</workbook>
</file>

<file path=xl/calcChain.xml><?xml version="1.0" encoding="utf-8"?>
<calcChain xmlns="http://schemas.openxmlformats.org/spreadsheetml/2006/main">
  <c r="C4" i="9" l="1"/>
  <c r="D7" i="9"/>
  <c r="C7" i="9" s="1"/>
  <c r="C9" i="9"/>
  <c r="D9" i="9" s="1"/>
  <c r="C10" i="9"/>
  <c r="D10" i="9"/>
  <c r="C11" i="9"/>
  <c r="D11" i="9" s="1"/>
  <c r="C14" i="9"/>
  <c r="D14" i="9" s="1"/>
  <c r="C15" i="9"/>
  <c r="D15" i="9"/>
  <c r="C16" i="9"/>
  <c r="D16" i="9" s="1"/>
  <c r="C17" i="9"/>
  <c r="D17" i="9"/>
  <c r="D20" i="9"/>
  <c r="C21" i="9"/>
  <c r="D21" i="9"/>
  <c r="C22" i="9"/>
  <c r="C23" i="9"/>
  <c r="D23" i="9"/>
  <c r="C24" i="9"/>
  <c r="D24" i="9" s="1"/>
  <c r="C27" i="9"/>
  <c r="D27" i="9" s="1"/>
  <c r="C28" i="9"/>
  <c r="D28" i="9"/>
  <c r="C30" i="9"/>
  <c r="D30" i="9" s="1"/>
  <c r="D31" i="9"/>
  <c r="D32" i="9"/>
  <c r="D33" i="9"/>
  <c r="D34" i="9"/>
  <c r="D35" i="9"/>
  <c r="D36" i="9"/>
  <c r="D37" i="9"/>
  <c r="D38" i="9"/>
  <c r="D39" i="9"/>
  <c r="D40" i="9"/>
  <c r="D41" i="9"/>
  <c r="C19" i="9" l="1"/>
  <c r="C26" i="9"/>
  <c r="D26" i="9" s="1"/>
  <c r="C13" i="9"/>
  <c r="D13" i="9" s="1"/>
  <c r="C76" i="7"/>
  <c r="D71" i="7"/>
  <c r="H13" i="7"/>
  <c r="F13" i="7"/>
  <c r="D13" i="7"/>
  <c r="C6" i="9" l="1"/>
  <c r="D6" i="9" s="1"/>
  <c r="D19" i="9"/>
  <c r="C5" i="9"/>
  <c r="D5" i="9" s="1"/>
  <c r="H24" i="7"/>
  <c r="F23" i="7"/>
  <c r="C53" i="7" l="1"/>
  <c r="I7" i="7"/>
  <c r="H16" i="7"/>
  <c r="F16" i="7"/>
  <c r="H15" i="7"/>
  <c r="F15" i="7"/>
  <c r="F14" i="7"/>
  <c r="H14" i="7"/>
  <c r="H12" i="7"/>
  <c r="F12" i="7"/>
  <c r="H30" i="7"/>
  <c r="H29" i="7"/>
  <c r="H26" i="7"/>
  <c r="F27" i="7"/>
  <c r="F25" i="7"/>
  <c r="H21" i="7"/>
  <c r="H20" i="7"/>
  <c r="C45" i="7" l="1"/>
  <c r="C48" i="7" l="1"/>
  <c r="D35" i="7"/>
  <c r="C7" i="7"/>
  <c r="D46" i="7"/>
  <c r="C46" i="7" s="1"/>
  <c r="D83" i="7"/>
  <c r="D44" i="7"/>
  <c r="D43" i="7"/>
  <c r="C43" i="7" s="1"/>
  <c r="C52" i="7"/>
  <c r="C56" i="7"/>
  <c r="C47" i="7"/>
  <c r="D85" i="7"/>
  <c r="D84" i="7"/>
  <c r="D82" i="7"/>
  <c r="D80" i="7"/>
  <c r="D79" i="7"/>
  <c r="D78" i="7"/>
  <c r="D77" i="7"/>
  <c r="C57" i="7"/>
  <c r="D57" i="7" s="1"/>
  <c r="D75" i="7"/>
  <c r="D74" i="7"/>
  <c r="D73" i="7"/>
  <c r="D33" i="7"/>
  <c r="D30" i="7"/>
  <c r="D29" i="7"/>
  <c r="D27" i="7"/>
  <c r="D26" i="7"/>
  <c r="D25" i="7"/>
  <c r="D24" i="7"/>
  <c r="D23" i="7"/>
  <c r="D21" i="7"/>
  <c r="D20" i="7"/>
  <c r="D16" i="7"/>
  <c r="D15" i="7"/>
  <c r="D14" i="7"/>
  <c r="D12" i="7"/>
  <c r="C28" i="7"/>
  <c r="C22" i="7"/>
  <c r="C58" i="7"/>
  <c r="C86" i="7"/>
  <c r="D86" i="7" s="1"/>
  <c r="C36" i="7"/>
  <c r="C37" i="7"/>
  <c r="C38" i="7"/>
  <c r="C34" i="7"/>
  <c r="C18" i="7"/>
  <c r="C17" i="7"/>
  <c r="D72" i="7"/>
  <c r="D70" i="7"/>
  <c r="D69" i="7"/>
  <c r="D41" i="7"/>
  <c r="D42" i="7"/>
  <c r="C42" i="7" s="1"/>
  <c r="D64" i="7"/>
  <c r="C81" i="7"/>
  <c r="D81" i="7" s="1"/>
  <c r="C19" i="7"/>
  <c r="D68" i="7"/>
  <c r="D67" i="7"/>
  <c r="D66" i="7"/>
  <c r="D63" i="7"/>
  <c r="D62" i="7"/>
  <c r="C65" i="7"/>
  <c r="D61" i="7"/>
  <c r="D51" i="7"/>
  <c r="D45" i="7"/>
  <c r="C4" i="7"/>
  <c r="C40" i="7" l="1"/>
  <c r="F28" i="7"/>
  <c r="H28" i="7"/>
  <c r="D52" i="7"/>
  <c r="C50" i="7"/>
  <c r="C55" i="7"/>
  <c r="F4" i="7"/>
  <c r="G4" i="7" s="1"/>
  <c r="H4" i="7"/>
  <c r="I4" i="7" s="1"/>
  <c r="D18" i="7"/>
  <c r="H18" i="7"/>
  <c r="D36" i="7"/>
  <c r="D28" i="7"/>
  <c r="D7" i="7"/>
  <c r="F7" i="7"/>
  <c r="G7" i="7" s="1"/>
  <c r="D38" i="7"/>
  <c r="D19" i="7"/>
  <c r="H19" i="7"/>
  <c r="F19" i="7"/>
  <c r="D17" i="7"/>
  <c r="H17" i="7"/>
  <c r="D37" i="7"/>
  <c r="D22" i="7"/>
  <c r="F22" i="7"/>
  <c r="H22" i="7"/>
  <c r="D58" i="7"/>
  <c r="C8" i="7"/>
  <c r="D8" i="7" s="1"/>
  <c r="D40" i="7"/>
  <c r="C60" i="7"/>
  <c r="D60" i="7" s="1"/>
  <c r="C32" i="7"/>
  <c r="D32" i="7" s="1"/>
  <c r="D65" i="7"/>
  <c r="D34" i="7"/>
  <c r="C11" i="7"/>
  <c r="D50" i="7"/>
  <c r="F11" i="7" l="1"/>
  <c r="G11" i="7" s="1"/>
  <c r="C6" i="7"/>
  <c r="H11" i="7"/>
  <c r="H6" i="7" s="1"/>
  <c r="D11" i="7"/>
  <c r="D55" i="7"/>
  <c r="C5" i="7"/>
  <c r="D5" i="7" s="1"/>
  <c r="D52" i="5"/>
  <c r="C52" i="5"/>
  <c r="D51" i="5"/>
  <c r="C51" i="5"/>
  <c r="D48" i="5"/>
  <c r="C48" i="5"/>
  <c r="D47" i="5"/>
  <c r="C47" i="5"/>
  <c r="D46" i="5"/>
  <c r="C46" i="5"/>
  <c r="D44" i="5"/>
  <c r="C44" i="5"/>
  <c r="D43" i="5"/>
  <c r="C43" i="5"/>
  <c r="D40" i="5"/>
  <c r="C40" i="5"/>
  <c r="D38" i="5"/>
  <c r="C38" i="5"/>
  <c r="D37" i="5"/>
  <c r="C37" i="5"/>
  <c r="D36" i="5"/>
  <c r="C36" i="5"/>
  <c r="D35" i="5"/>
  <c r="C35" i="5"/>
  <c r="D34" i="5"/>
  <c r="C34" i="5"/>
  <c r="D33" i="5"/>
  <c r="C33" i="5"/>
  <c r="C31" i="5" s="1"/>
  <c r="D31" i="5"/>
  <c r="D28" i="5"/>
  <c r="C28" i="5"/>
  <c r="D27" i="5"/>
  <c r="D25" i="5" s="1"/>
  <c r="D3" i="5" s="1"/>
  <c r="C27" i="5"/>
  <c r="C25" i="5"/>
  <c r="D21" i="5"/>
  <c r="C21" i="5"/>
  <c r="D17" i="5"/>
  <c r="C17" i="5"/>
  <c r="D16" i="5"/>
  <c r="D12" i="5" s="1"/>
  <c r="C16" i="5"/>
  <c r="C12" i="5"/>
  <c r="D10" i="5"/>
  <c r="D5" i="5" s="1"/>
  <c r="D2" i="5" s="1"/>
  <c r="C7" i="5"/>
  <c r="C6" i="5"/>
  <c r="C5" i="5"/>
  <c r="C2" i="5" s="1"/>
  <c r="C3" i="5"/>
  <c r="D57" i="4"/>
  <c r="C57" i="4"/>
  <c r="D56" i="4"/>
  <c r="C56" i="4"/>
  <c r="D55" i="4"/>
  <c r="C55" i="4"/>
  <c r="D54" i="4"/>
  <c r="C54" i="4"/>
  <c r="D52" i="4"/>
  <c r="C52" i="4"/>
  <c r="D51" i="4"/>
  <c r="C51" i="4"/>
  <c r="D50" i="4"/>
  <c r="C50" i="4"/>
  <c r="D47" i="4"/>
  <c r="C47" i="4"/>
  <c r="D46" i="4"/>
  <c r="C46" i="4"/>
  <c r="D45" i="4"/>
  <c r="C45" i="4"/>
  <c r="D44" i="4"/>
  <c r="C44" i="4"/>
  <c r="D43" i="4"/>
  <c r="D42" i="4"/>
  <c r="C42" i="4"/>
  <c r="D41" i="4"/>
  <c r="C41" i="4"/>
  <c r="D40" i="4"/>
  <c r="C40" i="4"/>
  <c r="D39" i="4"/>
  <c r="C39" i="4"/>
  <c r="D38" i="4"/>
  <c r="C38" i="4"/>
  <c r="D36" i="4"/>
  <c r="C36" i="4"/>
  <c r="D35" i="4"/>
  <c r="C35" i="4"/>
  <c r="D34" i="4"/>
  <c r="C34" i="4"/>
  <c r="C33" i="4" s="1"/>
  <c r="D33" i="4"/>
  <c r="D30" i="4"/>
  <c r="C30" i="4"/>
  <c r="D29" i="4"/>
  <c r="C29" i="4"/>
  <c r="D28" i="4"/>
  <c r="C28" i="4"/>
  <c r="C27" i="4" s="1"/>
  <c r="C3" i="4" s="1"/>
  <c r="D27" i="4"/>
  <c r="D3" i="4" s="1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C17" i="4" s="1"/>
  <c r="D17" i="4"/>
  <c r="D15" i="4"/>
  <c r="D14" i="4"/>
  <c r="C14" i="4"/>
  <c r="D9" i="4"/>
  <c r="D6" i="4"/>
  <c r="D5" i="4" s="1"/>
  <c r="D2" i="4" s="1"/>
  <c r="C5" i="4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6" i="3"/>
  <c r="C26" i="3"/>
  <c r="D25" i="3"/>
  <c r="C25" i="3"/>
  <c r="D22" i="3"/>
  <c r="C22" i="3"/>
  <c r="C3" i="3" s="1"/>
  <c r="D19" i="3"/>
  <c r="C19" i="3"/>
  <c r="D18" i="3"/>
  <c r="C18" i="3"/>
  <c r="D15" i="3"/>
  <c r="D14" i="3" s="1"/>
  <c r="C15" i="3"/>
  <c r="C14" i="3" s="1"/>
  <c r="C2" i="3" s="1"/>
  <c r="C12" i="3"/>
  <c r="D5" i="3"/>
  <c r="C5" i="3"/>
  <c r="D3" i="3"/>
  <c r="D31" i="2"/>
  <c r="C31" i="2"/>
  <c r="D29" i="2"/>
  <c r="C29" i="2"/>
  <c r="D27" i="2"/>
  <c r="C27" i="2"/>
  <c r="D25" i="2"/>
  <c r="C25" i="2"/>
  <c r="D24" i="2"/>
  <c r="C24" i="2"/>
  <c r="D23" i="2"/>
  <c r="C23" i="2"/>
  <c r="D22" i="2"/>
  <c r="C22" i="2"/>
  <c r="D21" i="2"/>
  <c r="C21" i="2"/>
  <c r="D19" i="2"/>
  <c r="C19" i="2"/>
  <c r="D18" i="2"/>
  <c r="D17" i="2" s="1"/>
  <c r="C18" i="2"/>
  <c r="C17" i="2"/>
  <c r="D15" i="2"/>
  <c r="C15" i="2"/>
  <c r="D14" i="2"/>
  <c r="C14" i="2"/>
  <c r="C13" i="2" s="1"/>
  <c r="D13" i="2"/>
  <c r="C11" i="2"/>
  <c r="D10" i="2"/>
  <c r="C10" i="2"/>
  <c r="C8" i="2" s="1"/>
  <c r="D9" i="2"/>
  <c r="C9" i="2"/>
  <c r="D8" i="2"/>
  <c r="D6" i="2"/>
  <c r="C6" i="2"/>
  <c r="D4" i="2"/>
  <c r="C4" i="2"/>
  <c r="C2" i="2" s="1"/>
  <c r="D33" i="1"/>
  <c r="C33" i="1"/>
  <c r="D32" i="1"/>
  <c r="C32" i="1"/>
  <c r="D27" i="1"/>
  <c r="C27" i="1"/>
  <c r="D26" i="1"/>
  <c r="C26" i="1"/>
  <c r="C21" i="1" s="1"/>
  <c r="D21" i="1"/>
  <c r="D19" i="1"/>
  <c r="C19" i="1"/>
  <c r="C18" i="1" s="1"/>
  <c r="D18" i="1"/>
  <c r="D15" i="1"/>
  <c r="C15" i="1"/>
  <c r="C13" i="1" s="1"/>
  <c r="D13" i="1"/>
  <c r="D11" i="1"/>
  <c r="H7" i="1"/>
  <c r="H6" i="1"/>
  <c r="D4" i="1"/>
  <c r="D2" i="1" s="1"/>
  <c r="C4" i="1"/>
  <c r="F6" i="7" l="1"/>
  <c r="G6" i="7" s="1"/>
  <c r="D6" i="7"/>
  <c r="D9" i="7" s="1"/>
  <c r="C9" i="7"/>
  <c r="I6" i="7"/>
  <c r="I11" i="7"/>
  <c r="F5" i="7"/>
  <c r="G5" i="7" s="1"/>
  <c r="H5" i="7"/>
  <c r="I5" i="7" s="1"/>
  <c r="E2" i="2"/>
  <c r="D2" i="2"/>
  <c r="D2" i="3"/>
  <c r="C2" i="4"/>
  <c r="C2" i="1"/>
  <c r="F2" i="1" s="1"/>
  <c r="H5" i="1"/>
  <c r="I9" i="7" l="1"/>
  <c r="H9" i="7"/>
  <c r="G9" i="7"/>
  <c r="F9" i="7"/>
</calcChain>
</file>

<file path=xl/sharedStrings.xml><?xml version="1.0" encoding="utf-8"?>
<sst xmlns="http://schemas.openxmlformats.org/spreadsheetml/2006/main" count="420" uniqueCount="305">
  <si>
    <t>日期</t>
  </si>
  <si>
    <t>項目</t>
  </si>
  <si>
    <t>瑞文費用</t>
  </si>
  <si>
    <t>俊傑費用</t>
  </si>
  <si>
    <t>誰付的?</t>
  </si>
  <si>
    <t>合計</t>
  </si>
  <si>
    <t>旅費</t>
  </si>
  <si>
    <t>土產與紀念品</t>
  </si>
  <si>
    <t>小計(不計代購)</t>
  </si>
  <si>
    <t xml:space="preserve">曾記麻糬 </t>
  </si>
  <si>
    <t>文刷</t>
  </si>
  <si>
    <t>俊傑付了</t>
  </si>
  <si>
    <t>阿美麻糬</t>
  </si>
  <si>
    <t>瑞文付了現金</t>
  </si>
  <si>
    <t>戴記扁食冷凍</t>
  </si>
  <si>
    <t>文</t>
  </si>
  <si>
    <t>瑞文付了刷卡</t>
  </si>
  <si>
    <t>液香扁食冷凍</t>
  </si>
  <si>
    <t>花蓮香扁食冷凍</t>
  </si>
  <si>
    <t>豆腐乳</t>
  </si>
  <si>
    <t>冷凍宅配</t>
  </si>
  <si>
    <t>交通費用</t>
  </si>
  <si>
    <t>小計</t>
  </si>
  <si>
    <t>北花線回遊號</t>
  </si>
  <si>
    <t>傑刷</t>
  </si>
  <si>
    <t>機車+油資</t>
  </si>
  <si>
    <t>住宿費用</t>
  </si>
  <si>
    <t>康橋飯店</t>
  </si>
  <si>
    <t>零食費用</t>
  </si>
  <si>
    <t>洪瑞珍三明治</t>
  </si>
  <si>
    <t>傑</t>
  </si>
  <si>
    <t>三個男人早餐店</t>
  </si>
  <si>
    <t>黃車蔥油餅</t>
  </si>
  <si>
    <t>花蓮香扁食</t>
  </si>
  <si>
    <t>花蓮香扁食小菜</t>
  </si>
  <si>
    <t>玉里臭豆腐</t>
  </si>
  <si>
    <t>公正包子</t>
  </si>
  <si>
    <t>戴記扁食</t>
  </si>
  <si>
    <t>液香扁食</t>
  </si>
  <si>
    <t>歇腳亭</t>
  </si>
  <si>
    <t>曾師傅麻糬</t>
  </si>
  <si>
    <t>晚餐Sukiya</t>
  </si>
  <si>
    <t>備註</t>
  </si>
  <si>
    <t>紀念品</t>
  </si>
  <si>
    <t>蝦餅</t>
  </si>
  <si>
    <t>台鐵自強號</t>
  </si>
  <si>
    <t>Uber</t>
  </si>
  <si>
    <t>康橋商旅</t>
  </si>
  <si>
    <t>三個男人早餐</t>
  </si>
  <si>
    <t>李家檸檬乾麵</t>
  </si>
  <si>
    <t>浮水魚羹</t>
  </si>
  <si>
    <t>醇涎坊</t>
  </si>
  <si>
    <t>阿文米粿</t>
  </si>
  <si>
    <t>宵夜</t>
  </si>
  <si>
    <t>黑橋牌</t>
  </si>
  <si>
    <t>文章牛肉湯</t>
  </si>
  <si>
    <t>同安豆花</t>
  </si>
  <si>
    <t>陳家蚵捲</t>
  </si>
  <si>
    <t>韭菜盒</t>
  </si>
  <si>
    <t>小公園擔仔麵</t>
  </si>
  <si>
    <t>八寶冰花生仁湯</t>
  </si>
  <si>
    <t>台鐵便當</t>
  </si>
  <si>
    <t>機+酒</t>
  </si>
  <si>
    <t>風獅爺鏡子</t>
  </si>
  <si>
    <t>風獅爺吉祥物</t>
  </si>
  <si>
    <t>俊傑付200</t>
  </si>
  <si>
    <t>酒糟牛肉乾</t>
  </si>
  <si>
    <t>刷</t>
  </si>
  <si>
    <t>牛肉乾</t>
  </si>
  <si>
    <t>俊傑付</t>
  </si>
  <si>
    <t>貢糖</t>
  </si>
  <si>
    <t>代購香煙+金門酒</t>
  </si>
  <si>
    <t>立榮單程</t>
  </si>
  <si>
    <t>華信單程</t>
  </si>
  <si>
    <t>機車3日</t>
  </si>
  <si>
    <t>加油</t>
  </si>
  <si>
    <t>船票</t>
  </si>
  <si>
    <t>熊寶貝民宿</t>
  </si>
  <si>
    <t>永春廣東粥</t>
  </si>
  <si>
    <t>機場7-11早餐</t>
  </si>
  <si>
    <t>85度C</t>
  </si>
  <si>
    <t>全聯飲料+芋泥派</t>
  </si>
  <si>
    <t>蚵嗲之家</t>
  </si>
  <si>
    <t>巧味香肉羹麵</t>
  </si>
  <si>
    <t>俊輝燒烤</t>
  </si>
  <si>
    <t>7-11飲料</t>
  </si>
  <si>
    <t>茶葉蛋</t>
  </si>
  <si>
    <t>嘉年華花生冰</t>
  </si>
  <si>
    <t>火鍋吃到飽</t>
  </si>
  <si>
    <t>7-11木瓜牛奶</t>
  </si>
  <si>
    <t>小籠包燒餅</t>
  </si>
  <si>
    <t>城市漢堡</t>
  </si>
  <si>
    <t>蛋香蛋狗+飲料</t>
  </si>
  <si>
    <t>蚵嗲+紅茶</t>
  </si>
  <si>
    <t>鮮奶+冰淇淋</t>
  </si>
  <si>
    <t>良金牛肉麵</t>
  </si>
  <si>
    <t>木瓜牛奶</t>
  </si>
  <si>
    <t>瑞文支出</t>
  </si>
  <si>
    <t>俊傑支出</t>
  </si>
  <si>
    <t>總計</t>
  </si>
  <si>
    <t>相當於旅行社廣告的機+酒四天三夜</t>
  </si>
  <si>
    <t>初鹿雪餅</t>
  </si>
  <si>
    <t>初鹿杏仁巧克力棒</t>
  </si>
  <si>
    <t>阿美奶酥條</t>
  </si>
  <si>
    <t>阿美牛奶糖</t>
  </si>
  <si>
    <t>阿美麻糬禮盒</t>
  </si>
  <si>
    <t>阿美名產</t>
  </si>
  <si>
    <t>阿美包裝袋</t>
  </si>
  <si>
    <t>阿美咖啡巧克力麻糬餅</t>
  </si>
  <si>
    <t>陳家麻糬</t>
  </si>
  <si>
    <t>連城記地瓜酥</t>
  </si>
  <si>
    <t>華信航空</t>
  </si>
  <si>
    <t>Uber 機場接送</t>
  </si>
  <si>
    <t>小黃</t>
  </si>
  <si>
    <t>租機車</t>
  </si>
  <si>
    <t>初鹿牧場門票+停車</t>
  </si>
  <si>
    <t>太魯閣號</t>
  </si>
  <si>
    <t>Uber 新莊</t>
  </si>
  <si>
    <t>富崗彩靈的家</t>
  </si>
  <si>
    <t>更生路佳美髮民宿</t>
  </si>
  <si>
    <t>市區路得商旅</t>
  </si>
  <si>
    <t>吃吃喝喝</t>
  </si>
  <si>
    <t>麻糬</t>
  </si>
  <si>
    <t>米苔目</t>
  </si>
  <si>
    <t>茶葉蛋紅茶冰</t>
  </si>
  <si>
    <t>釋迦冰</t>
  </si>
  <si>
    <t>東河包子</t>
  </si>
  <si>
    <t>藍蜻蜓</t>
  </si>
  <si>
    <t>蛋餅蘿蔔糕早餐加價</t>
  </si>
  <si>
    <t>億品鍋</t>
  </si>
  <si>
    <t>奶茶</t>
  </si>
  <si>
    <t>初鹿綠豆沙包+鮮乳饅頭+阿奇儂</t>
  </si>
  <si>
    <t>天生牌香腸</t>
  </si>
  <si>
    <t>夜市木瓜牛奶</t>
  </si>
  <si>
    <t>知本拉麵章魚燒</t>
  </si>
  <si>
    <t>麥當勞1+1</t>
  </si>
  <si>
    <t>卑南包子</t>
  </si>
  <si>
    <t>全家米漿x3</t>
  </si>
  <si>
    <t>小火鍋</t>
  </si>
  <si>
    <t>傅胖達蒸餃</t>
  </si>
  <si>
    <t>茉莉蜜茶</t>
  </si>
  <si>
    <t>木可蘿蔔糕早餐加價</t>
  </si>
  <si>
    <t>幸福綠豆湯</t>
  </si>
  <si>
    <t>旅行社廣告項目</t>
  </si>
  <si>
    <t>代購老酒(遊客中心)</t>
  </si>
  <si>
    <t>代購高粱</t>
  </si>
  <si>
    <t>芙蓉酥(遊客中心)</t>
  </si>
  <si>
    <t>高梁酒</t>
  </si>
  <si>
    <t>餅乾</t>
  </si>
  <si>
    <t>台馬之星</t>
  </si>
  <si>
    <t>機票退票</t>
  </si>
  <si>
    <t>不便險</t>
  </si>
  <si>
    <t>機車三天</t>
  </si>
  <si>
    <t>東引到北竿船票</t>
  </si>
  <si>
    <t>大坵船票</t>
  </si>
  <si>
    <t>南竿船票</t>
  </si>
  <si>
    <t>北竿船票</t>
  </si>
  <si>
    <t>立榮機票</t>
  </si>
  <si>
    <t>東湧行旅</t>
  </si>
  <si>
    <t>北竿清雅民宿</t>
  </si>
  <si>
    <t>南竿蓮園民宿</t>
  </si>
  <si>
    <t>Sukiya</t>
  </si>
  <si>
    <t>肉粽</t>
  </si>
  <si>
    <t>午餐</t>
  </si>
  <si>
    <t>晚餐</t>
  </si>
  <si>
    <t>飲料+奶茶</t>
  </si>
  <si>
    <t>早餐</t>
  </si>
  <si>
    <t>披薩+奧利多+水</t>
  </si>
  <si>
    <t>依嬤乾麵</t>
  </si>
  <si>
    <t>頂呱呱雞排+炸物</t>
  </si>
  <si>
    <t>泡麵</t>
  </si>
  <si>
    <t>餛飩湯早餐</t>
  </si>
  <si>
    <t>蛋餅豆漿</t>
  </si>
  <si>
    <t>馬祖漢堡</t>
  </si>
  <si>
    <t>7-11 飲料</t>
  </si>
  <si>
    <t>弟餅+雞肉串</t>
  </si>
  <si>
    <t>遊客中心買奶茶</t>
  </si>
  <si>
    <t>九榕閣晚餐</t>
  </si>
  <si>
    <t>巧克力奶茶</t>
  </si>
  <si>
    <t>馬祖漢堡+卡拉雞</t>
  </si>
  <si>
    <t>Subway</t>
  </si>
  <si>
    <t>7-11 紅茶</t>
  </si>
  <si>
    <t>日幣匯率</t>
    <phoneticPr fontId="8" type="noConversion"/>
  </si>
  <si>
    <t>小計</t>
    <phoneticPr fontId="8" type="noConversion"/>
  </si>
  <si>
    <t>日幣</t>
    <phoneticPr fontId="8" type="noConversion"/>
  </si>
  <si>
    <t>台幣</t>
    <phoneticPr fontId="8" type="noConversion"/>
  </si>
  <si>
    <t>土產+藥妝</t>
    <phoneticPr fontId="8" type="noConversion"/>
  </si>
  <si>
    <r>
      <rPr>
        <sz val="10"/>
        <color theme="1"/>
        <rFont val="Arial"/>
        <family val="3"/>
        <charset val="136"/>
        <scheme val="minor"/>
      </rPr>
      <t>小計</t>
    </r>
    <r>
      <rPr>
        <sz val="10"/>
        <color theme="1"/>
        <rFont val="Arial"/>
        <family val="2"/>
        <scheme val="minor"/>
      </rPr>
      <t/>
    </r>
    <phoneticPr fontId="8" type="noConversion"/>
  </si>
  <si>
    <r>
      <rPr>
        <sz val="10"/>
        <color theme="1"/>
        <rFont val="Arial"/>
        <family val="3"/>
        <charset val="136"/>
        <scheme val="minor"/>
      </rPr>
      <t>小計</t>
    </r>
    <r>
      <rPr>
        <sz val="10"/>
        <color theme="1"/>
        <rFont val="Arial"/>
        <family val="2"/>
        <scheme val="minor"/>
      </rPr>
      <t/>
    </r>
    <phoneticPr fontId="8" type="noConversion"/>
  </si>
  <si>
    <t>餐食費用</t>
    <phoneticPr fontId="8" type="noConversion"/>
  </si>
  <si>
    <r>
      <t>來回機票</t>
    </r>
    <r>
      <rPr>
        <sz val="10"/>
        <color theme="1"/>
        <rFont val="Arial"/>
        <family val="3"/>
        <charset val="136"/>
        <scheme val="minor"/>
      </rPr>
      <t/>
    </r>
    <phoneticPr fontId="8" type="noConversion"/>
  </si>
  <si>
    <t>萬勝堂銅鑼燒x2</t>
    <phoneticPr fontId="8" type="noConversion"/>
  </si>
  <si>
    <t>落花生x3</t>
    <phoneticPr fontId="8" type="noConversion"/>
  </si>
  <si>
    <t>遊樂費用</t>
    <phoneticPr fontId="8" type="noConversion"/>
  </si>
  <si>
    <t>環球影城</t>
    <phoneticPr fontId="8" type="noConversion"/>
  </si>
  <si>
    <t>5日SIM卡</t>
    <phoneticPr fontId="8" type="noConversion"/>
  </si>
  <si>
    <t>USJ 蘑菇飲料杯</t>
    <phoneticPr fontId="8" type="noConversion"/>
  </si>
  <si>
    <t>USJ 星星點燈</t>
    <phoneticPr fontId="8" type="noConversion"/>
  </si>
  <si>
    <t>綠茶茶包x5 (Donki)</t>
    <phoneticPr fontId="8" type="noConversion"/>
  </si>
  <si>
    <t>洗面乳x3 (Donki)</t>
    <phoneticPr fontId="8" type="noConversion"/>
  </si>
  <si>
    <t>一番賞x2 (筷子+手帕)</t>
    <phoneticPr fontId="8" type="noConversion"/>
  </si>
  <si>
    <t>薯條三兄弟x4 (KIX)</t>
    <phoneticPr fontId="8" type="noConversion"/>
  </si>
  <si>
    <t>北海道牛奶餅乾(大)(KIX)</t>
    <phoneticPr fontId="8" type="noConversion"/>
  </si>
  <si>
    <t>北海道牛奶餅乾(小)(KIX)</t>
    <phoneticPr fontId="8" type="noConversion"/>
  </si>
  <si>
    <t>Pocky 宇治抹茶(KIX)</t>
    <phoneticPr fontId="8" type="noConversion"/>
  </si>
  <si>
    <t>東京Banana(KIX)</t>
    <phoneticPr fontId="8" type="noConversion"/>
  </si>
  <si>
    <t>神戶呼吸巧克力(KIX)</t>
    <phoneticPr fontId="8" type="noConversion"/>
  </si>
  <si>
    <t>帆立大王(KIX)</t>
    <phoneticPr fontId="8" type="noConversion"/>
  </si>
  <si>
    <t>大阪戀人(KIX)</t>
    <phoneticPr fontId="8" type="noConversion"/>
  </si>
  <si>
    <t>小小兵香蕉蛋糕(KIX)</t>
    <phoneticPr fontId="8" type="noConversion"/>
  </si>
  <si>
    <t>免治馬桶(Amazon)</t>
    <phoneticPr fontId="8" type="noConversion"/>
  </si>
  <si>
    <t>近鐵一日券 (Klook)</t>
    <phoneticPr fontId="8" type="noConversion"/>
  </si>
  <si>
    <t>大阪地鐵2日券(雄獅)</t>
    <phoneticPr fontId="8" type="noConversion"/>
  </si>
  <si>
    <t>南海電車 關空&gt;新今宮 (kkday)</t>
    <phoneticPr fontId="8" type="noConversion"/>
  </si>
  <si>
    <t>Haruka (Shopee)</t>
    <phoneticPr fontId="8" type="noConversion"/>
  </si>
  <si>
    <t>大阪樂遊券 (Shopee)</t>
    <phoneticPr fontId="8" type="noConversion"/>
  </si>
  <si>
    <t>味之素甜味調味料x6 (Donki)</t>
    <phoneticPr fontId="8" type="noConversion"/>
  </si>
  <si>
    <t>歐姆龍低週波治療器(Amazon)</t>
    <phoneticPr fontId="8" type="noConversion"/>
  </si>
  <si>
    <t>歐姆龍低週波治療器(Suki藥局)</t>
    <phoneticPr fontId="8" type="noConversion"/>
  </si>
  <si>
    <t>日月亭機場停車4天</t>
    <phoneticPr fontId="8" type="noConversion"/>
  </si>
  <si>
    <t>大阪地鐵(西瓜卡)</t>
    <phoneticPr fontId="8" type="noConversion"/>
  </si>
  <si>
    <t>南海電車 天下茶屋&gt;關空 (新今宮站)</t>
    <phoneticPr fontId="8" type="noConversion"/>
  </si>
  <si>
    <t>使用日幣現金</t>
    <phoneticPr fontId="8" type="noConversion"/>
  </si>
  <si>
    <t>合利他命(Suki藥局)</t>
    <phoneticPr fontId="8" type="noConversion"/>
  </si>
  <si>
    <t>安眠藥(Suki藥局)</t>
    <phoneticPr fontId="8" type="noConversion"/>
  </si>
  <si>
    <t>休足時間</t>
    <phoneticPr fontId="8" type="noConversion"/>
  </si>
  <si>
    <t>藥妝(文)</t>
    <phoneticPr fontId="8" type="noConversion"/>
  </si>
  <si>
    <t>相鐵Fresa Inn 北浜 x2</t>
    <phoneticPr fontId="8" type="noConversion"/>
  </si>
  <si>
    <t>東橫 Inn 通天閣 x1</t>
    <phoneticPr fontId="8" type="noConversion"/>
  </si>
  <si>
    <t>狗狗寄宿4日</t>
    <phoneticPr fontId="8" type="noConversion"/>
  </si>
  <si>
    <t>總計</t>
    <phoneticPr fontId="8" type="noConversion"/>
  </si>
  <si>
    <t>文(日幣)</t>
    <phoneticPr fontId="8" type="noConversion"/>
  </si>
  <si>
    <t>文(台幣)</t>
    <phoneticPr fontId="8" type="noConversion"/>
  </si>
  <si>
    <t>傑(日幣)</t>
    <phoneticPr fontId="8" type="noConversion"/>
  </si>
  <si>
    <t>傑(台幣)</t>
    <phoneticPr fontId="8" type="noConversion"/>
  </si>
  <si>
    <t>USJ 小小兵爆米花</t>
    <phoneticPr fontId="8" type="noConversion"/>
  </si>
  <si>
    <t>麥當勞(關西空港)</t>
    <phoneticPr fontId="8" type="noConversion"/>
  </si>
  <si>
    <r>
      <t>草莓牛奶</t>
    </r>
    <r>
      <rPr>
        <sz val="10"/>
        <color theme="1"/>
        <rFont val="Arial"/>
        <family val="3"/>
        <charset val="136"/>
        <scheme val="minor"/>
      </rPr>
      <t>(</t>
    </r>
    <r>
      <rPr>
        <sz val="10"/>
        <color theme="1"/>
        <rFont val="Arial"/>
        <family val="3"/>
        <charset val="136"/>
        <scheme val="minor"/>
      </rPr>
      <t>自販機</t>
    </r>
    <r>
      <rPr>
        <sz val="10"/>
        <color theme="1"/>
        <rFont val="Arial"/>
        <family val="3"/>
        <charset val="136"/>
        <scheme val="minor"/>
      </rPr>
      <t>)</t>
    </r>
    <phoneticPr fontId="8" type="noConversion"/>
  </si>
  <si>
    <t>熱狗x4(東橫門口)</t>
    <phoneticPr fontId="8" type="noConversion"/>
  </si>
  <si>
    <t>酪農牛乳(Suki藥局)</t>
    <phoneticPr fontId="8" type="noConversion"/>
  </si>
  <si>
    <t>一蘭(道頓崛店)</t>
    <phoneticPr fontId="8" type="noConversion"/>
  </si>
  <si>
    <t>綾鷹綠茶(自販機)</t>
    <phoneticPr fontId="8" type="noConversion"/>
  </si>
  <si>
    <t>王將餃子 (東橫旁)</t>
    <phoneticPr fontId="8" type="noConversion"/>
  </si>
  <si>
    <t>章魚燒 (東橫旁)</t>
    <phoneticPr fontId="8" type="noConversion"/>
  </si>
  <si>
    <t xml:space="preserve">USJ 皮卡丘包子 </t>
    <phoneticPr fontId="8" type="noConversion"/>
  </si>
  <si>
    <t>USJ 傑尼龜吉拿棒</t>
    <phoneticPr fontId="8" type="noConversion"/>
  </si>
  <si>
    <t>USJ 起司蛋糕</t>
    <phoneticPr fontId="8" type="noConversion"/>
  </si>
  <si>
    <t>USJ 自販機飲料 (?)</t>
    <phoneticPr fontId="8" type="noConversion"/>
  </si>
  <si>
    <r>
      <t>Lawson</t>
    </r>
    <r>
      <rPr>
        <sz val="10"/>
        <color rgb="FF000000"/>
        <rFont val="Arial"/>
        <family val="3"/>
        <charset val="136"/>
        <scheme val="minor"/>
      </rPr>
      <t>炸雞</t>
    </r>
    <r>
      <rPr>
        <sz val="10"/>
        <color rgb="FF000000"/>
        <rFont val="Arial"/>
        <family val="2"/>
        <scheme val="minor"/>
      </rPr>
      <t>+</t>
    </r>
    <r>
      <rPr>
        <sz val="10"/>
        <color rgb="FF000000"/>
        <rFont val="Arial"/>
        <family val="3"/>
        <charset val="136"/>
        <scheme val="minor"/>
      </rPr>
      <t>飲料</t>
    </r>
    <phoneticPr fontId="8" type="noConversion"/>
  </si>
  <si>
    <t>香蕉麵包 (Donki)</t>
    <phoneticPr fontId="8" type="noConversion"/>
  </si>
  <si>
    <t>低脂牛乳 (Donki)</t>
    <phoneticPr fontId="8" type="noConversion"/>
  </si>
  <si>
    <t>全家便當x2+炸雞x2+可樂餅(收據遺失)</t>
    <phoneticPr fontId="8" type="noConversion"/>
  </si>
  <si>
    <t>萬勝堂銅鑼燒+糰子+大福</t>
    <phoneticPr fontId="8" type="noConversion"/>
  </si>
  <si>
    <t>頑固豬排</t>
    <phoneticPr fontId="8" type="noConversion"/>
  </si>
  <si>
    <t>霜淇淋</t>
    <phoneticPr fontId="8" type="noConversion"/>
  </si>
  <si>
    <t>每日食卓牛乳x2+麵包</t>
    <phoneticPr fontId="8" type="noConversion"/>
  </si>
  <si>
    <t>奈良藥妝店可爾必思x2</t>
    <phoneticPr fontId="8" type="noConversion"/>
  </si>
  <si>
    <t>大佛布丁</t>
    <phoneticPr fontId="8" type="noConversion"/>
  </si>
  <si>
    <t>大阪燒(道頓崛) (無收據)</t>
    <phoneticPr fontId="8" type="noConversion"/>
  </si>
  <si>
    <t>綠茶 (阪神藥局)</t>
    <phoneticPr fontId="8" type="noConversion"/>
  </si>
  <si>
    <r>
      <t>Sukiya (</t>
    </r>
    <r>
      <rPr>
        <sz val="10"/>
        <color rgb="FF000000"/>
        <rFont val="Arial"/>
        <family val="3"/>
        <charset val="136"/>
        <scheme val="minor"/>
      </rPr>
      <t>天下茶屋</t>
    </r>
    <r>
      <rPr>
        <sz val="10"/>
        <color rgb="FF000000"/>
        <rFont val="Arial"/>
        <family val="2"/>
        <scheme val="minor"/>
      </rPr>
      <t>)</t>
    </r>
    <phoneticPr fontId="8" type="noConversion"/>
  </si>
  <si>
    <t>自販機霜淇淋(關西空港)</t>
    <phoneticPr fontId="8" type="noConversion"/>
  </si>
  <si>
    <t>USJ 妙蛙種子杯</t>
    <phoneticPr fontId="8" type="noConversion"/>
  </si>
  <si>
    <t>USJ 史奴比絨毛玩具</t>
    <phoneticPr fontId="8" type="noConversion"/>
  </si>
  <si>
    <t>吉列刮鬍刀片x16</t>
    <phoneticPr fontId="8" type="noConversion"/>
  </si>
  <si>
    <t>Stadium Japon 泡湯</t>
    <phoneticPr fontId="8" type="noConversion"/>
  </si>
  <si>
    <t>日本草莓</t>
    <phoneticPr fontId="8" type="noConversion"/>
  </si>
  <si>
    <t>幕之内干貝便當+親子丼便當+蛋糕+牛奶</t>
    <phoneticPr fontId="8" type="noConversion"/>
  </si>
  <si>
    <t>金子半之助</t>
    <phoneticPr fontId="8" type="noConversion"/>
  </si>
  <si>
    <t>幕之内鮭魚便當x2</t>
    <phoneticPr fontId="8" type="noConversion"/>
  </si>
  <si>
    <t>蛋捲冰淇淋</t>
    <phoneticPr fontId="8" type="noConversion"/>
  </si>
  <si>
    <t>水</t>
    <phoneticPr fontId="8" type="noConversion"/>
  </si>
  <si>
    <t>海苔糰子</t>
  </si>
  <si>
    <t>高木屋銅鑼燒</t>
    <phoneticPr fontId="8" type="noConversion"/>
  </si>
  <si>
    <t>雞三和</t>
    <phoneticPr fontId="8" type="noConversion"/>
  </si>
  <si>
    <t>中華料理</t>
    <phoneticPr fontId="8" type="noConversion"/>
  </si>
  <si>
    <t>餐食費用</t>
    <phoneticPr fontId="8" type="noConversion"/>
  </si>
  <si>
    <t>成田機場東武飯店</t>
    <phoneticPr fontId="8" type="noConversion"/>
  </si>
  <si>
    <t>東橫2晚含早+集點兌換一晚</t>
    <phoneticPr fontId="8" type="noConversion"/>
  </si>
  <si>
    <t>西瓜卡餘額</t>
    <phoneticPr fontId="8" type="noConversion"/>
  </si>
  <si>
    <t>西瓜卡儲值</t>
    <phoneticPr fontId="8" type="noConversion"/>
  </si>
  <si>
    <t>東京地鐵72hr</t>
    <phoneticPr fontId="8" type="noConversion"/>
  </si>
  <si>
    <t>西瓜卡(含成田機場來回)</t>
    <phoneticPr fontId="8" type="noConversion"/>
  </si>
  <si>
    <t>機場停車5天</t>
    <phoneticPr fontId="8" type="noConversion"/>
  </si>
  <si>
    <t>合利他命+若元錠+百保能微粒</t>
    <phoneticPr fontId="8" type="noConversion"/>
  </si>
  <si>
    <t>瑞文</t>
    <phoneticPr fontId="8" type="noConversion"/>
  </si>
  <si>
    <t>Evex2</t>
    <phoneticPr fontId="8" type="noConversion"/>
  </si>
  <si>
    <t>瑞谷</t>
    <phoneticPr fontId="8" type="noConversion"/>
  </si>
  <si>
    <t>參天眼藥水+龍角散</t>
    <phoneticPr fontId="8" type="noConversion"/>
  </si>
  <si>
    <t>雅慧</t>
    <phoneticPr fontId="8" type="noConversion"/>
  </si>
  <si>
    <t>Evex4</t>
    <phoneticPr fontId="8" type="noConversion"/>
  </si>
  <si>
    <t>瑞宏</t>
    <phoneticPr fontId="8" type="noConversion"/>
  </si>
  <si>
    <r>
      <rPr>
        <sz val="10"/>
        <color theme="1"/>
        <rFont val="Arial"/>
        <family val="3"/>
        <charset val="136"/>
        <scheme val="minor"/>
      </rPr>
      <t>小計</t>
    </r>
    <r>
      <rPr>
        <sz val="10"/>
        <color theme="1"/>
        <rFont val="Arial"/>
        <family val="2"/>
        <scheme val="minor"/>
      </rPr>
      <t/>
    </r>
    <phoneticPr fontId="8" type="noConversion"/>
  </si>
  <si>
    <t>藥妝</t>
    <phoneticPr fontId="8" type="noConversion"/>
  </si>
  <si>
    <t>昆布+芝麻香絲+薯條三兄弟+一蘭+巧克力</t>
    <phoneticPr fontId="8" type="noConversion"/>
  </si>
  <si>
    <t>瑞文</t>
    <phoneticPr fontId="8" type="noConversion"/>
  </si>
  <si>
    <t>昆布+芝麻香絲+薯條三兄弟</t>
    <phoneticPr fontId="8" type="noConversion"/>
  </si>
  <si>
    <t>媽媽</t>
    <phoneticPr fontId="8" type="noConversion"/>
  </si>
  <si>
    <r>
      <t>免治馬桶</t>
    </r>
    <r>
      <rPr>
        <sz val="10"/>
        <color theme="1"/>
        <rFont val="Arial"/>
        <family val="3"/>
        <charset val="136"/>
        <scheme val="minor"/>
      </rPr>
      <t/>
    </r>
    <phoneticPr fontId="8" type="noConversion"/>
  </si>
  <si>
    <t>土產+藥妝</t>
    <phoneticPr fontId="8" type="noConversion"/>
  </si>
  <si>
    <t>來回機票+20kg托運</t>
    <phoneticPr fontId="8" type="noConversion"/>
  </si>
  <si>
    <t>台幣</t>
    <phoneticPr fontId="8" type="noConversion"/>
  </si>
  <si>
    <t>日幣</t>
    <phoneticPr fontId="8" type="noConversion"/>
  </si>
  <si>
    <t>小計</t>
    <phoneticPr fontId="8" type="noConversion"/>
  </si>
  <si>
    <t>日幣匯率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</si>
</sst>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"/>
    <numFmt numFmtId="177" formatCode="0_ "/>
    <numFmt numFmtId="178" formatCode="0_);[Red]\(0\)"/>
  </numFmts>
  <fonts count="1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Inconsolata"/>
    </font>
    <font>
      <sz val="11"/>
      <color rgb="FF000000"/>
      <name val="Inconsolata"/>
    </font>
    <font>
      <sz val="10"/>
      <color rgb="FF000000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theme="1"/>
      <name val="Arial"/>
      <family val="3"/>
      <charset val="136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3"/>
      <charset val="136"/>
      <scheme val="minor"/>
    </font>
    <font>
      <sz val="10"/>
      <color theme="1"/>
      <name val="細明體"/>
      <family val="3"/>
      <charset val="136"/>
    </font>
    <font>
      <sz val="10"/>
      <color theme="1"/>
      <name val="Arial"/>
      <family val="2"/>
    </font>
    <font>
      <sz val="10"/>
      <color rgb="FF00000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76" fontId="2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left"/>
    </xf>
    <xf numFmtId="176" fontId="1" fillId="0" borderId="0" xfId="0" applyNumberFormat="1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4" fillId="0" borderId="0" xfId="0" applyFont="1" applyAlignment="1">
      <alignment horizontal="left"/>
    </xf>
    <xf numFmtId="0" fontId="6" fillId="2" borderId="0" xfId="0" applyFont="1" applyFill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76" fontId="2" fillId="0" borderId="0" xfId="0" applyNumberFormat="1" applyFont="1" applyAlignment="1">
      <alignment horizontal="right"/>
    </xf>
    <xf numFmtId="0" fontId="11" fillId="0" borderId="0" xfId="1" applyFont="1" applyAlignment="1"/>
    <xf numFmtId="0" fontId="7" fillId="0" borderId="0" xfId="1" applyFont="1" applyAlignment="1"/>
    <xf numFmtId="177" fontId="7" fillId="0" borderId="0" xfId="1" applyNumberFormat="1" applyFont="1" applyAlignment="1"/>
    <xf numFmtId="178" fontId="7" fillId="0" borderId="0" xfId="1" applyNumberFormat="1" applyFont="1" applyAlignment="1"/>
    <xf numFmtId="0" fontId="9" fillId="0" borderId="0" xfId="1" applyFont="1" applyAlignment="1"/>
    <xf numFmtId="0" fontId="10" fillId="0" borderId="0" xfId="1" applyFont="1" applyAlignment="1"/>
    <xf numFmtId="177" fontId="9" fillId="0" borderId="0" xfId="1" applyNumberFormat="1" applyFont="1" applyAlignment="1"/>
    <xf numFmtId="178" fontId="9" fillId="0" borderId="0" xfId="1" applyNumberFormat="1" applyFont="1" applyAlignment="1"/>
    <xf numFmtId="177" fontId="10" fillId="0" borderId="0" xfId="1" applyNumberFormat="1" applyFont="1"/>
    <xf numFmtId="176" fontId="12" fillId="0" borderId="0" xfId="1" applyNumberFormat="1" applyFont="1" applyAlignment="1">
      <alignment horizontal="right"/>
    </xf>
    <xf numFmtId="0" fontId="12" fillId="0" borderId="0" xfId="1" applyFont="1" applyAlignment="1"/>
    <xf numFmtId="177" fontId="13" fillId="0" borderId="0" xfId="1" applyNumberFormat="1" applyFont="1" applyAlignment="1">
      <alignment horizontal="right"/>
    </xf>
    <xf numFmtId="0" fontId="10" fillId="0" borderId="0" xfId="1" applyFont="1"/>
    <xf numFmtId="176" fontId="13" fillId="0" borderId="0" xfId="1" applyNumberFormat="1" applyFont="1" applyAlignment="1">
      <alignment horizontal="right"/>
    </xf>
    <xf numFmtId="176" fontId="10" fillId="0" borderId="0" xfId="1" applyNumberFormat="1" applyFont="1" applyAlignment="1"/>
    <xf numFmtId="177" fontId="10" fillId="0" borderId="0" xfId="1" applyNumberFormat="1" applyFont="1" applyAlignment="1"/>
    <xf numFmtId="0" fontId="9" fillId="0" borderId="0" xfId="1" applyFont="1" applyAlignment="1">
      <alignment horizontal="left"/>
    </xf>
    <xf numFmtId="177" fontId="10" fillId="3" borderId="0" xfId="1" applyNumberFormat="1" applyFont="1" applyFill="1"/>
    <xf numFmtId="0" fontId="9" fillId="3" borderId="0" xfId="1" applyFont="1" applyFill="1" applyAlignment="1"/>
    <xf numFmtId="176" fontId="1" fillId="0" borderId="0" xfId="1" applyNumberFormat="1" applyFont="1" applyAlignment="1"/>
    <xf numFmtId="0" fontId="6" fillId="2" borderId="0" xfId="1" applyFont="1" applyFill="1" applyAlignment="1"/>
    <xf numFmtId="177" fontId="1" fillId="0" borderId="0" xfId="1" applyNumberFormat="1" applyFont="1"/>
    <xf numFmtId="0" fontId="5" fillId="2" borderId="0" xfId="1" applyFont="1" applyFill="1" applyAlignment="1"/>
    <xf numFmtId="177" fontId="1" fillId="0" borderId="0" xfId="1" applyNumberFormat="1" applyFont="1" applyAlignment="1"/>
    <xf numFmtId="0" fontId="14" fillId="2" borderId="0" xfId="1" applyFont="1" applyFill="1" applyAlignment="1"/>
    <xf numFmtId="0" fontId="1" fillId="0" borderId="0" xfId="1" applyFont="1" applyAlignment="1"/>
    <xf numFmtId="177" fontId="2" fillId="0" borderId="0" xfId="1" applyNumberFormat="1" applyFont="1" applyAlignment="1">
      <alignment horizontal="right"/>
    </xf>
    <xf numFmtId="0" fontId="1" fillId="0" borderId="0" xfId="1" applyFont="1"/>
    <xf numFmtId="176" fontId="2" fillId="0" borderId="0" xfId="1" applyNumberFormat="1" applyFont="1" applyAlignment="1">
      <alignment horizontal="right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86"/>
  <sheetViews>
    <sheetView workbookViewId="0">
      <selection activeCell="B2" sqref="B2"/>
    </sheetView>
  </sheetViews>
  <sheetFormatPr defaultColWidth="12.5703125" defaultRowHeight="15.75" customHeight="1"/>
  <cols>
    <col min="1" max="1" width="12.5703125" style="19"/>
    <col min="2" max="2" width="40.28515625" style="19" customWidth="1"/>
    <col min="3" max="3" width="11.7109375" style="20" customWidth="1"/>
    <col min="4" max="4" width="9.140625" style="21" customWidth="1"/>
    <col min="5" max="5" width="8.28515625" style="19" customWidth="1"/>
    <col min="6" max="6" width="9.7109375" style="19" customWidth="1"/>
    <col min="7" max="7" width="9.7109375" customWidth="1"/>
    <col min="8" max="8" width="12.5703125" style="19"/>
    <col min="9" max="9" width="8.7109375" style="19" customWidth="1"/>
    <col min="10" max="10" width="8" style="19" customWidth="1"/>
    <col min="11" max="16384" width="12.5703125" style="19"/>
  </cols>
  <sheetData>
    <row r="1" spans="1:9" ht="15.75" customHeight="1">
      <c r="A1" s="18" t="s">
        <v>182</v>
      </c>
      <c r="B1" s="19">
        <v>0.21870000000000001</v>
      </c>
    </row>
    <row r="2" spans="1:9" ht="15.75" customHeight="1">
      <c r="F2" s="18"/>
      <c r="G2" s="18"/>
    </row>
    <row r="3" spans="1:9" ht="12.75">
      <c r="A3" s="22" t="s">
        <v>183</v>
      </c>
      <c r="B3" s="23" t="s">
        <v>1</v>
      </c>
      <c r="C3" s="24" t="s">
        <v>184</v>
      </c>
      <c r="D3" s="25" t="s">
        <v>185</v>
      </c>
      <c r="E3" s="18"/>
      <c r="F3" s="24" t="s">
        <v>231</v>
      </c>
      <c r="G3" s="25" t="s">
        <v>232</v>
      </c>
      <c r="H3" s="24" t="s">
        <v>233</v>
      </c>
      <c r="I3" s="25" t="s">
        <v>234</v>
      </c>
    </row>
    <row r="4" spans="1:9" ht="12.75">
      <c r="B4" s="22" t="s">
        <v>190</v>
      </c>
      <c r="C4" s="26">
        <f>D4/$B$1</f>
        <v>25651.577503429355</v>
      </c>
      <c r="D4" s="21">
        <v>5610</v>
      </c>
      <c r="F4" s="20">
        <f>$C$4/2</f>
        <v>12825.788751714677</v>
      </c>
      <c r="G4" s="21">
        <f>F4*$B$1</f>
        <v>2805</v>
      </c>
      <c r="H4" s="20">
        <f>$C$4/2</f>
        <v>12825.788751714677</v>
      </c>
      <c r="I4" s="21">
        <f>H4*$B$1</f>
        <v>2805</v>
      </c>
    </row>
    <row r="5" spans="1:9" ht="12.75">
      <c r="B5" s="22" t="s">
        <v>6</v>
      </c>
      <c r="C5" s="26">
        <f>C40+C50+C55+C60</f>
        <v>87671.154549611339</v>
      </c>
      <c r="D5" s="21">
        <f>C5*$B$1</f>
        <v>19173.681499999999</v>
      </c>
      <c r="F5" s="20">
        <f>$C5/2</f>
        <v>43835.57727480567</v>
      </c>
      <c r="G5" s="21">
        <f>F5*$B$1</f>
        <v>9586.8407499999994</v>
      </c>
      <c r="H5" s="20">
        <f>$C5/2</f>
        <v>43835.57727480567</v>
      </c>
      <c r="I5" s="21">
        <f>H5*$B$1</f>
        <v>9586.8407499999994</v>
      </c>
    </row>
    <row r="6" spans="1:9" ht="12.75">
      <c r="B6" s="22" t="s">
        <v>186</v>
      </c>
      <c r="C6" s="26">
        <f>C11+C32</f>
        <v>56101.020000000004</v>
      </c>
      <c r="D6" s="21">
        <f>C6*$B$1</f>
        <v>12269.293074000001</v>
      </c>
      <c r="F6" s="26">
        <f>F11+C32</f>
        <v>35647.020000000004</v>
      </c>
      <c r="G6" s="21">
        <f>F6*$B$1</f>
        <v>7796.0032740000015</v>
      </c>
      <c r="H6" s="26">
        <f>H11</f>
        <v>20454</v>
      </c>
      <c r="I6" s="21">
        <f>H6*$B$1</f>
        <v>4473.2898000000005</v>
      </c>
    </row>
    <row r="7" spans="1:9" ht="12.75">
      <c r="B7" s="22" t="s">
        <v>210</v>
      </c>
      <c r="C7" s="26">
        <f>15800*2</f>
        <v>31600</v>
      </c>
      <c r="D7" s="21">
        <f t="shared" ref="D7" si="0">C7*$B$1</f>
        <v>6910.92</v>
      </c>
      <c r="F7" s="20">
        <f>C7</f>
        <v>31600</v>
      </c>
      <c r="G7" s="21">
        <f>F7*$B$1</f>
        <v>6910.92</v>
      </c>
      <c r="H7" s="19">
        <v>0</v>
      </c>
      <c r="I7" s="21">
        <f>H7*$B$1</f>
        <v>0</v>
      </c>
    </row>
    <row r="8" spans="1:9" ht="12.75">
      <c r="B8" s="22" t="s">
        <v>222</v>
      </c>
      <c r="C8" s="26">
        <f>4000+C58+C62+C63+C66+C68+C72+C79+C83+C84+C86</f>
        <v>11328</v>
      </c>
      <c r="D8" s="21">
        <f>C8*$B$1</f>
        <v>2477.4335999999998</v>
      </c>
    </row>
    <row r="9" spans="1:9" ht="12.75">
      <c r="B9" s="36" t="s">
        <v>230</v>
      </c>
      <c r="C9" s="26">
        <f>C4+C5+C6+C7</f>
        <v>201023.75205304072</v>
      </c>
      <c r="D9" s="26">
        <f>D4+D5+D6+D7</f>
        <v>43963.894573999998</v>
      </c>
      <c r="F9" s="26">
        <f>F4+F5+F6+F7</f>
        <v>123908.38602652035</v>
      </c>
      <c r="G9" s="35">
        <f>G4+G5+G6+G7</f>
        <v>27098.764024000004</v>
      </c>
      <c r="H9" s="26">
        <f>H4+H5+H6+H7</f>
        <v>77115.366026520351</v>
      </c>
      <c r="I9" s="35">
        <f>I4+I5+I6+I7</f>
        <v>16865.130550000002</v>
      </c>
    </row>
    <row r="11" spans="1:9" ht="12.75">
      <c r="A11" s="23" t="s">
        <v>7</v>
      </c>
      <c r="B11" s="22" t="s">
        <v>187</v>
      </c>
      <c r="C11" s="26">
        <f>SUM(C12:C30)</f>
        <v>36242</v>
      </c>
      <c r="D11" s="21">
        <f>C11*$B$1</f>
        <v>7926.1253999999999</v>
      </c>
      <c r="F11" s="26">
        <f>SUM(F12:F30)</f>
        <v>15788</v>
      </c>
      <c r="G11" s="21">
        <f>F11*$B$1</f>
        <v>3452.8355999999999</v>
      </c>
      <c r="H11" s="26">
        <f>SUM(H12:H30)</f>
        <v>20454</v>
      </c>
      <c r="I11" s="21">
        <f>H11*$B$1</f>
        <v>4473.2898000000005</v>
      </c>
    </row>
    <row r="12" spans="1:9" ht="14.25">
      <c r="A12" s="27">
        <v>45235</v>
      </c>
      <c r="B12" s="18" t="s">
        <v>262</v>
      </c>
      <c r="C12" s="19">
        <v>1300</v>
      </c>
      <c r="D12" s="21">
        <f t="shared" ref="D12:D18" si="1">C12*$B$1</f>
        <v>284.31</v>
      </c>
      <c r="F12" s="20">
        <f>$C12/2</f>
        <v>650</v>
      </c>
      <c r="H12" s="20">
        <f>$C12/2</f>
        <v>650</v>
      </c>
    </row>
    <row r="13" spans="1:9" ht="14.25">
      <c r="A13" s="27">
        <v>45235</v>
      </c>
      <c r="B13" s="18" t="s">
        <v>196</v>
      </c>
      <c r="C13" s="19">
        <v>2100</v>
      </c>
      <c r="D13" s="21">
        <f>C13*$B$1</f>
        <v>459.27000000000004</v>
      </c>
      <c r="F13" s="20">
        <f>$C13/2</f>
        <v>1050</v>
      </c>
      <c r="G13" s="19"/>
      <c r="H13" s="20">
        <f>$C13/2</f>
        <v>1050</v>
      </c>
    </row>
    <row r="14" spans="1:9" ht="14.25">
      <c r="A14" s="27">
        <v>45235</v>
      </c>
      <c r="B14" s="18" t="s">
        <v>235</v>
      </c>
      <c r="C14" s="19">
        <v>4500</v>
      </c>
      <c r="D14" s="21">
        <f>C14*$B$1</f>
        <v>984.15</v>
      </c>
      <c r="F14" s="20">
        <f>$C14/2</f>
        <v>2250</v>
      </c>
      <c r="H14" s="20">
        <f>$C14/2</f>
        <v>2250</v>
      </c>
    </row>
    <row r="15" spans="1:9" ht="14.25">
      <c r="A15" s="27">
        <v>45235</v>
      </c>
      <c r="B15" s="34" t="s">
        <v>263</v>
      </c>
      <c r="C15" s="26">
        <v>1200</v>
      </c>
      <c r="D15" s="21">
        <f t="shared" si="1"/>
        <v>262.44</v>
      </c>
      <c r="F15" s="20">
        <f>$C15/2</f>
        <v>600</v>
      </c>
      <c r="H15" s="20">
        <f>$C15/2</f>
        <v>600</v>
      </c>
    </row>
    <row r="16" spans="1:9" ht="14.25">
      <c r="A16" s="27">
        <v>45235</v>
      </c>
      <c r="B16" s="22" t="s">
        <v>197</v>
      </c>
      <c r="C16" s="26">
        <v>4600</v>
      </c>
      <c r="D16" s="21">
        <f t="shared" si="1"/>
        <v>1006.02</v>
      </c>
      <c r="F16" s="20">
        <f>$C16/2</f>
        <v>2300</v>
      </c>
      <c r="H16" s="20">
        <f>$C16/2</f>
        <v>2300</v>
      </c>
    </row>
    <row r="17" spans="1:9" ht="14.25">
      <c r="A17" s="27">
        <v>45235</v>
      </c>
      <c r="B17" s="22" t="s">
        <v>198</v>
      </c>
      <c r="C17" s="26">
        <f>359*5</f>
        <v>1795</v>
      </c>
      <c r="D17" s="21">
        <f t="shared" si="1"/>
        <v>392.56650000000002</v>
      </c>
      <c r="F17" s="20">
        <v>0</v>
      </c>
      <c r="H17" s="20">
        <f>C17</f>
        <v>1795</v>
      </c>
    </row>
    <row r="18" spans="1:9" ht="14.25">
      <c r="A18" s="27">
        <v>45235</v>
      </c>
      <c r="B18" s="22" t="s">
        <v>216</v>
      </c>
      <c r="C18" s="26">
        <f>159*6</f>
        <v>954</v>
      </c>
      <c r="D18" s="21">
        <f t="shared" si="1"/>
        <v>208.63980000000001</v>
      </c>
      <c r="F18" s="20">
        <v>0</v>
      </c>
      <c r="H18" s="20">
        <f>C18</f>
        <v>954</v>
      </c>
    </row>
    <row r="19" spans="1:9" ht="14.25">
      <c r="A19" s="27">
        <v>45236</v>
      </c>
      <c r="B19" s="28" t="s">
        <v>191</v>
      </c>
      <c r="C19" s="29">
        <f>1100*2</f>
        <v>2200</v>
      </c>
      <c r="D19" s="21">
        <f>C19*$B$1</f>
        <v>481.14</v>
      </c>
      <c r="F19" s="20">
        <f>$C19/2</f>
        <v>1100</v>
      </c>
      <c r="H19" s="20">
        <f>$C19/2</f>
        <v>1100</v>
      </c>
    </row>
    <row r="20" spans="1:9" ht="14.25">
      <c r="A20" s="27">
        <v>45236</v>
      </c>
      <c r="B20" s="28" t="s">
        <v>192</v>
      </c>
      <c r="C20" s="29">
        <v>321</v>
      </c>
      <c r="D20" s="21">
        <f t="shared" ref="D20:D30" si="2">C20*$B$1</f>
        <v>70.202700000000007</v>
      </c>
      <c r="F20" s="20">
        <v>0</v>
      </c>
      <c r="H20" s="20">
        <f>C20</f>
        <v>321</v>
      </c>
    </row>
    <row r="21" spans="1:9" ht="14.25">
      <c r="A21" s="27">
        <v>45236</v>
      </c>
      <c r="B21" s="28" t="s">
        <v>264</v>
      </c>
      <c r="C21" s="29">
        <v>2756</v>
      </c>
      <c r="D21" s="21">
        <f t="shared" si="2"/>
        <v>602.73720000000003</v>
      </c>
      <c r="E21" s="30"/>
      <c r="F21" s="20">
        <v>0</v>
      </c>
      <c r="H21" s="20">
        <f>C21</f>
        <v>2756</v>
      </c>
    </row>
    <row r="22" spans="1:9" ht="14.25">
      <c r="A22" s="27">
        <v>45237</v>
      </c>
      <c r="B22" s="18" t="s">
        <v>201</v>
      </c>
      <c r="C22" s="20">
        <f>1019*4</f>
        <v>4076</v>
      </c>
      <c r="D22" s="21">
        <f t="shared" si="2"/>
        <v>891.4212</v>
      </c>
      <c r="E22" s="30"/>
      <c r="F22" s="20">
        <f>$C22/2</f>
        <v>2038</v>
      </c>
      <c r="H22" s="20">
        <f>$C22/2</f>
        <v>2038</v>
      </c>
    </row>
    <row r="23" spans="1:9" ht="14.25">
      <c r="A23" s="27">
        <v>45237</v>
      </c>
      <c r="B23" s="18" t="s">
        <v>202</v>
      </c>
      <c r="C23" s="20">
        <v>1100</v>
      </c>
      <c r="D23" s="21">
        <f t="shared" si="2"/>
        <v>240.57</v>
      </c>
      <c r="E23" s="30"/>
      <c r="F23" s="20">
        <f>$C23</f>
        <v>1100</v>
      </c>
      <c r="H23" s="20">
        <v>0</v>
      </c>
    </row>
    <row r="24" spans="1:9" ht="14.25">
      <c r="A24" s="27">
        <v>45237</v>
      </c>
      <c r="B24" s="18" t="s">
        <v>203</v>
      </c>
      <c r="C24" s="19">
        <v>700</v>
      </c>
      <c r="D24" s="21">
        <f t="shared" si="2"/>
        <v>153.09</v>
      </c>
      <c r="E24" s="30"/>
      <c r="F24" s="20">
        <v>0</v>
      </c>
      <c r="H24" s="20">
        <f>C24</f>
        <v>700</v>
      </c>
    </row>
    <row r="25" spans="1:9" ht="14.25">
      <c r="A25" s="27">
        <v>45237</v>
      </c>
      <c r="B25" s="28" t="s">
        <v>204</v>
      </c>
      <c r="C25" s="29">
        <v>900</v>
      </c>
      <c r="D25" s="21">
        <f t="shared" si="2"/>
        <v>196.83</v>
      </c>
      <c r="E25" s="23"/>
      <c r="F25" s="20">
        <f>$C25</f>
        <v>900</v>
      </c>
      <c r="H25" s="20">
        <v>0</v>
      </c>
    </row>
    <row r="26" spans="1:9" ht="14.25">
      <c r="A26" s="27">
        <v>45237</v>
      </c>
      <c r="B26" s="28" t="s">
        <v>205</v>
      </c>
      <c r="C26" s="29">
        <v>1200</v>
      </c>
      <c r="D26" s="21">
        <f t="shared" si="2"/>
        <v>262.44</v>
      </c>
      <c r="E26" s="23"/>
      <c r="F26" s="20">
        <v>0</v>
      </c>
      <c r="H26" s="20">
        <f>C26</f>
        <v>1200</v>
      </c>
    </row>
    <row r="27" spans="1:9" ht="14.25">
      <c r="A27" s="27">
        <v>45237</v>
      </c>
      <c r="B27" s="28" t="s">
        <v>206</v>
      </c>
      <c r="C27" s="29">
        <v>2500</v>
      </c>
      <c r="D27" s="21">
        <f t="shared" si="2"/>
        <v>546.75</v>
      </c>
      <c r="E27" s="23"/>
      <c r="F27" s="20">
        <f>$C27</f>
        <v>2500</v>
      </c>
      <c r="H27" s="20">
        <v>0</v>
      </c>
    </row>
    <row r="28" spans="1:9" ht="14.25">
      <c r="A28" s="27">
        <v>45237</v>
      </c>
      <c r="B28" s="28" t="s">
        <v>207</v>
      </c>
      <c r="C28" s="29">
        <f>1300*2</f>
        <v>2600</v>
      </c>
      <c r="D28" s="21">
        <f t="shared" si="2"/>
        <v>568.62</v>
      </c>
      <c r="E28" s="23"/>
      <c r="F28" s="20">
        <f>$C28/2</f>
        <v>1300</v>
      </c>
      <c r="H28" s="20">
        <f>$C28/2</f>
        <v>1300</v>
      </c>
    </row>
    <row r="29" spans="1:9" ht="14.25">
      <c r="A29" s="27">
        <v>45237</v>
      </c>
      <c r="B29" s="28" t="s">
        <v>208</v>
      </c>
      <c r="C29" s="29">
        <v>700</v>
      </c>
      <c r="D29" s="21">
        <f t="shared" si="2"/>
        <v>153.09</v>
      </c>
      <c r="E29" s="23"/>
      <c r="F29" s="20">
        <v>0</v>
      </c>
      <c r="H29" s="20">
        <f>C29</f>
        <v>700</v>
      </c>
    </row>
    <row r="30" spans="1:9" ht="14.25">
      <c r="A30" s="27">
        <v>45237</v>
      </c>
      <c r="B30" s="28" t="s">
        <v>209</v>
      </c>
      <c r="C30" s="29">
        <v>740</v>
      </c>
      <c r="D30" s="21">
        <f t="shared" si="2"/>
        <v>161.83799999999999</v>
      </c>
      <c r="E30" s="23"/>
      <c r="F30" s="20">
        <v>0</v>
      </c>
      <c r="H30" s="20">
        <f>C30</f>
        <v>740</v>
      </c>
    </row>
    <row r="31" spans="1:9" ht="14.25">
      <c r="A31" s="31"/>
      <c r="B31" s="28"/>
      <c r="C31" s="29"/>
      <c r="E31" s="30"/>
    </row>
    <row r="32" spans="1:9" ht="12.75">
      <c r="A32" s="22" t="s">
        <v>226</v>
      </c>
      <c r="B32" s="22" t="s">
        <v>188</v>
      </c>
      <c r="C32" s="26">
        <f>SUM(C33:C38)</f>
        <v>19859.02</v>
      </c>
      <c r="D32" s="21">
        <f t="shared" ref="D32:D86" si="3">C32*$B$1</f>
        <v>4343.1676740000003</v>
      </c>
      <c r="F32" s="26"/>
      <c r="G32" s="21"/>
      <c r="H32" s="26"/>
      <c r="I32" s="21"/>
    </row>
    <row r="33" spans="1:6" ht="14.25">
      <c r="A33" s="27">
        <v>45235</v>
      </c>
      <c r="B33" s="22" t="s">
        <v>225</v>
      </c>
      <c r="C33" s="26">
        <v>597</v>
      </c>
      <c r="D33" s="21">
        <f t="shared" si="3"/>
        <v>130.56389999999999</v>
      </c>
      <c r="E33" s="30"/>
      <c r="F33" s="20"/>
    </row>
    <row r="34" spans="1:6" ht="14.25">
      <c r="A34" s="27">
        <v>45235</v>
      </c>
      <c r="B34" s="22" t="s">
        <v>199</v>
      </c>
      <c r="C34" s="26">
        <f>598*3</f>
        <v>1794</v>
      </c>
      <c r="D34" s="21">
        <f t="shared" si="3"/>
        <v>392.34780000000001</v>
      </c>
      <c r="E34" s="23"/>
      <c r="F34" s="20"/>
    </row>
    <row r="35" spans="1:6" ht="14.25">
      <c r="A35" s="27">
        <v>45236</v>
      </c>
      <c r="B35" s="28" t="s">
        <v>217</v>
      </c>
      <c r="C35" s="26">
        <v>5891</v>
      </c>
      <c r="D35" s="21">
        <f t="shared" si="3"/>
        <v>1288.3616999999999</v>
      </c>
      <c r="E35" s="23"/>
      <c r="F35" s="20"/>
    </row>
    <row r="36" spans="1:6" ht="14.25">
      <c r="A36" s="27">
        <v>45237</v>
      </c>
      <c r="B36" s="28" t="s">
        <v>218</v>
      </c>
      <c r="C36" s="29">
        <f>(6028-180)*0.91</f>
        <v>5321.68</v>
      </c>
      <c r="D36" s="21">
        <f t="shared" si="3"/>
        <v>1163.8514160000002</v>
      </c>
      <c r="E36" s="23"/>
      <c r="F36" s="20"/>
    </row>
    <row r="37" spans="1:6" ht="15" customHeight="1">
      <c r="A37" s="27">
        <v>45237</v>
      </c>
      <c r="B37" s="28" t="s">
        <v>223</v>
      </c>
      <c r="C37" s="29">
        <f>5918*0.91</f>
        <v>5385.38</v>
      </c>
      <c r="D37" s="21">
        <f t="shared" si="3"/>
        <v>1177.782606</v>
      </c>
      <c r="E37" s="23"/>
      <c r="F37" s="20"/>
    </row>
    <row r="38" spans="1:6" ht="15.75" customHeight="1">
      <c r="A38" s="27">
        <v>45237</v>
      </c>
      <c r="B38" s="18" t="s">
        <v>224</v>
      </c>
      <c r="C38" s="20">
        <f>(987-31)*0.91</f>
        <v>869.96</v>
      </c>
      <c r="D38" s="21">
        <f t="shared" si="3"/>
        <v>190.26025200000001</v>
      </c>
      <c r="F38" s="20"/>
    </row>
    <row r="39" spans="1:6" ht="12.75">
      <c r="A39" s="32"/>
    </row>
    <row r="40" spans="1:6" ht="12.75">
      <c r="A40" s="23" t="s">
        <v>21</v>
      </c>
      <c r="B40" s="23" t="s">
        <v>22</v>
      </c>
      <c r="C40" s="26">
        <f>SUM(C41:C48)</f>
        <v>16159.478737997257</v>
      </c>
      <c r="D40" s="21">
        <f t="shared" si="3"/>
        <v>3534.078</v>
      </c>
    </row>
    <row r="41" spans="1:6" ht="12.75">
      <c r="A41" s="32">
        <v>45234</v>
      </c>
      <c r="B41" s="22" t="s">
        <v>219</v>
      </c>
      <c r="C41" s="26">
        <v>0</v>
      </c>
      <c r="D41" s="21">
        <f>C41*$B$1</f>
        <v>0</v>
      </c>
    </row>
    <row r="42" spans="1:6" ht="12.75">
      <c r="A42" s="32">
        <v>45234</v>
      </c>
      <c r="B42" s="22" t="s">
        <v>195</v>
      </c>
      <c r="C42" s="26">
        <f>D42/$B$1</f>
        <v>1188.8431641518061</v>
      </c>
      <c r="D42" s="21">
        <f>130*2</f>
        <v>260</v>
      </c>
    </row>
    <row r="43" spans="1:6" ht="12.75">
      <c r="A43" s="32">
        <v>45234</v>
      </c>
      <c r="B43" s="22" t="s">
        <v>213</v>
      </c>
      <c r="C43" s="26">
        <f>D43/$B$1</f>
        <v>2652.0347508001828</v>
      </c>
      <c r="D43" s="21">
        <f>580</f>
        <v>580</v>
      </c>
    </row>
    <row r="44" spans="1:6" ht="12.75">
      <c r="A44" s="32">
        <v>45236</v>
      </c>
      <c r="B44" s="18" t="s">
        <v>221</v>
      </c>
      <c r="C44" s="26">
        <v>2700</v>
      </c>
      <c r="D44" s="21">
        <f>C44*$B$1</f>
        <v>590.49</v>
      </c>
    </row>
    <row r="45" spans="1:6" ht="12.75">
      <c r="A45" s="32">
        <v>45234</v>
      </c>
      <c r="B45" s="22" t="s">
        <v>220</v>
      </c>
      <c r="C45" s="26">
        <f>1620*2</f>
        <v>3240</v>
      </c>
      <c r="D45" s="21">
        <f>C45*$B$1</f>
        <v>708.58799999999997</v>
      </c>
    </row>
    <row r="46" spans="1:6" ht="12.75">
      <c r="A46" s="32">
        <v>45236</v>
      </c>
      <c r="B46" s="22" t="s">
        <v>211</v>
      </c>
      <c r="C46" s="26">
        <f>D46/$B$1</f>
        <v>2034.750800182899</v>
      </c>
      <c r="D46" s="21">
        <f>445</f>
        <v>445</v>
      </c>
    </row>
    <row r="47" spans="1:6" ht="12.75">
      <c r="A47" s="32"/>
      <c r="B47" s="22" t="s">
        <v>214</v>
      </c>
      <c r="C47" s="26">
        <f>D47/$B$1</f>
        <v>2048.4682213077276</v>
      </c>
      <c r="D47" s="21">
        <v>448</v>
      </c>
      <c r="E47" s="19">
        <v>448</v>
      </c>
    </row>
    <row r="48" spans="1:6" ht="12.75">
      <c r="A48" s="32"/>
      <c r="B48" s="22" t="s">
        <v>212</v>
      </c>
      <c r="C48" s="26">
        <f>D48/$B$1</f>
        <v>2295.3818015546408</v>
      </c>
      <c r="D48" s="21">
        <v>502</v>
      </c>
      <c r="E48" s="19">
        <v>502</v>
      </c>
    </row>
    <row r="50" spans="1:4" ht="12.75">
      <c r="A50" s="23" t="s">
        <v>26</v>
      </c>
      <c r="B50" s="23" t="s">
        <v>22</v>
      </c>
      <c r="C50" s="26">
        <f>SUM(C51:C53)</f>
        <v>34989.947416552357</v>
      </c>
      <c r="D50" s="21">
        <f t="shared" si="3"/>
        <v>7652.3015000000005</v>
      </c>
    </row>
    <row r="51" spans="1:4" ht="12.75">
      <c r="A51" s="32">
        <v>45234</v>
      </c>
      <c r="B51" s="22" t="s">
        <v>228</v>
      </c>
      <c r="C51" s="33">
        <v>8445</v>
      </c>
      <c r="D51" s="21">
        <f t="shared" si="3"/>
        <v>1846.9215000000002</v>
      </c>
    </row>
    <row r="52" spans="1:4" ht="12.75">
      <c r="A52" s="32">
        <v>45235</v>
      </c>
      <c r="B52" s="22" t="s">
        <v>227</v>
      </c>
      <c r="C52" s="33">
        <f>9100+8300</f>
        <v>17400</v>
      </c>
      <c r="D52" s="21">
        <f t="shared" si="3"/>
        <v>3805.38</v>
      </c>
    </row>
    <row r="53" spans="1:4" ht="12.75">
      <c r="A53" s="32">
        <v>45234</v>
      </c>
      <c r="B53" s="22" t="s">
        <v>229</v>
      </c>
      <c r="C53" s="26">
        <f>D53/$B$1</f>
        <v>9144.9474165523552</v>
      </c>
      <c r="D53" s="21">
        <v>2000</v>
      </c>
    </row>
    <row r="54" spans="1:4" ht="12.75">
      <c r="A54" s="32"/>
      <c r="B54" s="22"/>
      <c r="C54" s="33"/>
    </row>
    <row r="55" spans="1:4" ht="12.75">
      <c r="A55" s="22" t="s">
        <v>193</v>
      </c>
      <c r="B55" s="23" t="s">
        <v>22</v>
      </c>
      <c r="C55" s="26">
        <f>SUM(C56:C58)</f>
        <v>14155.006858710563</v>
      </c>
      <c r="D55" s="21">
        <f t="shared" ref="D55" si="4">C55*$B$1</f>
        <v>3095.7000000000003</v>
      </c>
    </row>
    <row r="56" spans="1:4" ht="12.75">
      <c r="A56" s="32">
        <v>45234</v>
      </c>
      <c r="B56" s="22" t="s">
        <v>215</v>
      </c>
      <c r="C56" s="26">
        <f>D56/$B$1</f>
        <v>3155.0068587105625</v>
      </c>
      <c r="D56" s="21">
        <v>690</v>
      </c>
    </row>
    <row r="57" spans="1:4" ht="12.75">
      <c r="A57" s="32">
        <v>45235</v>
      </c>
      <c r="B57" s="22" t="s">
        <v>194</v>
      </c>
      <c r="C57" s="33">
        <f>4700*2</f>
        <v>9400</v>
      </c>
      <c r="D57" s="21">
        <f t="shared" si="3"/>
        <v>2055.7800000000002</v>
      </c>
    </row>
    <row r="58" spans="1:4" ht="12.75">
      <c r="A58" s="32">
        <v>45237</v>
      </c>
      <c r="B58" s="22" t="s">
        <v>200</v>
      </c>
      <c r="C58" s="33">
        <f>800*2</f>
        <v>1600</v>
      </c>
      <c r="D58" s="21">
        <f t="shared" si="3"/>
        <v>349.92</v>
      </c>
    </row>
    <row r="60" spans="1:4" ht="12.75">
      <c r="A60" s="22" t="s">
        <v>189</v>
      </c>
      <c r="B60" s="23" t="s">
        <v>22</v>
      </c>
      <c r="C60" s="26">
        <f>SUM(C61:C88)</f>
        <v>22366.721536351164</v>
      </c>
      <c r="D60" s="21">
        <f t="shared" si="3"/>
        <v>4891.6019999999999</v>
      </c>
    </row>
    <row r="61" spans="1:4" ht="12.75">
      <c r="A61" s="32">
        <v>45234</v>
      </c>
      <c r="B61" s="22" t="s">
        <v>236</v>
      </c>
      <c r="C61" s="33">
        <v>1810</v>
      </c>
      <c r="D61" s="21">
        <f t="shared" si="3"/>
        <v>395.84700000000004</v>
      </c>
    </row>
    <row r="62" spans="1:4" ht="12.75">
      <c r="A62" s="32">
        <v>45234</v>
      </c>
      <c r="B62" s="22" t="s">
        <v>237</v>
      </c>
      <c r="C62" s="33">
        <v>130</v>
      </c>
      <c r="D62" s="21">
        <f t="shared" si="3"/>
        <v>28.431000000000001</v>
      </c>
    </row>
    <row r="63" spans="1:4" ht="15.75" customHeight="1">
      <c r="A63" s="32">
        <v>45234</v>
      </c>
      <c r="B63" s="22" t="s">
        <v>238</v>
      </c>
      <c r="C63" s="33">
        <v>400</v>
      </c>
      <c r="D63" s="21">
        <f t="shared" si="3"/>
        <v>87.48</v>
      </c>
    </row>
    <row r="64" spans="1:4" ht="15.75" customHeight="1">
      <c r="A64" s="32">
        <v>45234</v>
      </c>
      <c r="B64" s="22" t="s">
        <v>239</v>
      </c>
      <c r="C64" s="33">
        <v>213</v>
      </c>
      <c r="D64" s="21">
        <f t="shared" si="3"/>
        <v>46.583100000000002</v>
      </c>
    </row>
    <row r="65" spans="1:4" ht="12.75">
      <c r="A65" s="32">
        <v>45234</v>
      </c>
      <c r="B65" s="22" t="s">
        <v>240</v>
      </c>
      <c r="C65" s="20">
        <f>1580+980</f>
        <v>2560</v>
      </c>
      <c r="D65" s="21">
        <f t="shared" si="3"/>
        <v>559.87200000000007</v>
      </c>
    </row>
    <row r="66" spans="1:4" ht="12.75">
      <c r="A66" s="32">
        <v>45234</v>
      </c>
      <c r="B66" s="22" t="s">
        <v>241</v>
      </c>
      <c r="C66" s="26">
        <v>110</v>
      </c>
      <c r="D66" s="21">
        <f t="shared" si="3"/>
        <v>24.057000000000002</v>
      </c>
    </row>
    <row r="67" spans="1:4" ht="12.75">
      <c r="A67" s="32">
        <v>45234</v>
      </c>
      <c r="B67" s="22" t="s">
        <v>242</v>
      </c>
      <c r="C67" s="26">
        <v>301</v>
      </c>
      <c r="D67" s="21">
        <f t="shared" si="3"/>
        <v>65.828699999999998</v>
      </c>
    </row>
    <row r="68" spans="1:4" ht="12.75">
      <c r="A68" s="32">
        <v>45234</v>
      </c>
      <c r="B68" s="22" t="s">
        <v>243</v>
      </c>
      <c r="C68" s="33">
        <v>600</v>
      </c>
      <c r="D68" s="21">
        <f t="shared" si="3"/>
        <v>131.22</v>
      </c>
    </row>
    <row r="69" spans="1:4" ht="12.75">
      <c r="A69" s="32">
        <v>45235</v>
      </c>
      <c r="B69" s="22" t="s">
        <v>244</v>
      </c>
      <c r="C69" s="33">
        <v>700</v>
      </c>
      <c r="D69" s="21">
        <f t="shared" si="3"/>
        <v>153.09</v>
      </c>
    </row>
    <row r="70" spans="1:4" ht="12.75">
      <c r="A70" s="32">
        <v>45235</v>
      </c>
      <c r="B70" s="22" t="s">
        <v>245</v>
      </c>
      <c r="C70" s="33">
        <v>700</v>
      </c>
      <c r="D70" s="21">
        <f t="shared" si="3"/>
        <v>153.09</v>
      </c>
    </row>
    <row r="71" spans="1:4" ht="12.75">
      <c r="A71" s="32">
        <v>45235</v>
      </c>
      <c r="B71" s="22" t="s">
        <v>246</v>
      </c>
      <c r="C71" s="33">
        <v>750</v>
      </c>
      <c r="D71" s="21">
        <f t="shared" si="3"/>
        <v>164.02500000000001</v>
      </c>
    </row>
    <row r="72" spans="1:4" ht="12.75">
      <c r="A72" s="32">
        <v>45235</v>
      </c>
      <c r="B72" s="22" t="s">
        <v>247</v>
      </c>
      <c r="C72" s="33">
        <v>750</v>
      </c>
      <c r="D72" s="21">
        <f t="shared" si="3"/>
        <v>164.02500000000001</v>
      </c>
    </row>
    <row r="73" spans="1:4" ht="12.75">
      <c r="A73" s="32">
        <v>45235</v>
      </c>
      <c r="B73" s="22" t="s">
        <v>248</v>
      </c>
      <c r="C73" s="19">
        <v>358</v>
      </c>
      <c r="D73" s="21">
        <f t="shared" si="3"/>
        <v>78.294600000000003</v>
      </c>
    </row>
    <row r="74" spans="1:4" ht="12.75">
      <c r="A74" s="32">
        <v>45235</v>
      </c>
      <c r="B74" s="22" t="s">
        <v>249</v>
      </c>
      <c r="C74" s="26">
        <v>118</v>
      </c>
      <c r="D74" s="21">
        <f t="shared" si="3"/>
        <v>25.8066</v>
      </c>
    </row>
    <row r="75" spans="1:4" ht="12.75">
      <c r="A75" s="32">
        <v>45235</v>
      </c>
      <c r="B75" s="22" t="s">
        <v>250</v>
      </c>
      <c r="C75" s="20">
        <v>109</v>
      </c>
      <c r="D75" s="21">
        <f t="shared" si="3"/>
        <v>23.8383</v>
      </c>
    </row>
    <row r="76" spans="1:4" ht="12.75">
      <c r="A76" s="32">
        <v>45235</v>
      </c>
      <c r="B76" s="22" t="s">
        <v>251</v>
      </c>
      <c r="C76" s="26">
        <f>D76/$B$1</f>
        <v>1906.7215363511659</v>
      </c>
      <c r="D76" s="21">
        <v>417</v>
      </c>
    </row>
    <row r="77" spans="1:4" ht="12.75">
      <c r="A77" s="32">
        <v>45236</v>
      </c>
      <c r="B77" s="22" t="s">
        <v>252</v>
      </c>
      <c r="C77" s="33">
        <v>620</v>
      </c>
      <c r="D77" s="21">
        <f t="shared" si="3"/>
        <v>135.59399999999999</v>
      </c>
    </row>
    <row r="78" spans="1:4" ht="12.75">
      <c r="A78" s="32">
        <v>45236</v>
      </c>
      <c r="B78" s="22" t="s">
        <v>253</v>
      </c>
      <c r="C78" s="20">
        <v>2596</v>
      </c>
      <c r="D78" s="21">
        <f t="shared" si="3"/>
        <v>567.74520000000007</v>
      </c>
    </row>
    <row r="79" spans="1:4" ht="12.75">
      <c r="A79" s="32">
        <v>45236</v>
      </c>
      <c r="B79" s="22" t="s">
        <v>254</v>
      </c>
      <c r="C79" s="20">
        <v>400</v>
      </c>
      <c r="D79" s="21">
        <f t="shared" si="3"/>
        <v>87.48</v>
      </c>
    </row>
    <row r="80" spans="1:4" ht="12.75">
      <c r="A80" s="32">
        <v>45236</v>
      </c>
      <c r="B80" s="22" t="s">
        <v>255</v>
      </c>
      <c r="C80" s="20">
        <v>641</v>
      </c>
      <c r="D80" s="21">
        <f t="shared" si="3"/>
        <v>140.1867</v>
      </c>
    </row>
    <row r="81" spans="1:4" ht="12.75">
      <c r="A81" s="32">
        <v>45236</v>
      </c>
      <c r="B81" s="22" t="s">
        <v>256</v>
      </c>
      <c r="C81" s="20">
        <f>84*2</f>
        <v>168</v>
      </c>
      <c r="D81" s="21">
        <f t="shared" si="3"/>
        <v>36.741599999999998</v>
      </c>
    </row>
    <row r="82" spans="1:4" ht="15.75" customHeight="1">
      <c r="A82" s="32">
        <v>45236</v>
      </c>
      <c r="B82" s="22" t="s">
        <v>257</v>
      </c>
      <c r="C82" s="20">
        <v>1008</v>
      </c>
      <c r="D82" s="21">
        <f t="shared" si="3"/>
        <v>220.4496</v>
      </c>
    </row>
    <row r="83" spans="1:4" ht="15.75" customHeight="1">
      <c r="A83" s="32">
        <v>45236</v>
      </c>
      <c r="B83" s="22" t="s">
        <v>258</v>
      </c>
      <c r="C83" s="20">
        <v>2900</v>
      </c>
      <c r="D83" s="21">
        <f t="shared" si="3"/>
        <v>634.23</v>
      </c>
    </row>
    <row r="84" spans="1:4" ht="15.75" customHeight="1">
      <c r="A84" s="32">
        <v>45237</v>
      </c>
      <c r="B84" s="22" t="s">
        <v>259</v>
      </c>
      <c r="C84" s="20">
        <v>98</v>
      </c>
      <c r="D84" s="21">
        <f t="shared" si="3"/>
        <v>21.432600000000001</v>
      </c>
    </row>
    <row r="85" spans="1:4" ht="15.75" customHeight="1">
      <c r="A85" s="32">
        <v>45237</v>
      </c>
      <c r="B85" s="22" t="s">
        <v>260</v>
      </c>
      <c r="C85" s="20">
        <v>2080</v>
      </c>
      <c r="D85" s="21">
        <f t="shared" si="3"/>
        <v>454.89600000000002</v>
      </c>
    </row>
    <row r="86" spans="1:4" ht="15.75" customHeight="1">
      <c r="A86" s="32">
        <v>45237</v>
      </c>
      <c r="B86" s="22" t="s">
        <v>261</v>
      </c>
      <c r="C86" s="20">
        <f>170*2</f>
        <v>340</v>
      </c>
      <c r="D86" s="21">
        <f t="shared" si="3"/>
        <v>74.358000000000004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4"/>
  <sheetViews>
    <sheetView tabSelected="1" workbookViewId="0">
      <selection activeCell="E21" sqref="E21"/>
    </sheetView>
  </sheetViews>
  <sheetFormatPr defaultColWidth="12.5703125" defaultRowHeight="15.75" customHeight="1"/>
  <cols>
    <col min="1" max="1" width="12.5703125" style="19"/>
    <col min="2" max="2" width="44.28515625" style="19" customWidth="1"/>
    <col min="3" max="3" width="12.5703125" style="20"/>
    <col min="4" max="4" width="12.5703125" style="21"/>
    <col min="5" max="16384" width="12.5703125" style="19"/>
  </cols>
  <sheetData>
    <row r="1" spans="1:5" ht="15.75" customHeight="1">
      <c r="A1" s="18" t="s">
        <v>304</v>
      </c>
      <c r="B1" s="19">
        <v>0.23430000000000001</v>
      </c>
    </row>
    <row r="3" spans="1:5" ht="12.75">
      <c r="A3" s="22" t="s">
        <v>303</v>
      </c>
      <c r="B3" s="43" t="s">
        <v>1</v>
      </c>
      <c r="C3" s="24" t="s">
        <v>302</v>
      </c>
      <c r="D3" s="25" t="s">
        <v>301</v>
      </c>
    </row>
    <row r="4" spans="1:5" ht="12.75">
      <c r="B4" s="22" t="s">
        <v>300</v>
      </c>
      <c r="C4" s="39">
        <f>D4/$B$1</f>
        <v>48220.230473751602</v>
      </c>
      <c r="D4" s="21">
        <v>11298</v>
      </c>
    </row>
    <row r="5" spans="1:5" ht="12.75">
      <c r="B5" s="22" t="s">
        <v>6</v>
      </c>
      <c r="C5" s="39">
        <f>C19+C26+C30</f>
        <v>50457.093043107125</v>
      </c>
      <c r="D5" s="21">
        <f>C5*$B$1</f>
        <v>11822.0969</v>
      </c>
    </row>
    <row r="6" spans="1:5" ht="12.75">
      <c r="B6" s="22" t="s">
        <v>299</v>
      </c>
      <c r="C6" s="39">
        <f>C9+C13</f>
        <v>37509</v>
      </c>
      <c r="D6" s="21">
        <f>C6*$B$1</f>
        <v>8788.3587000000007</v>
      </c>
    </row>
    <row r="7" spans="1:5" ht="12.75">
      <c r="B7" s="22" t="s">
        <v>298</v>
      </c>
      <c r="C7" s="39">
        <f>D7/$B$1</f>
        <v>31591.976099018353</v>
      </c>
      <c r="D7" s="21">
        <f>3701*2</f>
        <v>7402</v>
      </c>
    </row>
    <row r="9" spans="1:5" ht="12.75">
      <c r="A9" s="43" t="s">
        <v>7</v>
      </c>
      <c r="B9" s="22" t="s">
        <v>292</v>
      </c>
      <c r="C9" s="39">
        <f>SUM(C10:C11)</f>
        <v>14719</v>
      </c>
      <c r="D9" s="21">
        <f>C9*$B$1</f>
        <v>3448.6617000000001</v>
      </c>
    </row>
    <row r="10" spans="1:5" ht="14.25">
      <c r="A10" s="27" t="s">
        <v>297</v>
      </c>
      <c r="B10" s="28" t="s">
        <v>296</v>
      </c>
      <c r="C10" s="44">
        <f>600+350*2+973*6</f>
        <v>7138</v>
      </c>
      <c r="D10" s="21">
        <f>C10*$B$1</f>
        <v>1672.4334000000001</v>
      </c>
      <c r="E10" s="45"/>
    </row>
    <row r="11" spans="1:5" ht="14.25">
      <c r="A11" s="27" t="s">
        <v>295</v>
      </c>
      <c r="B11" s="28" t="s">
        <v>294</v>
      </c>
      <c r="C11" s="44">
        <f>480+350*2+973+1998+580+800+1200+850</f>
        <v>7581</v>
      </c>
      <c r="D11" s="21">
        <f>C11*$B$1</f>
        <v>1776.2283</v>
      </c>
      <c r="E11" s="43"/>
    </row>
    <row r="12" spans="1:5" ht="14.25">
      <c r="A12" s="46"/>
      <c r="B12" s="28"/>
      <c r="C12" s="44"/>
      <c r="E12" s="45"/>
    </row>
    <row r="13" spans="1:5" ht="12.75">
      <c r="A13" s="22" t="s">
        <v>293</v>
      </c>
      <c r="B13" s="22" t="s">
        <v>292</v>
      </c>
      <c r="C13" s="39">
        <f>SUM(C14:C17)</f>
        <v>22790</v>
      </c>
      <c r="D13" s="21">
        <f>C13*$B$1</f>
        <v>5339.6970000000001</v>
      </c>
    </row>
    <row r="14" spans="1:5" ht="14.25">
      <c r="A14" s="27" t="s">
        <v>291</v>
      </c>
      <c r="B14" s="28" t="s">
        <v>290</v>
      </c>
      <c r="C14" s="44">
        <f>1630*2+951*2</f>
        <v>5162</v>
      </c>
      <c r="D14" s="21">
        <f>C14*$B$1</f>
        <v>1209.4566</v>
      </c>
      <c r="E14" s="45"/>
    </row>
    <row r="15" spans="1:5" ht="14.25">
      <c r="A15" s="27" t="s">
        <v>289</v>
      </c>
      <c r="B15" s="28" t="s">
        <v>288</v>
      </c>
      <c r="C15" s="44">
        <f>1050+4972</f>
        <v>6022</v>
      </c>
      <c r="D15" s="21">
        <f>C15*$B$1</f>
        <v>1410.9546</v>
      </c>
      <c r="E15" s="43"/>
    </row>
    <row r="16" spans="1:5" ht="14.25">
      <c r="A16" s="27" t="s">
        <v>287</v>
      </c>
      <c r="B16" s="28" t="s">
        <v>286</v>
      </c>
      <c r="C16" s="44">
        <f>1630*2</f>
        <v>3260</v>
      </c>
      <c r="D16" s="21">
        <f>C16*$B$1</f>
        <v>763.81799999999998</v>
      </c>
      <c r="E16" s="43"/>
    </row>
    <row r="17" spans="1:5" ht="15" customHeight="1">
      <c r="A17" s="27" t="s">
        <v>285</v>
      </c>
      <c r="B17" s="28" t="s">
        <v>284</v>
      </c>
      <c r="C17" s="44">
        <f>5280+1630+1436</f>
        <v>8346</v>
      </c>
      <c r="D17" s="21">
        <f>C17*$B$1</f>
        <v>1955.4678000000001</v>
      </c>
      <c r="E17" s="43"/>
    </row>
    <row r="18" spans="1:5" ht="12.75">
      <c r="A18" s="37"/>
    </row>
    <row r="19" spans="1:5" ht="12.75">
      <c r="A19" s="43" t="s">
        <v>21</v>
      </c>
      <c r="B19" s="43" t="s">
        <v>22</v>
      </c>
      <c r="C19" s="39">
        <f>SUM(C20:C24)</f>
        <v>11988.880921895006</v>
      </c>
      <c r="D19" s="21">
        <f>C19*$B$1</f>
        <v>2808.9947999999999</v>
      </c>
    </row>
    <row r="20" spans="1:5" ht="12.75">
      <c r="A20" s="37">
        <v>45003</v>
      </c>
      <c r="B20" s="22" t="s">
        <v>283</v>
      </c>
      <c r="C20" s="39">
        <v>0</v>
      </c>
      <c r="D20" s="21">
        <f>C20*$B$1</f>
        <v>0</v>
      </c>
    </row>
    <row r="21" spans="1:5" ht="12.75">
      <c r="A21" s="37">
        <v>45003</v>
      </c>
      <c r="B21" s="22" t="s">
        <v>282</v>
      </c>
      <c r="C21" s="41">
        <f>1000*2+2000*2</f>
        <v>6000</v>
      </c>
      <c r="D21" s="21">
        <f>C21*$B$1</f>
        <v>1405.8</v>
      </c>
    </row>
    <row r="22" spans="1:5" ht="12.75">
      <c r="A22" s="37">
        <v>45003</v>
      </c>
      <c r="B22" s="18" t="s">
        <v>281</v>
      </c>
      <c r="C22" s="39">
        <f>D22/$B$1</f>
        <v>2752.8809218950064</v>
      </c>
      <c r="D22" s="21">
        <v>645</v>
      </c>
    </row>
    <row r="23" spans="1:5" ht="12.75">
      <c r="A23" s="37">
        <v>45006</v>
      </c>
      <c r="B23" s="22" t="s">
        <v>280</v>
      </c>
      <c r="C23" s="39">
        <f>610*2+1500*2+50</f>
        <v>4270</v>
      </c>
      <c r="D23" s="21">
        <f>C23*$B$1</f>
        <v>1000.461</v>
      </c>
    </row>
    <row r="24" spans="1:5" ht="12.75">
      <c r="A24" s="37">
        <v>45007</v>
      </c>
      <c r="B24" s="22" t="s">
        <v>279</v>
      </c>
      <c r="C24" s="20">
        <f>-492-542</f>
        <v>-1034</v>
      </c>
      <c r="D24" s="21">
        <f>C24*$B$1</f>
        <v>-242.2662</v>
      </c>
    </row>
    <row r="26" spans="1:5" ht="12.75">
      <c r="A26" s="43" t="s">
        <v>26</v>
      </c>
      <c r="B26" s="43" t="s">
        <v>22</v>
      </c>
      <c r="C26" s="39">
        <f>SUM(C27:C28)</f>
        <v>25881.21212121212</v>
      </c>
      <c r="D26" s="21">
        <f>C26*$B$1</f>
        <v>6063.9679999999998</v>
      </c>
    </row>
    <row r="27" spans="1:5" ht="12.75">
      <c r="A27" s="37">
        <v>45003</v>
      </c>
      <c r="B27" s="22" t="s">
        <v>278</v>
      </c>
      <c r="C27" s="41">
        <f>7980*2+1500</f>
        <v>17460</v>
      </c>
      <c r="D27" s="21">
        <f>C27*$B$1</f>
        <v>4090.8780000000002</v>
      </c>
    </row>
    <row r="28" spans="1:5" ht="12.75">
      <c r="A28" s="37">
        <v>45006</v>
      </c>
      <c r="B28" s="22" t="s">
        <v>277</v>
      </c>
      <c r="C28" s="41">
        <f>1973.09/$B$1</f>
        <v>8421.2121212121201</v>
      </c>
      <c r="D28" s="21">
        <f>C28*$B$1</f>
        <v>1973.09</v>
      </c>
    </row>
    <row r="30" spans="1:5" ht="12.75">
      <c r="A30" s="22" t="s">
        <v>276</v>
      </c>
      <c r="B30" s="43" t="s">
        <v>22</v>
      </c>
      <c r="C30" s="39">
        <f>SUM(C31:C46)</f>
        <v>12587</v>
      </c>
      <c r="D30" s="21">
        <f>C30*$B$1</f>
        <v>2949.1341000000002</v>
      </c>
    </row>
    <row r="31" spans="1:5" ht="12.75">
      <c r="A31" s="37">
        <v>45003</v>
      </c>
      <c r="B31" s="22" t="s">
        <v>275</v>
      </c>
      <c r="C31" s="41">
        <v>1600</v>
      </c>
      <c r="D31" s="21">
        <f>C31*$B$1</f>
        <v>374.88</v>
      </c>
    </row>
    <row r="32" spans="1:5" ht="12.75">
      <c r="A32" s="37">
        <v>45003</v>
      </c>
      <c r="B32" s="22" t="s">
        <v>274</v>
      </c>
      <c r="C32" s="41">
        <v>2178</v>
      </c>
      <c r="D32" s="21">
        <f>C32*$B$1</f>
        <v>510.30540000000002</v>
      </c>
    </row>
    <row r="33" spans="1:4" ht="15.75" customHeight="1">
      <c r="A33" s="37">
        <v>45004</v>
      </c>
      <c r="B33" s="42" t="s">
        <v>273</v>
      </c>
      <c r="C33" s="41">
        <v>380</v>
      </c>
      <c r="D33" s="21">
        <f>C33*$B$1</f>
        <v>89.034000000000006</v>
      </c>
    </row>
    <row r="34" spans="1:4" ht="12.75">
      <c r="A34" s="37">
        <v>45004</v>
      </c>
      <c r="B34" s="34" t="s">
        <v>272</v>
      </c>
      <c r="C34" s="41">
        <v>150</v>
      </c>
      <c r="D34" s="21">
        <f>C34*$B$1</f>
        <v>35.145000000000003</v>
      </c>
    </row>
    <row r="35" spans="1:4" ht="12.75">
      <c r="A35" s="37">
        <v>45004</v>
      </c>
      <c r="B35" s="34" t="s">
        <v>271</v>
      </c>
      <c r="C35" s="39">
        <v>120</v>
      </c>
      <c r="D35" s="21">
        <f>C35*$B$1</f>
        <v>28.116</v>
      </c>
    </row>
    <row r="36" spans="1:4" ht="12.75">
      <c r="A36" s="37">
        <v>45004</v>
      </c>
      <c r="B36" s="22" t="s">
        <v>270</v>
      </c>
      <c r="C36" s="39">
        <v>280</v>
      </c>
      <c r="D36" s="21">
        <f>C36*$B$1</f>
        <v>65.603999999999999</v>
      </c>
    </row>
    <row r="37" spans="1:4" ht="12.75">
      <c r="A37" s="37">
        <v>45004</v>
      </c>
      <c r="B37" s="22" t="s">
        <v>269</v>
      </c>
      <c r="C37" s="41">
        <v>1032</v>
      </c>
      <c r="D37" s="21">
        <f>C37*$B$1</f>
        <v>241.79760000000002</v>
      </c>
    </row>
    <row r="38" spans="1:4" ht="14.25">
      <c r="A38" s="37">
        <v>45005</v>
      </c>
      <c r="B38" s="42" t="s">
        <v>268</v>
      </c>
      <c r="C38" s="41">
        <v>2400</v>
      </c>
      <c r="D38" s="21">
        <f>C38*$B$1</f>
        <v>562.32000000000005</v>
      </c>
    </row>
    <row r="39" spans="1:4" ht="12.75">
      <c r="A39" s="37">
        <v>45006</v>
      </c>
      <c r="B39" s="22" t="s">
        <v>267</v>
      </c>
      <c r="C39" s="41">
        <v>1409</v>
      </c>
      <c r="D39" s="21">
        <f>C39*$B$1</f>
        <v>330.12870000000004</v>
      </c>
    </row>
    <row r="40" spans="1:4" ht="12.75">
      <c r="A40" s="37">
        <v>45006</v>
      </c>
      <c r="B40" s="22" t="s">
        <v>266</v>
      </c>
      <c r="C40" s="41">
        <v>538</v>
      </c>
      <c r="D40" s="21">
        <f>C40*$B$1</f>
        <v>126.05340000000001</v>
      </c>
    </row>
    <row r="41" spans="1:4" ht="12.75">
      <c r="A41" s="37">
        <v>45005</v>
      </c>
      <c r="B41" s="34" t="s">
        <v>265</v>
      </c>
      <c r="C41" s="39">
        <v>2500</v>
      </c>
      <c r="D41" s="21">
        <f>C41*$B$1</f>
        <v>585.75</v>
      </c>
    </row>
    <row r="42" spans="1:4" ht="12.75">
      <c r="A42" s="37"/>
      <c r="B42" s="40"/>
      <c r="C42" s="39"/>
    </row>
    <row r="43" spans="1:4" ht="14.25">
      <c r="A43" s="37"/>
      <c r="B43" s="38"/>
    </row>
    <row r="44" spans="1:4" ht="14.25">
      <c r="A44" s="37"/>
      <c r="B44" s="38"/>
    </row>
    <row r="45" spans="1:4" ht="12.75">
      <c r="A45" s="37"/>
    </row>
    <row r="46" spans="1:4" ht="12.75">
      <c r="A46" s="37"/>
    </row>
    <row r="47" spans="1:4" ht="12.75">
      <c r="A47" s="37"/>
    </row>
    <row r="48" spans="1:4" ht="12.75">
      <c r="A48" s="37"/>
    </row>
    <row r="49" spans="1:1" ht="12.75">
      <c r="A49" s="37"/>
    </row>
    <row r="50" spans="1:1" ht="12.75">
      <c r="A50" s="37"/>
    </row>
    <row r="51" spans="1:1" ht="12.75">
      <c r="A51" s="37"/>
    </row>
    <row r="52" spans="1:1" ht="12.75">
      <c r="A52" s="37"/>
    </row>
    <row r="53" spans="1:1" ht="12.75">
      <c r="A53" s="37"/>
    </row>
    <row r="54" spans="1:1" ht="12.75">
      <c r="A54" s="37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5"/>
  <sheetViews>
    <sheetView workbookViewId="0"/>
  </sheetViews>
  <sheetFormatPr defaultColWidth="12.5703125" defaultRowHeight="15.75" customHeight="1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1" t="s">
        <v>6</v>
      </c>
      <c r="C2" s="2">
        <f t="shared" ref="C2:D2" si="0">C4+C13+C18+C21</f>
        <v>2628.5</v>
      </c>
      <c r="D2" s="2">
        <f t="shared" si="0"/>
        <v>4503.5</v>
      </c>
      <c r="F2" s="2">
        <f>SUM(C2, D2)</f>
        <v>7132</v>
      </c>
    </row>
    <row r="4" spans="1:8">
      <c r="A4" s="1" t="s">
        <v>7</v>
      </c>
      <c r="B4" s="1" t="s">
        <v>8</v>
      </c>
      <c r="C4" s="2">
        <f>SUM(C5:C9)</f>
        <v>0</v>
      </c>
      <c r="D4" s="2">
        <f>SUM(D5:D11)</f>
        <v>2012</v>
      </c>
    </row>
    <row r="5" spans="1:8">
      <c r="A5" s="3">
        <v>44863</v>
      </c>
      <c r="B5" s="4" t="s">
        <v>9</v>
      </c>
      <c r="C5" s="5"/>
      <c r="D5" s="4">
        <v>465</v>
      </c>
      <c r="E5" s="1" t="s">
        <v>10</v>
      </c>
      <c r="G5" s="1" t="s">
        <v>11</v>
      </c>
      <c r="H5" s="2">
        <f>SUM(C14, D14, C19, D19, C22, D22, C23, D23, C24, D24, C26, D26, C27, D27, C33, D33)+1300</f>
        <v>5423</v>
      </c>
    </row>
    <row r="6" spans="1:8">
      <c r="A6" s="3">
        <v>44863</v>
      </c>
      <c r="B6" s="4" t="s">
        <v>12</v>
      </c>
      <c r="C6" s="5"/>
      <c r="D6" s="4">
        <v>280</v>
      </c>
      <c r="E6" s="1" t="s">
        <v>10</v>
      </c>
      <c r="G6" s="1" t="s">
        <v>13</v>
      </c>
      <c r="H6" s="1">
        <f>SUM(D7, D8, D9, D10, D11, C25, D25, C29, D29, C30, D30, C28, D28, C31, D31, C32, D32)-1300</f>
        <v>760</v>
      </c>
    </row>
    <row r="7" spans="1:8">
      <c r="A7" s="3">
        <v>44863</v>
      </c>
      <c r="B7" s="4" t="s">
        <v>14</v>
      </c>
      <c r="C7" s="5"/>
      <c r="D7" s="4">
        <v>220</v>
      </c>
      <c r="E7" s="1" t="s">
        <v>15</v>
      </c>
      <c r="G7" s="6" t="s">
        <v>16</v>
      </c>
      <c r="H7" s="2">
        <f>SUM(D5, D6, C15, D15)</f>
        <v>1069</v>
      </c>
    </row>
    <row r="8" spans="1:8">
      <c r="A8" s="3">
        <v>44863</v>
      </c>
      <c r="B8" s="4" t="s">
        <v>17</v>
      </c>
      <c r="C8" s="5"/>
      <c r="D8" s="4">
        <v>260</v>
      </c>
      <c r="E8" s="1" t="s">
        <v>15</v>
      </c>
    </row>
    <row r="9" spans="1:8">
      <c r="A9" s="3">
        <v>44863</v>
      </c>
      <c r="B9" s="4" t="s">
        <v>18</v>
      </c>
      <c r="C9" s="5"/>
      <c r="D9" s="4">
        <v>540</v>
      </c>
      <c r="E9" s="1" t="s">
        <v>15</v>
      </c>
    </row>
    <row r="10" spans="1:8">
      <c r="A10" s="3">
        <v>44863</v>
      </c>
      <c r="B10" s="4" t="s">
        <v>19</v>
      </c>
      <c r="C10" s="5"/>
      <c r="D10" s="4">
        <v>130</v>
      </c>
      <c r="E10" s="1" t="s">
        <v>15</v>
      </c>
    </row>
    <row r="11" spans="1:8">
      <c r="A11" s="3">
        <v>44863</v>
      </c>
      <c r="B11" s="4" t="s">
        <v>20</v>
      </c>
      <c r="C11" s="5"/>
      <c r="D11" s="4">
        <f>99+18</f>
        <v>117</v>
      </c>
      <c r="E11" s="1" t="s">
        <v>15</v>
      </c>
    </row>
    <row r="12" spans="1:8">
      <c r="A12" s="7"/>
    </row>
    <row r="13" spans="1:8">
      <c r="A13" s="1" t="s">
        <v>21</v>
      </c>
      <c r="B13" s="1" t="s">
        <v>22</v>
      </c>
      <c r="C13" s="2">
        <f t="shared" ref="C13:D13" si="1">SUM(C14:C16)</f>
        <v>612</v>
      </c>
      <c r="D13" s="2">
        <f t="shared" si="1"/>
        <v>612</v>
      </c>
    </row>
    <row r="14" spans="1:8">
      <c r="A14" s="7">
        <v>44862</v>
      </c>
      <c r="B14" s="1" t="s">
        <v>23</v>
      </c>
      <c r="C14" s="1">
        <v>450</v>
      </c>
      <c r="D14" s="1">
        <v>450</v>
      </c>
      <c r="E14" s="1" t="s">
        <v>24</v>
      </c>
    </row>
    <row r="15" spans="1:8">
      <c r="A15" s="7">
        <v>44862</v>
      </c>
      <c r="B15" s="1" t="s">
        <v>25</v>
      </c>
      <c r="C15" s="2">
        <f t="shared" ref="C15:D15" si="2">(274+50)/2</f>
        <v>162</v>
      </c>
      <c r="D15" s="2">
        <f t="shared" si="2"/>
        <v>162</v>
      </c>
      <c r="E15" s="1" t="s">
        <v>10</v>
      </c>
    </row>
    <row r="16" spans="1:8">
      <c r="A16" s="7"/>
    </row>
    <row r="18" spans="1:5">
      <c r="A18" s="1" t="s">
        <v>26</v>
      </c>
      <c r="B18" s="1" t="s">
        <v>22</v>
      </c>
      <c r="C18" s="2">
        <f t="shared" ref="C18:D18" si="3">SUM(C19)</f>
        <v>1170</v>
      </c>
      <c r="D18" s="2">
        <f t="shared" si="3"/>
        <v>1170</v>
      </c>
    </row>
    <row r="19" spans="1:5">
      <c r="A19" s="7">
        <v>44862</v>
      </c>
      <c r="B19" s="1" t="s">
        <v>27</v>
      </c>
      <c r="C19" s="2">
        <f t="shared" ref="C19:D19" si="4">2340/2</f>
        <v>1170</v>
      </c>
      <c r="D19" s="2">
        <f t="shared" si="4"/>
        <v>1170</v>
      </c>
      <c r="E19" s="1" t="s">
        <v>24</v>
      </c>
    </row>
    <row r="21" spans="1:5">
      <c r="A21" s="1" t="s">
        <v>28</v>
      </c>
      <c r="B21" s="1" t="s">
        <v>22</v>
      </c>
      <c r="C21" s="2">
        <f t="shared" ref="C21:D21" si="5">SUM(C23:C45)</f>
        <v>846.5</v>
      </c>
      <c r="D21" s="2">
        <f t="shared" si="5"/>
        <v>709.5</v>
      </c>
    </row>
    <row r="22" spans="1:5">
      <c r="A22" s="7">
        <v>44861</v>
      </c>
      <c r="B22" s="8" t="s">
        <v>29</v>
      </c>
      <c r="C22" s="1">
        <v>60</v>
      </c>
      <c r="D22" s="1">
        <v>60</v>
      </c>
      <c r="E22" s="1" t="s">
        <v>30</v>
      </c>
    </row>
    <row r="23" spans="1:5">
      <c r="A23" s="7">
        <v>44862</v>
      </c>
      <c r="B23" s="8" t="s">
        <v>31</v>
      </c>
      <c r="C23" s="1">
        <v>80</v>
      </c>
      <c r="D23" s="1">
        <v>80</v>
      </c>
      <c r="E23" s="1" t="s">
        <v>30</v>
      </c>
    </row>
    <row r="24" spans="1:5">
      <c r="A24" s="7">
        <v>44862</v>
      </c>
      <c r="B24" s="9" t="s">
        <v>32</v>
      </c>
      <c r="C24" s="1">
        <v>40</v>
      </c>
      <c r="D24" s="1">
        <v>40</v>
      </c>
      <c r="E24" s="1" t="s">
        <v>30</v>
      </c>
    </row>
    <row r="25" spans="1:5">
      <c r="A25" s="7">
        <v>44862</v>
      </c>
      <c r="B25" s="10" t="s">
        <v>33</v>
      </c>
      <c r="C25" s="1">
        <v>90</v>
      </c>
      <c r="D25" s="1">
        <v>95</v>
      </c>
      <c r="E25" s="1" t="s">
        <v>15</v>
      </c>
    </row>
    <row r="26" spans="1:5">
      <c r="A26" s="7">
        <v>44862</v>
      </c>
      <c r="B26" s="10" t="s">
        <v>34</v>
      </c>
      <c r="C26" s="2">
        <f t="shared" ref="C26:D26" si="6">35/2</f>
        <v>17.5</v>
      </c>
      <c r="D26" s="2">
        <f t="shared" si="6"/>
        <v>17.5</v>
      </c>
      <c r="E26" s="1" t="s">
        <v>30</v>
      </c>
    </row>
    <row r="27" spans="1:5">
      <c r="A27" s="7">
        <v>44862</v>
      </c>
      <c r="B27" s="8" t="s">
        <v>35</v>
      </c>
      <c r="C27" s="2">
        <f t="shared" ref="C27:D27" si="7">130/2</f>
        <v>65</v>
      </c>
      <c r="D27" s="2">
        <f t="shared" si="7"/>
        <v>65</v>
      </c>
      <c r="E27" s="1" t="s">
        <v>30</v>
      </c>
    </row>
    <row r="28" spans="1:5">
      <c r="A28" s="7">
        <v>44862</v>
      </c>
      <c r="B28" s="8" t="s">
        <v>36</v>
      </c>
      <c r="C28" s="1">
        <v>45</v>
      </c>
      <c r="D28" s="1">
        <v>45</v>
      </c>
      <c r="E28" s="1" t="s">
        <v>15</v>
      </c>
    </row>
    <row r="29" spans="1:5">
      <c r="A29" s="7">
        <v>44863</v>
      </c>
      <c r="B29" s="9" t="s">
        <v>37</v>
      </c>
      <c r="C29" s="1">
        <v>80</v>
      </c>
      <c r="D29" s="1">
        <v>80</v>
      </c>
      <c r="E29" s="1" t="s">
        <v>15</v>
      </c>
    </row>
    <row r="30" spans="1:5">
      <c r="A30" s="7">
        <v>44863</v>
      </c>
      <c r="B30" s="8" t="s">
        <v>38</v>
      </c>
      <c r="C30" s="1">
        <v>75</v>
      </c>
      <c r="D30" s="1">
        <v>75</v>
      </c>
      <c r="E30" s="1" t="s">
        <v>15</v>
      </c>
    </row>
    <row r="31" spans="1:5">
      <c r="A31" s="7">
        <v>44863</v>
      </c>
      <c r="B31" s="8" t="s">
        <v>39</v>
      </c>
      <c r="C31" s="1">
        <v>142</v>
      </c>
      <c r="D31" s="1">
        <v>0</v>
      </c>
      <c r="E31" s="1" t="s">
        <v>15</v>
      </c>
    </row>
    <row r="32" spans="1:5">
      <c r="A32" s="7">
        <v>44863</v>
      </c>
      <c r="B32" s="10" t="s">
        <v>40</v>
      </c>
      <c r="C32" s="2">
        <f t="shared" ref="C32:D32" si="8">66/2</f>
        <v>33</v>
      </c>
      <c r="D32" s="2">
        <f t="shared" si="8"/>
        <v>33</v>
      </c>
      <c r="E32" s="1" t="s">
        <v>15</v>
      </c>
    </row>
    <row r="33" spans="1:5">
      <c r="A33" s="7">
        <v>44863</v>
      </c>
      <c r="B33" s="9" t="s">
        <v>41</v>
      </c>
      <c r="C33" s="2">
        <f t="shared" ref="C33:D33" si="9">(179+60+119)/2</f>
        <v>179</v>
      </c>
      <c r="D33" s="2">
        <f t="shared" si="9"/>
        <v>179</v>
      </c>
      <c r="E33" s="1" t="s">
        <v>30</v>
      </c>
    </row>
    <row r="34" spans="1:5">
      <c r="A34" s="7"/>
      <c r="B34" s="11"/>
    </row>
    <row r="35" spans="1:5">
      <c r="A35" s="7"/>
      <c r="B35" s="11"/>
    </row>
    <row r="36" spans="1:5">
      <c r="A36" s="7"/>
    </row>
    <row r="37" spans="1:5">
      <c r="A37" s="7"/>
    </row>
    <row r="38" spans="1:5">
      <c r="A38" s="7"/>
    </row>
    <row r="39" spans="1:5">
      <c r="A39" s="7"/>
    </row>
    <row r="40" spans="1:5">
      <c r="A40" s="7"/>
    </row>
    <row r="41" spans="1:5">
      <c r="A41" s="7"/>
    </row>
    <row r="42" spans="1:5">
      <c r="A42" s="7"/>
    </row>
    <row r="43" spans="1:5">
      <c r="A43" s="7"/>
    </row>
    <row r="44" spans="1:5">
      <c r="A44" s="7"/>
    </row>
    <row r="45" spans="1:5">
      <c r="A45" s="7"/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1"/>
  <sheetViews>
    <sheetView workbookViewId="0"/>
  </sheetViews>
  <sheetFormatPr defaultColWidth="12.5703125" defaultRowHeight="15.75" customHeight="1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42</v>
      </c>
    </row>
    <row r="2" spans="1:5">
      <c r="A2" s="1" t="s">
        <v>6</v>
      </c>
      <c r="C2" s="2">
        <f t="shared" ref="C2:D2" si="0">C4+C8+C13+C17</f>
        <v>4133.5</v>
      </c>
      <c r="D2" s="2">
        <f t="shared" si="0"/>
        <v>3873.5</v>
      </c>
      <c r="E2" s="2">
        <f>SUM(C2, D2)</f>
        <v>8007</v>
      </c>
    </row>
    <row r="4" spans="1:5">
      <c r="A4" s="1" t="s">
        <v>7</v>
      </c>
      <c r="B4" s="1" t="s">
        <v>8</v>
      </c>
      <c r="C4" s="2">
        <f t="shared" ref="C4:D4" si="1">SUM(C5:C6)</f>
        <v>320</v>
      </c>
      <c r="D4" s="2">
        <f t="shared" si="1"/>
        <v>200</v>
      </c>
    </row>
    <row r="5" spans="1:5">
      <c r="A5" s="3">
        <v>44681</v>
      </c>
      <c r="B5" s="4" t="s">
        <v>43</v>
      </c>
      <c r="C5" s="5">
        <v>160</v>
      </c>
      <c r="D5" s="4">
        <v>0</v>
      </c>
    </row>
    <row r="6" spans="1:5">
      <c r="A6" s="3">
        <v>44682</v>
      </c>
      <c r="B6" s="4" t="s">
        <v>44</v>
      </c>
      <c r="C6" s="5">
        <f>50*2+60</f>
        <v>160</v>
      </c>
      <c r="D6" s="4">
        <f>50*4</f>
        <v>200</v>
      </c>
    </row>
    <row r="8" spans="1:5">
      <c r="A8" s="1" t="s">
        <v>21</v>
      </c>
      <c r="B8" s="1" t="s">
        <v>22</v>
      </c>
      <c r="C8" s="2">
        <f t="shared" ref="C8:D8" si="2">SUM(C9:C11)</f>
        <v>878</v>
      </c>
      <c r="D8" s="2">
        <f t="shared" si="2"/>
        <v>738</v>
      </c>
    </row>
    <row r="9" spans="1:5">
      <c r="A9" s="7">
        <v>44681</v>
      </c>
      <c r="B9" s="1" t="s">
        <v>45</v>
      </c>
      <c r="C9" s="2">
        <f t="shared" ref="C9:D9" si="3">369</f>
        <v>369</v>
      </c>
      <c r="D9" s="2">
        <f t="shared" si="3"/>
        <v>369</v>
      </c>
    </row>
    <row r="10" spans="1:5">
      <c r="A10" s="7">
        <v>44683</v>
      </c>
      <c r="B10" s="1" t="s">
        <v>45</v>
      </c>
      <c r="C10" s="2">
        <f t="shared" ref="C10:D10" si="4">369</f>
        <v>369</v>
      </c>
      <c r="D10" s="2">
        <f t="shared" si="4"/>
        <v>369</v>
      </c>
    </row>
    <row r="11" spans="1:5">
      <c r="A11" s="7">
        <v>44683</v>
      </c>
      <c r="B11" s="1" t="s">
        <v>46</v>
      </c>
      <c r="C11" s="2">
        <f>140</f>
        <v>140</v>
      </c>
      <c r="D11" s="1">
        <v>0</v>
      </c>
    </row>
    <row r="13" spans="1:5">
      <c r="A13" s="1" t="s">
        <v>26</v>
      </c>
      <c r="B13" s="1" t="s">
        <v>22</v>
      </c>
      <c r="C13" s="2">
        <f t="shared" ref="C13:D13" si="5">SUM(C14:C15)</f>
        <v>1878</v>
      </c>
      <c r="D13" s="2">
        <f t="shared" si="5"/>
        <v>1878</v>
      </c>
    </row>
    <row r="14" spans="1:5">
      <c r="A14" s="7">
        <v>44681</v>
      </c>
      <c r="B14" s="1" t="s">
        <v>47</v>
      </c>
      <c r="C14" s="1">
        <f t="shared" ref="C14:D14" si="6">2126/2</f>
        <v>1063</v>
      </c>
      <c r="D14" s="1">
        <f t="shared" si="6"/>
        <v>1063</v>
      </c>
    </row>
    <row r="15" spans="1:5">
      <c r="A15" s="7">
        <v>44682</v>
      </c>
      <c r="B15" s="1" t="s">
        <v>47</v>
      </c>
      <c r="C15" s="2">
        <f t="shared" ref="C15:D15" si="7">1630/2</f>
        <v>815</v>
      </c>
      <c r="D15" s="2">
        <f t="shared" si="7"/>
        <v>815</v>
      </c>
    </row>
    <row r="17" spans="1:4">
      <c r="A17" s="1" t="s">
        <v>28</v>
      </c>
      <c r="B17" s="1" t="s">
        <v>22</v>
      </c>
      <c r="C17" s="2">
        <f t="shared" ref="C17:D17" si="8">SUM(C18:C41)</f>
        <v>1057.5</v>
      </c>
      <c r="D17" s="2">
        <f t="shared" si="8"/>
        <v>1057.5</v>
      </c>
    </row>
    <row r="18" spans="1:4">
      <c r="A18" s="7">
        <v>44681</v>
      </c>
      <c r="B18" s="1" t="s">
        <v>48</v>
      </c>
      <c r="C18" s="2">
        <f t="shared" ref="C18:D18" si="9">125/2</f>
        <v>62.5</v>
      </c>
      <c r="D18" s="2">
        <f t="shared" si="9"/>
        <v>62.5</v>
      </c>
    </row>
    <row r="19" spans="1:4">
      <c r="A19" s="7">
        <v>44681</v>
      </c>
      <c r="B19" s="1" t="s">
        <v>49</v>
      </c>
      <c r="C19" s="2">
        <f t="shared" ref="C19:D19" si="10">175/2</f>
        <v>87.5</v>
      </c>
      <c r="D19" s="2">
        <f t="shared" si="10"/>
        <v>87.5</v>
      </c>
    </row>
    <row r="20" spans="1:4">
      <c r="A20" s="7">
        <v>44681</v>
      </c>
      <c r="B20" s="11" t="s">
        <v>50</v>
      </c>
      <c r="C20" s="1">
        <v>60</v>
      </c>
      <c r="D20" s="1">
        <v>60</v>
      </c>
    </row>
    <row r="21" spans="1:4">
      <c r="A21" s="7">
        <v>44681</v>
      </c>
      <c r="B21" s="12" t="s">
        <v>51</v>
      </c>
      <c r="C21" s="2">
        <f t="shared" ref="C21:D21" si="11">90/2</f>
        <v>45</v>
      </c>
      <c r="D21" s="2">
        <f t="shared" si="11"/>
        <v>45</v>
      </c>
    </row>
    <row r="22" spans="1:4">
      <c r="A22" s="7">
        <v>44681</v>
      </c>
      <c r="B22" s="1" t="s">
        <v>52</v>
      </c>
      <c r="C22" s="2">
        <f t="shared" ref="C22:D22" si="12">100/2</f>
        <v>50</v>
      </c>
      <c r="D22" s="2">
        <f t="shared" si="12"/>
        <v>50</v>
      </c>
    </row>
    <row r="23" spans="1:4">
      <c r="A23" s="7">
        <v>44681</v>
      </c>
      <c r="B23" s="1" t="s">
        <v>53</v>
      </c>
      <c r="C23" s="2">
        <f t="shared" ref="C23:D23" si="13">110/2</f>
        <v>55</v>
      </c>
      <c r="D23" s="2">
        <f t="shared" si="13"/>
        <v>55</v>
      </c>
    </row>
    <row r="24" spans="1:4">
      <c r="A24" s="7">
        <v>44682</v>
      </c>
      <c r="B24" s="1" t="s">
        <v>54</v>
      </c>
      <c r="C24" s="2">
        <f t="shared" ref="C24:D24" si="14">150/2</f>
        <v>75</v>
      </c>
      <c r="D24" s="2">
        <f t="shared" si="14"/>
        <v>75</v>
      </c>
    </row>
    <row r="25" spans="1:4">
      <c r="A25" s="7">
        <v>44682</v>
      </c>
      <c r="B25" s="11" t="s">
        <v>55</v>
      </c>
      <c r="C25" s="2">
        <f t="shared" ref="C25:D25" si="15">290/2</f>
        <v>145</v>
      </c>
      <c r="D25" s="2">
        <f t="shared" si="15"/>
        <v>145</v>
      </c>
    </row>
    <row r="26" spans="1:4">
      <c r="A26" s="7">
        <v>44682</v>
      </c>
      <c r="B26" s="1" t="s">
        <v>56</v>
      </c>
      <c r="C26" s="1">
        <v>40</v>
      </c>
      <c r="D26" s="1">
        <v>35</v>
      </c>
    </row>
    <row r="27" spans="1:4">
      <c r="A27" s="7">
        <v>44682</v>
      </c>
      <c r="B27" s="1" t="s">
        <v>57</v>
      </c>
      <c r="C27" s="2">
        <f t="shared" ref="C27:D27" si="16">160/2</f>
        <v>80</v>
      </c>
      <c r="D27" s="2">
        <f t="shared" si="16"/>
        <v>80</v>
      </c>
    </row>
    <row r="28" spans="1:4">
      <c r="A28" s="7">
        <v>44682</v>
      </c>
      <c r="B28" s="12" t="s">
        <v>58</v>
      </c>
      <c r="C28" s="1">
        <v>25</v>
      </c>
      <c r="D28" s="1">
        <v>30</v>
      </c>
    </row>
    <row r="29" spans="1:4">
      <c r="A29" s="7">
        <v>44682</v>
      </c>
      <c r="B29" s="11" t="s">
        <v>59</v>
      </c>
      <c r="C29" s="2">
        <f t="shared" ref="C29:D29" si="17">255/2</f>
        <v>127.5</v>
      </c>
      <c r="D29" s="2">
        <f t="shared" si="17"/>
        <v>127.5</v>
      </c>
    </row>
    <row r="30" spans="1:4">
      <c r="A30" s="7">
        <v>44682</v>
      </c>
      <c r="B30" s="11" t="s">
        <v>60</v>
      </c>
      <c r="C30" s="1">
        <v>50</v>
      </c>
      <c r="D30" s="1">
        <v>50</v>
      </c>
    </row>
    <row r="31" spans="1:4">
      <c r="A31" s="7">
        <v>44683</v>
      </c>
      <c r="B31" s="11" t="s">
        <v>49</v>
      </c>
      <c r="C31" s="2">
        <f t="shared" ref="C31:D31" si="18">150/2</f>
        <v>75</v>
      </c>
      <c r="D31" s="2">
        <f t="shared" si="18"/>
        <v>75</v>
      </c>
    </row>
    <row r="32" spans="1:4">
      <c r="A32" s="7">
        <v>44683</v>
      </c>
      <c r="B32" s="1" t="s">
        <v>61</v>
      </c>
      <c r="C32" s="1">
        <v>80</v>
      </c>
      <c r="D32" s="1">
        <v>80</v>
      </c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49"/>
  <sheetViews>
    <sheetView workbookViewId="0"/>
  </sheetViews>
  <sheetFormatPr defaultColWidth="12.5703125" defaultRowHeight="15.75" customHeight="1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42</v>
      </c>
    </row>
    <row r="2" spans="1:5">
      <c r="A2" s="1" t="s">
        <v>6</v>
      </c>
      <c r="C2" s="2">
        <f t="shared" ref="C2:D2" si="0">C5+C14+C22+C25</f>
        <v>6360</v>
      </c>
      <c r="D2" s="2">
        <f t="shared" si="0"/>
        <v>6045</v>
      </c>
    </row>
    <row r="3" spans="1:5">
      <c r="A3" s="1" t="s">
        <v>62</v>
      </c>
      <c r="C3" s="2">
        <f t="shared" ref="C3:D3" si="1">C16+C17+C22</f>
        <v>3583</v>
      </c>
      <c r="D3" s="2">
        <f t="shared" si="1"/>
        <v>3583</v>
      </c>
    </row>
    <row r="5" spans="1:5">
      <c r="A5" s="1" t="s">
        <v>7</v>
      </c>
      <c r="B5" s="1" t="s">
        <v>8</v>
      </c>
      <c r="C5" s="2">
        <f t="shared" ref="C5:D5" si="2">SUM(C6:C11)</f>
        <v>640</v>
      </c>
      <c r="D5" s="2">
        <f t="shared" si="2"/>
        <v>340</v>
      </c>
    </row>
    <row r="6" spans="1:5">
      <c r="A6" s="3">
        <v>44562</v>
      </c>
      <c r="B6" s="4" t="s">
        <v>63</v>
      </c>
      <c r="C6" s="5">
        <v>100</v>
      </c>
      <c r="D6" s="13"/>
    </row>
    <row r="7" spans="1:5">
      <c r="A7" s="3">
        <v>44562</v>
      </c>
      <c r="B7" s="4" t="s">
        <v>64</v>
      </c>
      <c r="C7" s="5">
        <v>30</v>
      </c>
      <c r="D7" s="4">
        <v>200</v>
      </c>
      <c r="E7" s="1" t="s">
        <v>65</v>
      </c>
    </row>
    <row r="8" spans="1:5">
      <c r="A8" s="3">
        <v>44563</v>
      </c>
      <c r="B8" s="4" t="s">
        <v>66</v>
      </c>
      <c r="C8" s="5">
        <v>250</v>
      </c>
      <c r="D8" s="14"/>
      <c r="E8" s="1" t="s">
        <v>67</v>
      </c>
    </row>
    <row r="9" spans="1:5">
      <c r="A9" s="3">
        <v>44563</v>
      </c>
      <c r="B9" s="4" t="s">
        <v>68</v>
      </c>
      <c r="C9" s="5"/>
      <c r="D9" s="15"/>
      <c r="E9" s="1" t="s">
        <v>69</v>
      </c>
    </row>
    <row r="10" spans="1:5">
      <c r="A10" s="3">
        <v>44563</v>
      </c>
      <c r="B10" s="4" t="s">
        <v>70</v>
      </c>
      <c r="C10" s="5">
        <v>140</v>
      </c>
      <c r="D10" s="5">
        <v>140</v>
      </c>
      <c r="E10" s="1" t="s">
        <v>69</v>
      </c>
    </row>
    <row r="11" spans="1:5">
      <c r="A11" s="3">
        <v>44563</v>
      </c>
      <c r="B11" s="4" t="s">
        <v>19</v>
      </c>
      <c r="C11" s="5">
        <v>120</v>
      </c>
      <c r="D11" s="5"/>
      <c r="E11" s="1" t="s">
        <v>67</v>
      </c>
    </row>
    <row r="12" spans="1:5">
      <c r="A12" s="3">
        <v>44563</v>
      </c>
      <c r="B12" s="4" t="s">
        <v>71</v>
      </c>
      <c r="C12" s="5">
        <f>970*2+750</f>
        <v>2690</v>
      </c>
      <c r="D12" s="15"/>
      <c r="E12" s="1" t="s">
        <v>67</v>
      </c>
    </row>
    <row r="14" spans="1:5">
      <c r="A14" s="1" t="s">
        <v>21</v>
      </c>
      <c r="B14" s="1" t="s">
        <v>22</v>
      </c>
      <c r="C14" s="2">
        <f t="shared" ref="C14:D14" si="3">SUM(C15:C20)</f>
        <v>3076.5</v>
      </c>
      <c r="D14" s="2">
        <f t="shared" si="3"/>
        <v>3076.5</v>
      </c>
    </row>
    <row r="15" spans="1:5">
      <c r="A15" s="7">
        <v>44926</v>
      </c>
      <c r="B15" s="1" t="s">
        <v>46</v>
      </c>
      <c r="C15" s="1">
        <f t="shared" ref="C15:D15" si="4">180/2</f>
        <v>90</v>
      </c>
      <c r="D15" s="1">
        <f t="shared" si="4"/>
        <v>90</v>
      </c>
      <c r="E15" s="1" t="s">
        <v>67</v>
      </c>
    </row>
    <row r="16" spans="1:5">
      <c r="A16" s="7">
        <v>44926</v>
      </c>
      <c r="B16" s="1" t="s">
        <v>72</v>
      </c>
      <c r="C16" s="1">
        <v>1149</v>
      </c>
      <c r="D16" s="1">
        <v>1149</v>
      </c>
      <c r="E16" s="1" t="s">
        <v>67</v>
      </c>
    </row>
    <row r="17" spans="1:5">
      <c r="A17" s="7">
        <v>44563</v>
      </c>
      <c r="B17" s="1" t="s">
        <v>73</v>
      </c>
      <c r="C17" s="1">
        <v>1084</v>
      </c>
      <c r="D17" s="1">
        <v>1084</v>
      </c>
      <c r="E17" s="1" t="s">
        <v>67</v>
      </c>
    </row>
    <row r="18" spans="1:5">
      <c r="A18" s="7">
        <v>44926</v>
      </c>
      <c r="B18" s="1" t="s">
        <v>74</v>
      </c>
      <c r="C18" s="2">
        <f t="shared" ref="C18:D18" si="5">1200/2</f>
        <v>600</v>
      </c>
      <c r="D18" s="2">
        <f t="shared" si="5"/>
        <v>600</v>
      </c>
    </row>
    <row r="19" spans="1:5">
      <c r="A19" s="7">
        <v>44563</v>
      </c>
      <c r="B19" s="1" t="s">
        <v>75</v>
      </c>
      <c r="C19" s="2">
        <f t="shared" ref="C19:D19" si="6">87/2</f>
        <v>43.5</v>
      </c>
      <c r="D19" s="2">
        <f t="shared" si="6"/>
        <v>43.5</v>
      </c>
    </row>
    <row r="20" spans="1:5">
      <c r="A20" s="7">
        <v>44562</v>
      </c>
      <c r="B20" s="1" t="s">
        <v>76</v>
      </c>
      <c r="C20" s="1">
        <v>110</v>
      </c>
      <c r="D20" s="1">
        <v>110</v>
      </c>
      <c r="E20" s="1" t="s">
        <v>69</v>
      </c>
    </row>
    <row r="22" spans="1:5">
      <c r="A22" s="1" t="s">
        <v>26</v>
      </c>
      <c r="B22" s="1" t="s">
        <v>22</v>
      </c>
      <c r="C22" s="2">
        <f t="shared" ref="C22:D22" si="7">SUM(C23)</f>
        <v>1350</v>
      </c>
      <c r="D22" s="2">
        <f t="shared" si="7"/>
        <v>1350</v>
      </c>
    </row>
    <row r="23" spans="1:5">
      <c r="A23" s="7">
        <v>44926</v>
      </c>
      <c r="B23" s="1" t="s">
        <v>77</v>
      </c>
      <c r="C23" s="1">
        <v>1350</v>
      </c>
      <c r="D23" s="1">
        <v>1350</v>
      </c>
    </row>
    <row r="25" spans="1:5">
      <c r="A25" s="1" t="s">
        <v>28</v>
      </c>
      <c r="B25" s="1" t="s">
        <v>22</v>
      </c>
      <c r="C25" s="2">
        <f t="shared" ref="C25:D25" si="8">SUM(C26:C49)</f>
        <v>1293.5</v>
      </c>
      <c r="D25" s="2">
        <f t="shared" si="8"/>
        <v>1278.5</v>
      </c>
    </row>
    <row r="26" spans="1:5">
      <c r="A26" s="7">
        <v>44926</v>
      </c>
      <c r="B26" s="1" t="s">
        <v>78</v>
      </c>
      <c r="C26" s="2">
        <f t="shared" ref="C26:D26" si="9">154/2</f>
        <v>77</v>
      </c>
      <c r="D26" s="2">
        <f t="shared" si="9"/>
        <v>77</v>
      </c>
    </row>
    <row r="27" spans="1:5">
      <c r="A27" s="7">
        <v>44926</v>
      </c>
      <c r="B27" s="1" t="s">
        <v>79</v>
      </c>
      <c r="C27" s="1">
        <v>45</v>
      </c>
      <c r="D27" s="1">
        <v>45</v>
      </c>
    </row>
    <row r="28" spans="1:5">
      <c r="A28" s="7">
        <v>44926</v>
      </c>
      <c r="B28" s="1" t="s">
        <v>80</v>
      </c>
      <c r="C28" s="2">
        <f t="shared" ref="C28:D28" si="10">(45+58)/2</f>
        <v>51.5</v>
      </c>
      <c r="D28" s="2">
        <f t="shared" si="10"/>
        <v>51.5</v>
      </c>
    </row>
    <row r="29" spans="1:5">
      <c r="A29" s="7">
        <v>44926</v>
      </c>
      <c r="B29" s="12" t="s">
        <v>81</v>
      </c>
      <c r="C29" s="2">
        <f t="shared" ref="C29:D29" si="11">81/2</f>
        <v>40.5</v>
      </c>
      <c r="D29" s="2">
        <f t="shared" si="11"/>
        <v>40.5</v>
      </c>
    </row>
    <row r="30" spans="1:5">
      <c r="A30" s="7">
        <v>44926</v>
      </c>
      <c r="B30" s="1" t="s">
        <v>82</v>
      </c>
      <c r="C30" s="2">
        <f t="shared" ref="C30:D30" si="12">35*5/2</f>
        <v>87.5</v>
      </c>
      <c r="D30" s="2">
        <f t="shared" si="12"/>
        <v>87.5</v>
      </c>
    </row>
    <row r="31" spans="1:5">
      <c r="A31" s="7">
        <v>44926</v>
      </c>
      <c r="B31" s="1" t="s">
        <v>83</v>
      </c>
      <c r="C31" s="2">
        <f t="shared" ref="C31:D31" si="13">155/2</f>
        <v>77.5</v>
      </c>
      <c r="D31" s="2">
        <f t="shared" si="13"/>
        <v>77.5</v>
      </c>
    </row>
    <row r="32" spans="1:5">
      <c r="A32" s="7">
        <v>44926</v>
      </c>
      <c r="B32" s="1" t="s">
        <v>84</v>
      </c>
      <c r="C32" s="2">
        <f t="shared" ref="C32:D32" si="14">220/2</f>
        <v>110</v>
      </c>
      <c r="D32" s="2">
        <f t="shared" si="14"/>
        <v>110</v>
      </c>
    </row>
    <row r="33" spans="1:5">
      <c r="A33" s="7">
        <v>44926</v>
      </c>
      <c r="B33" s="1" t="s">
        <v>85</v>
      </c>
      <c r="C33" s="2">
        <f t="shared" ref="C33:D33" si="15">25/2</f>
        <v>12.5</v>
      </c>
      <c r="D33" s="2">
        <f t="shared" si="15"/>
        <v>12.5</v>
      </c>
    </row>
    <row r="34" spans="1:5">
      <c r="A34" s="7">
        <v>44562</v>
      </c>
      <c r="B34" s="1" t="s">
        <v>78</v>
      </c>
      <c r="C34" s="2">
        <f t="shared" ref="C34:D34" si="16">84/2</f>
        <v>42</v>
      </c>
      <c r="D34" s="2">
        <f t="shared" si="16"/>
        <v>42</v>
      </c>
    </row>
    <row r="35" spans="1:5">
      <c r="A35" s="7">
        <v>44562</v>
      </c>
      <c r="B35" s="1" t="s">
        <v>86</v>
      </c>
      <c r="C35" s="1">
        <v>20</v>
      </c>
      <c r="D35" s="1">
        <v>20</v>
      </c>
    </row>
    <row r="36" spans="1:5">
      <c r="A36" s="7">
        <v>44562</v>
      </c>
      <c r="B36" s="12" t="s">
        <v>87</v>
      </c>
      <c r="C36" s="1">
        <v>120</v>
      </c>
      <c r="D36" s="1">
        <v>100</v>
      </c>
    </row>
    <row r="37" spans="1:5">
      <c r="A37" s="7">
        <v>44562</v>
      </c>
      <c r="B37" s="1" t="s">
        <v>88</v>
      </c>
      <c r="C37" s="1">
        <v>250</v>
      </c>
      <c r="D37" s="1">
        <v>250</v>
      </c>
    </row>
    <row r="38" spans="1:5">
      <c r="A38" s="7">
        <v>44562</v>
      </c>
      <c r="B38" s="12" t="s">
        <v>89</v>
      </c>
      <c r="C38" s="1">
        <v>15</v>
      </c>
      <c r="D38" s="1">
        <v>20</v>
      </c>
    </row>
    <row r="39" spans="1:5">
      <c r="A39" s="7">
        <v>44563</v>
      </c>
      <c r="B39" s="1" t="s">
        <v>90</v>
      </c>
      <c r="C39" s="2">
        <f t="shared" ref="C39:D39" si="17">(70+15)/2</f>
        <v>42.5</v>
      </c>
      <c r="D39" s="2">
        <f t="shared" si="17"/>
        <v>42.5</v>
      </c>
    </row>
    <row r="40" spans="1:5">
      <c r="A40" s="7">
        <v>44563</v>
      </c>
      <c r="B40" s="1" t="s">
        <v>91</v>
      </c>
      <c r="C40" s="2">
        <f t="shared" ref="C40:D40" si="18">35/2</f>
        <v>17.5</v>
      </c>
      <c r="D40" s="2">
        <f t="shared" si="18"/>
        <v>17.5</v>
      </c>
    </row>
    <row r="41" spans="1:5">
      <c r="A41" s="7">
        <v>44563</v>
      </c>
      <c r="B41" s="1" t="s">
        <v>92</v>
      </c>
      <c r="C41" s="2">
        <f t="shared" ref="C41:D41" si="19">(75+25)/2</f>
        <v>50</v>
      </c>
      <c r="D41" s="2">
        <f t="shared" si="19"/>
        <v>50</v>
      </c>
    </row>
    <row r="42" spans="1:5">
      <c r="A42" s="7">
        <v>44563</v>
      </c>
      <c r="B42" s="1" t="s">
        <v>93</v>
      </c>
      <c r="C42" s="2">
        <f t="shared" ref="C42:D42" si="20">(30+15)/2</f>
        <v>22.5</v>
      </c>
      <c r="D42" s="2">
        <f t="shared" si="20"/>
        <v>22.5</v>
      </c>
    </row>
    <row r="43" spans="1:5">
      <c r="A43" s="7">
        <v>44563</v>
      </c>
      <c r="B43" s="1" t="s">
        <v>94</v>
      </c>
      <c r="C43" s="2">
        <f t="shared" ref="C43:D43" si="21">55/2</f>
        <v>27.5</v>
      </c>
      <c r="D43" s="2">
        <f t="shared" si="21"/>
        <v>27.5</v>
      </c>
    </row>
    <row r="44" spans="1:5">
      <c r="A44" s="7">
        <v>44563</v>
      </c>
      <c r="B44" s="1" t="s">
        <v>95</v>
      </c>
      <c r="C44" s="2">
        <f t="shared" ref="C44:D44" si="22">(120+200)/2</f>
        <v>160</v>
      </c>
      <c r="D44" s="2">
        <f t="shared" si="22"/>
        <v>160</v>
      </c>
      <c r="E44" s="1" t="s">
        <v>67</v>
      </c>
    </row>
    <row r="45" spans="1:5">
      <c r="A45" s="7">
        <v>44563</v>
      </c>
      <c r="B45" s="1" t="s">
        <v>96</v>
      </c>
      <c r="C45" s="2">
        <f t="shared" ref="C45:D45" si="23">50/2</f>
        <v>25</v>
      </c>
      <c r="D45" s="2">
        <f t="shared" si="23"/>
        <v>25</v>
      </c>
    </row>
    <row r="46" spans="1:5">
      <c r="A46" s="7"/>
    </row>
    <row r="47" spans="1:5">
      <c r="A47" s="7"/>
    </row>
    <row r="48" spans="1:5">
      <c r="A48" s="7"/>
    </row>
    <row r="49" spans="1:1">
      <c r="A49" s="7"/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7"/>
  <sheetViews>
    <sheetView workbookViewId="0"/>
  </sheetViews>
  <sheetFormatPr defaultColWidth="12.5703125" defaultRowHeight="15.75" customHeight="1"/>
  <cols>
    <col min="2" max="2" width="15.42578125" customWidth="1"/>
  </cols>
  <sheetData>
    <row r="1" spans="1:5">
      <c r="A1" s="1" t="s">
        <v>0</v>
      </c>
      <c r="B1" s="1" t="s">
        <v>1</v>
      </c>
      <c r="C1" s="1" t="s">
        <v>97</v>
      </c>
      <c r="D1" s="1" t="s">
        <v>98</v>
      </c>
      <c r="E1" s="1" t="s">
        <v>99</v>
      </c>
    </row>
    <row r="2" spans="1:5">
      <c r="A2" s="1" t="s">
        <v>6</v>
      </c>
      <c r="C2" s="2">
        <f t="shared" ref="C2:D2" si="0">C5+C17+C27+C33</f>
        <v>6789.5</v>
      </c>
      <c r="D2" s="2">
        <f t="shared" si="0"/>
        <v>7303.5</v>
      </c>
    </row>
    <row r="3" spans="1:5">
      <c r="A3" s="1" t="s">
        <v>100</v>
      </c>
      <c r="C3" s="2">
        <f t="shared" ref="C3:D3" si="1">C27+C18+C24</f>
        <v>3491.5</v>
      </c>
      <c r="D3" s="2">
        <f t="shared" si="1"/>
        <v>3491.5</v>
      </c>
    </row>
    <row r="5" spans="1:5">
      <c r="A5" s="1" t="s">
        <v>7</v>
      </c>
      <c r="B5" s="1" t="s">
        <v>22</v>
      </c>
      <c r="C5" s="2">
        <f t="shared" ref="C5:D5" si="2">SUM(C6:C15)</f>
        <v>612.5</v>
      </c>
      <c r="D5" s="2">
        <f t="shared" si="2"/>
        <v>1153.5</v>
      </c>
    </row>
    <row r="6" spans="1:5">
      <c r="A6" s="3">
        <v>44479</v>
      </c>
      <c r="B6" s="4" t="s">
        <v>101</v>
      </c>
      <c r="C6" s="16"/>
      <c r="D6" s="4">
        <f>45*2</f>
        <v>90</v>
      </c>
    </row>
    <row r="7" spans="1:5">
      <c r="A7" s="3">
        <v>44479</v>
      </c>
      <c r="B7" s="4" t="s">
        <v>102</v>
      </c>
      <c r="C7" s="15"/>
      <c r="D7" s="4">
        <v>89</v>
      </c>
    </row>
    <row r="8" spans="1:5">
      <c r="A8" s="3">
        <v>44480</v>
      </c>
      <c r="B8" s="4" t="s">
        <v>103</v>
      </c>
      <c r="C8" s="5">
        <v>120</v>
      </c>
      <c r="D8" s="4"/>
    </row>
    <row r="9" spans="1:5">
      <c r="A9" s="3">
        <v>44480</v>
      </c>
      <c r="B9" s="4" t="s">
        <v>104</v>
      </c>
      <c r="C9" s="5"/>
      <c r="D9" s="15">
        <f>100*2</f>
        <v>200</v>
      </c>
    </row>
    <row r="10" spans="1:5">
      <c r="A10" s="3">
        <v>44480</v>
      </c>
      <c r="B10" s="4" t="s">
        <v>105</v>
      </c>
      <c r="C10" s="15"/>
      <c r="D10" s="5">
        <v>170</v>
      </c>
    </row>
    <row r="11" spans="1:5">
      <c r="A11" s="3">
        <v>44480</v>
      </c>
      <c r="B11" s="11" t="s">
        <v>106</v>
      </c>
      <c r="C11" s="15"/>
      <c r="D11" s="5">
        <v>150</v>
      </c>
    </row>
    <row r="12" spans="1:5">
      <c r="A12" s="3">
        <v>44480</v>
      </c>
      <c r="B12" s="4" t="s">
        <v>107</v>
      </c>
      <c r="C12" s="15"/>
      <c r="D12" s="5">
        <v>2</v>
      </c>
    </row>
    <row r="13" spans="1:5">
      <c r="A13" s="3">
        <v>44481</v>
      </c>
      <c r="B13" s="4" t="s">
        <v>108</v>
      </c>
      <c r="C13" s="5">
        <v>160</v>
      </c>
      <c r="D13" s="5"/>
    </row>
    <row r="14" spans="1:5">
      <c r="A14" s="3">
        <v>44542</v>
      </c>
      <c r="B14" s="4" t="s">
        <v>109</v>
      </c>
      <c r="C14" s="15">
        <f t="shared" ref="C14:D14" si="3">545/2</f>
        <v>272.5</v>
      </c>
      <c r="D14" s="15">
        <f t="shared" si="3"/>
        <v>272.5</v>
      </c>
    </row>
    <row r="15" spans="1:5">
      <c r="A15" s="7">
        <v>44542</v>
      </c>
      <c r="B15" s="1" t="s">
        <v>110</v>
      </c>
      <c r="C15" s="1">
        <v>60</v>
      </c>
      <c r="D15" s="2">
        <f>60+120</f>
        <v>180</v>
      </c>
    </row>
    <row r="16" spans="1:5">
      <c r="A16" s="7"/>
    </row>
    <row r="17" spans="1:5">
      <c r="A17" s="1" t="s">
        <v>21</v>
      </c>
      <c r="B17" s="1" t="s">
        <v>22</v>
      </c>
      <c r="C17" s="2">
        <f t="shared" ref="C17:D17" si="4">SUM(C18:C25)</f>
        <v>2548</v>
      </c>
      <c r="D17" s="2">
        <f t="shared" si="4"/>
        <v>2528</v>
      </c>
    </row>
    <row r="18" spans="1:5">
      <c r="A18" s="7">
        <v>44478</v>
      </c>
      <c r="B18" s="1" t="s">
        <v>111</v>
      </c>
      <c r="C18" s="2">
        <f t="shared" ref="C18:D18" si="5">2304/2</f>
        <v>1152</v>
      </c>
      <c r="D18" s="2">
        <f t="shared" si="5"/>
        <v>1152</v>
      </c>
    </row>
    <row r="19" spans="1:5">
      <c r="A19" s="7">
        <v>44478</v>
      </c>
      <c r="B19" s="1" t="s">
        <v>112</v>
      </c>
      <c r="C19" s="2">
        <f>196/2+20</f>
        <v>118</v>
      </c>
      <c r="D19" s="2">
        <f>196/2</f>
        <v>98</v>
      </c>
    </row>
    <row r="20" spans="1:5">
      <c r="A20" s="7">
        <v>44478</v>
      </c>
      <c r="B20" s="1" t="s">
        <v>113</v>
      </c>
      <c r="C20" s="2">
        <f t="shared" ref="C20:D20" si="6">200/2</f>
        <v>100</v>
      </c>
      <c r="D20" s="2">
        <f t="shared" si="6"/>
        <v>100</v>
      </c>
      <c r="E20" s="1" t="s">
        <v>69</v>
      </c>
    </row>
    <row r="21" spans="1:5">
      <c r="A21" s="7">
        <v>44478</v>
      </c>
      <c r="B21" s="1" t="s">
        <v>114</v>
      </c>
      <c r="C21" s="2">
        <f t="shared" ref="C21:D21" si="7">(800+450)/2</f>
        <v>625</v>
      </c>
      <c r="D21" s="2">
        <f t="shared" si="7"/>
        <v>625</v>
      </c>
    </row>
    <row r="22" spans="1:5">
      <c r="A22" s="7">
        <v>44478</v>
      </c>
      <c r="B22" s="1" t="s">
        <v>75</v>
      </c>
      <c r="C22" s="2">
        <f t="shared" ref="C22:D22" si="8">(100+50)/2</f>
        <v>75</v>
      </c>
      <c r="D22" s="2">
        <f t="shared" si="8"/>
        <v>75</v>
      </c>
    </row>
    <row r="23" spans="1:5">
      <c r="A23" s="7">
        <v>44479</v>
      </c>
      <c r="B23" s="12" t="s">
        <v>115</v>
      </c>
      <c r="C23" s="2">
        <f t="shared" ref="C23:D23" si="9">150/2</f>
        <v>75</v>
      </c>
      <c r="D23" s="2">
        <f t="shared" si="9"/>
        <v>75</v>
      </c>
    </row>
    <row r="24" spans="1:5">
      <c r="A24" s="7">
        <v>44481</v>
      </c>
      <c r="B24" s="1" t="s">
        <v>116</v>
      </c>
      <c r="C24" s="2">
        <f t="shared" ref="C24:D24" si="10">392+11</f>
        <v>403</v>
      </c>
      <c r="D24" s="2">
        <f t="shared" si="10"/>
        <v>403</v>
      </c>
    </row>
    <row r="25" spans="1:5">
      <c r="A25" s="7">
        <v>44481</v>
      </c>
      <c r="B25" s="1" t="s">
        <v>117</v>
      </c>
      <c r="C25" s="1">
        <v>0</v>
      </c>
      <c r="D25" s="1">
        <v>0</v>
      </c>
    </row>
    <row r="27" spans="1:5">
      <c r="A27" s="1" t="s">
        <v>26</v>
      </c>
      <c r="B27" s="1" t="s">
        <v>22</v>
      </c>
      <c r="C27" s="2">
        <f t="shared" ref="C27:D27" si="11">SUM(C28:C30)</f>
        <v>1936.5</v>
      </c>
      <c r="D27" s="2">
        <f t="shared" si="11"/>
        <v>1936.5</v>
      </c>
    </row>
    <row r="28" spans="1:5">
      <c r="A28" s="7">
        <v>44478</v>
      </c>
      <c r="B28" s="1" t="s">
        <v>118</v>
      </c>
      <c r="C28" s="1">
        <f t="shared" ref="C28:D28" si="12">1260/2</f>
        <v>630</v>
      </c>
      <c r="D28" s="1">
        <f t="shared" si="12"/>
        <v>630</v>
      </c>
    </row>
    <row r="29" spans="1:5">
      <c r="A29" s="7">
        <v>44479</v>
      </c>
      <c r="B29" s="1" t="s">
        <v>119</v>
      </c>
      <c r="C29" s="2">
        <f t="shared" ref="C29:D29" si="13">1440/2</f>
        <v>720</v>
      </c>
      <c r="D29" s="2">
        <f t="shared" si="13"/>
        <v>720</v>
      </c>
    </row>
    <row r="30" spans="1:5">
      <c r="A30" s="7">
        <v>44480</v>
      </c>
      <c r="B30" s="1" t="s">
        <v>120</v>
      </c>
      <c r="C30" s="2">
        <f t="shared" ref="C30:D30" si="14">1173/2</f>
        <v>586.5</v>
      </c>
      <c r="D30" s="2">
        <f t="shared" si="14"/>
        <v>586.5</v>
      </c>
    </row>
    <row r="33" spans="1:5">
      <c r="A33" s="1" t="s">
        <v>121</v>
      </c>
      <c r="B33" s="1" t="s">
        <v>22</v>
      </c>
      <c r="C33" s="2">
        <f t="shared" ref="C33:D33" si="15">SUM(C34:C57)</f>
        <v>1692.5</v>
      </c>
      <c r="D33" s="2">
        <f t="shared" si="15"/>
        <v>1685.5</v>
      </c>
    </row>
    <row r="34" spans="1:5">
      <c r="A34" s="7">
        <v>44478</v>
      </c>
      <c r="B34" s="1" t="s">
        <v>122</v>
      </c>
      <c r="C34" s="2">
        <f t="shared" ref="C34:D34" si="16">(43+71)/2</f>
        <v>57</v>
      </c>
      <c r="D34" s="2">
        <f t="shared" si="16"/>
        <v>57</v>
      </c>
      <c r="E34" s="1" t="s">
        <v>69</v>
      </c>
    </row>
    <row r="35" spans="1:5">
      <c r="A35" s="7">
        <v>44478</v>
      </c>
      <c r="B35" s="1" t="s">
        <v>123</v>
      </c>
      <c r="C35" s="2">
        <f t="shared" ref="C35:D35" si="17">445/2</f>
        <v>222.5</v>
      </c>
      <c r="D35" s="2">
        <f t="shared" si="17"/>
        <v>222.5</v>
      </c>
      <c r="E35" s="1" t="s">
        <v>69</v>
      </c>
    </row>
    <row r="36" spans="1:5">
      <c r="A36" s="7">
        <v>44478</v>
      </c>
      <c r="B36" s="12" t="s">
        <v>124</v>
      </c>
      <c r="C36" s="2">
        <f t="shared" ref="C36:D36" si="18">50/2</f>
        <v>25</v>
      </c>
      <c r="D36" s="2">
        <f t="shared" si="18"/>
        <v>25</v>
      </c>
    </row>
    <row r="37" spans="1:5">
      <c r="A37" s="7">
        <v>44478</v>
      </c>
      <c r="B37" s="1" t="s">
        <v>125</v>
      </c>
      <c r="C37" s="1">
        <v>50</v>
      </c>
      <c r="D37" s="1">
        <v>40</v>
      </c>
    </row>
    <row r="38" spans="1:5">
      <c r="A38" s="7">
        <v>44478</v>
      </c>
      <c r="B38" s="1" t="s">
        <v>126</v>
      </c>
      <c r="C38" s="2">
        <f t="shared" ref="C38:D38" si="19">130/2</f>
        <v>65</v>
      </c>
      <c r="D38" s="2">
        <f t="shared" si="19"/>
        <v>65</v>
      </c>
    </row>
    <row r="39" spans="1:5">
      <c r="A39" s="7">
        <v>44478</v>
      </c>
      <c r="B39" s="1" t="s">
        <v>127</v>
      </c>
      <c r="C39" s="2">
        <f t="shared" ref="C39:D39" si="20">246/2</f>
        <v>123</v>
      </c>
      <c r="D39" s="2">
        <f t="shared" si="20"/>
        <v>123</v>
      </c>
    </row>
    <row r="40" spans="1:5">
      <c r="A40" s="7">
        <v>44479</v>
      </c>
      <c r="B40" s="1" t="s">
        <v>128</v>
      </c>
      <c r="C40" s="2">
        <f t="shared" ref="C40:D40" si="21">90/2</f>
        <v>45</v>
      </c>
      <c r="D40" s="2">
        <f t="shared" si="21"/>
        <v>45</v>
      </c>
    </row>
    <row r="41" spans="1:5">
      <c r="A41" s="7">
        <v>44479</v>
      </c>
      <c r="B41" s="1" t="s">
        <v>129</v>
      </c>
      <c r="C41" s="2">
        <f t="shared" ref="C41:D41" si="22">210/2</f>
        <v>105</v>
      </c>
      <c r="D41" s="2">
        <f t="shared" si="22"/>
        <v>105</v>
      </c>
    </row>
    <row r="42" spans="1:5">
      <c r="A42" s="7">
        <v>44479</v>
      </c>
      <c r="B42" s="1" t="s">
        <v>130</v>
      </c>
      <c r="C42" s="2">
        <f t="shared" ref="C42:D42" si="23">10/2</f>
        <v>5</v>
      </c>
      <c r="D42" s="2">
        <f t="shared" si="23"/>
        <v>5</v>
      </c>
    </row>
    <row r="43" spans="1:5">
      <c r="A43" s="7">
        <v>44479</v>
      </c>
      <c r="B43" s="1" t="s">
        <v>131</v>
      </c>
      <c r="C43" s="1">
        <v>32</v>
      </c>
      <c r="D43" s="2">
        <f>20+15</f>
        <v>35</v>
      </c>
    </row>
    <row r="44" spans="1:5">
      <c r="A44" s="7">
        <v>44479</v>
      </c>
      <c r="B44" s="12" t="s">
        <v>132</v>
      </c>
      <c r="C44" s="2">
        <f t="shared" ref="C44:D44" si="24">115/2</f>
        <v>57.5</v>
      </c>
      <c r="D44" s="2">
        <f t="shared" si="24"/>
        <v>57.5</v>
      </c>
    </row>
    <row r="45" spans="1:5">
      <c r="A45" s="7">
        <v>44479</v>
      </c>
      <c r="B45" s="12" t="s">
        <v>133</v>
      </c>
      <c r="C45" s="2">
        <f t="shared" ref="C45:D45" si="25">50/2</f>
        <v>25</v>
      </c>
      <c r="D45" s="2">
        <f t="shared" si="25"/>
        <v>25</v>
      </c>
    </row>
    <row r="46" spans="1:5">
      <c r="A46" s="7">
        <v>44479</v>
      </c>
      <c r="B46" s="1" t="s">
        <v>134</v>
      </c>
      <c r="C46" s="2">
        <f t="shared" ref="C46:D46" si="26">350/2</f>
        <v>175</v>
      </c>
      <c r="D46" s="2">
        <f t="shared" si="26"/>
        <v>175</v>
      </c>
    </row>
    <row r="47" spans="1:5">
      <c r="A47" s="7">
        <v>44479</v>
      </c>
      <c r="B47" s="1" t="s">
        <v>135</v>
      </c>
      <c r="C47" s="2">
        <f t="shared" ref="C47:D47" si="27">50/2</f>
        <v>25</v>
      </c>
      <c r="D47" s="2">
        <f t="shared" si="27"/>
        <v>25</v>
      </c>
    </row>
    <row r="48" spans="1:5">
      <c r="A48" s="7">
        <v>44480</v>
      </c>
      <c r="B48" s="1" t="s">
        <v>136</v>
      </c>
      <c r="C48" s="1">
        <v>28</v>
      </c>
      <c r="D48" s="1">
        <v>28</v>
      </c>
    </row>
    <row r="49" spans="1:4">
      <c r="A49" s="7">
        <v>44480</v>
      </c>
      <c r="B49" s="1" t="s">
        <v>137</v>
      </c>
      <c r="C49" s="1">
        <v>20</v>
      </c>
      <c r="D49" s="1">
        <v>20</v>
      </c>
    </row>
    <row r="50" spans="1:4">
      <c r="A50" s="7">
        <v>44480</v>
      </c>
      <c r="B50" s="1" t="s">
        <v>132</v>
      </c>
      <c r="C50" s="2">
        <f t="shared" ref="C50:D50" si="28">140/2</f>
        <v>70</v>
      </c>
      <c r="D50" s="2">
        <f t="shared" si="28"/>
        <v>70</v>
      </c>
    </row>
    <row r="51" spans="1:4">
      <c r="A51" s="7">
        <v>44480</v>
      </c>
      <c r="B51" s="1" t="s">
        <v>138</v>
      </c>
      <c r="C51" s="2">
        <f t="shared" ref="C51:D51" si="29">280/2</f>
        <v>140</v>
      </c>
      <c r="D51" s="2">
        <f t="shared" si="29"/>
        <v>140</v>
      </c>
    </row>
    <row r="52" spans="1:4">
      <c r="A52" s="7">
        <v>44480</v>
      </c>
      <c r="B52" s="1" t="s">
        <v>139</v>
      </c>
      <c r="C52" s="2">
        <f t="shared" ref="C52:D52" si="30">231/2</f>
        <v>115.5</v>
      </c>
      <c r="D52" s="2">
        <f t="shared" si="30"/>
        <v>115.5</v>
      </c>
    </row>
    <row r="53" spans="1:4">
      <c r="A53" s="7">
        <v>44480</v>
      </c>
      <c r="B53" s="1" t="s">
        <v>140</v>
      </c>
      <c r="C53" s="1">
        <v>20</v>
      </c>
      <c r="D53" s="1">
        <v>20</v>
      </c>
    </row>
    <row r="54" spans="1:4">
      <c r="A54" s="7">
        <v>44481</v>
      </c>
      <c r="B54" s="1" t="s">
        <v>141</v>
      </c>
      <c r="C54" s="2">
        <f t="shared" ref="C54:D54" si="31">95/2</f>
        <v>47.5</v>
      </c>
      <c r="D54" s="2">
        <f t="shared" si="31"/>
        <v>47.5</v>
      </c>
    </row>
    <row r="55" spans="1:4">
      <c r="A55" s="7">
        <v>44481</v>
      </c>
      <c r="B55" s="1" t="s">
        <v>142</v>
      </c>
      <c r="C55" s="2">
        <f t="shared" ref="C55:D55" si="32">85/2</f>
        <v>42.5</v>
      </c>
      <c r="D55" s="2">
        <f t="shared" si="32"/>
        <v>42.5</v>
      </c>
    </row>
    <row r="56" spans="1:4">
      <c r="A56" s="7">
        <v>44481</v>
      </c>
      <c r="B56" s="1" t="s">
        <v>129</v>
      </c>
      <c r="C56" s="2">
        <f t="shared" ref="C56:D56" si="33">270/2</f>
        <v>135</v>
      </c>
      <c r="D56" s="2">
        <f t="shared" si="33"/>
        <v>135</v>
      </c>
    </row>
    <row r="57" spans="1:4">
      <c r="A57" s="7">
        <v>44481</v>
      </c>
      <c r="B57" s="1" t="s">
        <v>135</v>
      </c>
      <c r="C57" s="2">
        <f t="shared" ref="C57:D57" si="34">124/2</f>
        <v>62</v>
      </c>
      <c r="D57" s="2">
        <f t="shared" si="34"/>
        <v>62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4"/>
  <sheetViews>
    <sheetView workbookViewId="0"/>
  </sheetViews>
  <sheetFormatPr defaultColWidth="12.5703125" defaultRowHeight="15.75" customHeight="1"/>
  <sheetData>
    <row r="1" spans="1:5">
      <c r="A1" s="1" t="s">
        <v>0</v>
      </c>
      <c r="B1" s="1" t="s">
        <v>1</v>
      </c>
      <c r="C1" s="1" t="s">
        <v>97</v>
      </c>
      <c r="D1" s="1" t="s">
        <v>98</v>
      </c>
      <c r="E1" s="1" t="s">
        <v>99</v>
      </c>
    </row>
    <row r="2" spans="1:5">
      <c r="A2" s="1" t="s">
        <v>6</v>
      </c>
      <c r="C2" s="2">
        <f t="shared" ref="C2:D2" si="0">C5+C12+C25+C31</f>
        <v>8992.5</v>
      </c>
      <c r="D2" s="2">
        <f t="shared" si="0"/>
        <v>10122.5</v>
      </c>
    </row>
    <row r="3" spans="1:5">
      <c r="A3" s="1" t="s">
        <v>143</v>
      </c>
      <c r="C3" s="2">
        <f t="shared" ref="C3:D3" si="1">C13+C22+C25+C16</f>
        <v>5138</v>
      </c>
      <c r="D3" s="2">
        <f t="shared" si="1"/>
        <v>5138</v>
      </c>
    </row>
    <row r="5" spans="1:5">
      <c r="A5" s="1" t="s">
        <v>7</v>
      </c>
      <c r="B5" s="1" t="s">
        <v>8</v>
      </c>
      <c r="C5" s="2">
        <f t="shared" ref="C5:D5" si="2">SUM(C8:C10)</f>
        <v>320</v>
      </c>
      <c r="D5" s="2">
        <f t="shared" si="2"/>
        <v>1450</v>
      </c>
    </row>
    <row r="6" spans="1:5">
      <c r="A6" s="17">
        <v>44256</v>
      </c>
      <c r="B6" s="4" t="s">
        <v>144</v>
      </c>
      <c r="C6" s="16">
        <f>280*2</f>
        <v>560</v>
      </c>
      <c r="D6" s="13"/>
    </row>
    <row r="7" spans="1:5">
      <c r="A7" s="3">
        <v>44257</v>
      </c>
      <c r="B7" s="4" t="s">
        <v>145</v>
      </c>
      <c r="C7" s="15">
        <f>360+380+360</f>
        <v>1100</v>
      </c>
      <c r="D7" s="14"/>
    </row>
    <row r="8" spans="1:5">
      <c r="A8" s="17">
        <v>44256</v>
      </c>
      <c r="B8" s="4" t="s">
        <v>146</v>
      </c>
      <c r="C8" s="15">
        <v>120</v>
      </c>
      <c r="D8" s="14"/>
    </row>
    <row r="9" spans="1:5">
      <c r="A9" s="17">
        <v>44257</v>
      </c>
      <c r="B9" s="14" t="s">
        <v>147</v>
      </c>
      <c r="C9" s="5">
        <v>0</v>
      </c>
      <c r="D9" s="15">
        <v>650</v>
      </c>
    </row>
    <row r="10" spans="1:5">
      <c r="A10" s="17">
        <v>44257</v>
      </c>
      <c r="B10" s="14" t="s">
        <v>148</v>
      </c>
      <c r="C10" s="15">
        <v>200</v>
      </c>
      <c r="D10" s="15">
        <f>200*4</f>
        <v>800</v>
      </c>
    </row>
    <row r="12" spans="1:5">
      <c r="A12" s="1" t="s">
        <v>21</v>
      </c>
      <c r="B12" s="1" t="s">
        <v>22</v>
      </c>
      <c r="C12" s="2">
        <f t="shared" ref="C12:D12" si="3">SUM(C13:C22)</f>
        <v>3658.5</v>
      </c>
      <c r="D12" s="2">
        <f t="shared" si="3"/>
        <v>3658.5</v>
      </c>
    </row>
    <row r="13" spans="1:5">
      <c r="A13" s="7">
        <v>44253</v>
      </c>
      <c r="B13" s="1" t="s">
        <v>149</v>
      </c>
      <c r="C13" s="1">
        <v>788</v>
      </c>
      <c r="D13" s="1">
        <v>788</v>
      </c>
    </row>
    <row r="14" spans="1:5">
      <c r="A14" s="7">
        <v>44253</v>
      </c>
      <c r="B14" s="1" t="s">
        <v>150</v>
      </c>
      <c r="C14" s="1">
        <v>92</v>
      </c>
      <c r="D14" s="1">
        <v>92</v>
      </c>
    </row>
    <row r="15" spans="1:5">
      <c r="A15" s="7">
        <v>44252</v>
      </c>
      <c r="B15" s="1" t="s">
        <v>151</v>
      </c>
      <c r="C15" s="1">
        <v>106</v>
      </c>
      <c r="D15" s="1">
        <v>106</v>
      </c>
    </row>
    <row r="16" spans="1:5">
      <c r="A16" s="7">
        <v>44254</v>
      </c>
      <c r="B16" s="1" t="s">
        <v>152</v>
      </c>
      <c r="C16" s="2">
        <f t="shared" ref="C16:D16" si="4">200+250*2</f>
        <v>700</v>
      </c>
      <c r="D16" s="2">
        <f t="shared" si="4"/>
        <v>700</v>
      </c>
    </row>
    <row r="17" spans="1:5">
      <c r="A17" s="7">
        <v>44255</v>
      </c>
      <c r="B17" s="1" t="s">
        <v>153</v>
      </c>
      <c r="C17" s="2">
        <f t="shared" ref="C17:D17" si="5">175+80</f>
        <v>255</v>
      </c>
      <c r="D17" s="2">
        <f t="shared" si="5"/>
        <v>255</v>
      </c>
    </row>
    <row r="18" spans="1:5">
      <c r="A18" s="7">
        <v>44255</v>
      </c>
      <c r="B18" s="1" t="s">
        <v>154</v>
      </c>
      <c r="C18" s="1">
        <v>300</v>
      </c>
      <c r="D18" s="1">
        <v>300</v>
      </c>
      <c r="E18" s="1" t="s">
        <v>69</v>
      </c>
    </row>
    <row r="19" spans="1:5">
      <c r="A19" s="7">
        <v>44256</v>
      </c>
      <c r="B19" s="1" t="s">
        <v>155</v>
      </c>
      <c r="C19" s="1">
        <v>80</v>
      </c>
      <c r="D19" s="1">
        <v>80</v>
      </c>
    </row>
    <row r="20" spans="1:5">
      <c r="A20" s="7">
        <v>44257</v>
      </c>
      <c r="B20" s="1" t="s">
        <v>156</v>
      </c>
      <c r="C20" s="1">
        <v>80</v>
      </c>
      <c r="D20" s="1">
        <v>80</v>
      </c>
    </row>
    <row r="21" spans="1:5">
      <c r="A21" s="7">
        <v>44257</v>
      </c>
      <c r="B21" s="1" t="s">
        <v>113</v>
      </c>
      <c r="C21" s="2">
        <f t="shared" ref="C21:D21" si="6">(320+375)/2</f>
        <v>347.5</v>
      </c>
      <c r="D21" s="2">
        <f t="shared" si="6"/>
        <v>347.5</v>
      </c>
    </row>
    <row r="22" spans="1:5">
      <c r="A22" s="7">
        <v>44257</v>
      </c>
      <c r="B22" s="1" t="s">
        <v>157</v>
      </c>
      <c r="C22" s="1">
        <v>910</v>
      </c>
      <c r="D22" s="1">
        <v>910</v>
      </c>
    </row>
    <row r="25" spans="1:5">
      <c r="A25" s="1" t="s">
        <v>26</v>
      </c>
      <c r="B25" s="1" t="s">
        <v>22</v>
      </c>
      <c r="C25" s="2">
        <f t="shared" ref="C25:D25" si="7">SUM(C26:C28)</f>
        <v>2740</v>
      </c>
      <c r="D25" s="2">
        <f t="shared" si="7"/>
        <v>2740</v>
      </c>
    </row>
    <row r="26" spans="1:5">
      <c r="A26" s="7">
        <v>44254</v>
      </c>
      <c r="B26" s="1" t="s">
        <v>158</v>
      </c>
      <c r="C26" s="1">
        <v>1100</v>
      </c>
      <c r="D26" s="1">
        <v>1100</v>
      </c>
    </row>
    <row r="27" spans="1:5">
      <c r="A27" s="7">
        <v>44255</v>
      </c>
      <c r="B27" s="1" t="s">
        <v>159</v>
      </c>
      <c r="C27" s="2">
        <f t="shared" ref="C27:D27" si="8">1680/2</f>
        <v>840</v>
      </c>
      <c r="D27" s="2">
        <f t="shared" si="8"/>
        <v>840</v>
      </c>
    </row>
    <row r="28" spans="1:5">
      <c r="A28" s="7">
        <v>44256</v>
      </c>
      <c r="B28" s="1" t="s">
        <v>160</v>
      </c>
      <c r="C28" s="2">
        <f t="shared" ref="C28:D28" si="9">1600/2</f>
        <v>800</v>
      </c>
      <c r="D28" s="2">
        <f t="shared" si="9"/>
        <v>800</v>
      </c>
    </row>
    <row r="31" spans="1:5">
      <c r="A31" s="1" t="s">
        <v>28</v>
      </c>
      <c r="B31" s="1" t="s">
        <v>22</v>
      </c>
      <c r="C31" s="2">
        <f t="shared" ref="C31:D31" si="10">SUM(C32:C54)</f>
        <v>2274</v>
      </c>
      <c r="D31" s="2">
        <f t="shared" si="10"/>
        <v>2274</v>
      </c>
    </row>
    <row r="32" spans="1:5">
      <c r="A32" s="7">
        <v>44253</v>
      </c>
      <c r="B32" s="1" t="s">
        <v>161</v>
      </c>
      <c r="C32" s="1">
        <v>240</v>
      </c>
      <c r="D32" s="1">
        <v>240</v>
      </c>
      <c r="E32" s="1" t="s">
        <v>69</v>
      </c>
    </row>
    <row r="33" spans="1:4">
      <c r="A33" s="7">
        <v>44253</v>
      </c>
      <c r="B33" s="1" t="s">
        <v>162</v>
      </c>
      <c r="C33" s="2">
        <f t="shared" ref="C33:D33" si="11">40/2</f>
        <v>20</v>
      </c>
      <c r="D33" s="2">
        <f t="shared" si="11"/>
        <v>20</v>
      </c>
    </row>
    <row r="34" spans="1:4">
      <c r="A34" s="7">
        <v>44254</v>
      </c>
      <c r="B34" s="12" t="s">
        <v>163</v>
      </c>
      <c r="C34" s="2">
        <f t="shared" ref="C34:D34" si="12">235/2</f>
        <v>117.5</v>
      </c>
      <c r="D34" s="2">
        <f t="shared" si="12"/>
        <v>117.5</v>
      </c>
    </row>
    <row r="35" spans="1:4">
      <c r="A35" s="7">
        <v>44254</v>
      </c>
      <c r="B35" s="1" t="s">
        <v>164</v>
      </c>
      <c r="C35" s="2">
        <f t="shared" ref="C35:D35" si="13">(125+105)/2</f>
        <v>115</v>
      </c>
      <c r="D35" s="2">
        <f t="shared" si="13"/>
        <v>115</v>
      </c>
    </row>
    <row r="36" spans="1:4">
      <c r="A36" s="7">
        <v>44254</v>
      </c>
      <c r="B36" s="1" t="s">
        <v>165</v>
      </c>
      <c r="C36" s="2">
        <f t="shared" ref="C36:D36" si="14">(40+38+70)/2</f>
        <v>74</v>
      </c>
      <c r="D36" s="2">
        <f t="shared" si="14"/>
        <v>74</v>
      </c>
    </row>
    <row r="37" spans="1:4">
      <c r="A37" s="7">
        <v>44255</v>
      </c>
      <c r="B37" s="1" t="s">
        <v>166</v>
      </c>
      <c r="C37" s="2">
        <f t="shared" ref="C37:D37" si="15">80/2</f>
        <v>40</v>
      </c>
      <c r="D37" s="2">
        <f t="shared" si="15"/>
        <v>40</v>
      </c>
    </row>
    <row r="38" spans="1:4">
      <c r="A38" s="7">
        <v>44255</v>
      </c>
      <c r="B38" s="1" t="s">
        <v>167</v>
      </c>
      <c r="C38" s="2">
        <f t="shared" ref="C38:D38" si="16">(690+40)/2</f>
        <v>365</v>
      </c>
      <c r="D38" s="2">
        <f t="shared" si="16"/>
        <v>365</v>
      </c>
    </row>
    <row r="39" spans="1:4">
      <c r="A39" s="7">
        <v>44255</v>
      </c>
      <c r="B39" s="1" t="s">
        <v>168</v>
      </c>
      <c r="C39" s="1">
        <v>110</v>
      </c>
      <c r="D39" s="1">
        <v>110</v>
      </c>
    </row>
    <row r="40" spans="1:4">
      <c r="A40" s="7">
        <v>44255</v>
      </c>
      <c r="B40" s="1" t="s">
        <v>169</v>
      </c>
      <c r="C40" s="2">
        <f t="shared" ref="C40:D40" si="17">(110+100)/2</f>
        <v>105</v>
      </c>
      <c r="D40" s="2">
        <f t="shared" si="17"/>
        <v>105</v>
      </c>
    </row>
    <row r="41" spans="1:4">
      <c r="A41" s="7">
        <v>44255</v>
      </c>
      <c r="B41" s="12" t="s">
        <v>170</v>
      </c>
      <c r="C41" s="1">
        <v>20</v>
      </c>
      <c r="D41" s="1">
        <v>20</v>
      </c>
    </row>
    <row r="42" spans="1:4">
      <c r="A42" s="7">
        <v>44256</v>
      </c>
      <c r="B42" s="1" t="s">
        <v>171</v>
      </c>
      <c r="C42" s="1">
        <v>50</v>
      </c>
      <c r="D42" s="1">
        <v>50</v>
      </c>
    </row>
    <row r="43" spans="1:4">
      <c r="A43" s="7">
        <v>44256</v>
      </c>
      <c r="B43" s="12" t="s">
        <v>172</v>
      </c>
      <c r="C43" s="2">
        <f t="shared" ref="C43:D43" si="18">60/2</f>
        <v>30</v>
      </c>
      <c r="D43" s="2">
        <f t="shared" si="18"/>
        <v>30</v>
      </c>
    </row>
    <row r="44" spans="1:4">
      <c r="A44" s="7">
        <v>44256</v>
      </c>
      <c r="B44" s="1" t="s">
        <v>173</v>
      </c>
      <c r="C44" s="2">
        <f t="shared" ref="C44:D44" si="19">60/2</f>
        <v>30</v>
      </c>
      <c r="D44" s="2">
        <f t="shared" si="19"/>
        <v>30</v>
      </c>
    </row>
    <row r="45" spans="1:4">
      <c r="A45" s="7">
        <v>44256</v>
      </c>
      <c r="B45" s="1" t="s">
        <v>174</v>
      </c>
      <c r="C45" s="1">
        <v>25</v>
      </c>
      <c r="D45" s="1">
        <v>25</v>
      </c>
    </row>
    <row r="46" spans="1:4">
      <c r="A46" s="7">
        <v>44256</v>
      </c>
      <c r="B46" s="1" t="s">
        <v>163</v>
      </c>
      <c r="C46" s="2">
        <f t="shared" ref="C46:D46" si="20">560/2</f>
        <v>280</v>
      </c>
      <c r="D46" s="2">
        <f t="shared" si="20"/>
        <v>280</v>
      </c>
    </row>
    <row r="47" spans="1:4">
      <c r="A47" s="7">
        <v>44256</v>
      </c>
      <c r="B47" s="1" t="s">
        <v>175</v>
      </c>
      <c r="C47" s="2">
        <f t="shared" ref="C47:D47" si="21">140/2</f>
        <v>70</v>
      </c>
      <c r="D47" s="2">
        <f t="shared" si="21"/>
        <v>70</v>
      </c>
    </row>
    <row r="48" spans="1:4">
      <c r="A48" s="7">
        <v>44256</v>
      </c>
      <c r="B48" s="1" t="s">
        <v>176</v>
      </c>
      <c r="C48" s="2">
        <f t="shared" ref="C48:D48" si="22">30/2</f>
        <v>15</v>
      </c>
      <c r="D48" s="2">
        <f t="shared" si="22"/>
        <v>15</v>
      </c>
    </row>
    <row r="49" spans="1:4">
      <c r="A49" s="7">
        <v>44256</v>
      </c>
      <c r="B49" s="1" t="s">
        <v>177</v>
      </c>
      <c r="C49" s="1">
        <v>300</v>
      </c>
      <c r="D49" s="1">
        <v>300</v>
      </c>
    </row>
    <row r="50" spans="1:4">
      <c r="A50" s="7">
        <v>44257</v>
      </c>
      <c r="B50" s="1" t="s">
        <v>178</v>
      </c>
      <c r="C50" s="1">
        <v>15</v>
      </c>
      <c r="D50" s="1">
        <v>15</v>
      </c>
    </row>
    <row r="51" spans="1:4">
      <c r="A51" s="7">
        <v>44257</v>
      </c>
      <c r="B51" s="1" t="s">
        <v>179</v>
      </c>
      <c r="C51" s="2">
        <f t="shared" ref="C51:D51" si="23">(50+35)/2</f>
        <v>42.5</v>
      </c>
      <c r="D51" s="2">
        <f t="shared" si="23"/>
        <v>42.5</v>
      </c>
    </row>
    <row r="52" spans="1:4">
      <c r="A52" s="7">
        <v>44257</v>
      </c>
      <c r="B52" s="1" t="s">
        <v>175</v>
      </c>
      <c r="C52" s="2">
        <f t="shared" ref="C52:D52" si="24">160/2</f>
        <v>80</v>
      </c>
      <c r="D52" s="2">
        <f t="shared" si="24"/>
        <v>80</v>
      </c>
    </row>
    <row r="53" spans="1:4">
      <c r="A53" s="7">
        <v>44257</v>
      </c>
      <c r="B53" s="1" t="s">
        <v>180</v>
      </c>
      <c r="C53" s="1">
        <v>105</v>
      </c>
      <c r="D53" s="1">
        <v>105</v>
      </c>
    </row>
    <row r="54" spans="1:4">
      <c r="A54" s="7">
        <v>44257</v>
      </c>
      <c r="B54" s="1" t="s">
        <v>181</v>
      </c>
      <c r="C54" s="1">
        <v>25</v>
      </c>
      <c r="D54" s="1">
        <v>25</v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環球影城 2023-11-4</vt:lpstr>
      <vt:lpstr>東京 2023-3-18</vt:lpstr>
      <vt:lpstr>花蓮 2022-10-28</vt:lpstr>
      <vt:lpstr>台南 2022-04-30</vt:lpstr>
      <vt:lpstr>金門 2021-12-31</vt:lpstr>
      <vt:lpstr>台東 2021-10-09</vt:lpstr>
      <vt:lpstr>馬祖 2021-02-26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 Lin</cp:lastModifiedBy>
  <dcterms:modified xsi:type="dcterms:W3CDTF">2023-11-11T17:43:18Z</dcterms:modified>
</cp:coreProperties>
</file>