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wooliver/Library/CloudStorage/GoogleDrive-rwoolive@utk.edu/My Drive/*1_UTK-postdoc_2020-/People/Neupane_Avi/microplastic data/"/>
    </mc:Choice>
  </mc:AlternateContent>
  <xr:revisionPtr revIDLastSave="0" documentId="13_ncr:1_{193C03A4-B1CD-4E43-AE11-3F7E154F0576}" xr6:coauthVersionLast="47" xr6:coauthVersionMax="47" xr10:uidLastSave="{00000000-0000-0000-0000-000000000000}"/>
  <bookViews>
    <workbookView xWindow="6640" yWindow="500" windowWidth="21540" windowHeight="17500" xr2:uid="{3A81962A-A83A-4811-A9F5-513DDA45A7E0}"/>
  </bookViews>
  <sheets>
    <sheet name="final enzyme data" sheetId="17" r:id="rId1"/>
    <sheet name="enzyme setup and metadata" sheetId="2" r:id="rId2"/>
    <sheet name="enz raw 1" sheetId="3" r:id="rId3"/>
    <sheet name="enz raw 2" sheetId="4" r:id="rId4"/>
    <sheet name="enz raw 3" sheetId="5" r:id="rId5"/>
    <sheet name="enz raw 4" sheetId="6" r:id="rId6"/>
    <sheet name="enz raw 5" sheetId="7" r:id="rId7"/>
    <sheet name="enz raw 6" sheetId="8" r:id="rId8"/>
    <sheet name="enz raw 7" sheetId="9" r:id="rId9"/>
    <sheet name="enz raw 8" sheetId="10" r:id="rId10"/>
    <sheet name="enz raw 9" sheetId="11" r:id="rId11"/>
    <sheet name="enz raw 10" sheetId="12" r:id="rId12"/>
    <sheet name="enz raw 11" sheetId="13" r:id="rId13"/>
    <sheet name="enz raw 12 " sheetId="14" r:id="rId14"/>
    <sheet name="enz raw 13" sheetId="15" r:id="rId15"/>
    <sheet name="enz raw 14" sheetId="16" r:id="rId16"/>
  </sheets>
  <definedNames>
    <definedName name="_xlchart.v1.0" hidden="1">'final enzyme data'!$E$1</definedName>
    <definedName name="_xlchart.v1.1" hidden="1">'final enzyme data'!$E$2:$E$165</definedName>
    <definedName name="_xlchart.v1.10" hidden="1">'final enzyme data'!$G$1</definedName>
    <definedName name="_xlchart.v1.11" hidden="1">'final enzyme data'!$G$2:$G$165</definedName>
    <definedName name="_xlchart.v1.2" hidden="1">'final enzyme data'!$H$1</definedName>
    <definedName name="_xlchart.v1.3" hidden="1">'final enzyme data'!$H$2:$H$165</definedName>
    <definedName name="_xlchart.v1.4" hidden="1">'final enzyme data'!$F$1</definedName>
    <definedName name="_xlchart.v1.5" hidden="1">'final enzyme data'!$F$2:$F$165</definedName>
    <definedName name="_xlchart.v1.6" hidden="1">'final enzyme data'!$H$1</definedName>
    <definedName name="_xlchart.v1.7" hidden="1">'final enzyme data'!$H$2:$H$165</definedName>
    <definedName name="_xlchart.v1.8" hidden="1">'final enzyme data'!$H$1</definedName>
    <definedName name="_xlchart.v1.9" hidden="1">'final enzyme data'!$H$2:$H$165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5" l="1"/>
  <c r="J47" i="13"/>
  <c r="G181" i="2"/>
  <c r="P3" i="16"/>
  <c r="A10" i="16" s="1"/>
  <c r="A11" i="16" s="1"/>
  <c r="A12" i="16" s="1"/>
  <c r="A13" i="16" s="1"/>
  <c r="A14" i="16" s="1"/>
  <c r="A15" i="16" s="1"/>
  <c r="A16" i="16" s="1"/>
  <c r="A17" i="16" s="1"/>
  <c r="P4" i="16"/>
  <c r="A18" i="16" s="1"/>
  <c r="A19" i="16" s="1"/>
  <c r="A20" i="16" s="1"/>
  <c r="A21" i="16" s="1"/>
  <c r="A22" i="16" s="1"/>
  <c r="A23" i="16" s="1"/>
  <c r="A24" i="16" s="1"/>
  <c r="A25" i="16" s="1"/>
  <c r="P5" i="16"/>
  <c r="A26" i="16" s="1"/>
  <c r="A27" i="16" s="1"/>
  <c r="A28" i="16" s="1"/>
  <c r="A29" i="16" s="1"/>
  <c r="A30" i="16" s="1"/>
  <c r="A31" i="16" s="1"/>
  <c r="A32" i="16" s="1"/>
  <c r="A33" i="16" s="1"/>
  <c r="P6" i="16"/>
  <c r="A34" i="16" s="1"/>
  <c r="A35" i="16" s="1"/>
  <c r="A36" i="16" s="1"/>
  <c r="A37" i="16" s="1"/>
  <c r="A38" i="16" s="1"/>
  <c r="A39" i="16" s="1"/>
  <c r="A40" i="16" s="1"/>
  <c r="A41" i="16" s="1"/>
  <c r="P7" i="16"/>
  <c r="A42" i="16" s="1"/>
  <c r="A43" i="16" s="1"/>
  <c r="A44" i="16" s="1"/>
  <c r="A45" i="16" s="1"/>
  <c r="A46" i="16" s="1"/>
  <c r="A47" i="16" s="1"/>
  <c r="A48" i="16" s="1"/>
  <c r="A49" i="16" s="1"/>
  <c r="P8" i="16"/>
  <c r="A50" i="16" s="1"/>
  <c r="A51" i="16" s="1"/>
  <c r="A52" i="16" s="1"/>
  <c r="A53" i="16" s="1"/>
  <c r="A54" i="16" s="1"/>
  <c r="A55" i="16" s="1"/>
  <c r="A56" i="16" s="1"/>
  <c r="A57" i="16" s="1"/>
  <c r="P9" i="16"/>
  <c r="P10" i="16"/>
  <c r="A66" i="16" s="1"/>
  <c r="A67" i="16" s="1"/>
  <c r="A68" i="16" s="1"/>
  <c r="A69" i="16" s="1"/>
  <c r="A70" i="16" s="1"/>
  <c r="A71" i="16" s="1"/>
  <c r="A72" i="16" s="1"/>
  <c r="A73" i="16" s="1"/>
  <c r="Q10" i="16"/>
  <c r="P11" i="16"/>
  <c r="Q11" i="16"/>
  <c r="P12" i="16"/>
  <c r="A82" i="16" s="1"/>
  <c r="A83" i="16" s="1"/>
  <c r="A84" i="16" s="1"/>
  <c r="A85" i="16" s="1"/>
  <c r="A86" i="16" s="1"/>
  <c r="A87" i="16" s="1"/>
  <c r="A88" i="16" s="1"/>
  <c r="A89" i="16" s="1"/>
  <c r="Q12" i="16"/>
  <c r="P13" i="16"/>
  <c r="A90" i="16" s="1"/>
  <c r="A91" i="16" s="1"/>
  <c r="A92" i="16" s="1"/>
  <c r="A93" i="16" s="1"/>
  <c r="A94" i="16" s="1"/>
  <c r="A95" i="16" s="1"/>
  <c r="A96" i="16" s="1"/>
  <c r="A97" i="16" s="1"/>
  <c r="Q13" i="16"/>
  <c r="P2" i="16"/>
  <c r="A2" i="16" s="1"/>
  <c r="A3" i="16" s="1"/>
  <c r="A4" i="16" s="1"/>
  <c r="A5" i="16" s="1"/>
  <c r="A6" i="16" s="1"/>
  <c r="A7" i="16" s="1"/>
  <c r="A8" i="16" s="1"/>
  <c r="A9" i="16" s="1"/>
  <c r="P3" i="15"/>
  <c r="A10" i="15" s="1"/>
  <c r="A11" i="15" s="1"/>
  <c r="A12" i="15" s="1"/>
  <c r="A13" i="15" s="1"/>
  <c r="A14" i="15" s="1"/>
  <c r="A15" i="15" s="1"/>
  <c r="A16" i="15" s="1"/>
  <c r="A17" i="15" s="1"/>
  <c r="P4" i="15"/>
  <c r="P5" i="15"/>
  <c r="A26" i="15" s="1"/>
  <c r="A27" i="15" s="1"/>
  <c r="A28" i="15" s="1"/>
  <c r="A29" i="15" s="1"/>
  <c r="A30" i="15" s="1"/>
  <c r="A31" i="15" s="1"/>
  <c r="A32" i="15" s="1"/>
  <c r="A33" i="15" s="1"/>
  <c r="P6" i="15"/>
  <c r="P7" i="15"/>
  <c r="A42" i="15" s="1"/>
  <c r="A43" i="15" s="1"/>
  <c r="A44" i="15" s="1"/>
  <c r="A45" i="15" s="1"/>
  <c r="A46" i="15" s="1"/>
  <c r="A47" i="15" s="1"/>
  <c r="A48" i="15" s="1"/>
  <c r="A49" i="15" s="1"/>
  <c r="P8" i="15"/>
  <c r="A50" i="15" s="1"/>
  <c r="A51" i="15" s="1"/>
  <c r="A52" i="15" s="1"/>
  <c r="A53" i="15" s="1"/>
  <c r="A54" i="15" s="1"/>
  <c r="A55" i="15" s="1"/>
  <c r="A56" i="15" s="1"/>
  <c r="A57" i="15" s="1"/>
  <c r="P9" i="15"/>
  <c r="A58" i="15" s="1"/>
  <c r="A59" i="15" s="1"/>
  <c r="A60" i="15" s="1"/>
  <c r="A61" i="15" s="1"/>
  <c r="A62" i="15" s="1"/>
  <c r="A63" i="15" s="1"/>
  <c r="A64" i="15" s="1"/>
  <c r="A65" i="15" s="1"/>
  <c r="P10" i="15"/>
  <c r="A66" i="15" s="1"/>
  <c r="A67" i="15" s="1"/>
  <c r="A68" i="15" s="1"/>
  <c r="A69" i="15" s="1"/>
  <c r="A70" i="15" s="1"/>
  <c r="A71" i="15" s="1"/>
  <c r="A72" i="15" s="1"/>
  <c r="A73" i="15" s="1"/>
  <c r="P11" i="15"/>
  <c r="P12" i="15"/>
  <c r="A82" i="15" s="1"/>
  <c r="A83" i="15" s="1"/>
  <c r="A84" i="15" s="1"/>
  <c r="A85" i="15" s="1"/>
  <c r="A86" i="15" s="1"/>
  <c r="A87" i="15" s="1"/>
  <c r="A88" i="15" s="1"/>
  <c r="A89" i="15" s="1"/>
  <c r="P13" i="15"/>
  <c r="A90" i="15" s="1"/>
  <c r="A91" i="15" s="1"/>
  <c r="A92" i="15" s="1"/>
  <c r="A93" i="15" s="1"/>
  <c r="A94" i="15" s="1"/>
  <c r="A95" i="15" s="1"/>
  <c r="A96" i="15" s="1"/>
  <c r="A97" i="15" s="1"/>
  <c r="P2" i="15"/>
  <c r="A2" i="15" s="1"/>
  <c r="A3" i="15" s="1"/>
  <c r="A4" i="15" s="1"/>
  <c r="A5" i="15" s="1"/>
  <c r="A6" i="15" s="1"/>
  <c r="A7" i="15" s="1"/>
  <c r="A8" i="15" s="1"/>
  <c r="A9" i="15" s="1"/>
  <c r="P3" i="14"/>
  <c r="A10" i="14" s="1"/>
  <c r="A11" i="14" s="1"/>
  <c r="A12" i="14" s="1"/>
  <c r="A13" i="14" s="1"/>
  <c r="A14" i="14" s="1"/>
  <c r="A15" i="14" s="1"/>
  <c r="A16" i="14" s="1"/>
  <c r="A17" i="14" s="1"/>
  <c r="P4" i="14"/>
  <c r="A18" i="14" s="1"/>
  <c r="A19" i="14" s="1"/>
  <c r="A20" i="14" s="1"/>
  <c r="A21" i="14" s="1"/>
  <c r="A22" i="14" s="1"/>
  <c r="A23" i="14" s="1"/>
  <c r="A24" i="14" s="1"/>
  <c r="A25" i="14" s="1"/>
  <c r="P5" i="14"/>
  <c r="A26" i="14" s="1"/>
  <c r="A27" i="14" s="1"/>
  <c r="A28" i="14" s="1"/>
  <c r="A29" i="14" s="1"/>
  <c r="A30" i="14" s="1"/>
  <c r="A31" i="14" s="1"/>
  <c r="A32" i="14" s="1"/>
  <c r="A33" i="14" s="1"/>
  <c r="P6" i="14"/>
  <c r="A34" i="14" s="1"/>
  <c r="A35" i="14" s="1"/>
  <c r="A36" i="14" s="1"/>
  <c r="A37" i="14" s="1"/>
  <c r="A38" i="14" s="1"/>
  <c r="A39" i="14" s="1"/>
  <c r="A40" i="14" s="1"/>
  <c r="A41" i="14" s="1"/>
  <c r="P7" i="14"/>
  <c r="P8" i="14"/>
  <c r="P9" i="14"/>
  <c r="A58" i="14" s="1"/>
  <c r="A59" i="14" s="1"/>
  <c r="A60" i="14" s="1"/>
  <c r="A61" i="14" s="1"/>
  <c r="A62" i="14" s="1"/>
  <c r="A63" i="14" s="1"/>
  <c r="A64" i="14" s="1"/>
  <c r="A65" i="14" s="1"/>
  <c r="P10" i="14"/>
  <c r="A66" i="14" s="1"/>
  <c r="A67" i="14" s="1"/>
  <c r="A68" i="14" s="1"/>
  <c r="A69" i="14" s="1"/>
  <c r="A70" i="14" s="1"/>
  <c r="A71" i="14" s="1"/>
  <c r="A72" i="14" s="1"/>
  <c r="A73" i="14" s="1"/>
  <c r="P11" i="14"/>
  <c r="P12" i="14"/>
  <c r="P13" i="14"/>
  <c r="P2" i="14"/>
  <c r="P3" i="13"/>
  <c r="A10" i="13" s="1"/>
  <c r="A11" i="13" s="1"/>
  <c r="A12" i="13" s="1"/>
  <c r="A13" i="13" s="1"/>
  <c r="A14" i="13" s="1"/>
  <c r="A15" i="13" s="1"/>
  <c r="A16" i="13" s="1"/>
  <c r="A17" i="13" s="1"/>
  <c r="P4" i="13"/>
  <c r="A18" i="13" s="1"/>
  <c r="A19" i="13" s="1"/>
  <c r="A20" i="13" s="1"/>
  <c r="A21" i="13" s="1"/>
  <c r="A22" i="13" s="1"/>
  <c r="A23" i="13" s="1"/>
  <c r="A24" i="13" s="1"/>
  <c r="A25" i="13" s="1"/>
  <c r="P5" i="13"/>
  <c r="A26" i="13" s="1"/>
  <c r="A27" i="13" s="1"/>
  <c r="A28" i="13" s="1"/>
  <c r="A29" i="13" s="1"/>
  <c r="A30" i="13" s="1"/>
  <c r="A31" i="13" s="1"/>
  <c r="A32" i="13" s="1"/>
  <c r="A33" i="13" s="1"/>
  <c r="P6" i="13"/>
  <c r="A34" i="13" s="1"/>
  <c r="A35" i="13" s="1"/>
  <c r="A36" i="13" s="1"/>
  <c r="A37" i="13" s="1"/>
  <c r="A38" i="13" s="1"/>
  <c r="A39" i="13" s="1"/>
  <c r="A40" i="13" s="1"/>
  <c r="A41" i="13" s="1"/>
  <c r="P7" i="13"/>
  <c r="A42" i="13" s="1"/>
  <c r="A43" i="13" s="1"/>
  <c r="A44" i="13" s="1"/>
  <c r="A45" i="13" s="1"/>
  <c r="A46" i="13" s="1"/>
  <c r="A47" i="13" s="1"/>
  <c r="A48" i="13" s="1"/>
  <c r="A49" i="13" s="1"/>
  <c r="P8" i="13"/>
  <c r="A50" i="13" s="1"/>
  <c r="A51" i="13" s="1"/>
  <c r="A52" i="13" s="1"/>
  <c r="A53" i="13" s="1"/>
  <c r="A54" i="13" s="1"/>
  <c r="A55" i="13" s="1"/>
  <c r="A56" i="13" s="1"/>
  <c r="A57" i="13" s="1"/>
  <c r="P9" i="13"/>
  <c r="A58" i="13" s="1"/>
  <c r="A59" i="13" s="1"/>
  <c r="A60" i="13" s="1"/>
  <c r="A61" i="13" s="1"/>
  <c r="A62" i="13" s="1"/>
  <c r="A63" i="13" s="1"/>
  <c r="A64" i="13" s="1"/>
  <c r="A65" i="13" s="1"/>
  <c r="P10" i="13"/>
  <c r="A66" i="13" s="1"/>
  <c r="A67" i="13" s="1"/>
  <c r="A68" i="13" s="1"/>
  <c r="A69" i="13" s="1"/>
  <c r="A70" i="13" s="1"/>
  <c r="A71" i="13" s="1"/>
  <c r="A72" i="13" s="1"/>
  <c r="A73" i="13" s="1"/>
  <c r="P11" i="13"/>
  <c r="A74" i="13" s="1"/>
  <c r="A75" i="13" s="1"/>
  <c r="A76" i="13" s="1"/>
  <c r="A77" i="13" s="1"/>
  <c r="A78" i="13" s="1"/>
  <c r="A79" i="13" s="1"/>
  <c r="A80" i="13" s="1"/>
  <c r="A81" i="13" s="1"/>
  <c r="P12" i="13"/>
  <c r="P13" i="13"/>
  <c r="A90" i="13" s="1"/>
  <c r="A91" i="13" s="1"/>
  <c r="A92" i="13" s="1"/>
  <c r="A93" i="13" s="1"/>
  <c r="A94" i="13" s="1"/>
  <c r="A95" i="13" s="1"/>
  <c r="A96" i="13" s="1"/>
  <c r="A97" i="13" s="1"/>
  <c r="Q186" i="2"/>
  <c r="R186" i="2" s="1"/>
  <c r="R2" i="13" s="1"/>
  <c r="R3" i="13" s="1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P187" i="2"/>
  <c r="P188" i="2" s="1"/>
  <c r="P189" i="2" s="1"/>
  <c r="O187" i="2"/>
  <c r="O188" i="2" s="1"/>
  <c r="O189" i="2" s="1"/>
  <c r="P2" i="13"/>
  <c r="A2" i="13" s="1"/>
  <c r="A3" i="13" s="1"/>
  <c r="A4" i="13" s="1"/>
  <c r="A5" i="13" s="1"/>
  <c r="A6" i="13" s="1"/>
  <c r="A7" i="13" s="1"/>
  <c r="A8" i="13" s="1"/>
  <c r="A9" i="13" s="1"/>
  <c r="C107" i="16"/>
  <c r="C106" i="16"/>
  <c r="C105" i="16"/>
  <c r="C104" i="16"/>
  <c r="C103" i="16"/>
  <c r="C102" i="16"/>
  <c r="C101" i="16"/>
  <c r="C100" i="16"/>
  <c r="J95" i="16"/>
  <c r="I95" i="16"/>
  <c r="J93" i="16"/>
  <c r="L95" i="16" s="1"/>
  <c r="I93" i="16"/>
  <c r="L91" i="16" s="1"/>
  <c r="J91" i="16"/>
  <c r="I91" i="16"/>
  <c r="K97" i="16" s="1"/>
  <c r="L89" i="16"/>
  <c r="L87" i="16"/>
  <c r="J87" i="16"/>
  <c r="I87" i="16"/>
  <c r="L86" i="16"/>
  <c r="K86" i="16"/>
  <c r="J85" i="16"/>
  <c r="I85" i="16"/>
  <c r="L85" i="16" s="1"/>
  <c r="L84" i="16"/>
  <c r="J83" i="16"/>
  <c r="K87" i="16" s="1"/>
  <c r="I83" i="16"/>
  <c r="L79" i="16"/>
  <c r="K79" i="16"/>
  <c r="J79" i="16"/>
  <c r="I79" i="16"/>
  <c r="K78" i="16"/>
  <c r="J77" i="16"/>
  <c r="L78" i="16" s="1"/>
  <c r="I77" i="16"/>
  <c r="L80" i="16" s="1"/>
  <c r="L76" i="16"/>
  <c r="K76" i="16"/>
  <c r="J75" i="16"/>
  <c r="I75" i="16"/>
  <c r="K77" i="16" s="1"/>
  <c r="K73" i="16"/>
  <c r="K71" i="16"/>
  <c r="J71" i="16"/>
  <c r="I71" i="16"/>
  <c r="J69" i="16"/>
  <c r="I69" i="16"/>
  <c r="L67" i="16" s="1"/>
  <c r="K68" i="16"/>
  <c r="K67" i="16"/>
  <c r="J67" i="16"/>
  <c r="K70" i="16" s="1"/>
  <c r="I67" i="16"/>
  <c r="K72" i="16" s="1"/>
  <c r="K66" i="16"/>
  <c r="K64" i="16"/>
  <c r="J63" i="16"/>
  <c r="I63" i="16"/>
  <c r="K61" i="16"/>
  <c r="J61" i="16"/>
  <c r="L63" i="16" s="1"/>
  <c r="I61" i="16"/>
  <c r="L59" i="16" s="1"/>
  <c r="K59" i="16"/>
  <c r="J59" i="16"/>
  <c r="I59" i="16"/>
  <c r="K65" i="16" s="1"/>
  <c r="K58" i="16"/>
  <c r="A58" i="16"/>
  <c r="A59" i="16" s="1"/>
  <c r="A60" i="16" s="1"/>
  <c r="A61" i="16" s="1"/>
  <c r="A62" i="16" s="1"/>
  <c r="A63" i="16" s="1"/>
  <c r="A64" i="16" s="1"/>
  <c r="A65" i="16" s="1"/>
  <c r="L57" i="16"/>
  <c r="L55" i="16"/>
  <c r="J55" i="16"/>
  <c r="I55" i="16"/>
  <c r="L54" i="16"/>
  <c r="K54" i="16"/>
  <c r="J53" i="16"/>
  <c r="I53" i="16"/>
  <c r="L53" i="16" s="1"/>
  <c r="L52" i="16"/>
  <c r="J51" i="16"/>
  <c r="K55" i="16" s="1"/>
  <c r="I51" i="16"/>
  <c r="L47" i="16"/>
  <c r="J47" i="16"/>
  <c r="I47" i="16"/>
  <c r="J45" i="16"/>
  <c r="L46" i="16" s="1"/>
  <c r="I45" i="16"/>
  <c r="L49" i="16" s="1"/>
  <c r="K44" i="16"/>
  <c r="J43" i="16"/>
  <c r="K47" i="16" s="1"/>
  <c r="I43" i="16"/>
  <c r="K45" i="16" s="1"/>
  <c r="K41" i="16"/>
  <c r="K39" i="16"/>
  <c r="J39" i="16"/>
  <c r="I39" i="16"/>
  <c r="J37" i="16"/>
  <c r="I37" i="16"/>
  <c r="L41" i="16" s="1"/>
  <c r="K36" i="16"/>
  <c r="K35" i="16"/>
  <c r="J35" i="16"/>
  <c r="K38" i="16" s="1"/>
  <c r="I35" i="16"/>
  <c r="K40" i="16" s="1"/>
  <c r="J31" i="16"/>
  <c r="I31" i="16"/>
  <c r="J29" i="16"/>
  <c r="I29" i="16"/>
  <c r="K27" i="16"/>
  <c r="J27" i="16"/>
  <c r="I27" i="16"/>
  <c r="K33" i="16" s="1"/>
  <c r="L23" i="16"/>
  <c r="J23" i="16"/>
  <c r="I23" i="16"/>
  <c r="L22" i="16"/>
  <c r="J21" i="16"/>
  <c r="I21" i="16"/>
  <c r="L21" i="16" s="1"/>
  <c r="J19" i="16"/>
  <c r="K23" i="16" s="1"/>
  <c r="I19" i="16"/>
  <c r="K17" i="16"/>
  <c r="L15" i="16"/>
  <c r="J15" i="16"/>
  <c r="I15" i="16"/>
  <c r="J13" i="16"/>
  <c r="L14" i="16" s="1"/>
  <c r="I13" i="16"/>
  <c r="L17" i="16" s="1"/>
  <c r="A74" i="16"/>
  <c r="A75" i="16" s="1"/>
  <c r="A76" i="16" s="1"/>
  <c r="A77" i="16" s="1"/>
  <c r="A78" i="16" s="1"/>
  <c r="A79" i="16" s="1"/>
  <c r="A80" i="16" s="1"/>
  <c r="A81" i="16" s="1"/>
  <c r="J11" i="16"/>
  <c r="K14" i="16" s="1"/>
  <c r="I11" i="16"/>
  <c r="J7" i="16"/>
  <c r="I7" i="16"/>
  <c r="N5" i="16"/>
  <c r="J5" i="16"/>
  <c r="L7" i="16" s="1"/>
  <c r="I5" i="16"/>
  <c r="L4" i="16" s="1"/>
  <c r="N4" i="16"/>
  <c r="N3" i="16"/>
  <c r="J3" i="16"/>
  <c r="K7" i="16" s="1"/>
  <c r="I3" i="16"/>
  <c r="K8" i="16" s="1"/>
  <c r="N2" i="16"/>
  <c r="O1" i="16"/>
  <c r="N1" i="16"/>
  <c r="C107" i="15"/>
  <c r="C106" i="15"/>
  <c r="C105" i="15"/>
  <c r="C104" i="15"/>
  <c r="C103" i="15"/>
  <c r="C102" i="15"/>
  <c r="C101" i="15"/>
  <c r="C100" i="15"/>
  <c r="L95" i="15"/>
  <c r="J95" i="15"/>
  <c r="I95" i="15"/>
  <c r="J93" i="15"/>
  <c r="L94" i="15" s="1"/>
  <c r="I93" i="15"/>
  <c r="L96" i="15" s="1"/>
  <c r="L92" i="15"/>
  <c r="J91" i="15"/>
  <c r="K95" i="15" s="1"/>
  <c r="I91" i="15"/>
  <c r="J87" i="15"/>
  <c r="I87" i="15"/>
  <c r="J85" i="15"/>
  <c r="L86" i="15" s="1"/>
  <c r="I85" i="15"/>
  <c r="L83" i="15" s="1"/>
  <c r="L84" i="15"/>
  <c r="J83" i="15"/>
  <c r="K87" i="15" s="1"/>
  <c r="I83" i="15"/>
  <c r="K88" i="15" s="1"/>
  <c r="K82" i="15"/>
  <c r="K81" i="15"/>
  <c r="L80" i="15"/>
  <c r="J79" i="15"/>
  <c r="I79" i="15"/>
  <c r="J77" i="15"/>
  <c r="I77" i="15"/>
  <c r="L81" i="15" s="1"/>
  <c r="K76" i="15"/>
  <c r="J75" i="15"/>
  <c r="K78" i="15" s="1"/>
  <c r="I75" i="15"/>
  <c r="K80" i="15" s="1"/>
  <c r="K74" i="15"/>
  <c r="L72" i="15"/>
  <c r="K72" i="15"/>
  <c r="J71" i="15"/>
  <c r="I71" i="15"/>
  <c r="J69" i="15"/>
  <c r="L71" i="15" s="1"/>
  <c r="I69" i="15"/>
  <c r="L68" i="15"/>
  <c r="L67" i="15"/>
  <c r="K67" i="15"/>
  <c r="J67" i="15"/>
  <c r="I67" i="15"/>
  <c r="K73" i="15" s="1"/>
  <c r="J63" i="15"/>
  <c r="I63" i="15"/>
  <c r="J61" i="15"/>
  <c r="L63" i="15" s="1"/>
  <c r="I61" i="15"/>
  <c r="L64" i="15" s="1"/>
  <c r="J59" i="15"/>
  <c r="K63" i="15" s="1"/>
  <c r="I59" i="15"/>
  <c r="K65" i="15" s="1"/>
  <c r="L58" i="15"/>
  <c r="L55" i="15"/>
  <c r="J55" i="15"/>
  <c r="I55" i="15"/>
  <c r="K54" i="15"/>
  <c r="J53" i="15"/>
  <c r="L54" i="15" s="1"/>
  <c r="I53" i="15"/>
  <c r="L57" i="15" s="1"/>
  <c r="L52" i="15"/>
  <c r="J51" i="15"/>
  <c r="K55" i="15" s="1"/>
  <c r="I51" i="15"/>
  <c r="K50" i="15" s="1"/>
  <c r="L50" i="15"/>
  <c r="K47" i="15"/>
  <c r="J47" i="15"/>
  <c r="I47" i="15"/>
  <c r="L45" i="15"/>
  <c r="K45" i="15"/>
  <c r="J45" i="15"/>
  <c r="I45" i="15"/>
  <c r="L49" i="15" s="1"/>
  <c r="L43" i="15"/>
  <c r="J43" i="15"/>
  <c r="K46" i="15" s="1"/>
  <c r="I43" i="15"/>
  <c r="K48" i="15" s="1"/>
  <c r="L42" i="15"/>
  <c r="K42" i="15"/>
  <c r="J39" i="15"/>
  <c r="I39" i="15"/>
  <c r="L38" i="15"/>
  <c r="K37" i="15"/>
  <c r="J37" i="15"/>
  <c r="L39" i="15" s="1"/>
  <c r="I37" i="15"/>
  <c r="J35" i="15"/>
  <c r="I35" i="15"/>
  <c r="K41" i="15" s="1"/>
  <c r="K34" i="15"/>
  <c r="L33" i="15"/>
  <c r="J31" i="15"/>
  <c r="I31" i="15"/>
  <c r="J29" i="15"/>
  <c r="L30" i="15" s="1"/>
  <c r="I29" i="15"/>
  <c r="L29" i="15" s="1"/>
  <c r="L28" i="15"/>
  <c r="J27" i="15"/>
  <c r="K31" i="15" s="1"/>
  <c r="I27" i="15"/>
  <c r="K25" i="15"/>
  <c r="I23" i="15"/>
  <c r="L22" i="15"/>
  <c r="J21" i="15"/>
  <c r="L23" i="15" s="1"/>
  <c r="I21" i="15"/>
  <c r="K20" i="15"/>
  <c r="K19" i="15"/>
  <c r="J19" i="15"/>
  <c r="K22" i="15" s="1"/>
  <c r="I19" i="15"/>
  <c r="K21" i="15" s="1"/>
  <c r="L16" i="15"/>
  <c r="J15" i="15"/>
  <c r="I15" i="15"/>
  <c r="J13" i="15"/>
  <c r="I13" i="15"/>
  <c r="L13" i="15" s="1"/>
  <c r="A74" i="15"/>
  <c r="A75" i="15" s="1"/>
  <c r="A76" i="15" s="1"/>
  <c r="A77" i="15" s="1"/>
  <c r="A78" i="15" s="1"/>
  <c r="A79" i="15" s="1"/>
  <c r="A80" i="15" s="1"/>
  <c r="A81" i="15" s="1"/>
  <c r="J11" i="15"/>
  <c r="K15" i="15" s="1"/>
  <c r="I11" i="15"/>
  <c r="K10" i="15" s="1"/>
  <c r="K7" i="15"/>
  <c r="J7" i="15"/>
  <c r="I7" i="15"/>
  <c r="A34" i="15"/>
  <c r="A35" i="15" s="1"/>
  <c r="A36" i="15" s="1"/>
  <c r="A37" i="15" s="1"/>
  <c r="A38" i="15" s="1"/>
  <c r="A39" i="15" s="1"/>
  <c r="A40" i="15" s="1"/>
  <c r="A41" i="15" s="1"/>
  <c r="N5" i="15"/>
  <c r="J5" i="15"/>
  <c r="L7" i="15" s="1"/>
  <c r="I5" i="15"/>
  <c r="L3" i="15" s="1"/>
  <c r="A18" i="15"/>
  <c r="A19" i="15" s="1"/>
  <c r="A20" i="15" s="1"/>
  <c r="A21" i="15" s="1"/>
  <c r="A22" i="15" s="1"/>
  <c r="A23" i="15" s="1"/>
  <c r="A24" i="15" s="1"/>
  <c r="A25" i="15" s="1"/>
  <c r="N4" i="15"/>
  <c r="N3" i="15"/>
  <c r="J3" i="15"/>
  <c r="K6" i="15" s="1"/>
  <c r="I3" i="15"/>
  <c r="N2" i="15"/>
  <c r="O1" i="15"/>
  <c r="N1" i="15"/>
  <c r="C107" i="14"/>
  <c r="C106" i="14"/>
  <c r="C105" i="14"/>
  <c r="C104" i="14"/>
  <c r="C103" i="14"/>
  <c r="C102" i="14"/>
  <c r="C101" i="14"/>
  <c r="C100" i="14"/>
  <c r="J95" i="14"/>
  <c r="I95" i="14"/>
  <c r="K94" i="14"/>
  <c r="J93" i="14"/>
  <c r="L95" i="14" s="1"/>
  <c r="I93" i="14"/>
  <c r="L90" i="14" s="1"/>
  <c r="J91" i="14"/>
  <c r="K95" i="14" s="1"/>
  <c r="I91" i="14"/>
  <c r="K96" i="14" s="1"/>
  <c r="L88" i="14"/>
  <c r="L87" i="14"/>
  <c r="J87" i="14"/>
  <c r="I87" i="14"/>
  <c r="J85" i="14"/>
  <c r="L86" i="14" s="1"/>
  <c r="I85" i="14"/>
  <c r="L83" i="14" s="1"/>
  <c r="J83" i="14"/>
  <c r="K86" i="14" s="1"/>
  <c r="I83" i="14"/>
  <c r="K84" i="14" s="1"/>
  <c r="L82" i="14"/>
  <c r="K82" i="14"/>
  <c r="A82" i="14"/>
  <c r="A83" i="14" s="1"/>
  <c r="A84" i="14" s="1"/>
  <c r="A85" i="14" s="1"/>
  <c r="A86" i="14" s="1"/>
  <c r="A87" i="14" s="1"/>
  <c r="A88" i="14" s="1"/>
  <c r="A89" i="14" s="1"/>
  <c r="L80" i="14"/>
  <c r="J79" i="14"/>
  <c r="I79" i="14"/>
  <c r="J77" i="14"/>
  <c r="I77" i="14"/>
  <c r="L75" i="14" s="1"/>
  <c r="K76" i="14"/>
  <c r="J75" i="14"/>
  <c r="K78" i="14" s="1"/>
  <c r="I75" i="14"/>
  <c r="K80" i="14" s="1"/>
  <c r="A74" i="14"/>
  <c r="A75" i="14" s="1"/>
  <c r="A76" i="14" s="1"/>
  <c r="A77" i="14" s="1"/>
  <c r="A78" i="14" s="1"/>
  <c r="A79" i="14" s="1"/>
  <c r="A80" i="14" s="1"/>
  <c r="A81" i="14" s="1"/>
  <c r="J71" i="14"/>
  <c r="I71" i="14"/>
  <c r="J69" i="14"/>
  <c r="I69" i="14"/>
  <c r="L73" i="14" s="1"/>
  <c r="J67" i="14"/>
  <c r="I67" i="14"/>
  <c r="J63" i="14"/>
  <c r="I63" i="14"/>
  <c r="J61" i="14"/>
  <c r="L63" i="14" s="1"/>
  <c r="I61" i="14"/>
  <c r="L59" i="14"/>
  <c r="J59" i="14"/>
  <c r="I59" i="14"/>
  <c r="K65" i="14" s="1"/>
  <c r="L57" i="14"/>
  <c r="L55" i="14"/>
  <c r="J55" i="14"/>
  <c r="I55" i="14"/>
  <c r="J53" i="14"/>
  <c r="L54" i="14" s="1"/>
  <c r="I53" i="14"/>
  <c r="L53" i="14" s="1"/>
  <c r="L52" i="14"/>
  <c r="J51" i="14"/>
  <c r="K55" i="14" s="1"/>
  <c r="I51" i="14"/>
  <c r="L47" i="14"/>
  <c r="K47" i="14"/>
  <c r="J47" i="14"/>
  <c r="I47" i="14"/>
  <c r="K46" i="14"/>
  <c r="L45" i="14"/>
  <c r="J45" i="14"/>
  <c r="L46" i="14" s="1"/>
  <c r="I45" i="14"/>
  <c r="L48" i="14" s="1"/>
  <c r="L44" i="14"/>
  <c r="J43" i="14"/>
  <c r="I43" i="14"/>
  <c r="L42" i="14"/>
  <c r="K41" i="14"/>
  <c r="J39" i="14"/>
  <c r="I39" i="14"/>
  <c r="K38" i="14"/>
  <c r="K37" i="14"/>
  <c r="J37" i="14"/>
  <c r="L38" i="14" s="1"/>
  <c r="I37" i="14"/>
  <c r="L40" i="14" s="1"/>
  <c r="K36" i="14"/>
  <c r="J35" i="14"/>
  <c r="K39" i="14" s="1"/>
  <c r="I35" i="14"/>
  <c r="K40" i="14" s="1"/>
  <c r="L34" i="14"/>
  <c r="J31" i="14"/>
  <c r="I31" i="14"/>
  <c r="J29" i="14"/>
  <c r="L31" i="14" s="1"/>
  <c r="I29" i="14"/>
  <c r="J27" i="14"/>
  <c r="I27" i="14"/>
  <c r="K28" i="14" s="1"/>
  <c r="L26" i="14"/>
  <c r="J23" i="14"/>
  <c r="I23" i="14"/>
  <c r="L22" i="14"/>
  <c r="J21" i="14"/>
  <c r="L23" i="14" s="1"/>
  <c r="I21" i="14"/>
  <c r="L25" i="14" s="1"/>
  <c r="J19" i="14"/>
  <c r="K23" i="14" s="1"/>
  <c r="I19" i="14"/>
  <c r="K24" i="14" s="1"/>
  <c r="K17" i="14"/>
  <c r="J15" i="14"/>
  <c r="I15" i="14"/>
  <c r="A90" i="14"/>
  <c r="A91" i="14" s="1"/>
  <c r="A92" i="14" s="1"/>
  <c r="A93" i="14" s="1"/>
  <c r="A94" i="14" s="1"/>
  <c r="A95" i="14" s="1"/>
  <c r="A96" i="14" s="1"/>
  <c r="A97" i="14" s="1"/>
  <c r="J13" i="14"/>
  <c r="L15" i="14" s="1"/>
  <c r="I13" i="14"/>
  <c r="L12" i="14" s="1"/>
  <c r="K12" i="14"/>
  <c r="K11" i="14"/>
  <c r="J11" i="14"/>
  <c r="K15" i="14" s="1"/>
  <c r="I11" i="14"/>
  <c r="K16" i="14" s="1"/>
  <c r="L10" i="14"/>
  <c r="K10" i="14"/>
  <c r="A50" i="14"/>
  <c r="A51" i="14" s="1"/>
  <c r="A52" i="14" s="1"/>
  <c r="A53" i="14" s="1"/>
  <c r="A54" i="14" s="1"/>
  <c r="A55" i="14" s="1"/>
  <c r="A56" i="14" s="1"/>
  <c r="A57" i="14" s="1"/>
  <c r="A42" i="14"/>
  <c r="A43" i="14" s="1"/>
  <c r="A44" i="14" s="1"/>
  <c r="A45" i="14" s="1"/>
  <c r="A46" i="14" s="1"/>
  <c r="A47" i="14" s="1"/>
  <c r="A48" i="14" s="1"/>
  <c r="A49" i="14" s="1"/>
  <c r="J7" i="14"/>
  <c r="I7" i="14"/>
  <c r="N5" i="14"/>
  <c r="K5" i="14"/>
  <c r="J5" i="14"/>
  <c r="I5" i="14"/>
  <c r="N4" i="14"/>
  <c r="N3" i="14"/>
  <c r="J3" i="14"/>
  <c r="K7" i="14" s="1"/>
  <c r="I3" i="14"/>
  <c r="K9" i="14" s="1"/>
  <c r="A2" i="14"/>
  <c r="A3" i="14" s="1"/>
  <c r="A4" i="14" s="1"/>
  <c r="A5" i="14" s="1"/>
  <c r="A6" i="14" s="1"/>
  <c r="A7" i="14" s="1"/>
  <c r="A8" i="14" s="1"/>
  <c r="A9" i="14" s="1"/>
  <c r="N2" i="14"/>
  <c r="O1" i="14"/>
  <c r="N1" i="14"/>
  <c r="C107" i="13"/>
  <c r="C106" i="13"/>
  <c r="C105" i="13"/>
  <c r="C104" i="13"/>
  <c r="C103" i="13"/>
  <c r="C102" i="13"/>
  <c r="C101" i="13"/>
  <c r="C100" i="13"/>
  <c r="J95" i="13"/>
  <c r="I95" i="13"/>
  <c r="J93" i="13"/>
  <c r="L94" i="13" s="1"/>
  <c r="I93" i="13"/>
  <c r="J91" i="13"/>
  <c r="K95" i="13" s="1"/>
  <c r="I91" i="13"/>
  <c r="J87" i="13"/>
  <c r="I87" i="13"/>
  <c r="K86" i="13"/>
  <c r="J85" i="13"/>
  <c r="L87" i="13" s="1"/>
  <c r="I85" i="13"/>
  <c r="L82" i="13" s="1"/>
  <c r="J83" i="13"/>
  <c r="K87" i="13" s="1"/>
  <c r="I83" i="13"/>
  <c r="K88" i="13" s="1"/>
  <c r="L81" i="13"/>
  <c r="J79" i="13"/>
  <c r="I79" i="13"/>
  <c r="K78" i="13"/>
  <c r="L77" i="13"/>
  <c r="J77" i="13"/>
  <c r="L78" i="13" s="1"/>
  <c r="I77" i="13"/>
  <c r="L80" i="13" s="1"/>
  <c r="L76" i="13"/>
  <c r="K76" i="13"/>
  <c r="L75" i="13"/>
  <c r="J75" i="13"/>
  <c r="K79" i="13" s="1"/>
  <c r="I75" i="13"/>
  <c r="K74" i="13" s="1"/>
  <c r="L74" i="13"/>
  <c r="K72" i="13"/>
  <c r="K71" i="13"/>
  <c r="J71" i="13"/>
  <c r="I71" i="13"/>
  <c r="J69" i="13"/>
  <c r="L71" i="13" s="1"/>
  <c r="I69" i="13"/>
  <c r="L73" i="13" s="1"/>
  <c r="L68" i="13"/>
  <c r="K68" i="13"/>
  <c r="L67" i="13"/>
  <c r="J67" i="13"/>
  <c r="K70" i="13" s="1"/>
  <c r="I67" i="13"/>
  <c r="K73" i="13" s="1"/>
  <c r="L63" i="13"/>
  <c r="K63" i="13"/>
  <c r="J63" i="13"/>
  <c r="I63" i="13"/>
  <c r="L62" i="13"/>
  <c r="J61" i="13"/>
  <c r="I61" i="13"/>
  <c r="L64" i="13" s="1"/>
  <c r="J59" i="13"/>
  <c r="K62" i="13" s="1"/>
  <c r="I59" i="13"/>
  <c r="K64" i="13" s="1"/>
  <c r="K55" i="13"/>
  <c r="J55" i="13"/>
  <c r="I55" i="13"/>
  <c r="K54" i="13"/>
  <c r="J53" i="13"/>
  <c r="L54" i="13" s="1"/>
  <c r="I53" i="13"/>
  <c r="J51" i="13"/>
  <c r="I51" i="13"/>
  <c r="K50" i="13" s="1"/>
  <c r="I47" i="13"/>
  <c r="J45" i="13"/>
  <c r="L47" i="13" s="1"/>
  <c r="I45" i="13"/>
  <c r="L49" i="13" s="1"/>
  <c r="L43" i="13"/>
  <c r="J43" i="13"/>
  <c r="K47" i="13" s="1"/>
  <c r="I43" i="13"/>
  <c r="K41" i="13"/>
  <c r="K39" i="13"/>
  <c r="J39" i="13"/>
  <c r="I39" i="13"/>
  <c r="J37" i="13"/>
  <c r="L39" i="13" s="1"/>
  <c r="I37" i="13"/>
  <c r="L37" i="13" s="1"/>
  <c r="L35" i="13"/>
  <c r="J35" i="13"/>
  <c r="K38" i="13" s="1"/>
  <c r="I35" i="13"/>
  <c r="K37" i="13" s="1"/>
  <c r="L31" i="13"/>
  <c r="J31" i="13"/>
  <c r="I31" i="13"/>
  <c r="L30" i="13"/>
  <c r="L29" i="13"/>
  <c r="J29" i="13"/>
  <c r="I29" i="13"/>
  <c r="L32" i="13" s="1"/>
  <c r="L28" i="13"/>
  <c r="J27" i="13"/>
  <c r="K30" i="13" s="1"/>
  <c r="I27" i="13"/>
  <c r="K32" i="13" s="1"/>
  <c r="L26" i="13"/>
  <c r="K23" i="13"/>
  <c r="J23" i="13"/>
  <c r="I23" i="13"/>
  <c r="K21" i="13"/>
  <c r="J21" i="13"/>
  <c r="L22" i="13" s="1"/>
  <c r="I21" i="13"/>
  <c r="J19" i="13"/>
  <c r="K22" i="13" s="1"/>
  <c r="I19" i="13"/>
  <c r="K25" i="13" s="1"/>
  <c r="L16" i="13"/>
  <c r="J15" i="13"/>
  <c r="I15" i="13"/>
  <c r="L13" i="13"/>
  <c r="J13" i="13"/>
  <c r="I13" i="13"/>
  <c r="L17" i="13" s="1"/>
  <c r="A82" i="13"/>
  <c r="A83" i="13" s="1"/>
  <c r="A84" i="13" s="1"/>
  <c r="A85" i="13" s="1"/>
  <c r="A86" i="13" s="1"/>
  <c r="A87" i="13" s="1"/>
  <c r="A88" i="13" s="1"/>
  <c r="A89" i="13" s="1"/>
  <c r="K12" i="13"/>
  <c r="L11" i="13"/>
  <c r="K11" i="13"/>
  <c r="J11" i="13"/>
  <c r="K15" i="13" s="1"/>
  <c r="I11" i="13"/>
  <c r="K17" i="13" s="1"/>
  <c r="K10" i="13"/>
  <c r="J7" i="13"/>
  <c r="I7" i="13"/>
  <c r="K6" i="13"/>
  <c r="N5" i="13"/>
  <c r="J5" i="13"/>
  <c r="I5" i="13"/>
  <c r="L3" i="13" s="1"/>
  <c r="N4" i="13"/>
  <c r="N3" i="13"/>
  <c r="J3" i="13"/>
  <c r="K7" i="13" s="1"/>
  <c r="I3" i="13"/>
  <c r="K4" i="13" s="1"/>
  <c r="N2" i="13"/>
  <c r="O1" i="13"/>
  <c r="N1" i="13"/>
  <c r="K10" i="3"/>
  <c r="I5" i="3"/>
  <c r="I3" i="3"/>
  <c r="H196" i="2"/>
  <c r="O5" i="16"/>
  <c r="H195" i="2"/>
  <c r="G195" i="2"/>
  <c r="O4" i="16" s="1"/>
  <c r="H194" i="2"/>
  <c r="O3" i="16"/>
  <c r="H193" i="2"/>
  <c r="O2" i="15"/>
  <c r="P3" i="12"/>
  <c r="A10" i="12" s="1"/>
  <c r="A11" i="12" s="1"/>
  <c r="A12" i="12" s="1"/>
  <c r="A13" i="12" s="1"/>
  <c r="A14" i="12" s="1"/>
  <c r="A15" i="12" s="1"/>
  <c r="A16" i="12" s="1"/>
  <c r="A17" i="12" s="1"/>
  <c r="P4" i="12"/>
  <c r="P5" i="12"/>
  <c r="P6" i="12"/>
  <c r="A34" i="12" s="1"/>
  <c r="A35" i="12" s="1"/>
  <c r="A36" i="12" s="1"/>
  <c r="A37" i="12" s="1"/>
  <c r="A38" i="12" s="1"/>
  <c r="A39" i="12" s="1"/>
  <c r="A40" i="12" s="1"/>
  <c r="A41" i="12" s="1"/>
  <c r="P7" i="12"/>
  <c r="A42" i="12" s="1"/>
  <c r="A43" i="12" s="1"/>
  <c r="A44" i="12" s="1"/>
  <c r="A45" i="12" s="1"/>
  <c r="A46" i="12" s="1"/>
  <c r="A47" i="12" s="1"/>
  <c r="A48" i="12" s="1"/>
  <c r="A49" i="12" s="1"/>
  <c r="P8" i="12"/>
  <c r="A50" i="12" s="1"/>
  <c r="A51" i="12" s="1"/>
  <c r="A52" i="12" s="1"/>
  <c r="A53" i="12" s="1"/>
  <c r="A54" i="12" s="1"/>
  <c r="A55" i="12" s="1"/>
  <c r="A56" i="12" s="1"/>
  <c r="A57" i="12" s="1"/>
  <c r="P9" i="12"/>
  <c r="A58" i="12" s="1"/>
  <c r="A59" i="12" s="1"/>
  <c r="A60" i="12" s="1"/>
  <c r="A61" i="12" s="1"/>
  <c r="A62" i="12" s="1"/>
  <c r="A63" i="12" s="1"/>
  <c r="A64" i="12" s="1"/>
  <c r="A65" i="12" s="1"/>
  <c r="P10" i="12"/>
  <c r="A66" i="12" s="1"/>
  <c r="A67" i="12" s="1"/>
  <c r="A68" i="12" s="1"/>
  <c r="A69" i="12" s="1"/>
  <c r="A70" i="12" s="1"/>
  <c r="A71" i="12" s="1"/>
  <c r="A72" i="12" s="1"/>
  <c r="A73" i="12" s="1"/>
  <c r="P11" i="12"/>
  <c r="P12" i="12"/>
  <c r="A82" i="12" s="1"/>
  <c r="A83" i="12" s="1"/>
  <c r="A84" i="12" s="1"/>
  <c r="A85" i="12" s="1"/>
  <c r="A86" i="12" s="1"/>
  <c r="A87" i="12" s="1"/>
  <c r="A88" i="12" s="1"/>
  <c r="A89" i="12" s="1"/>
  <c r="P13" i="12"/>
  <c r="A90" i="12" s="1"/>
  <c r="A91" i="12" s="1"/>
  <c r="A92" i="12" s="1"/>
  <c r="A93" i="12" s="1"/>
  <c r="A94" i="12" s="1"/>
  <c r="A95" i="12" s="1"/>
  <c r="A96" i="12" s="1"/>
  <c r="A97" i="12" s="1"/>
  <c r="P3" i="7"/>
  <c r="P4" i="7"/>
  <c r="P5" i="7"/>
  <c r="P6" i="7"/>
  <c r="P7" i="7"/>
  <c r="P8" i="7"/>
  <c r="P9" i="7"/>
  <c r="P10" i="7"/>
  <c r="P11" i="7"/>
  <c r="P12" i="7"/>
  <c r="P13" i="7"/>
  <c r="P2" i="7"/>
  <c r="P2" i="12"/>
  <c r="A2" i="12" s="1"/>
  <c r="A3" i="12" s="1"/>
  <c r="A4" i="12" s="1"/>
  <c r="A5" i="12" s="1"/>
  <c r="A6" i="12" s="1"/>
  <c r="A7" i="12" s="1"/>
  <c r="A8" i="12" s="1"/>
  <c r="A9" i="12" s="1"/>
  <c r="P3" i="11"/>
  <c r="A10" i="11" s="1"/>
  <c r="A11" i="11" s="1"/>
  <c r="A12" i="11" s="1"/>
  <c r="A13" i="11" s="1"/>
  <c r="A14" i="11" s="1"/>
  <c r="A15" i="11" s="1"/>
  <c r="A16" i="11" s="1"/>
  <c r="A17" i="11" s="1"/>
  <c r="P4" i="11"/>
  <c r="P5" i="11"/>
  <c r="P6" i="11"/>
  <c r="A34" i="11" s="1"/>
  <c r="A35" i="11" s="1"/>
  <c r="A36" i="11" s="1"/>
  <c r="A37" i="11" s="1"/>
  <c r="A38" i="11" s="1"/>
  <c r="A39" i="11" s="1"/>
  <c r="A40" i="11" s="1"/>
  <c r="A41" i="11" s="1"/>
  <c r="P7" i="11"/>
  <c r="A42" i="11" s="1"/>
  <c r="A43" i="11" s="1"/>
  <c r="A44" i="11" s="1"/>
  <c r="A45" i="11" s="1"/>
  <c r="A46" i="11" s="1"/>
  <c r="A47" i="11" s="1"/>
  <c r="A48" i="11" s="1"/>
  <c r="A49" i="11" s="1"/>
  <c r="P8" i="11"/>
  <c r="A50" i="11" s="1"/>
  <c r="A51" i="11" s="1"/>
  <c r="A52" i="11" s="1"/>
  <c r="A53" i="11" s="1"/>
  <c r="A54" i="11" s="1"/>
  <c r="A55" i="11" s="1"/>
  <c r="A56" i="11" s="1"/>
  <c r="A57" i="11" s="1"/>
  <c r="P9" i="11"/>
  <c r="A58" i="11" s="1"/>
  <c r="A59" i="11" s="1"/>
  <c r="A60" i="11" s="1"/>
  <c r="A61" i="11" s="1"/>
  <c r="A62" i="11" s="1"/>
  <c r="A63" i="11" s="1"/>
  <c r="A64" i="11" s="1"/>
  <c r="A65" i="11" s="1"/>
  <c r="P10" i="11"/>
  <c r="A66" i="11" s="1"/>
  <c r="A67" i="11" s="1"/>
  <c r="A68" i="11" s="1"/>
  <c r="A69" i="11" s="1"/>
  <c r="A70" i="11" s="1"/>
  <c r="A71" i="11" s="1"/>
  <c r="A72" i="11" s="1"/>
  <c r="A73" i="11" s="1"/>
  <c r="P11" i="11"/>
  <c r="A74" i="11" s="1"/>
  <c r="A75" i="11" s="1"/>
  <c r="A76" i="11" s="1"/>
  <c r="A77" i="11" s="1"/>
  <c r="A78" i="11" s="1"/>
  <c r="A79" i="11" s="1"/>
  <c r="A80" i="11" s="1"/>
  <c r="A81" i="11" s="1"/>
  <c r="P12" i="11"/>
  <c r="P13" i="11"/>
  <c r="A90" i="11" s="1"/>
  <c r="A91" i="11" s="1"/>
  <c r="A92" i="11" s="1"/>
  <c r="A93" i="11" s="1"/>
  <c r="A94" i="11" s="1"/>
  <c r="A95" i="11" s="1"/>
  <c r="A96" i="11" s="1"/>
  <c r="A97" i="11" s="1"/>
  <c r="P2" i="11"/>
  <c r="P3" i="10"/>
  <c r="A10" i="10" s="1"/>
  <c r="A11" i="10" s="1"/>
  <c r="A12" i="10" s="1"/>
  <c r="A13" i="10" s="1"/>
  <c r="A14" i="10" s="1"/>
  <c r="A15" i="10" s="1"/>
  <c r="A16" i="10" s="1"/>
  <c r="A17" i="10" s="1"/>
  <c r="P4" i="10"/>
  <c r="A18" i="10" s="1"/>
  <c r="A19" i="10" s="1"/>
  <c r="A20" i="10" s="1"/>
  <c r="A21" i="10" s="1"/>
  <c r="A22" i="10" s="1"/>
  <c r="A23" i="10" s="1"/>
  <c r="A24" i="10" s="1"/>
  <c r="A25" i="10" s="1"/>
  <c r="P5" i="10"/>
  <c r="A26" i="10" s="1"/>
  <c r="A27" i="10" s="1"/>
  <c r="A28" i="10" s="1"/>
  <c r="A29" i="10" s="1"/>
  <c r="A30" i="10" s="1"/>
  <c r="A31" i="10" s="1"/>
  <c r="A32" i="10" s="1"/>
  <c r="A33" i="10" s="1"/>
  <c r="P6" i="10"/>
  <c r="A34" i="10" s="1"/>
  <c r="A35" i="10" s="1"/>
  <c r="A36" i="10" s="1"/>
  <c r="A37" i="10" s="1"/>
  <c r="A38" i="10" s="1"/>
  <c r="A39" i="10" s="1"/>
  <c r="A40" i="10" s="1"/>
  <c r="A41" i="10" s="1"/>
  <c r="P7" i="10"/>
  <c r="A42" i="10" s="1"/>
  <c r="A43" i="10" s="1"/>
  <c r="A44" i="10" s="1"/>
  <c r="A45" i="10" s="1"/>
  <c r="A46" i="10" s="1"/>
  <c r="A47" i="10" s="1"/>
  <c r="A48" i="10" s="1"/>
  <c r="A49" i="10" s="1"/>
  <c r="P8" i="10"/>
  <c r="A50" i="10" s="1"/>
  <c r="A51" i="10" s="1"/>
  <c r="A52" i="10" s="1"/>
  <c r="A53" i="10" s="1"/>
  <c r="A54" i="10" s="1"/>
  <c r="A55" i="10" s="1"/>
  <c r="A56" i="10" s="1"/>
  <c r="A57" i="10" s="1"/>
  <c r="P9" i="10"/>
  <c r="P10" i="10"/>
  <c r="A66" i="10" s="1"/>
  <c r="A67" i="10" s="1"/>
  <c r="A68" i="10" s="1"/>
  <c r="A69" i="10" s="1"/>
  <c r="A70" i="10" s="1"/>
  <c r="A71" i="10" s="1"/>
  <c r="A72" i="10" s="1"/>
  <c r="A73" i="10" s="1"/>
  <c r="P11" i="10"/>
  <c r="A74" i="10" s="1"/>
  <c r="A75" i="10" s="1"/>
  <c r="A76" i="10" s="1"/>
  <c r="A77" i="10" s="1"/>
  <c r="A78" i="10" s="1"/>
  <c r="A79" i="10" s="1"/>
  <c r="A80" i="10" s="1"/>
  <c r="A81" i="10" s="1"/>
  <c r="P12" i="10"/>
  <c r="A82" i="10" s="1"/>
  <c r="A83" i="10" s="1"/>
  <c r="A84" i="10" s="1"/>
  <c r="A85" i="10" s="1"/>
  <c r="A86" i="10" s="1"/>
  <c r="A87" i="10" s="1"/>
  <c r="A88" i="10" s="1"/>
  <c r="A89" i="10" s="1"/>
  <c r="P13" i="10"/>
  <c r="A90" i="10" s="1"/>
  <c r="A91" i="10" s="1"/>
  <c r="A92" i="10" s="1"/>
  <c r="A93" i="10" s="1"/>
  <c r="A94" i="10" s="1"/>
  <c r="A95" i="10" s="1"/>
  <c r="A96" i="10" s="1"/>
  <c r="A97" i="10" s="1"/>
  <c r="P2" i="10"/>
  <c r="P3" i="9"/>
  <c r="A10" i="9" s="1"/>
  <c r="A11" i="9" s="1"/>
  <c r="A12" i="9" s="1"/>
  <c r="A13" i="9" s="1"/>
  <c r="A14" i="9" s="1"/>
  <c r="A15" i="9" s="1"/>
  <c r="A16" i="9" s="1"/>
  <c r="A17" i="9" s="1"/>
  <c r="P4" i="9"/>
  <c r="P5" i="9"/>
  <c r="P6" i="9"/>
  <c r="A34" i="9" s="1"/>
  <c r="A35" i="9" s="1"/>
  <c r="A36" i="9" s="1"/>
  <c r="A37" i="9" s="1"/>
  <c r="A38" i="9" s="1"/>
  <c r="A39" i="9" s="1"/>
  <c r="A40" i="9" s="1"/>
  <c r="A41" i="9" s="1"/>
  <c r="P7" i="9"/>
  <c r="A42" i="9" s="1"/>
  <c r="A43" i="9" s="1"/>
  <c r="A44" i="9" s="1"/>
  <c r="A45" i="9" s="1"/>
  <c r="A46" i="9" s="1"/>
  <c r="A47" i="9" s="1"/>
  <c r="A48" i="9" s="1"/>
  <c r="A49" i="9" s="1"/>
  <c r="P8" i="9"/>
  <c r="A50" i="9" s="1"/>
  <c r="A51" i="9" s="1"/>
  <c r="A52" i="9" s="1"/>
  <c r="A53" i="9" s="1"/>
  <c r="A54" i="9" s="1"/>
  <c r="A55" i="9" s="1"/>
  <c r="A56" i="9" s="1"/>
  <c r="A57" i="9" s="1"/>
  <c r="P9" i="9"/>
  <c r="A58" i="9" s="1"/>
  <c r="A59" i="9" s="1"/>
  <c r="A60" i="9" s="1"/>
  <c r="A61" i="9" s="1"/>
  <c r="A62" i="9" s="1"/>
  <c r="A63" i="9" s="1"/>
  <c r="A64" i="9" s="1"/>
  <c r="A65" i="9" s="1"/>
  <c r="P10" i="9"/>
  <c r="A66" i="9" s="1"/>
  <c r="A67" i="9" s="1"/>
  <c r="A68" i="9" s="1"/>
  <c r="A69" i="9" s="1"/>
  <c r="A70" i="9" s="1"/>
  <c r="A71" i="9" s="1"/>
  <c r="A72" i="9" s="1"/>
  <c r="A73" i="9" s="1"/>
  <c r="P11" i="9"/>
  <c r="A74" i="9" s="1"/>
  <c r="A75" i="9" s="1"/>
  <c r="A76" i="9" s="1"/>
  <c r="A77" i="9" s="1"/>
  <c r="A78" i="9" s="1"/>
  <c r="A79" i="9" s="1"/>
  <c r="A80" i="9" s="1"/>
  <c r="A81" i="9" s="1"/>
  <c r="P12" i="9"/>
  <c r="P13" i="9"/>
  <c r="P2" i="9"/>
  <c r="A2" i="9" s="1"/>
  <c r="A3" i="9" s="1"/>
  <c r="A4" i="9" s="1"/>
  <c r="A5" i="9" s="1"/>
  <c r="A6" i="9" s="1"/>
  <c r="A7" i="9" s="1"/>
  <c r="A8" i="9" s="1"/>
  <c r="A9" i="9" s="1"/>
  <c r="P3" i="8"/>
  <c r="A10" i="8" s="1"/>
  <c r="A11" i="8" s="1"/>
  <c r="A12" i="8" s="1"/>
  <c r="A13" i="8" s="1"/>
  <c r="A14" i="8" s="1"/>
  <c r="A15" i="8" s="1"/>
  <c r="A16" i="8" s="1"/>
  <c r="A17" i="8" s="1"/>
  <c r="P4" i="8"/>
  <c r="A18" i="8" s="1"/>
  <c r="A19" i="8" s="1"/>
  <c r="A20" i="8" s="1"/>
  <c r="A21" i="8" s="1"/>
  <c r="A22" i="8" s="1"/>
  <c r="A23" i="8" s="1"/>
  <c r="A24" i="8" s="1"/>
  <c r="A25" i="8" s="1"/>
  <c r="P5" i="8"/>
  <c r="A26" i="8" s="1"/>
  <c r="A27" i="8" s="1"/>
  <c r="A28" i="8" s="1"/>
  <c r="A29" i="8" s="1"/>
  <c r="A30" i="8" s="1"/>
  <c r="A31" i="8" s="1"/>
  <c r="A32" i="8" s="1"/>
  <c r="A33" i="8" s="1"/>
  <c r="P6" i="8"/>
  <c r="A34" i="8" s="1"/>
  <c r="A35" i="8" s="1"/>
  <c r="A36" i="8" s="1"/>
  <c r="A37" i="8" s="1"/>
  <c r="A38" i="8" s="1"/>
  <c r="A39" i="8" s="1"/>
  <c r="A40" i="8" s="1"/>
  <c r="A41" i="8" s="1"/>
  <c r="P7" i="8"/>
  <c r="A42" i="8" s="1"/>
  <c r="A43" i="8" s="1"/>
  <c r="A44" i="8" s="1"/>
  <c r="A45" i="8" s="1"/>
  <c r="A46" i="8" s="1"/>
  <c r="A47" i="8" s="1"/>
  <c r="A48" i="8" s="1"/>
  <c r="A49" i="8" s="1"/>
  <c r="P8" i="8"/>
  <c r="P9" i="8"/>
  <c r="P10" i="8"/>
  <c r="A66" i="8" s="1"/>
  <c r="A67" i="8" s="1"/>
  <c r="A68" i="8" s="1"/>
  <c r="A69" i="8" s="1"/>
  <c r="A70" i="8" s="1"/>
  <c r="A71" i="8" s="1"/>
  <c r="A72" i="8" s="1"/>
  <c r="A73" i="8" s="1"/>
  <c r="P11" i="8"/>
  <c r="A74" i="8" s="1"/>
  <c r="A75" i="8" s="1"/>
  <c r="A76" i="8" s="1"/>
  <c r="A77" i="8" s="1"/>
  <c r="A78" i="8" s="1"/>
  <c r="A79" i="8" s="1"/>
  <c r="A80" i="8" s="1"/>
  <c r="A81" i="8" s="1"/>
  <c r="P12" i="8"/>
  <c r="A82" i="8" s="1"/>
  <c r="A83" i="8" s="1"/>
  <c r="A84" i="8" s="1"/>
  <c r="A85" i="8" s="1"/>
  <c r="A86" i="8" s="1"/>
  <c r="A87" i="8" s="1"/>
  <c r="A88" i="8" s="1"/>
  <c r="A89" i="8" s="1"/>
  <c r="P13" i="8"/>
  <c r="A90" i="8" s="1"/>
  <c r="A91" i="8" s="1"/>
  <c r="A92" i="8" s="1"/>
  <c r="A93" i="8" s="1"/>
  <c r="A94" i="8" s="1"/>
  <c r="A95" i="8" s="1"/>
  <c r="A96" i="8" s="1"/>
  <c r="A97" i="8" s="1"/>
  <c r="P2" i="8"/>
  <c r="A2" i="8" s="1"/>
  <c r="A3" i="8" s="1"/>
  <c r="A4" i="8" s="1"/>
  <c r="A5" i="8" s="1"/>
  <c r="A6" i="8" s="1"/>
  <c r="A7" i="8" s="1"/>
  <c r="A8" i="8" s="1"/>
  <c r="A9" i="8" s="1"/>
  <c r="C107" i="12"/>
  <c r="C106" i="12"/>
  <c r="C105" i="12"/>
  <c r="C104" i="12"/>
  <c r="C103" i="12"/>
  <c r="C102" i="12"/>
  <c r="C101" i="12"/>
  <c r="C100" i="12"/>
  <c r="J95" i="12"/>
  <c r="I95" i="12"/>
  <c r="J93" i="12"/>
  <c r="L95" i="12" s="1"/>
  <c r="I93" i="12"/>
  <c r="L97" i="12" s="1"/>
  <c r="K91" i="12"/>
  <c r="J91" i="12"/>
  <c r="K94" i="12" s="1"/>
  <c r="I91" i="12"/>
  <c r="K97" i="12" s="1"/>
  <c r="J87" i="12"/>
  <c r="I87" i="12"/>
  <c r="J85" i="12"/>
  <c r="L86" i="12" s="1"/>
  <c r="I85" i="12"/>
  <c r="L85" i="12" s="1"/>
  <c r="J83" i="12"/>
  <c r="K87" i="12" s="1"/>
  <c r="I83" i="12"/>
  <c r="K89" i="12" s="1"/>
  <c r="K81" i="12"/>
  <c r="J79" i="12"/>
  <c r="I79" i="12"/>
  <c r="J77" i="12"/>
  <c r="L79" i="12" s="1"/>
  <c r="I77" i="12"/>
  <c r="L80" i="12" s="1"/>
  <c r="L76" i="12"/>
  <c r="K76" i="12"/>
  <c r="J75" i="12"/>
  <c r="K78" i="12" s="1"/>
  <c r="I75" i="12"/>
  <c r="K77" i="12" s="1"/>
  <c r="L73" i="12"/>
  <c r="L72" i="12"/>
  <c r="J71" i="12"/>
  <c r="I71" i="12"/>
  <c r="J69" i="12"/>
  <c r="L70" i="12" s="1"/>
  <c r="I69" i="12"/>
  <c r="L69" i="12" s="1"/>
  <c r="L68" i="12"/>
  <c r="L67" i="12"/>
  <c r="J67" i="12"/>
  <c r="K70" i="12" s="1"/>
  <c r="I67" i="12"/>
  <c r="K72" i="12" s="1"/>
  <c r="J63" i="12"/>
  <c r="I63" i="12"/>
  <c r="L62" i="12"/>
  <c r="J61" i="12"/>
  <c r="L63" i="12" s="1"/>
  <c r="I61" i="12"/>
  <c r="L65" i="12" s="1"/>
  <c r="J59" i="12"/>
  <c r="K62" i="12" s="1"/>
  <c r="I59" i="12"/>
  <c r="K65" i="12" s="1"/>
  <c r="L57" i="12"/>
  <c r="L56" i="12"/>
  <c r="L55" i="12"/>
  <c r="J55" i="12"/>
  <c r="I55" i="12"/>
  <c r="J53" i="12"/>
  <c r="L54" i="12" s="1"/>
  <c r="I53" i="12"/>
  <c r="L53" i="12" s="1"/>
  <c r="L52" i="12"/>
  <c r="L51" i="12"/>
  <c r="J51" i="12"/>
  <c r="K55" i="12" s="1"/>
  <c r="I51" i="12"/>
  <c r="K57" i="12" s="1"/>
  <c r="L50" i="12"/>
  <c r="J47" i="12"/>
  <c r="I47" i="12"/>
  <c r="J45" i="12"/>
  <c r="L46" i="12" s="1"/>
  <c r="I45" i="12"/>
  <c r="L49" i="12" s="1"/>
  <c r="L44" i="12"/>
  <c r="J43" i="12"/>
  <c r="K46" i="12" s="1"/>
  <c r="I43" i="12"/>
  <c r="K45" i="12" s="1"/>
  <c r="L41" i="12"/>
  <c r="L40" i="12"/>
  <c r="J39" i="12"/>
  <c r="I39" i="12"/>
  <c r="J37" i="12"/>
  <c r="L38" i="12" s="1"/>
  <c r="I37" i="12"/>
  <c r="L37" i="12" s="1"/>
  <c r="K36" i="12"/>
  <c r="L35" i="12"/>
  <c r="K35" i="12"/>
  <c r="J35" i="12"/>
  <c r="K38" i="12" s="1"/>
  <c r="I35" i="12"/>
  <c r="K40" i="12" s="1"/>
  <c r="K34" i="12"/>
  <c r="K32" i="12"/>
  <c r="L31" i="12"/>
  <c r="J31" i="12"/>
  <c r="I31" i="12"/>
  <c r="J29" i="12"/>
  <c r="L30" i="12" s="1"/>
  <c r="I29" i="12"/>
  <c r="L29" i="12" s="1"/>
  <c r="L28" i="12"/>
  <c r="K27" i="12"/>
  <c r="J27" i="12"/>
  <c r="K30" i="12" s="1"/>
  <c r="I27" i="12"/>
  <c r="K33" i="12" s="1"/>
  <c r="L24" i="12"/>
  <c r="J23" i="12"/>
  <c r="I23" i="12"/>
  <c r="J21" i="12"/>
  <c r="L22" i="12" s="1"/>
  <c r="I21" i="12"/>
  <c r="L21" i="12" s="1"/>
  <c r="L20" i="12"/>
  <c r="L19" i="12"/>
  <c r="J19" i="12"/>
  <c r="K23" i="12" s="1"/>
  <c r="I19" i="12"/>
  <c r="K25" i="12" s="1"/>
  <c r="L18" i="12"/>
  <c r="J15" i="12"/>
  <c r="I15" i="12"/>
  <c r="K13" i="12"/>
  <c r="J13" i="12"/>
  <c r="L15" i="12" s="1"/>
  <c r="I13" i="12"/>
  <c r="L13" i="12" s="1"/>
  <c r="L12" i="12"/>
  <c r="A74" i="12"/>
  <c r="A75" i="12" s="1"/>
  <c r="A76" i="12" s="1"/>
  <c r="A77" i="12" s="1"/>
  <c r="A78" i="12" s="1"/>
  <c r="A79" i="12" s="1"/>
  <c r="A80" i="12" s="1"/>
  <c r="A81" i="12" s="1"/>
  <c r="K11" i="12"/>
  <c r="J11" i="12"/>
  <c r="K14" i="12" s="1"/>
  <c r="I11" i="12"/>
  <c r="K16" i="12" s="1"/>
  <c r="L10" i="12"/>
  <c r="K10" i="12"/>
  <c r="J7" i="12"/>
  <c r="I7" i="12"/>
  <c r="A26" i="12"/>
  <c r="A27" i="12" s="1"/>
  <c r="A28" i="12" s="1"/>
  <c r="A29" i="12" s="1"/>
  <c r="A30" i="12" s="1"/>
  <c r="A31" i="12" s="1"/>
  <c r="A32" i="12" s="1"/>
  <c r="A33" i="12" s="1"/>
  <c r="N5" i="12"/>
  <c r="J5" i="12"/>
  <c r="L7" i="12" s="1"/>
  <c r="I5" i="12"/>
  <c r="L9" i="12" s="1"/>
  <c r="A18" i="12"/>
  <c r="A19" i="12" s="1"/>
  <c r="A20" i="12" s="1"/>
  <c r="A21" i="12" s="1"/>
  <c r="A22" i="12" s="1"/>
  <c r="A23" i="12" s="1"/>
  <c r="A24" i="12" s="1"/>
  <c r="A25" i="12" s="1"/>
  <c r="N4" i="12"/>
  <c r="N3" i="12"/>
  <c r="J3" i="12"/>
  <c r="K7" i="12" s="1"/>
  <c r="I3" i="12"/>
  <c r="K8" i="12" s="1"/>
  <c r="N2" i="12"/>
  <c r="O1" i="12"/>
  <c r="N1" i="12"/>
  <c r="C107" i="11"/>
  <c r="C106" i="11"/>
  <c r="C105" i="11"/>
  <c r="C104" i="11"/>
  <c r="C103" i="11"/>
  <c r="C102" i="11"/>
  <c r="C101" i="11"/>
  <c r="C100" i="11"/>
  <c r="J95" i="11"/>
  <c r="I95" i="11"/>
  <c r="J93" i="11"/>
  <c r="L94" i="11" s="1"/>
  <c r="I93" i="11"/>
  <c r="J91" i="11"/>
  <c r="K95" i="11" s="1"/>
  <c r="I91" i="11"/>
  <c r="K97" i="11" s="1"/>
  <c r="J87" i="11"/>
  <c r="I87" i="11"/>
  <c r="J85" i="11"/>
  <c r="L86" i="11" s="1"/>
  <c r="I85" i="11"/>
  <c r="L89" i="11" s="1"/>
  <c r="J83" i="11"/>
  <c r="K87" i="11" s="1"/>
  <c r="I83" i="11"/>
  <c r="K81" i="11"/>
  <c r="J79" i="11"/>
  <c r="I79" i="11"/>
  <c r="J77" i="11"/>
  <c r="L78" i="11" s="1"/>
  <c r="I77" i="11"/>
  <c r="L77" i="11" s="1"/>
  <c r="K76" i="11"/>
  <c r="J75" i="11"/>
  <c r="K78" i="11" s="1"/>
  <c r="I75" i="11"/>
  <c r="K80" i="11" s="1"/>
  <c r="K74" i="11"/>
  <c r="J71" i="11"/>
  <c r="I71" i="11"/>
  <c r="L69" i="11"/>
  <c r="J69" i="11"/>
  <c r="L71" i="11" s="1"/>
  <c r="I69" i="11"/>
  <c r="L72" i="11" s="1"/>
  <c r="L68" i="11"/>
  <c r="J67" i="11"/>
  <c r="I67" i="11"/>
  <c r="K73" i="11" s="1"/>
  <c r="J63" i="11"/>
  <c r="I63" i="11"/>
  <c r="J61" i="11"/>
  <c r="L62" i="11" s="1"/>
  <c r="I61" i="11"/>
  <c r="L65" i="11" s="1"/>
  <c r="L60" i="11"/>
  <c r="J59" i="11"/>
  <c r="K63" i="11" s="1"/>
  <c r="I59" i="11"/>
  <c r="K65" i="11" s="1"/>
  <c r="L58" i="11"/>
  <c r="J55" i="11"/>
  <c r="I55" i="11"/>
  <c r="K54" i="11"/>
  <c r="L53" i="11"/>
  <c r="J53" i="11"/>
  <c r="I53" i="11"/>
  <c r="L56" i="11" s="1"/>
  <c r="J51" i="11"/>
  <c r="K55" i="11" s="1"/>
  <c r="I51" i="11"/>
  <c r="K56" i="11" s="1"/>
  <c r="J47" i="11"/>
  <c r="I47" i="11"/>
  <c r="L46" i="11"/>
  <c r="J45" i="11"/>
  <c r="L47" i="11" s="1"/>
  <c r="I45" i="11"/>
  <c r="L49" i="11" s="1"/>
  <c r="J43" i="11"/>
  <c r="K47" i="11" s="1"/>
  <c r="I43" i="11"/>
  <c r="K41" i="11"/>
  <c r="L39" i="11"/>
  <c r="K39" i="11"/>
  <c r="J39" i="11"/>
  <c r="I39" i="11"/>
  <c r="J37" i="11"/>
  <c r="L38" i="11" s="1"/>
  <c r="I37" i="11"/>
  <c r="L37" i="11" s="1"/>
  <c r="L36" i="11"/>
  <c r="J35" i="11"/>
  <c r="K38" i="11" s="1"/>
  <c r="I35" i="11"/>
  <c r="K37" i="11" s="1"/>
  <c r="L33" i="11"/>
  <c r="L31" i="11"/>
  <c r="J31" i="11"/>
  <c r="I31" i="11"/>
  <c r="K30" i="11"/>
  <c r="L29" i="11"/>
  <c r="J29" i="11"/>
  <c r="L30" i="11" s="1"/>
  <c r="I29" i="11"/>
  <c r="L32" i="11" s="1"/>
  <c r="L28" i="11"/>
  <c r="J27" i="11"/>
  <c r="K31" i="11" s="1"/>
  <c r="I27" i="11"/>
  <c r="K32" i="11" s="1"/>
  <c r="L26" i="11"/>
  <c r="K26" i="11"/>
  <c r="J23" i="11"/>
  <c r="I23" i="11"/>
  <c r="J21" i="11"/>
  <c r="I21" i="11"/>
  <c r="L19" i="11" s="1"/>
  <c r="J19" i="11"/>
  <c r="K23" i="11" s="1"/>
  <c r="I19" i="11"/>
  <c r="K21" i="11" s="1"/>
  <c r="A18" i="11"/>
  <c r="A19" i="11" s="1"/>
  <c r="A20" i="11" s="1"/>
  <c r="A21" i="11" s="1"/>
  <c r="A22" i="11" s="1"/>
  <c r="A23" i="11" s="1"/>
  <c r="A24" i="11" s="1"/>
  <c r="A25" i="11" s="1"/>
  <c r="J15" i="11"/>
  <c r="I15" i="11"/>
  <c r="J13" i="11"/>
  <c r="L15" i="11" s="1"/>
  <c r="I13" i="11"/>
  <c r="L17" i="11" s="1"/>
  <c r="A82" i="11"/>
  <c r="A83" i="11" s="1"/>
  <c r="A84" i="11" s="1"/>
  <c r="A85" i="11" s="1"/>
  <c r="A86" i="11" s="1"/>
  <c r="A87" i="11" s="1"/>
  <c r="A88" i="11" s="1"/>
  <c r="A89" i="11" s="1"/>
  <c r="J11" i="11"/>
  <c r="K15" i="11" s="1"/>
  <c r="I11" i="11"/>
  <c r="K12" i="11" s="1"/>
  <c r="L9" i="11"/>
  <c r="J7" i="11"/>
  <c r="I7" i="11"/>
  <c r="A26" i="11"/>
  <c r="A27" i="11" s="1"/>
  <c r="A28" i="11" s="1"/>
  <c r="A29" i="11" s="1"/>
  <c r="A30" i="11" s="1"/>
  <c r="A31" i="11" s="1"/>
  <c r="A32" i="11" s="1"/>
  <c r="A33" i="11" s="1"/>
  <c r="N5" i="11"/>
  <c r="L5" i="11"/>
  <c r="J5" i="11"/>
  <c r="I5" i="11"/>
  <c r="L8" i="11" s="1"/>
  <c r="N4" i="11"/>
  <c r="N3" i="11"/>
  <c r="L3" i="11"/>
  <c r="J3" i="11"/>
  <c r="K7" i="11" s="1"/>
  <c r="I3" i="11"/>
  <c r="K4" i="11" s="1"/>
  <c r="N2" i="11"/>
  <c r="L2" i="11"/>
  <c r="A2" i="11"/>
  <c r="A3" i="11" s="1"/>
  <c r="A4" i="11" s="1"/>
  <c r="A5" i="11" s="1"/>
  <c r="A6" i="11" s="1"/>
  <c r="A7" i="11" s="1"/>
  <c r="A8" i="11" s="1"/>
  <c r="A9" i="11" s="1"/>
  <c r="O1" i="11"/>
  <c r="N1" i="11"/>
  <c r="C107" i="10"/>
  <c r="C106" i="10"/>
  <c r="C105" i="10"/>
  <c r="C104" i="10"/>
  <c r="C103" i="10"/>
  <c r="C102" i="10"/>
  <c r="C101" i="10"/>
  <c r="C100" i="10"/>
  <c r="K97" i="10"/>
  <c r="K96" i="10"/>
  <c r="J95" i="10"/>
  <c r="I95" i="10"/>
  <c r="J93" i="10"/>
  <c r="I93" i="10"/>
  <c r="K92" i="10"/>
  <c r="K91" i="10"/>
  <c r="J91" i="10"/>
  <c r="K94" i="10" s="1"/>
  <c r="I91" i="10"/>
  <c r="K90" i="10" s="1"/>
  <c r="J87" i="10"/>
  <c r="I87" i="10"/>
  <c r="L86" i="10"/>
  <c r="J85" i="10"/>
  <c r="L87" i="10" s="1"/>
  <c r="I85" i="10"/>
  <c r="L89" i="10" s="1"/>
  <c r="J83" i="10"/>
  <c r="K87" i="10" s="1"/>
  <c r="I83" i="10"/>
  <c r="K81" i="10"/>
  <c r="K79" i="10"/>
  <c r="J79" i="10"/>
  <c r="I79" i="10"/>
  <c r="L78" i="10"/>
  <c r="J77" i="10"/>
  <c r="L79" i="10" s="1"/>
  <c r="I77" i="10"/>
  <c r="L77" i="10" s="1"/>
  <c r="L76" i="10"/>
  <c r="K76" i="10"/>
  <c r="K75" i="10"/>
  <c r="J75" i="10"/>
  <c r="K78" i="10" s="1"/>
  <c r="I75" i="10"/>
  <c r="K77" i="10" s="1"/>
  <c r="J71" i="10"/>
  <c r="I71" i="10"/>
  <c r="K70" i="10"/>
  <c r="J69" i="10"/>
  <c r="L70" i="10" s="1"/>
  <c r="I69" i="10"/>
  <c r="L72" i="10" s="1"/>
  <c r="L68" i="10"/>
  <c r="J67" i="10"/>
  <c r="K71" i="10" s="1"/>
  <c r="I67" i="10"/>
  <c r="K72" i="10" s="1"/>
  <c r="J63" i="10"/>
  <c r="I63" i="10"/>
  <c r="K62" i="10"/>
  <c r="J61" i="10"/>
  <c r="I61" i="10"/>
  <c r="J59" i="10"/>
  <c r="K63" i="10" s="1"/>
  <c r="I59" i="10"/>
  <c r="K58" i="10" s="1"/>
  <c r="J55" i="10"/>
  <c r="I55" i="10"/>
  <c r="K53" i="10"/>
  <c r="J53" i="10"/>
  <c r="I53" i="10"/>
  <c r="L56" i="10" s="1"/>
  <c r="J51" i="10"/>
  <c r="K55" i="10" s="1"/>
  <c r="I51" i="10"/>
  <c r="K56" i="10" s="1"/>
  <c r="L47" i="10"/>
  <c r="J47" i="10"/>
  <c r="I47" i="10"/>
  <c r="L46" i="10"/>
  <c r="J45" i="10"/>
  <c r="I45" i="10"/>
  <c r="L49" i="10" s="1"/>
  <c r="J43" i="10"/>
  <c r="K46" i="10" s="1"/>
  <c r="I43" i="10"/>
  <c r="K44" i="10" s="1"/>
  <c r="L41" i="10"/>
  <c r="J39" i="10"/>
  <c r="I39" i="10"/>
  <c r="K38" i="10"/>
  <c r="L37" i="10"/>
  <c r="J37" i="10"/>
  <c r="L38" i="10" s="1"/>
  <c r="I37" i="10"/>
  <c r="L40" i="10" s="1"/>
  <c r="J35" i="10"/>
  <c r="K39" i="10" s="1"/>
  <c r="I35" i="10"/>
  <c r="K36" i="10" s="1"/>
  <c r="L34" i="10"/>
  <c r="K34" i="10"/>
  <c r="J31" i="10"/>
  <c r="I31" i="10"/>
  <c r="J29" i="10"/>
  <c r="I29" i="10"/>
  <c r="J27" i="10"/>
  <c r="K31" i="10" s="1"/>
  <c r="I27" i="10"/>
  <c r="K33" i="10" s="1"/>
  <c r="K24" i="10"/>
  <c r="J23" i="10"/>
  <c r="I23" i="10"/>
  <c r="L22" i="10"/>
  <c r="J21" i="10"/>
  <c r="L23" i="10" s="1"/>
  <c r="I21" i="10"/>
  <c r="L24" i="10" s="1"/>
  <c r="J19" i="10"/>
  <c r="K22" i="10" s="1"/>
  <c r="I19" i="10"/>
  <c r="K21" i="10" s="1"/>
  <c r="J15" i="10"/>
  <c r="I15" i="10"/>
  <c r="J13" i="10"/>
  <c r="L15" i="10" s="1"/>
  <c r="I13" i="10"/>
  <c r="L16" i="10" s="1"/>
  <c r="L11" i="10"/>
  <c r="J11" i="10"/>
  <c r="K15" i="10" s="1"/>
  <c r="I11" i="10"/>
  <c r="A58" i="10"/>
  <c r="A59" i="10" s="1"/>
  <c r="A60" i="10" s="1"/>
  <c r="A61" i="10" s="1"/>
  <c r="A62" i="10" s="1"/>
  <c r="A63" i="10" s="1"/>
  <c r="A64" i="10" s="1"/>
  <c r="A65" i="10" s="1"/>
  <c r="K9" i="10"/>
  <c r="J7" i="10"/>
  <c r="I7" i="10"/>
  <c r="N5" i="10"/>
  <c r="K5" i="10"/>
  <c r="J5" i="10"/>
  <c r="I5" i="10"/>
  <c r="N4" i="10"/>
  <c r="L4" i="10"/>
  <c r="K4" i="10"/>
  <c r="N3" i="10"/>
  <c r="J3" i="10"/>
  <c r="K6" i="10" s="1"/>
  <c r="I3" i="10"/>
  <c r="K3" i="10" s="1"/>
  <c r="A2" i="10"/>
  <c r="A3" i="10" s="1"/>
  <c r="A4" i="10" s="1"/>
  <c r="A5" i="10" s="1"/>
  <c r="A6" i="10" s="1"/>
  <c r="A7" i="10" s="1"/>
  <c r="A8" i="10" s="1"/>
  <c r="A9" i="10" s="1"/>
  <c r="N2" i="10"/>
  <c r="O1" i="10"/>
  <c r="N1" i="10"/>
  <c r="C107" i="9"/>
  <c r="C106" i="9"/>
  <c r="C105" i="9"/>
  <c r="C104" i="9"/>
  <c r="C103" i="9"/>
  <c r="C102" i="9"/>
  <c r="C101" i="9"/>
  <c r="C100" i="9"/>
  <c r="J95" i="9"/>
  <c r="I95" i="9"/>
  <c r="J93" i="9"/>
  <c r="L95" i="9" s="1"/>
  <c r="I93" i="9"/>
  <c r="J91" i="9"/>
  <c r="K95" i="9" s="1"/>
  <c r="I91" i="9"/>
  <c r="K96" i="9" s="1"/>
  <c r="J87" i="9"/>
  <c r="I87" i="9"/>
  <c r="J85" i="9"/>
  <c r="L86" i="9" s="1"/>
  <c r="I85" i="9"/>
  <c r="L85" i="9" s="1"/>
  <c r="K84" i="9"/>
  <c r="J83" i="9"/>
  <c r="K86" i="9" s="1"/>
  <c r="I83" i="9"/>
  <c r="L79" i="9"/>
  <c r="J79" i="9"/>
  <c r="I79" i="9"/>
  <c r="L78" i="9"/>
  <c r="J77" i="9"/>
  <c r="I77" i="9"/>
  <c r="L80" i="9" s="1"/>
  <c r="L76" i="9"/>
  <c r="J75" i="9"/>
  <c r="K78" i="9" s="1"/>
  <c r="I75" i="9"/>
  <c r="K80" i="9" s="1"/>
  <c r="K73" i="9"/>
  <c r="K72" i="9"/>
  <c r="J71" i="9"/>
  <c r="I71" i="9"/>
  <c r="K69" i="9"/>
  <c r="J69" i="9"/>
  <c r="I69" i="9"/>
  <c r="L66" i="9" s="1"/>
  <c r="K67" i="9"/>
  <c r="J67" i="9"/>
  <c r="K70" i="9" s="1"/>
  <c r="I67" i="9"/>
  <c r="K68" i="9" s="1"/>
  <c r="K66" i="9"/>
  <c r="J63" i="9"/>
  <c r="I63" i="9"/>
  <c r="J61" i="9"/>
  <c r="L63" i="9" s="1"/>
  <c r="I61" i="9"/>
  <c r="L59" i="9"/>
  <c r="J59" i="9"/>
  <c r="K63" i="9" s="1"/>
  <c r="I59" i="9"/>
  <c r="K59" i="9" s="1"/>
  <c r="L55" i="9"/>
  <c r="J55" i="9"/>
  <c r="I55" i="9"/>
  <c r="J53" i="9"/>
  <c r="L54" i="9" s="1"/>
  <c r="I53" i="9"/>
  <c r="L53" i="9" s="1"/>
  <c r="J51" i="9"/>
  <c r="K55" i="9" s="1"/>
  <c r="I51" i="9"/>
  <c r="K57" i="9" s="1"/>
  <c r="J47" i="9"/>
  <c r="I47" i="9"/>
  <c r="L45" i="9"/>
  <c r="J45" i="9"/>
  <c r="L46" i="9" s="1"/>
  <c r="I45" i="9"/>
  <c r="L48" i="9" s="1"/>
  <c r="K44" i="9"/>
  <c r="J43" i="9"/>
  <c r="K46" i="9" s="1"/>
  <c r="I43" i="9"/>
  <c r="K48" i="9" s="1"/>
  <c r="L42" i="9"/>
  <c r="J39" i="9"/>
  <c r="I39" i="9"/>
  <c r="J37" i="9"/>
  <c r="I37" i="9"/>
  <c r="L37" i="9" s="1"/>
  <c r="L35" i="9"/>
  <c r="K35" i="9"/>
  <c r="J35" i="9"/>
  <c r="K39" i="9" s="1"/>
  <c r="I35" i="9"/>
  <c r="K41" i="9" s="1"/>
  <c r="J31" i="9"/>
  <c r="I31" i="9"/>
  <c r="K30" i="9"/>
  <c r="J29" i="9"/>
  <c r="L31" i="9" s="1"/>
  <c r="I29" i="9"/>
  <c r="L27" i="9" s="1"/>
  <c r="J27" i="9"/>
  <c r="K31" i="9" s="1"/>
  <c r="I27" i="9"/>
  <c r="L25" i="9"/>
  <c r="J23" i="9"/>
  <c r="I23" i="9"/>
  <c r="J21" i="9"/>
  <c r="L23" i="9" s="1"/>
  <c r="I21" i="9"/>
  <c r="L21" i="9" s="1"/>
  <c r="J19" i="9"/>
  <c r="K23" i="9" s="1"/>
  <c r="I19" i="9"/>
  <c r="K25" i="9" s="1"/>
  <c r="A18" i="9"/>
  <c r="A19" i="9" s="1"/>
  <c r="A20" i="9" s="1"/>
  <c r="A21" i="9" s="1"/>
  <c r="A22" i="9" s="1"/>
  <c r="A23" i="9" s="1"/>
  <c r="A24" i="9" s="1"/>
  <c r="A25" i="9" s="1"/>
  <c r="K16" i="9"/>
  <c r="J15" i="9"/>
  <c r="I15" i="9"/>
  <c r="A90" i="9"/>
  <c r="A91" i="9" s="1"/>
  <c r="A92" i="9" s="1"/>
  <c r="A93" i="9" s="1"/>
  <c r="A94" i="9" s="1"/>
  <c r="A95" i="9" s="1"/>
  <c r="A96" i="9" s="1"/>
  <c r="A97" i="9" s="1"/>
  <c r="J13" i="9"/>
  <c r="L15" i="9" s="1"/>
  <c r="I13" i="9"/>
  <c r="L16" i="9" s="1"/>
  <c r="A82" i="9"/>
  <c r="A83" i="9" s="1"/>
  <c r="A84" i="9" s="1"/>
  <c r="A85" i="9" s="1"/>
  <c r="A86" i="9" s="1"/>
  <c r="A87" i="9" s="1"/>
  <c r="A88" i="9" s="1"/>
  <c r="A89" i="9" s="1"/>
  <c r="L11" i="9"/>
  <c r="J11" i="9"/>
  <c r="K15" i="9" s="1"/>
  <c r="I11" i="9"/>
  <c r="K11" i="9" s="1"/>
  <c r="K9" i="9"/>
  <c r="J7" i="9"/>
  <c r="I7" i="9"/>
  <c r="A26" i="9"/>
  <c r="A27" i="9" s="1"/>
  <c r="A28" i="9" s="1"/>
  <c r="A29" i="9" s="1"/>
  <c r="A30" i="9" s="1"/>
  <c r="A31" i="9" s="1"/>
  <c r="A32" i="9" s="1"/>
  <c r="A33" i="9" s="1"/>
  <c r="N5" i="9"/>
  <c r="K5" i="9"/>
  <c r="J5" i="9"/>
  <c r="L6" i="9" s="1"/>
  <c r="I5" i="9"/>
  <c r="L4" i="9" s="1"/>
  <c r="N4" i="9"/>
  <c r="N3" i="9"/>
  <c r="J3" i="9"/>
  <c r="K7" i="9" s="1"/>
  <c r="I3" i="9"/>
  <c r="K8" i="9" s="1"/>
  <c r="N2" i="9"/>
  <c r="O1" i="9"/>
  <c r="N1" i="9"/>
  <c r="C107" i="8"/>
  <c r="C106" i="8"/>
  <c r="C105" i="8"/>
  <c r="C104" i="8"/>
  <c r="C103" i="8"/>
  <c r="C102" i="8"/>
  <c r="C101" i="8"/>
  <c r="C100" i="8"/>
  <c r="L95" i="8"/>
  <c r="J95" i="8"/>
  <c r="I95" i="8"/>
  <c r="J93" i="8"/>
  <c r="L94" i="8" s="1"/>
  <c r="I93" i="8"/>
  <c r="L93" i="8" s="1"/>
  <c r="J91" i="8"/>
  <c r="K95" i="8" s="1"/>
  <c r="I91" i="8"/>
  <c r="L89" i="8"/>
  <c r="J87" i="8"/>
  <c r="I87" i="8"/>
  <c r="K86" i="8"/>
  <c r="L85" i="8"/>
  <c r="J85" i="8"/>
  <c r="L87" i="8" s="1"/>
  <c r="I85" i="8"/>
  <c r="L88" i="8" s="1"/>
  <c r="J83" i="8"/>
  <c r="K87" i="8" s="1"/>
  <c r="I83" i="8"/>
  <c r="K85" i="8" s="1"/>
  <c r="L82" i="8"/>
  <c r="L81" i="8"/>
  <c r="K79" i="8"/>
  <c r="J79" i="8"/>
  <c r="I79" i="8"/>
  <c r="L77" i="8"/>
  <c r="J77" i="8"/>
  <c r="I77" i="8"/>
  <c r="L80" i="8" s="1"/>
  <c r="J75" i="8"/>
  <c r="K78" i="8" s="1"/>
  <c r="I75" i="8"/>
  <c r="K80" i="8" s="1"/>
  <c r="L74" i="8"/>
  <c r="J71" i="8"/>
  <c r="I71" i="8"/>
  <c r="K69" i="8"/>
  <c r="J69" i="8"/>
  <c r="L71" i="8" s="1"/>
  <c r="I69" i="8"/>
  <c r="J67" i="8"/>
  <c r="I67" i="8"/>
  <c r="K73" i="8" s="1"/>
  <c r="K66" i="8"/>
  <c r="J63" i="8"/>
  <c r="I63" i="8"/>
  <c r="K62" i="8"/>
  <c r="J61" i="8"/>
  <c r="L63" i="8" s="1"/>
  <c r="I61" i="8"/>
  <c r="L61" i="8" s="1"/>
  <c r="J59" i="8"/>
  <c r="K63" i="8" s="1"/>
  <c r="I59" i="8"/>
  <c r="J55" i="8"/>
  <c r="I55" i="8"/>
  <c r="J53" i="8"/>
  <c r="L54" i="8" s="1"/>
  <c r="I53" i="8"/>
  <c r="L56" i="8" s="1"/>
  <c r="J51" i="8"/>
  <c r="K54" i="8" s="1"/>
  <c r="I51" i="8"/>
  <c r="K53" i="8" s="1"/>
  <c r="K49" i="8"/>
  <c r="J47" i="8"/>
  <c r="I47" i="8"/>
  <c r="K45" i="8"/>
  <c r="J45" i="8"/>
  <c r="I45" i="8"/>
  <c r="L48" i="8" s="1"/>
  <c r="J43" i="8"/>
  <c r="K47" i="8" s="1"/>
  <c r="I43" i="8"/>
  <c r="K48" i="8" s="1"/>
  <c r="K42" i="8"/>
  <c r="J39" i="8"/>
  <c r="I39" i="8"/>
  <c r="J37" i="8"/>
  <c r="L39" i="8" s="1"/>
  <c r="I37" i="8"/>
  <c r="J35" i="8"/>
  <c r="I35" i="8"/>
  <c r="K41" i="8" s="1"/>
  <c r="K34" i="8"/>
  <c r="J31" i="8"/>
  <c r="I31" i="8"/>
  <c r="L30" i="8"/>
  <c r="J29" i="8"/>
  <c r="L31" i="8" s="1"/>
  <c r="I29" i="8"/>
  <c r="L29" i="8" s="1"/>
  <c r="J27" i="8"/>
  <c r="K31" i="8" s="1"/>
  <c r="I27" i="8"/>
  <c r="K25" i="8"/>
  <c r="K23" i="8"/>
  <c r="J23" i="8"/>
  <c r="I23" i="8"/>
  <c r="K22" i="8"/>
  <c r="J21" i="8"/>
  <c r="L23" i="8" s="1"/>
  <c r="I21" i="8"/>
  <c r="L24" i="8" s="1"/>
  <c r="L20" i="8"/>
  <c r="K20" i="8"/>
  <c r="J19" i="8"/>
  <c r="I19" i="8"/>
  <c r="K21" i="8" s="1"/>
  <c r="J15" i="8"/>
  <c r="I15" i="8"/>
  <c r="J13" i="8"/>
  <c r="L14" i="8" s="1"/>
  <c r="I13" i="8"/>
  <c r="L13" i="8" s="1"/>
  <c r="J11" i="8"/>
  <c r="K14" i="8" s="1"/>
  <c r="I11" i="8"/>
  <c r="K16" i="8" s="1"/>
  <c r="K10" i="8"/>
  <c r="A58" i="8"/>
  <c r="A59" i="8" s="1"/>
  <c r="A60" i="8" s="1"/>
  <c r="A61" i="8" s="1"/>
  <c r="A62" i="8" s="1"/>
  <c r="A63" i="8" s="1"/>
  <c r="A64" i="8" s="1"/>
  <c r="A65" i="8" s="1"/>
  <c r="A50" i="8"/>
  <c r="A51" i="8" s="1"/>
  <c r="A52" i="8" s="1"/>
  <c r="A53" i="8" s="1"/>
  <c r="A54" i="8" s="1"/>
  <c r="A55" i="8" s="1"/>
  <c r="A56" i="8" s="1"/>
  <c r="A57" i="8" s="1"/>
  <c r="J7" i="8"/>
  <c r="I7" i="8"/>
  <c r="N5" i="8"/>
  <c r="J5" i="8"/>
  <c r="L6" i="8" s="1"/>
  <c r="I5" i="8"/>
  <c r="L8" i="8" s="1"/>
  <c r="N4" i="8"/>
  <c r="N3" i="8"/>
  <c r="J3" i="8"/>
  <c r="K6" i="8" s="1"/>
  <c r="I3" i="8"/>
  <c r="K3" i="8" s="1"/>
  <c r="N2" i="8"/>
  <c r="O1" i="8"/>
  <c r="N1" i="8"/>
  <c r="O5" i="12"/>
  <c r="G188" i="2"/>
  <c r="O4" i="12" s="1"/>
  <c r="O3" i="8"/>
  <c r="O2" i="12"/>
  <c r="J95" i="7"/>
  <c r="I95" i="7"/>
  <c r="J93" i="7"/>
  <c r="I93" i="7"/>
  <c r="J91" i="7"/>
  <c r="I91" i="7"/>
  <c r="J87" i="7"/>
  <c r="I87" i="7"/>
  <c r="J85" i="7"/>
  <c r="I85" i="7"/>
  <c r="J83" i="7"/>
  <c r="I83" i="7"/>
  <c r="J79" i="7"/>
  <c r="I79" i="7"/>
  <c r="J77" i="7"/>
  <c r="I77" i="7"/>
  <c r="J75" i="7"/>
  <c r="I75" i="7"/>
  <c r="J71" i="7"/>
  <c r="I71" i="7"/>
  <c r="J69" i="7"/>
  <c r="I69" i="7"/>
  <c r="J67" i="7"/>
  <c r="I67" i="7"/>
  <c r="J63" i="7"/>
  <c r="I63" i="7"/>
  <c r="J61" i="7"/>
  <c r="I61" i="7"/>
  <c r="J59" i="7"/>
  <c r="I59" i="7"/>
  <c r="J55" i="7"/>
  <c r="I55" i="7"/>
  <c r="J53" i="7"/>
  <c r="I53" i="7"/>
  <c r="J51" i="7"/>
  <c r="I51" i="7"/>
  <c r="J47" i="7"/>
  <c r="I47" i="7"/>
  <c r="J45" i="7"/>
  <c r="I45" i="7"/>
  <c r="J43" i="7"/>
  <c r="I43" i="7"/>
  <c r="J39" i="7"/>
  <c r="I39" i="7"/>
  <c r="J37" i="7"/>
  <c r="I37" i="7"/>
  <c r="J35" i="7"/>
  <c r="I35" i="7"/>
  <c r="J31" i="7"/>
  <c r="I31" i="7"/>
  <c r="J29" i="7"/>
  <c r="I29" i="7"/>
  <c r="J27" i="7"/>
  <c r="I27" i="7"/>
  <c r="J23" i="7"/>
  <c r="I23" i="7"/>
  <c r="J21" i="7"/>
  <c r="I21" i="7"/>
  <c r="J19" i="7"/>
  <c r="I19" i="7"/>
  <c r="J15" i="7"/>
  <c r="I15" i="7"/>
  <c r="J13" i="7"/>
  <c r="I13" i="7"/>
  <c r="J11" i="7"/>
  <c r="I11" i="7"/>
  <c r="J7" i="7"/>
  <c r="I7" i="7"/>
  <c r="J5" i="7"/>
  <c r="I5" i="7"/>
  <c r="J3" i="7"/>
  <c r="I3" i="7"/>
  <c r="J95" i="6"/>
  <c r="I95" i="6"/>
  <c r="J93" i="6"/>
  <c r="I93" i="6"/>
  <c r="J91" i="6"/>
  <c r="I91" i="6"/>
  <c r="J87" i="6"/>
  <c r="I87" i="6"/>
  <c r="J85" i="6"/>
  <c r="I85" i="6"/>
  <c r="J83" i="6"/>
  <c r="I83" i="6"/>
  <c r="J79" i="6"/>
  <c r="I79" i="6"/>
  <c r="J77" i="6"/>
  <c r="I77" i="6"/>
  <c r="J75" i="6"/>
  <c r="I75" i="6"/>
  <c r="J71" i="6"/>
  <c r="I71" i="6"/>
  <c r="J69" i="6"/>
  <c r="I69" i="6"/>
  <c r="J67" i="6"/>
  <c r="I67" i="6"/>
  <c r="J63" i="6"/>
  <c r="I63" i="6"/>
  <c r="J61" i="6"/>
  <c r="I61" i="6"/>
  <c r="J59" i="6"/>
  <c r="I59" i="6"/>
  <c r="J55" i="6"/>
  <c r="I55" i="6"/>
  <c r="J53" i="6"/>
  <c r="I53" i="6"/>
  <c r="J51" i="6"/>
  <c r="I51" i="6"/>
  <c r="J47" i="6"/>
  <c r="I47" i="6"/>
  <c r="J45" i="6"/>
  <c r="I45" i="6"/>
  <c r="J43" i="6"/>
  <c r="I43" i="6"/>
  <c r="J39" i="6"/>
  <c r="I39" i="6"/>
  <c r="J37" i="6"/>
  <c r="I37" i="6"/>
  <c r="J35" i="6"/>
  <c r="I35" i="6"/>
  <c r="J31" i="6"/>
  <c r="I31" i="6"/>
  <c r="J29" i="6"/>
  <c r="I29" i="6"/>
  <c r="J27" i="6"/>
  <c r="I27" i="6"/>
  <c r="J23" i="6"/>
  <c r="I23" i="6"/>
  <c r="J21" i="6"/>
  <c r="I21" i="6"/>
  <c r="J19" i="6"/>
  <c r="I19" i="6"/>
  <c r="J15" i="6"/>
  <c r="I15" i="6"/>
  <c r="J13" i="6"/>
  <c r="I13" i="6"/>
  <c r="J11" i="6"/>
  <c r="I11" i="6"/>
  <c r="J7" i="6"/>
  <c r="I7" i="6"/>
  <c r="J5" i="6"/>
  <c r="I5" i="6"/>
  <c r="J3" i="6"/>
  <c r="I3" i="6"/>
  <c r="J95" i="5"/>
  <c r="I95" i="5"/>
  <c r="J93" i="5"/>
  <c r="I93" i="5"/>
  <c r="J91" i="5"/>
  <c r="I91" i="5"/>
  <c r="J87" i="5"/>
  <c r="I87" i="5"/>
  <c r="J85" i="5"/>
  <c r="I85" i="5"/>
  <c r="J83" i="5"/>
  <c r="I83" i="5"/>
  <c r="J79" i="5"/>
  <c r="I79" i="5"/>
  <c r="J77" i="5"/>
  <c r="I77" i="5"/>
  <c r="J75" i="5"/>
  <c r="I75" i="5"/>
  <c r="J71" i="5"/>
  <c r="I71" i="5"/>
  <c r="J69" i="5"/>
  <c r="I69" i="5"/>
  <c r="J67" i="5"/>
  <c r="I67" i="5"/>
  <c r="J63" i="5"/>
  <c r="I63" i="5"/>
  <c r="J61" i="5"/>
  <c r="I61" i="5"/>
  <c r="J59" i="5"/>
  <c r="I59" i="5"/>
  <c r="J55" i="5"/>
  <c r="I55" i="5"/>
  <c r="J53" i="5"/>
  <c r="I53" i="5"/>
  <c r="J51" i="5"/>
  <c r="I51" i="5"/>
  <c r="J47" i="5"/>
  <c r="I47" i="5"/>
  <c r="J45" i="5"/>
  <c r="I45" i="5"/>
  <c r="J43" i="5"/>
  <c r="I43" i="5"/>
  <c r="J39" i="5"/>
  <c r="I39" i="5"/>
  <c r="J37" i="5"/>
  <c r="I37" i="5"/>
  <c r="J35" i="5"/>
  <c r="I35" i="5"/>
  <c r="J31" i="5"/>
  <c r="I31" i="5"/>
  <c r="J29" i="5"/>
  <c r="I29" i="5"/>
  <c r="J27" i="5"/>
  <c r="I27" i="5"/>
  <c r="J23" i="5"/>
  <c r="I23" i="5"/>
  <c r="J21" i="5"/>
  <c r="I21" i="5"/>
  <c r="J19" i="5"/>
  <c r="I19" i="5"/>
  <c r="J15" i="5"/>
  <c r="I15" i="5"/>
  <c r="J13" i="5"/>
  <c r="I13" i="5"/>
  <c r="J11" i="5"/>
  <c r="I11" i="5"/>
  <c r="J7" i="5"/>
  <c r="I7" i="5"/>
  <c r="J5" i="5"/>
  <c r="I5" i="5"/>
  <c r="J3" i="5"/>
  <c r="I3" i="5"/>
  <c r="J95" i="3"/>
  <c r="I95" i="3"/>
  <c r="J93" i="3"/>
  <c r="I93" i="3"/>
  <c r="J91" i="3"/>
  <c r="I91" i="3"/>
  <c r="J87" i="3"/>
  <c r="I87" i="3"/>
  <c r="J85" i="3"/>
  <c r="I85" i="3"/>
  <c r="J83" i="3"/>
  <c r="I83" i="3"/>
  <c r="J79" i="3"/>
  <c r="I79" i="3"/>
  <c r="J77" i="3"/>
  <c r="I77" i="3"/>
  <c r="J75" i="3"/>
  <c r="I75" i="3"/>
  <c r="J71" i="3"/>
  <c r="I71" i="3"/>
  <c r="J69" i="3"/>
  <c r="I69" i="3"/>
  <c r="J67" i="3"/>
  <c r="I67" i="3"/>
  <c r="J63" i="3"/>
  <c r="I63" i="3"/>
  <c r="J61" i="3"/>
  <c r="I61" i="3"/>
  <c r="J59" i="3"/>
  <c r="I59" i="3"/>
  <c r="J55" i="3"/>
  <c r="I55" i="3"/>
  <c r="J53" i="3"/>
  <c r="I53" i="3"/>
  <c r="J51" i="3"/>
  <c r="I51" i="3"/>
  <c r="J47" i="3"/>
  <c r="I47" i="3"/>
  <c r="J45" i="3"/>
  <c r="I45" i="3"/>
  <c r="J43" i="3"/>
  <c r="I43" i="3"/>
  <c r="J39" i="3"/>
  <c r="I39" i="3"/>
  <c r="J37" i="3"/>
  <c r="I37" i="3"/>
  <c r="J35" i="3"/>
  <c r="I35" i="3"/>
  <c r="J31" i="3"/>
  <c r="I31" i="3"/>
  <c r="J29" i="3"/>
  <c r="I29" i="3"/>
  <c r="J27" i="3"/>
  <c r="I27" i="3"/>
  <c r="J23" i="3"/>
  <c r="I23" i="3"/>
  <c r="J21" i="3"/>
  <c r="I21" i="3"/>
  <c r="J19" i="3"/>
  <c r="I19" i="3"/>
  <c r="J15" i="3"/>
  <c r="I15" i="3"/>
  <c r="J13" i="3"/>
  <c r="I13" i="3"/>
  <c r="J11" i="3"/>
  <c r="I11" i="3"/>
  <c r="J7" i="3"/>
  <c r="I7" i="3"/>
  <c r="J5" i="3"/>
  <c r="J3" i="3"/>
  <c r="J95" i="4"/>
  <c r="I95" i="4"/>
  <c r="J87" i="4"/>
  <c r="I87" i="4"/>
  <c r="J79" i="4"/>
  <c r="I79" i="4"/>
  <c r="J71" i="4"/>
  <c r="I71" i="4"/>
  <c r="J63" i="4"/>
  <c r="I63" i="4"/>
  <c r="J55" i="4"/>
  <c r="I55" i="4"/>
  <c r="J47" i="4"/>
  <c r="I47" i="4"/>
  <c r="J39" i="4"/>
  <c r="I39" i="4"/>
  <c r="J31" i="4"/>
  <c r="I31" i="4"/>
  <c r="J23" i="4"/>
  <c r="I23" i="4"/>
  <c r="J15" i="4"/>
  <c r="I15" i="4"/>
  <c r="Q181" i="2"/>
  <c r="R181" i="2" s="1"/>
  <c r="R2" i="8" s="1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P182" i="2"/>
  <c r="O182" i="2"/>
  <c r="O183" i="2" s="1"/>
  <c r="O184" i="2" s="1"/>
  <c r="O185" i="2" s="1"/>
  <c r="M182" i="2"/>
  <c r="M183" i="2" s="1"/>
  <c r="M184" i="2" s="1"/>
  <c r="M185" i="2" s="1"/>
  <c r="M177" i="2"/>
  <c r="M178" i="2" s="1"/>
  <c r="M179" i="2" s="1"/>
  <c r="M180" i="2" s="1"/>
  <c r="Q189" i="2" l="1"/>
  <c r="R189" i="2" s="1"/>
  <c r="R2" i="16" s="1"/>
  <c r="R3" i="16" s="1"/>
  <c r="R4" i="16" s="1"/>
  <c r="R5" i="16" s="1"/>
  <c r="R6" i="16" s="1"/>
  <c r="R7" i="16" s="1"/>
  <c r="R8" i="16" s="1"/>
  <c r="R9" i="16" s="1"/>
  <c r="R10" i="16" s="1"/>
  <c r="R11" i="16" s="1"/>
  <c r="R12" i="16" s="1"/>
  <c r="R13" i="16" s="1"/>
  <c r="Q182" i="2"/>
  <c r="R182" i="2" s="1"/>
  <c r="R2" i="9" s="1"/>
  <c r="R3" i="9" s="1"/>
  <c r="R4" i="9" s="1"/>
  <c r="R5" i="9" s="1"/>
  <c r="R6" i="9" s="1"/>
  <c r="R7" i="9" s="1"/>
  <c r="R8" i="9" s="1"/>
  <c r="R9" i="9" s="1"/>
  <c r="R10" i="9" s="1"/>
  <c r="R11" i="9" s="1"/>
  <c r="R12" i="9" s="1"/>
  <c r="R13" i="9" s="1"/>
  <c r="M7" i="16"/>
  <c r="O5" i="13"/>
  <c r="M73" i="13" s="1"/>
  <c r="O3" i="15"/>
  <c r="M45" i="15" s="1"/>
  <c r="O4" i="13"/>
  <c r="M78" i="13" s="1"/>
  <c r="O4" i="15"/>
  <c r="M22" i="15" s="1"/>
  <c r="O3" i="13"/>
  <c r="M37" i="13" s="1"/>
  <c r="O5" i="15"/>
  <c r="M88" i="15" s="1"/>
  <c r="M55" i="16"/>
  <c r="O2" i="14"/>
  <c r="M59" i="14" s="1"/>
  <c r="O2" i="16"/>
  <c r="M83" i="16" s="1"/>
  <c r="O3" i="14"/>
  <c r="M12" i="14" s="1"/>
  <c r="Q187" i="2"/>
  <c r="R187" i="2" s="1"/>
  <c r="R2" i="14" s="1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O4" i="14"/>
  <c r="M55" i="14" s="1"/>
  <c r="Q188" i="2"/>
  <c r="R188" i="2" s="1"/>
  <c r="R2" i="15" s="1"/>
  <c r="R3" i="15" s="1"/>
  <c r="R4" i="15" s="1"/>
  <c r="R5" i="15" s="1"/>
  <c r="R6" i="15" s="1"/>
  <c r="R7" i="15" s="1"/>
  <c r="R8" i="15" s="1"/>
  <c r="R9" i="15" s="1"/>
  <c r="R10" i="15" s="1"/>
  <c r="R11" i="15" s="1"/>
  <c r="R12" i="15" s="1"/>
  <c r="R13" i="15" s="1"/>
  <c r="O5" i="14"/>
  <c r="M40" i="14" s="1"/>
  <c r="O2" i="13"/>
  <c r="M11" i="13" s="1"/>
  <c r="M23" i="16"/>
  <c r="K46" i="16"/>
  <c r="M87" i="16"/>
  <c r="L94" i="16"/>
  <c r="K22" i="16"/>
  <c r="M22" i="16" s="1"/>
  <c r="K15" i="16"/>
  <c r="M15" i="16" s="1"/>
  <c r="L31" i="15"/>
  <c r="L87" i="15"/>
  <c r="L6" i="15"/>
  <c r="K62" i="15"/>
  <c r="K14" i="15"/>
  <c r="K23" i="15"/>
  <c r="K30" i="15"/>
  <c r="M30" i="15" s="1"/>
  <c r="L62" i="15"/>
  <c r="K86" i="15"/>
  <c r="K94" i="15"/>
  <c r="K14" i="14"/>
  <c r="L94" i="14"/>
  <c r="K87" i="14"/>
  <c r="L14" i="14"/>
  <c r="M47" i="14"/>
  <c r="K6" i="14"/>
  <c r="L70" i="13"/>
  <c r="L38" i="13"/>
  <c r="L86" i="13"/>
  <c r="L79" i="13"/>
  <c r="K46" i="13"/>
  <c r="L95" i="13"/>
  <c r="K26" i="16"/>
  <c r="L43" i="16"/>
  <c r="L35" i="16"/>
  <c r="L68" i="16"/>
  <c r="L72" i="16"/>
  <c r="M72" i="16" s="1"/>
  <c r="K4" i="16"/>
  <c r="M4" i="16" s="1"/>
  <c r="K32" i="16"/>
  <c r="M32" i="16" s="1"/>
  <c r="L40" i="16"/>
  <c r="L44" i="16"/>
  <c r="K90" i="16"/>
  <c r="K93" i="16"/>
  <c r="K3" i="16"/>
  <c r="L66" i="16"/>
  <c r="L73" i="16"/>
  <c r="K34" i="16"/>
  <c r="L42" i="16"/>
  <c r="K69" i="16"/>
  <c r="L74" i="16"/>
  <c r="L77" i="16"/>
  <c r="M77" i="16" s="1"/>
  <c r="K81" i="16"/>
  <c r="M81" i="16" s="1"/>
  <c r="L34" i="16"/>
  <c r="K37" i="16"/>
  <c r="M37" i="16" s="1"/>
  <c r="L45" i="16"/>
  <c r="M45" i="16" s="1"/>
  <c r="L48" i="16"/>
  <c r="L69" i="16"/>
  <c r="L81" i="16"/>
  <c r="K91" i="16"/>
  <c r="K29" i="16"/>
  <c r="M29" i="16" s="1"/>
  <c r="M40" i="16"/>
  <c r="L37" i="16"/>
  <c r="K49" i="16"/>
  <c r="L20" i="16"/>
  <c r="L25" i="16"/>
  <c r="L75" i="16"/>
  <c r="K96" i="16"/>
  <c r="K51" i="15"/>
  <c r="L60" i="15"/>
  <c r="L74" i="15"/>
  <c r="K77" i="15"/>
  <c r="L82" i="15"/>
  <c r="K85" i="15"/>
  <c r="K89" i="15"/>
  <c r="M89" i="15" s="1"/>
  <c r="L93" i="15"/>
  <c r="L77" i="15"/>
  <c r="L85" i="15"/>
  <c r="L89" i="15"/>
  <c r="L97" i="15"/>
  <c r="L2" i="15"/>
  <c r="K24" i="15"/>
  <c r="K35" i="15"/>
  <c r="K40" i="15"/>
  <c r="L44" i="15"/>
  <c r="K52" i="15"/>
  <c r="L65" i="15"/>
  <c r="L90" i="15"/>
  <c r="L88" i="15"/>
  <c r="K36" i="15"/>
  <c r="L48" i="15"/>
  <c r="M48" i="15" s="1"/>
  <c r="L61" i="15"/>
  <c r="K75" i="15"/>
  <c r="L56" i="15"/>
  <c r="L75" i="15"/>
  <c r="K84" i="15"/>
  <c r="K26" i="14"/>
  <c r="K29" i="14"/>
  <c r="L37" i="14"/>
  <c r="L41" i="14"/>
  <c r="K60" i="14"/>
  <c r="K81" i="14"/>
  <c r="K4" i="14"/>
  <c r="L17" i="14"/>
  <c r="K74" i="14"/>
  <c r="L84" i="14"/>
  <c r="L92" i="14"/>
  <c r="L35" i="14"/>
  <c r="L74" i="14"/>
  <c r="K77" i="14"/>
  <c r="K32" i="14"/>
  <c r="K58" i="14"/>
  <c r="K61" i="14"/>
  <c r="L77" i="14"/>
  <c r="K2" i="14"/>
  <c r="K3" i="14"/>
  <c r="K8" i="14"/>
  <c r="K27" i="14"/>
  <c r="K33" i="14"/>
  <c r="L36" i="14"/>
  <c r="L85" i="14"/>
  <c r="L89" i="14"/>
  <c r="K19" i="14"/>
  <c r="K75" i="14"/>
  <c r="L19" i="14"/>
  <c r="L24" i="14"/>
  <c r="K34" i="14"/>
  <c r="L49" i="14"/>
  <c r="K59" i="14"/>
  <c r="K64" i="14"/>
  <c r="L20" i="14"/>
  <c r="L10" i="13"/>
  <c r="K13" i="13"/>
  <c r="K18" i="13"/>
  <c r="K36" i="13"/>
  <c r="K60" i="13"/>
  <c r="L84" i="13"/>
  <c r="M10" i="13"/>
  <c r="L2" i="13"/>
  <c r="L8" i="13"/>
  <c r="K28" i="13"/>
  <c r="L36" i="13"/>
  <c r="K51" i="13"/>
  <c r="L60" i="13"/>
  <c r="K52" i="13"/>
  <c r="K56" i="13"/>
  <c r="M17" i="13"/>
  <c r="L12" i="13"/>
  <c r="K19" i="13"/>
  <c r="K24" i="13"/>
  <c r="M32" i="13"/>
  <c r="K33" i="13"/>
  <c r="L41" i="13"/>
  <c r="K57" i="13"/>
  <c r="L5" i="13"/>
  <c r="L9" i="13"/>
  <c r="K20" i="13"/>
  <c r="L33" i="13"/>
  <c r="K58" i="13"/>
  <c r="K61" i="13"/>
  <c r="K65" i="13"/>
  <c r="L4" i="13"/>
  <c r="K26" i="13"/>
  <c r="M26" i="13" s="1"/>
  <c r="K29" i="13"/>
  <c r="L48" i="13"/>
  <c r="K53" i="13"/>
  <c r="L58" i="13"/>
  <c r="L61" i="13"/>
  <c r="L65" i="13"/>
  <c r="M65" i="13"/>
  <c r="K16" i="13"/>
  <c r="L57" i="13"/>
  <c r="L52" i="13"/>
  <c r="L53" i="13"/>
  <c r="L50" i="13"/>
  <c r="L56" i="13"/>
  <c r="L51" i="13"/>
  <c r="M51" i="13" s="1"/>
  <c r="L7" i="13"/>
  <c r="L6" i="13"/>
  <c r="L15" i="13"/>
  <c r="L14" i="13"/>
  <c r="L25" i="13"/>
  <c r="M25" i="13" s="1"/>
  <c r="L20" i="13"/>
  <c r="L21" i="13"/>
  <c r="L18" i="13"/>
  <c r="L24" i="13"/>
  <c r="L19" i="13"/>
  <c r="M19" i="13" s="1"/>
  <c r="M10" i="14"/>
  <c r="M82" i="14"/>
  <c r="M18" i="13"/>
  <c r="K14" i="13"/>
  <c r="K49" i="13"/>
  <c r="K44" i="13"/>
  <c r="K45" i="13"/>
  <c r="K42" i="13"/>
  <c r="K48" i="13"/>
  <c r="K43" i="13"/>
  <c r="K5" i="13"/>
  <c r="K9" i="13"/>
  <c r="L46" i="13"/>
  <c r="K97" i="13"/>
  <c r="K92" i="13"/>
  <c r="L93" i="13"/>
  <c r="L90" i="13"/>
  <c r="L97" i="13"/>
  <c r="K22" i="14"/>
  <c r="L33" i="14"/>
  <c r="L28" i="14"/>
  <c r="L79" i="14"/>
  <c r="L78" i="14"/>
  <c r="K2" i="13"/>
  <c r="K8" i="13"/>
  <c r="M24" i="13"/>
  <c r="K31" i="13"/>
  <c r="M39" i="13"/>
  <c r="M41" i="13"/>
  <c r="L8" i="14"/>
  <c r="L2" i="14"/>
  <c r="L9" i="14"/>
  <c r="K30" i="14"/>
  <c r="K31" i="14"/>
  <c r="K62" i="14"/>
  <c r="K63" i="14"/>
  <c r="L62" i="14"/>
  <c r="K45" i="14"/>
  <c r="K42" i="14"/>
  <c r="K48" i="14"/>
  <c r="K43" i="14"/>
  <c r="M72" i="15"/>
  <c r="M65" i="15"/>
  <c r="M80" i="15"/>
  <c r="K85" i="13"/>
  <c r="M85" i="13" s="1"/>
  <c r="K82" i="13"/>
  <c r="M82" i="13" s="1"/>
  <c r="L88" i="13"/>
  <c r="L83" i="13"/>
  <c r="K89" i="13"/>
  <c r="K91" i="13"/>
  <c r="K93" i="13"/>
  <c r="L7" i="14"/>
  <c r="L6" i="14"/>
  <c r="K44" i="14"/>
  <c r="K49" i="14"/>
  <c r="L70" i="14"/>
  <c r="L71" i="14"/>
  <c r="M16" i="13"/>
  <c r="K35" i="13"/>
  <c r="M38" i="13"/>
  <c r="K40" i="13"/>
  <c r="M48" i="13"/>
  <c r="K67" i="13"/>
  <c r="L72" i="13"/>
  <c r="L89" i="13"/>
  <c r="L91" i="13"/>
  <c r="M95" i="13"/>
  <c r="L4" i="14"/>
  <c r="M4" i="14" s="1"/>
  <c r="L27" i="14"/>
  <c r="L29" i="14"/>
  <c r="L32" i="14"/>
  <c r="K73" i="14"/>
  <c r="K68" i="14"/>
  <c r="K66" i="14"/>
  <c r="K72" i="14"/>
  <c r="K69" i="14"/>
  <c r="M69" i="14" s="1"/>
  <c r="K67" i="14"/>
  <c r="L46" i="15"/>
  <c r="L47" i="15"/>
  <c r="K3" i="13"/>
  <c r="L23" i="13"/>
  <c r="L40" i="13"/>
  <c r="L42" i="13"/>
  <c r="L45" i="13"/>
  <c r="M45" i="13" s="1"/>
  <c r="L55" i="13"/>
  <c r="K80" i="13"/>
  <c r="K75" i="13"/>
  <c r="K81" i="13"/>
  <c r="M81" i="13" s="1"/>
  <c r="K83" i="13"/>
  <c r="L85" i="13"/>
  <c r="K94" i="13"/>
  <c r="M94" i="13" s="1"/>
  <c r="L5" i="14"/>
  <c r="M5" i="14" s="1"/>
  <c r="L16" i="14"/>
  <c r="L13" i="14"/>
  <c r="L11" i="14"/>
  <c r="L30" i="14"/>
  <c r="M44" i="14"/>
  <c r="K71" i="14"/>
  <c r="K70" i="14"/>
  <c r="K79" i="14"/>
  <c r="K27" i="13"/>
  <c r="K34" i="13"/>
  <c r="M35" i="13"/>
  <c r="M42" i="13"/>
  <c r="K59" i="13"/>
  <c r="K66" i="13"/>
  <c r="M66" i="13" s="1"/>
  <c r="M67" i="13"/>
  <c r="K69" i="13"/>
  <c r="L92" i="13"/>
  <c r="K96" i="13"/>
  <c r="L3" i="14"/>
  <c r="L21" i="14"/>
  <c r="L18" i="14"/>
  <c r="M30" i="14"/>
  <c r="K57" i="14"/>
  <c r="K52" i="14"/>
  <c r="K53" i="14"/>
  <c r="K50" i="14"/>
  <c r="K56" i="14"/>
  <c r="K51" i="14"/>
  <c r="K54" i="14"/>
  <c r="K33" i="15"/>
  <c r="M33" i="15" s="1"/>
  <c r="K28" i="15"/>
  <c r="M28" i="15" s="1"/>
  <c r="K29" i="15"/>
  <c r="K26" i="15"/>
  <c r="K32" i="15"/>
  <c r="K27" i="15"/>
  <c r="L27" i="13"/>
  <c r="L34" i="13"/>
  <c r="L44" i="13"/>
  <c r="L59" i="13"/>
  <c r="L66" i="13"/>
  <c r="L69" i="13"/>
  <c r="K77" i="13"/>
  <c r="K84" i="13"/>
  <c r="K90" i="13"/>
  <c r="L96" i="13"/>
  <c r="M86" i="14"/>
  <c r="M95" i="14"/>
  <c r="M16" i="14"/>
  <c r="M8" i="14"/>
  <c r="M80" i="14"/>
  <c r="K13" i="14"/>
  <c r="M13" i="14" s="1"/>
  <c r="M15" i="14"/>
  <c r="K25" i="14"/>
  <c r="K20" i="14"/>
  <c r="K21" i="14"/>
  <c r="K18" i="14"/>
  <c r="L39" i="14"/>
  <c r="L64" i="14"/>
  <c r="M64" i="14" s="1"/>
  <c r="L60" i="14"/>
  <c r="L65" i="14"/>
  <c r="L61" i="14"/>
  <c r="M61" i="14" s="1"/>
  <c r="L58" i="14"/>
  <c r="L69" i="14"/>
  <c r="L66" i="14"/>
  <c r="L72" i="14"/>
  <c r="L68" i="14"/>
  <c r="L67" i="14"/>
  <c r="M7" i="15"/>
  <c r="K93" i="14"/>
  <c r="M93" i="14" s="1"/>
  <c r="K90" i="14"/>
  <c r="L96" i="14"/>
  <c r="L91" i="14"/>
  <c r="K97" i="14"/>
  <c r="M74" i="15"/>
  <c r="M67" i="15"/>
  <c r="M82" i="15"/>
  <c r="M75" i="15"/>
  <c r="M42" i="15"/>
  <c r="L24" i="15"/>
  <c r="L19" i="15"/>
  <c r="M19" i="15" s="1"/>
  <c r="L25" i="15"/>
  <c r="M25" i="15" s="1"/>
  <c r="L20" i="15"/>
  <c r="K38" i="15"/>
  <c r="M38" i="15" s="1"/>
  <c r="K39" i="15"/>
  <c r="K25" i="16"/>
  <c r="M25" i="16" s="1"/>
  <c r="K20" i="16"/>
  <c r="M20" i="16" s="1"/>
  <c r="K21" i="16"/>
  <c r="M21" i="16" s="1"/>
  <c r="K18" i="16"/>
  <c r="K24" i="16"/>
  <c r="K19" i="16"/>
  <c r="K94" i="16"/>
  <c r="M94" i="16" s="1"/>
  <c r="K95" i="16"/>
  <c r="M95" i="16" s="1"/>
  <c r="L51" i="14"/>
  <c r="L56" i="14"/>
  <c r="L97" i="14"/>
  <c r="K16" i="15"/>
  <c r="M16" i="15" s="1"/>
  <c r="K13" i="15"/>
  <c r="K11" i="15"/>
  <c r="K17" i="15"/>
  <c r="L18" i="15"/>
  <c r="L33" i="16"/>
  <c r="M33" i="16" s="1"/>
  <c r="L28" i="16"/>
  <c r="L29" i="16"/>
  <c r="L26" i="16"/>
  <c r="M26" i="16" s="1"/>
  <c r="L27" i="16"/>
  <c r="L32" i="16"/>
  <c r="K88" i="14"/>
  <c r="K83" i="14"/>
  <c r="M83" i="14" s="1"/>
  <c r="K89" i="14"/>
  <c r="K91" i="14"/>
  <c r="L93" i="14"/>
  <c r="K8" i="15"/>
  <c r="K2" i="15"/>
  <c r="M2" i="15" s="1"/>
  <c r="K9" i="15"/>
  <c r="K5" i="15"/>
  <c r="L9" i="15"/>
  <c r="L5" i="15"/>
  <c r="L8" i="15"/>
  <c r="L14" i="15"/>
  <c r="L15" i="15"/>
  <c r="L21" i="15"/>
  <c r="L78" i="15"/>
  <c r="L79" i="15"/>
  <c r="L31" i="16"/>
  <c r="L30" i="16"/>
  <c r="L43" i="14"/>
  <c r="L50" i="14"/>
  <c r="M50" i="14" s="1"/>
  <c r="K4" i="15"/>
  <c r="K12" i="15"/>
  <c r="M50" i="15"/>
  <c r="L70" i="16"/>
  <c r="M70" i="16" s="1"/>
  <c r="L71" i="16"/>
  <c r="M71" i="16" s="1"/>
  <c r="K35" i="14"/>
  <c r="M35" i="14" s="1"/>
  <c r="L81" i="14"/>
  <c r="L76" i="14"/>
  <c r="K85" i="14"/>
  <c r="M85" i="14" s="1"/>
  <c r="K92" i="14"/>
  <c r="K3" i="15"/>
  <c r="M3" i="15" s="1"/>
  <c r="L4" i="15"/>
  <c r="L41" i="15"/>
  <c r="L36" i="15"/>
  <c r="M36" i="15" s="1"/>
  <c r="L37" i="15"/>
  <c r="L34" i="15"/>
  <c r="M34" i="15" s="1"/>
  <c r="L40" i="15"/>
  <c r="L35" i="15"/>
  <c r="M43" i="15"/>
  <c r="K56" i="15"/>
  <c r="K57" i="16"/>
  <c r="M57" i="16" s="1"/>
  <c r="K52" i="16"/>
  <c r="M52" i="16" s="1"/>
  <c r="K53" i="16"/>
  <c r="K50" i="16"/>
  <c r="K56" i="16"/>
  <c r="M56" i="16" s="1"/>
  <c r="K51" i="16"/>
  <c r="L65" i="16"/>
  <c r="M65" i="16" s="1"/>
  <c r="L60" i="16"/>
  <c r="M60" i="16" s="1"/>
  <c r="L61" i="16"/>
  <c r="M61" i="16" s="1"/>
  <c r="L58" i="16"/>
  <c r="M58" i="16" s="1"/>
  <c r="K44" i="15"/>
  <c r="K49" i="15"/>
  <c r="M49" i="15" s="1"/>
  <c r="L17" i="15"/>
  <c r="L27" i="15"/>
  <c r="L32" i="15"/>
  <c r="K61" i="15"/>
  <c r="K58" i="15"/>
  <c r="M58" i="15" s="1"/>
  <c r="K64" i="15"/>
  <c r="M64" i="15" s="1"/>
  <c r="K59" i="15"/>
  <c r="M59" i="15" s="1"/>
  <c r="L73" i="15"/>
  <c r="M73" i="15" s="1"/>
  <c r="L69" i="15"/>
  <c r="L66" i="15"/>
  <c r="M91" i="16"/>
  <c r="M66" i="16"/>
  <c r="M59" i="16"/>
  <c r="M27" i="16"/>
  <c r="L8" i="16"/>
  <c r="L2" i="16"/>
  <c r="L9" i="16"/>
  <c r="L5" i="16"/>
  <c r="K30" i="16"/>
  <c r="K31" i="16"/>
  <c r="M31" i="16" s="1"/>
  <c r="L64" i="16"/>
  <c r="M67" i="16"/>
  <c r="L62" i="16"/>
  <c r="K89" i="16"/>
  <c r="M89" i="16" s="1"/>
  <c r="K84" i="16"/>
  <c r="M84" i="16" s="1"/>
  <c r="K85" i="16"/>
  <c r="M85" i="16" s="1"/>
  <c r="K82" i="16"/>
  <c r="K88" i="16"/>
  <c r="K83" i="16"/>
  <c r="L97" i="16"/>
  <c r="L92" i="16"/>
  <c r="L93" i="16"/>
  <c r="M93" i="16" s="1"/>
  <c r="L90" i="16"/>
  <c r="M77" i="15"/>
  <c r="L10" i="15"/>
  <c r="M10" i="15" s="1"/>
  <c r="L12" i="15"/>
  <c r="L26" i="15"/>
  <c r="M26" i="15" s="1"/>
  <c r="L51" i="15"/>
  <c r="M51" i="15" s="1"/>
  <c r="K53" i="15"/>
  <c r="M53" i="15" s="1"/>
  <c r="K57" i="15"/>
  <c r="M57" i="15" s="1"/>
  <c r="L70" i="15"/>
  <c r="L3" i="16"/>
  <c r="L38" i="16"/>
  <c r="M38" i="16" s="1"/>
  <c r="L39" i="16"/>
  <c r="M39" i="16" s="1"/>
  <c r="K62" i="16"/>
  <c r="K63" i="16"/>
  <c r="M63" i="16" s="1"/>
  <c r="L11" i="15"/>
  <c r="M11" i="15" s="1"/>
  <c r="K18" i="15"/>
  <c r="M18" i="15" s="1"/>
  <c r="K43" i="15"/>
  <c r="L53" i="15"/>
  <c r="K60" i="15"/>
  <c r="M60" i="15" s="1"/>
  <c r="K70" i="15"/>
  <c r="K71" i="15"/>
  <c r="M70" i="15"/>
  <c r="K97" i="15"/>
  <c r="M97" i="15" s="1"/>
  <c r="K92" i="15"/>
  <c r="K93" i="15"/>
  <c r="K90" i="15"/>
  <c r="M90" i="15" s="1"/>
  <c r="K96" i="15"/>
  <c r="M96" i="15" s="1"/>
  <c r="K91" i="15"/>
  <c r="M97" i="16"/>
  <c r="M8" i="16"/>
  <c r="M88" i="16"/>
  <c r="M73" i="16"/>
  <c r="M41" i="16"/>
  <c r="M64" i="16"/>
  <c r="M49" i="16"/>
  <c r="M17" i="16"/>
  <c r="K16" i="16"/>
  <c r="K13" i="16"/>
  <c r="K11" i="16"/>
  <c r="K12" i="16"/>
  <c r="K10" i="16"/>
  <c r="M10" i="16" s="1"/>
  <c r="L16" i="16"/>
  <c r="L13" i="16"/>
  <c r="M13" i="16" s="1"/>
  <c r="L11" i="16"/>
  <c r="L12" i="16"/>
  <c r="L10" i="16"/>
  <c r="L96" i="16"/>
  <c r="K66" i="15"/>
  <c r="M66" i="15" s="1"/>
  <c r="K69" i="15"/>
  <c r="K79" i="15"/>
  <c r="M44" i="16"/>
  <c r="M47" i="16"/>
  <c r="M54" i="16"/>
  <c r="M69" i="16"/>
  <c r="M76" i="16"/>
  <c r="M79" i="16"/>
  <c r="M86" i="16"/>
  <c r="L59" i="15"/>
  <c r="L76" i="15"/>
  <c r="M76" i="15" s="1"/>
  <c r="L91" i="15"/>
  <c r="K5" i="16"/>
  <c r="K9" i="16"/>
  <c r="M9" i="16" s="1"/>
  <c r="L19" i="16"/>
  <c r="M19" i="16" s="1"/>
  <c r="L24" i="16"/>
  <c r="L36" i="16"/>
  <c r="M36" i="16" s="1"/>
  <c r="L51" i="16"/>
  <c r="L56" i="16"/>
  <c r="L83" i="16"/>
  <c r="L88" i="16"/>
  <c r="K68" i="15"/>
  <c r="M68" i="15" s="1"/>
  <c r="K83" i="15"/>
  <c r="M83" i="15" s="1"/>
  <c r="K2" i="16"/>
  <c r="K6" i="16"/>
  <c r="M14" i="16"/>
  <c r="K28" i="16"/>
  <c r="K43" i="16"/>
  <c r="M43" i="16" s="1"/>
  <c r="M46" i="16"/>
  <c r="K48" i="16"/>
  <c r="M48" i="16" s="1"/>
  <c r="K60" i="16"/>
  <c r="M68" i="16"/>
  <c r="K75" i="16"/>
  <c r="M75" i="16" s="1"/>
  <c r="M78" i="16"/>
  <c r="K80" i="16"/>
  <c r="M80" i="16" s="1"/>
  <c r="K92" i="16"/>
  <c r="L6" i="16"/>
  <c r="L18" i="16"/>
  <c r="L50" i="16"/>
  <c r="M50" i="16" s="1"/>
  <c r="L82" i="16"/>
  <c r="K42" i="16"/>
  <c r="M42" i="16" s="1"/>
  <c r="M53" i="16"/>
  <c r="K74" i="16"/>
  <c r="M74" i="16" s="1"/>
  <c r="O4" i="9"/>
  <c r="M15" i="9" s="1"/>
  <c r="O4" i="11"/>
  <c r="M15" i="11" s="1"/>
  <c r="O2" i="9"/>
  <c r="M59" i="9" s="1"/>
  <c r="O2" i="11"/>
  <c r="M50" i="11" s="1"/>
  <c r="O3" i="9"/>
  <c r="M4" i="9" s="1"/>
  <c r="O3" i="11"/>
  <c r="M37" i="11" s="1"/>
  <c r="O5" i="9"/>
  <c r="M48" i="9" s="1"/>
  <c r="O5" i="11"/>
  <c r="M32" i="11" s="1"/>
  <c r="O2" i="8"/>
  <c r="M66" i="8" s="1"/>
  <c r="O2" i="10"/>
  <c r="M26" i="10" s="1"/>
  <c r="O5" i="8"/>
  <c r="M16" i="8" s="1"/>
  <c r="O3" i="10"/>
  <c r="M77" i="10" s="1"/>
  <c r="O3" i="12"/>
  <c r="M12" i="12" s="1"/>
  <c r="O4" i="8"/>
  <c r="M63" i="8" s="1"/>
  <c r="O4" i="10"/>
  <c r="M22" i="10" s="1"/>
  <c r="M85" i="8"/>
  <c r="P183" i="2"/>
  <c r="Q183" i="2" s="1"/>
  <c r="R183" i="2" s="1"/>
  <c r="R2" i="10" s="1"/>
  <c r="R3" i="10" s="1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O5" i="10"/>
  <c r="M56" i="10" s="1"/>
  <c r="L14" i="12"/>
  <c r="L78" i="12"/>
  <c r="K22" i="12"/>
  <c r="K86" i="12"/>
  <c r="L94" i="12"/>
  <c r="M94" i="12" s="1"/>
  <c r="K54" i="12"/>
  <c r="M54" i="12" s="1"/>
  <c r="L23" i="12"/>
  <c r="M23" i="12" s="1"/>
  <c r="L87" i="12"/>
  <c r="K14" i="11"/>
  <c r="K22" i="11"/>
  <c r="L70" i="11"/>
  <c r="K86" i="11"/>
  <c r="L95" i="11"/>
  <c r="K46" i="11"/>
  <c r="K79" i="11"/>
  <c r="K30" i="10"/>
  <c r="L39" i="10"/>
  <c r="L71" i="10"/>
  <c r="K95" i="10"/>
  <c r="K14" i="10"/>
  <c r="K47" i="10"/>
  <c r="K7" i="10"/>
  <c r="L14" i="10"/>
  <c r="K54" i="10"/>
  <c r="K86" i="10"/>
  <c r="K22" i="9"/>
  <c r="K54" i="9"/>
  <c r="K94" i="9"/>
  <c r="L22" i="9"/>
  <c r="L94" i="9"/>
  <c r="K47" i="9"/>
  <c r="K87" i="9"/>
  <c r="K6" i="9"/>
  <c r="L30" i="9"/>
  <c r="L47" i="9"/>
  <c r="K71" i="9"/>
  <c r="L87" i="9"/>
  <c r="K38" i="9"/>
  <c r="K14" i="9"/>
  <c r="K79" i="9"/>
  <c r="L38" i="8"/>
  <c r="K55" i="8"/>
  <c r="L22" i="8"/>
  <c r="M31" i="8"/>
  <c r="L55" i="8"/>
  <c r="L86" i="8"/>
  <c r="K46" i="8"/>
  <c r="L62" i="8"/>
  <c r="K94" i="8"/>
  <c r="L70" i="8"/>
  <c r="K30" i="8"/>
  <c r="K67" i="12"/>
  <c r="L33" i="12"/>
  <c r="L36" i="12"/>
  <c r="L42" i="12"/>
  <c r="L45" i="12"/>
  <c r="L4" i="12"/>
  <c r="L74" i="12"/>
  <c r="L77" i="12"/>
  <c r="L8" i="12"/>
  <c r="L25" i="12"/>
  <c r="K29" i="12"/>
  <c r="L34" i="12"/>
  <c r="K64" i="12"/>
  <c r="L83" i="12"/>
  <c r="L88" i="12"/>
  <c r="L2" i="12"/>
  <c r="K3" i="12"/>
  <c r="L16" i="12"/>
  <c r="K26" i="12"/>
  <c r="K37" i="12"/>
  <c r="L43" i="12"/>
  <c r="L48" i="12"/>
  <c r="K66" i="12"/>
  <c r="M66" i="12" s="1"/>
  <c r="L84" i="12"/>
  <c r="L89" i="12"/>
  <c r="L81" i="12"/>
  <c r="L3" i="12"/>
  <c r="M3" i="12" s="1"/>
  <c r="K17" i="12"/>
  <c r="K44" i="12"/>
  <c r="K49" i="12"/>
  <c r="K59" i="12"/>
  <c r="M59" i="12" s="1"/>
  <c r="L66" i="12"/>
  <c r="K69" i="12"/>
  <c r="L75" i="12"/>
  <c r="K96" i="12"/>
  <c r="L50" i="11"/>
  <c r="K53" i="11"/>
  <c r="L73" i="11"/>
  <c r="K11" i="11"/>
  <c r="K19" i="11"/>
  <c r="L88" i="11"/>
  <c r="L11" i="11"/>
  <c r="K16" i="11"/>
  <c r="K28" i="11"/>
  <c r="K36" i="11"/>
  <c r="K64" i="11"/>
  <c r="K69" i="11"/>
  <c r="L83" i="11"/>
  <c r="K96" i="11"/>
  <c r="K10" i="11"/>
  <c r="K13" i="11"/>
  <c r="L16" i="11"/>
  <c r="K20" i="11"/>
  <c r="K24" i="11"/>
  <c r="K51" i="11"/>
  <c r="K59" i="11"/>
  <c r="K66" i="11"/>
  <c r="L4" i="11"/>
  <c r="K5" i="11"/>
  <c r="L10" i="11"/>
  <c r="L13" i="11"/>
  <c r="K17" i="11"/>
  <c r="K25" i="11"/>
  <c r="L41" i="11"/>
  <c r="L51" i="11"/>
  <c r="L59" i="11"/>
  <c r="L66" i="11"/>
  <c r="L75" i="11"/>
  <c r="L80" i="11"/>
  <c r="K91" i="11"/>
  <c r="K52" i="11"/>
  <c r="L85" i="11"/>
  <c r="L12" i="11"/>
  <c r="K18" i="11"/>
  <c r="K29" i="11"/>
  <c r="L76" i="11"/>
  <c r="L81" i="11"/>
  <c r="K9" i="11"/>
  <c r="L43" i="11"/>
  <c r="K50" i="11"/>
  <c r="K57" i="11"/>
  <c r="L82" i="11"/>
  <c r="K20" i="10"/>
  <c r="K29" i="10"/>
  <c r="K37" i="10"/>
  <c r="K41" i="10"/>
  <c r="K48" i="10"/>
  <c r="K26" i="10"/>
  <c r="K49" i="10"/>
  <c r="K59" i="10"/>
  <c r="K60" i="10"/>
  <c r="K64" i="10"/>
  <c r="L81" i="10"/>
  <c r="K65" i="10"/>
  <c r="L73" i="10"/>
  <c r="K27" i="10"/>
  <c r="K43" i="10"/>
  <c r="K66" i="10"/>
  <c r="K69" i="10"/>
  <c r="K93" i="10"/>
  <c r="L10" i="10"/>
  <c r="L12" i="10"/>
  <c r="K18" i="10"/>
  <c r="K28" i="10"/>
  <c r="K32" i="10"/>
  <c r="L36" i="10"/>
  <c r="L51" i="10"/>
  <c r="K61" i="10"/>
  <c r="L66" i="10"/>
  <c r="L69" i="10"/>
  <c r="L83" i="10"/>
  <c r="L44" i="10"/>
  <c r="K4" i="9"/>
  <c r="K18" i="9"/>
  <c r="K36" i="9"/>
  <c r="L44" i="9"/>
  <c r="L51" i="9"/>
  <c r="L84" i="9"/>
  <c r="L32" i="9"/>
  <c r="K40" i="9"/>
  <c r="K52" i="9"/>
  <c r="L88" i="9"/>
  <c r="L10" i="9"/>
  <c r="K34" i="9"/>
  <c r="L40" i="9"/>
  <c r="L52" i="9"/>
  <c r="K74" i="9"/>
  <c r="K77" i="9"/>
  <c r="K81" i="9"/>
  <c r="L89" i="9"/>
  <c r="K2" i="9"/>
  <c r="K3" i="9"/>
  <c r="L19" i="9"/>
  <c r="L34" i="9"/>
  <c r="K37" i="9"/>
  <c r="K42" i="9"/>
  <c r="K45" i="9"/>
  <c r="L56" i="9"/>
  <c r="L74" i="9"/>
  <c r="L77" i="9"/>
  <c r="L81" i="9"/>
  <c r="K20" i="9"/>
  <c r="K49" i="9"/>
  <c r="L20" i="9"/>
  <c r="L24" i="9"/>
  <c r="L49" i="9"/>
  <c r="L57" i="9"/>
  <c r="K76" i="9"/>
  <c r="L83" i="9"/>
  <c r="K4" i="8"/>
  <c r="K37" i="8"/>
  <c r="L42" i="8"/>
  <c r="L49" i="8"/>
  <c r="L2" i="8"/>
  <c r="L4" i="8"/>
  <c r="L16" i="8"/>
  <c r="L45" i="8"/>
  <c r="L50" i="8"/>
  <c r="L53" i="8"/>
  <c r="K57" i="8"/>
  <c r="L75" i="8"/>
  <c r="L92" i="8"/>
  <c r="L97" i="8"/>
  <c r="L3" i="8"/>
  <c r="L18" i="8"/>
  <c r="L21" i="8"/>
  <c r="M21" i="8" s="1"/>
  <c r="L25" i="8"/>
  <c r="M53" i="8"/>
  <c r="L57" i="8"/>
  <c r="K67" i="8"/>
  <c r="K76" i="8"/>
  <c r="M76" i="8" s="1"/>
  <c r="K84" i="8"/>
  <c r="M84" i="8" s="1"/>
  <c r="K35" i="8"/>
  <c r="L43" i="8"/>
  <c r="K68" i="8"/>
  <c r="K72" i="8"/>
  <c r="L76" i="8"/>
  <c r="L84" i="8"/>
  <c r="K36" i="8"/>
  <c r="M36" i="8" s="1"/>
  <c r="K40" i="8"/>
  <c r="K44" i="8"/>
  <c r="L44" i="8"/>
  <c r="K52" i="8"/>
  <c r="M52" i="8" s="1"/>
  <c r="L60" i="8"/>
  <c r="K74" i="8"/>
  <c r="K81" i="8"/>
  <c r="K89" i="8"/>
  <c r="M20" i="8"/>
  <c r="L28" i="8"/>
  <c r="L52" i="8"/>
  <c r="L65" i="8"/>
  <c r="K77" i="8"/>
  <c r="L33" i="8"/>
  <c r="K33" i="8"/>
  <c r="K28" i="8"/>
  <c r="M28" i="8" s="1"/>
  <c r="K29" i="8"/>
  <c r="K26" i="8"/>
  <c r="K32" i="8"/>
  <c r="K27" i="8"/>
  <c r="L3" i="9"/>
  <c r="L7" i="9"/>
  <c r="L65" i="10"/>
  <c r="L60" i="10"/>
  <c r="L61" i="10"/>
  <c r="L59" i="10"/>
  <c r="L64" i="10"/>
  <c r="L58" i="10"/>
  <c r="L46" i="8"/>
  <c r="L47" i="8"/>
  <c r="K65" i="8"/>
  <c r="K60" i="8"/>
  <c r="M60" i="8" s="1"/>
  <c r="K61" i="8"/>
  <c r="K58" i="8"/>
  <c r="K64" i="8"/>
  <c r="K59" i="8"/>
  <c r="K38" i="8"/>
  <c r="K39" i="8"/>
  <c r="K70" i="8"/>
  <c r="K71" i="8"/>
  <c r="L78" i="8"/>
  <c r="L79" i="8"/>
  <c r="L7" i="8"/>
  <c r="L73" i="8"/>
  <c r="L68" i="8"/>
  <c r="L69" i="8"/>
  <c r="L66" i="8"/>
  <c r="L72" i="8"/>
  <c r="L67" i="8"/>
  <c r="L8" i="9"/>
  <c r="L2" i="9"/>
  <c r="L9" i="9"/>
  <c r="L5" i="9"/>
  <c r="K97" i="8"/>
  <c r="K92" i="8"/>
  <c r="K93" i="8"/>
  <c r="M93" i="8" s="1"/>
  <c r="K90" i="8"/>
  <c r="K96" i="8"/>
  <c r="K91" i="8"/>
  <c r="K33" i="9"/>
  <c r="K28" i="9"/>
  <c r="K29" i="9"/>
  <c r="K26" i="9"/>
  <c r="K27" i="9"/>
  <c r="L55" i="10"/>
  <c r="L54" i="10"/>
  <c r="K7" i="8"/>
  <c r="K8" i="8"/>
  <c r="K2" i="8"/>
  <c r="K9" i="8"/>
  <c r="K5" i="8"/>
  <c r="L9" i="8"/>
  <c r="L5" i="8"/>
  <c r="L41" i="8"/>
  <c r="L36" i="8"/>
  <c r="L37" i="8"/>
  <c r="L34" i="8"/>
  <c r="L40" i="8"/>
  <c r="L35" i="8"/>
  <c r="K32" i="9"/>
  <c r="L14" i="9"/>
  <c r="K97" i="9"/>
  <c r="K92" i="9"/>
  <c r="K93" i="9"/>
  <c r="K90" i="9"/>
  <c r="L8" i="10"/>
  <c r="L2" i="10"/>
  <c r="L9" i="10"/>
  <c r="L5" i="10"/>
  <c r="L33" i="10"/>
  <c r="L28" i="10"/>
  <c r="L26" i="10"/>
  <c r="L32" i="10"/>
  <c r="L27" i="10"/>
  <c r="L29" i="10"/>
  <c r="L62" i="10"/>
  <c r="L63" i="10"/>
  <c r="K15" i="8"/>
  <c r="K17" i="8"/>
  <c r="M45" i="8"/>
  <c r="M77" i="8"/>
  <c r="L73" i="9"/>
  <c r="L68" i="9"/>
  <c r="L7" i="10"/>
  <c r="L6" i="10"/>
  <c r="L30" i="10"/>
  <c r="L31" i="10"/>
  <c r="L97" i="10"/>
  <c r="L92" i="10"/>
  <c r="L93" i="10"/>
  <c r="L90" i="10"/>
  <c r="L91" i="10"/>
  <c r="L96" i="10"/>
  <c r="L7" i="11"/>
  <c r="L6" i="11"/>
  <c r="L15" i="8"/>
  <c r="L17" i="8"/>
  <c r="L27" i="8"/>
  <c r="L32" i="8"/>
  <c r="L59" i="8"/>
  <c r="L64" i="8"/>
  <c r="L91" i="8"/>
  <c r="L96" i="8"/>
  <c r="K12" i="9"/>
  <c r="K13" i="9"/>
  <c r="K21" i="9"/>
  <c r="K24" i="9"/>
  <c r="L65" i="9"/>
  <c r="L60" i="9"/>
  <c r="L61" i="9"/>
  <c r="L58" i="9"/>
  <c r="L70" i="9"/>
  <c r="L71" i="9"/>
  <c r="K91" i="9"/>
  <c r="K12" i="10"/>
  <c r="K13" i="10"/>
  <c r="K17" i="10"/>
  <c r="K16" i="10"/>
  <c r="K57" i="10"/>
  <c r="K52" i="10"/>
  <c r="K50" i="10"/>
  <c r="L94" i="10"/>
  <c r="L95" i="10"/>
  <c r="K12" i="8"/>
  <c r="K19" i="8"/>
  <c r="K24" i="8"/>
  <c r="M37" i="8"/>
  <c r="M44" i="8"/>
  <c r="K51" i="8"/>
  <c r="K56" i="8"/>
  <c r="M69" i="8"/>
  <c r="K83" i="8"/>
  <c r="K88" i="8"/>
  <c r="L12" i="9"/>
  <c r="L13" i="9"/>
  <c r="K17" i="9"/>
  <c r="L41" i="9"/>
  <c r="L36" i="9"/>
  <c r="K85" i="9"/>
  <c r="K82" i="9"/>
  <c r="K88" i="9"/>
  <c r="K83" i="9"/>
  <c r="K10" i="10"/>
  <c r="L10" i="8"/>
  <c r="K11" i="8"/>
  <c r="L12" i="8"/>
  <c r="M12" i="8" s="1"/>
  <c r="K13" i="8"/>
  <c r="M13" i="8" s="1"/>
  <c r="L19" i="8"/>
  <c r="L26" i="8"/>
  <c r="L51" i="8"/>
  <c r="L58" i="8"/>
  <c r="L83" i="8"/>
  <c r="L90" i="8"/>
  <c r="L17" i="9"/>
  <c r="K19" i="9"/>
  <c r="L33" i="9"/>
  <c r="L28" i="9"/>
  <c r="L29" i="9"/>
  <c r="L38" i="9"/>
  <c r="L39" i="9"/>
  <c r="M39" i="9" s="1"/>
  <c r="K53" i="9"/>
  <c r="K50" i="9"/>
  <c r="K56" i="9"/>
  <c r="K51" i="9"/>
  <c r="K65" i="9"/>
  <c r="K60" i="9"/>
  <c r="K61" i="9"/>
  <c r="K58" i="9"/>
  <c r="K62" i="9"/>
  <c r="K64" i="9"/>
  <c r="L69" i="9"/>
  <c r="L72" i="9"/>
  <c r="L3" i="10"/>
  <c r="K11" i="10"/>
  <c r="K51" i="10"/>
  <c r="L11" i="8"/>
  <c r="K18" i="8"/>
  <c r="M29" i="8"/>
  <c r="K43" i="8"/>
  <c r="K50" i="8"/>
  <c r="M61" i="8"/>
  <c r="M68" i="8"/>
  <c r="K75" i="8"/>
  <c r="K82" i="8"/>
  <c r="K10" i="9"/>
  <c r="L26" i="9"/>
  <c r="L62" i="9"/>
  <c r="L64" i="9"/>
  <c r="L67" i="9"/>
  <c r="K89" i="9"/>
  <c r="L97" i="9"/>
  <c r="L92" i="9"/>
  <c r="L93" i="9"/>
  <c r="L90" i="9"/>
  <c r="L96" i="9"/>
  <c r="L91" i="9"/>
  <c r="L14" i="11"/>
  <c r="L25" i="11"/>
  <c r="L20" i="11"/>
  <c r="L21" i="11"/>
  <c r="L18" i="11"/>
  <c r="L55" i="11"/>
  <c r="L54" i="11"/>
  <c r="M54" i="11" s="1"/>
  <c r="L25" i="10"/>
  <c r="L20" i="10"/>
  <c r="L21" i="10"/>
  <c r="L18" i="10"/>
  <c r="K25" i="10"/>
  <c r="K89" i="10"/>
  <c r="K84" i="10"/>
  <c r="K85" i="10"/>
  <c r="K82" i="10"/>
  <c r="K88" i="10"/>
  <c r="K83" i="10"/>
  <c r="M5" i="11"/>
  <c r="L22" i="11"/>
  <c r="L23" i="11"/>
  <c r="K49" i="11"/>
  <c r="K44" i="11"/>
  <c r="M44" i="11" s="1"/>
  <c r="K45" i="11"/>
  <c r="K42" i="11"/>
  <c r="K48" i="11"/>
  <c r="K43" i="11"/>
  <c r="K2" i="10"/>
  <c r="K8" i="10"/>
  <c r="K40" i="10"/>
  <c r="K35" i="10"/>
  <c r="L24" i="11"/>
  <c r="K19" i="10"/>
  <c r="K23" i="10"/>
  <c r="L45" i="10"/>
  <c r="L42" i="10"/>
  <c r="L48" i="10"/>
  <c r="L43" i="10"/>
  <c r="K43" i="9"/>
  <c r="K75" i="9"/>
  <c r="L17" i="10"/>
  <c r="L19" i="10"/>
  <c r="K45" i="10"/>
  <c r="K42" i="10"/>
  <c r="L18" i="9"/>
  <c r="L43" i="9"/>
  <c r="L50" i="9"/>
  <c r="L75" i="9"/>
  <c r="L82" i="9"/>
  <c r="L13" i="10"/>
  <c r="L57" i="10"/>
  <c r="L52" i="10"/>
  <c r="L53" i="10"/>
  <c r="L50" i="10"/>
  <c r="M50" i="10" s="1"/>
  <c r="K68" i="10"/>
  <c r="K73" i="10"/>
  <c r="K2" i="11"/>
  <c r="K6" i="11"/>
  <c r="K8" i="11"/>
  <c r="K33" i="11"/>
  <c r="L88" i="10"/>
  <c r="L48" i="11"/>
  <c r="L63" i="11"/>
  <c r="K80" i="10"/>
  <c r="M6" i="11"/>
  <c r="K35" i="11"/>
  <c r="K40" i="11"/>
  <c r="K70" i="11"/>
  <c r="K71" i="11"/>
  <c r="K85" i="11"/>
  <c r="K82" i="11"/>
  <c r="K88" i="11"/>
  <c r="K83" i="11"/>
  <c r="K89" i="11"/>
  <c r="K84" i="11"/>
  <c r="L93" i="11"/>
  <c r="L90" i="11"/>
  <c r="L96" i="11"/>
  <c r="L91" i="11"/>
  <c r="L97" i="11"/>
  <c r="L92" i="11"/>
  <c r="M97" i="12"/>
  <c r="L75" i="10"/>
  <c r="L80" i="10"/>
  <c r="L82" i="10"/>
  <c r="L85" i="10"/>
  <c r="K3" i="11"/>
  <c r="M64" i="11"/>
  <c r="M65" i="11"/>
  <c r="M7" i="11"/>
  <c r="L35" i="11"/>
  <c r="L40" i="11"/>
  <c r="L42" i="11"/>
  <c r="L45" i="11"/>
  <c r="L61" i="11"/>
  <c r="L64" i="11"/>
  <c r="M7" i="12"/>
  <c r="K67" i="10"/>
  <c r="K74" i="10"/>
  <c r="K27" i="11"/>
  <c r="K34" i="11"/>
  <c r="L35" i="10"/>
  <c r="L67" i="10"/>
  <c r="L74" i="10"/>
  <c r="L84" i="10"/>
  <c r="L27" i="11"/>
  <c r="L34" i="11"/>
  <c r="L44" i="11"/>
  <c r="L57" i="11"/>
  <c r="M57" i="11" s="1"/>
  <c r="L52" i="11"/>
  <c r="K62" i="11"/>
  <c r="K67" i="11"/>
  <c r="K72" i="11"/>
  <c r="K77" i="11"/>
  <c r="M77" i="11" s="1"/>
  <c r="K94" i="11"/>
  <c r="K4" i="12"/>
  <c r="K15" i="12"/>
  <c r="M25" i="12"/>
  <c r="M30" i="12"/>
  <c r="M35" i="12"/>
  <c r="M40" i="12"/>
  <c r="M42" i="12"/>
  <c r="K47" i="12"/>
  <c r="M55" i="12"/>
  <c r="M57" i="12"/>
  <c r="M62" i="12"/>
  <c r="M67" i="12"/>
  <c r="M72" i="12"/>
  <c r="K79" i="12"/>
  <c r="M79" i="12" s="1"/>
  <c r="M87" i="12"/>
  <c r="M89" i="12"/>
  <c r="L67" i="11"/>
  <c r="L74" i="11"/>
  <c r="L84" i="11"/>
  <c r="L87" i="11"/>
  <c r="L17" i="12"/>
  <c r="L27" i="12"/>
  <c r="M27" i="12" s="1"/>
  <c r="L32" i="12"/>
  <c r="L47" i="12"/>
  <c r="L59" i="12"/>
  <c r="L64" i="12"/>
  <c r="M64" i="12" s="1"/>
  <c r="L91" i="12"/>
  <c r="M91" i="12" s="1"/>
  <c r="L96" i="12"/>
  <c r="K12" i="12"/>
  <c r="M15" i="12"/>
  <c r="K19" i="12"/>
  <c r="M19" i="12" s="1"/>
  <c r="M22" i="12"/>
  <c r="K24" i="12"/>
  <c r="M24" i="12" s="1"/>
  <c r="M32" i="12"/>
  <c r="M34" i="12"/>
  <c r="K39" i="12"/>
  <c r="K41" i="12"/>
  <c r="M41" i="12" s="1"/>
  <c r="M49" i="12"/>
  <c r="K51" i="12"/>
  <c r="M51" i="12" s="1"/>
  <c r="K56" i="12"/>
  <c r="M56" i="12" s="1"/>
  <c r="K58" i="12"/>
  <c r="K61" i="12"/>
  <c r="K68" i="12"/>
  <c r="K71" i="12"/>
  <c r="K73" i="12"/>
  <c r="M81" i="12"/>
  <c r="K83" i="12"/>
  <c r="M86" i="12"/>
  <c r="K88" i="12"/>
  <c r="K90" i="12"/>
  <c r="M90" i="12" s="1"/>
  <c r="K93" i="12"/>
  <c r="L79" i="11"/>
  <c r="M79" i="11" s="1"/>
  <c r="K5" i="12"/>
  <c r="K9" i="12"/>
  <c r="M9" i="12" s="1"/>
  <c r="L26" i="12"/>
  <c r="M26" i="12" s="1"/>
  <c r="L39" i="12"/>
  <c r="M39" i="12" s="1"/>
  <c r="L58" i="12"/>
  <c r="M58" i="12" s="1"/>
  <c r="L61" i="12"/>
  <c r="L71" i="12"/>
  <c r="L90" i="12"/>
  <c r="L93" i="12"/>
  <c r="K58" i="11"/>
  <c r="K61" i="11"/>
  <c r="K68" i="11"/>
  <c r="K90" i="11"/>
  <c r="K93" i="11"/>
  <c r="K2" i="12"/>
  <c r="M2" i="12" s="1"/>
  <c r="L5" i="12"/>
  <c r="K6" i="12"/>
  <c r="M10" i="12"/>
  <c r="L11" i="12"/>
  <c r="M11" i="12" s="1"/>
  <c r="M14" i="12"/>
  <c r="K18" i="12"/>
  <c r="M18" i="12" s="1"/>
  <c r="K21" i="12"/>
  <c r="K28" i="12"/>
  <c r="K31" i="12"/>
  <c r="M36" i="12"/>
  <c r="K43" i="12"/>
  <c r="M43" i="12" s="1"/>
  <c r="M46" i="12"/>
  <c r="K48" i="12"/>
  <c r="M48" i="12" s="1"/>
  <c r="K50" i="12"/>
  <c r="M50" i="12" s="1"/>
  <c r="K53" i="12"/>
  <c r="K60" i="12"/>
  <c r="K63" i="12"/>
  <c r="M63" i="12" s="1"/>
  <c r="M68" i="12"/>
  <c r="M73" i="12"/>
  <c r="K75" i="12"/>
  <c r="M78" i="12"/>
  <c r="K80" i="12"/>
  <c r="M80" i="12" s="1"/>
  <c r="K82" i="12"/>
  <c r="M83" i="12"/>
  <c r="K85" i="12"/>
  <c r="K92" i="12"/>
  <c r="M92" i="12" s="1"/>
  <c r="K95" i="12"/>
  <c r="M95" i="12" s="1"/>
  <c r="L6" i="12"/>
  <c r="L60" i="12"/>
  <c r="L82" i="12"/>
  <c r="L92" i="12"/>
  <c r="K60" i="11"/>
  <c r="M60" i="11" s="1"/>
  <c r="K75" i="11"/>
  <c r="M75" i="11" s="1"/>
  <c r="K92" i="11"/>
  <c r="M8" i="12"/>
  <c r="M16" i="12"/>
  <c r="K20" i="12"/>
  <c r="M31" i="12"/>
  <c r="M33" i="12"/>
  <c r="M38" i="12"/>
  <c r="K42" i="12"/>
  <c r="K52" i="12"/>
  <c r="M65" i="12"/>
  <c r="M70" i="12"/>
  <c r="K74" i="12"/>
  <c r="M74" i="12" s="1"/>
  <c r="M75" i="12"/>
  <c r="K84" i="12"/>
  <c r="C107" i="3"/>
  <c r="C107" i="4"/>
  <c r="C107" i="5"/>
  <c r="C107" i="7"/>
  <c r="C106" i="6"/>
  <c r="C107" i="6"/>
  <c r="C105" i="6"/>
  <c r="O2" i="4"/>
  <c r="A26" i="7"/>
  <c r="A27" i="7" s="1"/>
  <c r="A28" i="7" s="1"/>
  <c r="A29" i="7" s="1"/>
  <c r="A30" i="7" s="1"/>
  <c r="A31" i="7" s="1"/>
  <c r="A32" i="7" s="1"/>
  <c r="A33" i="7" s="1"/>
  <c r="A34" i="7"/>
  <c r="A35" i="7" s="1"/>
  <c r="A36" i="7" s="1"/>
  <c r="A37" i="7" s="1"/>
  <c r="A38" i="7" s="1"/>
  <c r="A39" i="7" s="1"/>
  <c r="A40" i="7" s="1"/>
  <c r="A41" i="7" s="1"/>
  <c r="A58" i="7"/>
  <c r="A59" i="7" s="1"/>
  <c r="A60" i="7" s="1"/>
  <c r="A61" i="7" s="1"/>
  <c r="A62" i="7" s="1"/>
  <c r="A63" i="7" s="1"/>
  <c r="A64" i="7" s="1"/>
  <c r="A65" i="7" s="1"/>
  <c r="A66" i="7"/>
  <c r="A67" i="7" s="1"/>
  <c r="A68" i="7" s="1"/>
  <c r="A69" i="7" s="1"/>
  <c r="A70" i="7" s="1"/>
  <c r="A71" i="7" s="1"/>
  <c r="A72" i="7" s="1"/>
  <c r="A73" i="7" s="1"/>
  <c r="A90" i="7"/>
  <c r="A91" i="7" s="1"/>
  <c r="A92" i="7" s="1"/>
  <c r="A93" i="7" s="1"/>
  <c r="A94" i="7" s="1"/>
  <c r="A95" i="7" s="1"/>
  <c r="A96" i="7" s="1"/>
  <c r="A97" i="7" s="1"/>
  <c r="C106" i="7"/>
  <c r="C105" i="7"/>
  <c r="C104" i="7"/>
  <c r="C103" i="7"/>
  <c r="C102" i="7"/>
  <c r="C101" i="7"/>
  <c r="C100" i="7"/>
  <c r="L95" i="7"/>
  <c r="L97" i="7"/>
  <c r="L91" i="7"/>
  <c r="K95" i="7"/>
  <c r="K97" i="7"/>
  <c r="L86" i="7"/>
  <c r="L85" i="7"/>
  <c r="L83" i="7"/>
  <c r="K86" i="7"/>
  <c r="K85" i="7"/>
  <c r="L77" i="7"/>
  <c r="K77" i="7"/>
  <c r="L79" i="7"/>
  <c r="L80" i="7"/>
  <c r="K78" i="7"/>
  <c r="K80" i="7"/>
  <c r="L74" i="7"/>
  <c r="K74" i="7"/>
  <c r="K72" i="7"/>
  <c r="K71" i="7"/>
  <c r="L70" i="7"/>
  <c r="L67" i="7"/>
  <c r="K68" i="7"/>
  <c r="K67" i="7"/>
  <c r="K70" i="7"/>
  <c r="K73" i="7"/>
  <c r="L61" i="7"/>
  <c r="L63" i="7"/>
  <c r="L65" i="7"/>
  <c r="K63" i="7"/>
  <c r="K65" i="7"/>
  <c r="L58" i="7"/>
  <c r="L57" i="7"/>
  <c r="K57" i="7"/>
  <c r="L55" i="7"/>
  <c r="K55" i="7"/>
  <c r="L54" i="7"/>
  <c r="L53" i="7"/>
  <c r="L52" i="7"/>
  <c r="K52" i="7"/>
  <c r="K54" i="7"/>
  <c r="K53" i="7"/>
  <c r="L45" i="7"/>
  <c r="K45" i="7"/>
  <c r="L46" i="7"/>
  <c r="L48" i="7"/>
  <c r="K46" i="7"/>
  <c r="K48" i="7"/>
  <c r="L42" i="7"/>
  <c r="K42" i="7"/>
  <c r="K40" i="7"/>
  <c r="L38" i="7"/>
  <c r="L41" i="7"/>
  <c r="K38" i="7"/>
  <c r="K41" i="7"/>
  <c r="L31" i="7"/>
  <c r="L33" i="7"/>
  <c r="L27" i="7"/>
  <c r="K31" i="7"/>
  <c r="K33" i="7"/>
  <c r="L22" i="7"/>
  <c r="L21" i="7"/>
  <c r="L19" i="7"/>
  <c r="K22" i="7"/>
  <c r="K21" i="7"/>
  <c r="L14" i="7"/>
  <c r="L16" i="7"/>
  <c r="A82" i="7"/>
  <c r="A83" i="7" s="1"/>
  <c r="A84" i="7" s="1"/>
  <c r="A85" i="7" s="1"/>
  <c r="A86" i="7" s="1"/>
  <c r="A87" i="7" s="1"/>
  <c r="A88" i="7" s="1"/>
  <c r="A89" i="7" s="1"/>
  <c r="A74" i="7"/>
  <c r="A75" i="7" s="1"/>
  <c r="A76" i="7" s="1"/>
  <c r="A77" i="7" s="1"/>
  <c r="A78" i="7" s="1"/>
  <c r="A79" i="7" s="1"/>
  <c r="A80" i="7" s="1"/>
  <c r="A81" i="7" s="1"/>
  <c r="K14" i="7"/>
  <c r="K16" i="7"/>
  <c r="L10" i="7"/>
  <c r="K10" i="7"/>
  <c r="A50" i="7"/>
  <c r="A51" i="7" s="1"/>
  <c r="A52" i="7" s="1"/>
  <c r="A53" i="7" s="1"/>
  <c r="A54" i="7" s="1"/>
  <c r="A55" i="7" s="1"/>
  <c r="A56" i="7" s="1"/>
  <c r="A57" i="7" s="1"/>
  <c r="A42" i="7"/>
  <c r="A43" i="7" s="1"/>
  <c r="A44" i="7" s="1"/>
  <c r="A45" i="7" s="1"/>
  <c r="A46" i="7" s="1"/>
  <c r="A47" i="7" s="1"/>
  <c r="A48" i="7" s="1"/>
  <c r="A49" i="7" s="1"/>
  <c r="L7" i="7"/>
  <c r="N5" i="7"/>
  <c r="L6" i="7"/>
  <c r="L8" i="7"/>
  <c r="A18" i="7"/>
  <c r="A19" i="7" s="1"/>
  <c r="A20" i="7" s="1"/>
  <c r="A21" i="7" s="1"/>
  <c r="A22" i="7" s="1"/>
  <c r="A23" i="7" s="1"/>
  <c r="A24" i="7" s="1"/>
  <c r="A25" i="7" s="1"/>
  <c r="N4" i="7"/>
  <c r="L4" i="7"/>
  <c r="A10" i="7"/>
  <c r="A11" i="7" s="1"/>
  <c r="A12" i="7" s="1"/>
  <c r="A13" i="7" s="1"/>
  <c r="A14" i="7" s="1"/>
  <c r="A15" i="7" s="1"/>
  <c r="A16" i="7" s="1"/>
  <c r="A17" i="7" s="1"/>
  <c r="N3" i="7"/>
  <c r="K7" i="7"/>
  <c r="K8" i="7"/>
  <c r="N2" i="7"/>
  <c r="L2" i="7"/>
  <c r="A2" i="7"/>
  <c r="A3" i="7" s="1"/>
  <c r="A4" i="7" s="1"/>
  <c r="A5" i="7" s="1"/>
  <c r="A6" i="7" s="1"/>
  <c r="A7" i="7" s="1"/>
  <c r="A8" i="7" s="1"/>
  <c r="A9" i="7" s="1"/>
  <c r="O1" i="7"/>
  <c r="N1" i="7"/>
  <c r="P3" i="6"/>
  <c r="A10" i="6" s="1"/>
  <c r="A11" i="6" s="1"/>
  <c r="A12" i="6" s="1"/>
  <c r="A13" i="6" s="1"/>
  <c r="A14" i="6" s="1"/>
  <c r="A15" i="6" s="1"/>
  <c r="A16" i="6" s="1"/>
  <c r="A17" i="6" s="1"/>
  <c r="P4" i="6"/>
  <c r="A18" i="6" s="1"/>
  <c r="A19" i="6" s="1"/>
  <c r="A20" i="6" s="1"/>
  <c r="A21" i="6" s="1"/>
  <c r="A22" i="6" s="1"/>
  <c r="A23" i="6" s="1"/>
  <c r="A24" i="6" s="1"/>
  <c r="A25" i="6" s="1"/>
  <c r="P5" i="6"/>
  <c r="A26" i="6" s="1"/>
  <c r="A27" i="6" s="1"/>
  <c r="A28" i="6" s="1"/>
  <c r="A29" i="6" s="1"/>
  <c r="A30" i="6" s="1"/>
  <c r="A31" i="6" s="1"/>
  <c r="A32" i="6" s="1"/>
  <c r="A33" i="6" s="1"/>
  <c r="P6" i="6"/>
  <c r="A34" i="6" s="1"/>
  <c r="A35" i="6" s="1"/>
  <c r="A36" i="6" s="1"/>
  <c r="A37" i="6" s="1"/>
  <c r="A38" i="6" s="1"/>
  <c r="A39" i="6" s="1"/>
  <c r="A40" i="6" s="1"/>
  <c r="A41" i="6" s="1"/>
  <c r="P7" i="6"/>
  <c r="A42" i="6" s="1"/>
  <c r="A43" i="6" s="1"/>
  <c r="A44" i="6" s="1"/>
  <c r="A45" i="6" s="1"/>
  <c r="A46" i="6" s="1"/>
  <c r="A47" i="6" s="1"/>
  <c r="A48" i="6" s="1"/>
  <c r="A49" i="6" s="1"/>
  <c r="P8" i="6"/>
  <c r="A50" i="6" s="1"/>
  <c r="A51" i="6" s="1"/>
  <c r="A52" i="6" s="1"/>
  <c r="A53" i="6" s="1"/>
  <c r="A54" i="6" s="1"/>
  <c r="A55" i="6" s="1"/>
  <c r="A56" i="6" s="1"/>
  <c r="A57" i="6" s="1"/>
  <c r="P9" i="6"/>
  <c r="A58" i="6" s="1"/>
  <c r="A59" i="6" s="1"/>
  <c r="A60" i="6" s="1"/>
  <c r="A61" i="6" s="1"/>
  <c r="A62" i="6" s="1"/>
  <c r="A63" i="6" s="1"/>
  <c r="A64" i="6" s="1"/>
  <c r="A65" i="6" s="1"/>
  <c r="P10" i="6"/>
  <c r="A66" i="6" s="1"/>
  <c r="A67" i="6" s="1"/>
  <c r="A68" i="6" s="1"/>
  <c r="A69" i="6" s="1"/>
  <c r="A70" i="6" s="1"/>
  <c r="A71" i="6" s="1"/>
  <c r="A72" i="6" s="1"/>
  <c r="A73" i="6" s="1"/>
  <c r="P11" i="6"/>
  <c r="A74" i="6" s="1"/>
  <c r="A75" i="6" s="1"/>
  <c r="A76" i="6" s="1"/>
  <c r="A77" i="6" s="1"/>
  <c r="A78" i="6" s="1"/>
  <c r="A79" i="6" s="1"/>
  <c r="A80" i="6" s="1"/>
  <c r="A81" i="6" s="1"/>
  <c r="P12" i="6"/>
  <c r="A82" i="6" s="1"/>
  <c r="A83" i="6" s="1"/>
  <c r="A84" i="6" s="1"/>
  <c r="A85" i="6" s="1"/>
  <c r="A86" i="6" s="1"/>
  <c r="A87" i="6" s="1"/>
  <c r="A88" i="6" s="1"/>
  <c r="A89" i="6" s="1"/>
  <c r="P13" i="6"/>
  <c r="A90" i="6" s="1"/>
  <c r="A91" i="6" s="1"/>
  <c r="A92" i="6" s="1"/>
  <c r="A93" i="6" s="1"/>
  <c r="A94" i="6" s="1"/>
  <c r="A95" i="6" s="1"/>
  <c r="A96" i="6" s="1"/>
  <c r="A97" i="6" s="1"/>
  <c r="P2" i="6"/>
  <c r="A2" i="6" s="1"/>
  <c r="A3" i="6" s="1"/>
  <c r="A4" i="6" s="1"/>
  <c r="A5" i="6" s="1"/>
  <c r="A6" i="6" s="1"/>
  <c r="A7" i="6" s="1"/>
  <c r="A8" i="6" s="1"/>
  <c r="A9" i="6" s="1"/>
  <c r="C104" i="6"/>
  <c r="C103" i="6"/>
  <c r="C102" i="6"/>
  <c r="C101" i="6"/>
  <c r="C100" i="6"/>
  <c r="L95" i="6"/>
  <c r="L97" i="6"/>
  <c r="L91" i="6"/>
  <c r="K95" i="6"/>
  <c r="K97" i="6"/>
  <c r="L89" i="6"/>
  <c r="L87" i="6"/>
  <c r="L86" i="6"/>
  <c r="L85" i="6"/>
  <c r="L84" i="6"/>
  <c r="L83" i="6"/>
  <c r="K86" i="6"/>
  <c r="K85" i="6"/>
  <c r="L79" i="6"/>
  <c r="L80" i="6"/>
  <c r="L76" i="6"/>
  <c r="K76" i="6"/>
  <c r="L75" i="6"/>
  <c r="K78" i="6"/>
  <c r="K80" i="6"/>
  <c r="L70" i="6"/>
  <c r="L73" i="6"/>
  <c r="K70" i="6"/>
  <c r="K73" i="6"/>
  <c r="L63" i="6"/>
  <c r="L65" i="6"/>
  <c r="L59" i="6"/>
  <c r="K63" i="6"/>
  <c r="K65" i="6"/>
  <c r="L57" i="6"/>
  <c r="L55" i="6"/>
  <c r="L53" i="6"/>
  <c r="L52" i="6"/>
  <c r="L51" i="6"/>
  <c r="K54" i="6"/>
  <c r="K53" i="6"/>
  <c r="L47" i="6"/>
  <c r="L45" i="6"/>
  <c r="L46" i="6"/>
  <c r="L48" i="6"/>
  <c r="L44" i="6"/>
  <c r="K46" i="6"/>
  <c r="K48" i="6"/>
  <c r="L42" i="6"/>
  <c r="K37" i="6"/>
  <c r="L38" i="6"/>
  <c r="L41" i="6"/>
  <c r="L35" i="6"/>
  <c r="K35" i="6"/>
  <c r="K38" i="6"/>
  <c r="K41" i="6"/>
  <c r="K34" i="6"/>
  <c r="L31" i="6"/>
  <c r="L33" i="6"/>
  <c r="K31" i="6"/>
  <c r="K33" i="6"/>
  <c r="L25" i="6"/>
  <c r="L23" i="6"/>
  <c r="L21" i="6"/>
  <c r="L20" i="6"/>
  <c r="L19" i="6"/>
  <c r="K22" i="6"/>
  <c r="K21" i="6"/>
  <c r="L15" i="6"/>
  <c r="L14" i="6"/>
  <c r="L16" i="6"/>
  <c r="K14" i="6"/>
  <c r="K16" i="6"/>
  <c r="N5" i="6"/>
  <c r="L6" i="6"/>
  <c r="L8" i="6"/>
  <c r="N4" i="6"/>
  <c r="N3" i="6"/>
  <c r="K7" i="6"/>
  <c r="K8" i="6"/>
  <c r="N2" i="6"/>
  <c r="O1" i="6"/>
  <c r="N1" i="6"/>
  <c r="P3" i="5"/>
  <c r="A10" i="5" s="1"/>
  <c r="A11" i="5" s="1"/>
  <c r="A12" i="5" s="1"/>
  <c r="A13" i="5" s="1"/>
  <c r="A14" i="5" s="1"/>
  <c r="A15" i="5" s="1"/>
  <c r="A16" i="5" s="1"/>
  <c r="A17" i="5" s="1"/>
  <c r="P4" i="5"/>
  <c r="A18" i="5" s="1"/>
  <c r="A19" i="5" s="1"/>
  <c r="A20" i="5" s="1"/>
  <c r="A21" i="5" s="1"/>
  <c r="A22" i="5" s="1"/>
  <c r="A23" i="5" s="1"/>
  <c r="A24" i="5" s="1"/>
  <c r="A25" i="5" s="1"/>
  <c r="P5" i="5"/>
  <c r="A26" i="5" s="1"/>
  <c r="A27" i="5" s="1"/>
  <c r="A28" i="5" s="1"/>
  <c r="A29" i="5" s="1"/>
  <c r="A30" i="5" s="1"/>
  <c r="A31" i="5" s="1"/>
  <c r="A32" i="5" s="1"/>
  <c r="A33" i="5" s="1"/>
  <c r="P6" i="5"/>
  <c r="A34" i="5" s="1"/>
  <c r="A35" i="5" s="1"/>
  <c r="A36" i="5" s="1"/>
  <c r="A37" i="5" s="1"/>
  <c r="A38" i="5" s="1"/>
  <c r="A39" i="5" s="1"/>
  <c r="A40" i="5" s="1"/>
  <c r="A41" i="5" s="1"/>
  <c r="P7" i="5"/>
  <c r="A42" i="5" s="1"/>
  <c r="A43" i="5" s="1"/>
  <c r="A44" i="5" s="1"/>
  <c r="A45" i="5" s="1"/>
  <c r="A46" i="5" s="1"/>
  <c r="A47" i="5" s="1"/>
  <c r="A48" i="5" s="1"/>
  <c r="A49" i="5" s="1"/>
  <c r="P8" i="5"/>
  <c r="A50" i="5" s="1"/>
  <c r="A51" i="5" s="1"/>
  <c r="A52" i="5" s="1"/>
  <c r="A53" i="5" s="1"/>
  <c r="A54" i="5" s="1"/>
  <c r="A55" i="5" s="1"/>
  <c r="A56" i="5" s="1"/>
  <c r="A57" i="5" s="1"/>
  <c r="P9" i="5"/>
  <c r="A58" i="5" s="1"/>
  <c r="A59" i="5" s="1"/>
  <c r="A60" i="5" s="1"/>
  <c r="A61" i="5" s="1"/>
  <c r="A62" i="5" s="1"/>
  <c r="A63" i="5" s="1"/>
  <c r="A64" i="5" s="1"/>
  <c r="A65" i="5" s="1"/>
  <c r="P10" i="5"/>
  <c r="A66" i="5" s="1"/>
  <c r="A67" i="5" s="1"/>
  <c r="A68" i="5" s="1"/>
  <c r="A69" i="5" s="1"/>
  <c r="A70" i="5" s="1"/>
  <c r="A71" i="5" s="1"/>
  <c r="A72" i="5" s="1"/>
  <c r="A73" i="5" s="1"/>
  <c r="P11" i="5"/>
  <c r="A74" i="5" s="1"/>
  <c r="A75" i="5" s="1"/>
  <c r="A76" i="5" s="1"/>
  <c r="A77" i="5" s="1"/>
  <c r="A78" i="5" s="1"/>
  <c r="A79" i="5" s="1"/>
  <c r="A80" i="5" s="1"/>
  <c r="A81" i="5" s="1"/>
  <c r="P12" i="5"/>
  <c r="A82" i="5" s="1"/>
  <c r="A83" i="5" s="1"/>
  <c r="A84" i="5" s="1"/>
  <c r="A85" i="5" s="1"/>
  <c r="A86" i="5" s="1"/>
  <c r="A87" i="5" s="1"/>
  <c r="A88" i="5" s="1"/>
  <c r="A89" i="5" s="1"/>
  <c r="P13" i="5"/>
  <c r="A90" i="5" s="1"/>
  <c r="A91" i="5" s="1"/>
  <c r="A92" i="5" s="1"/>
  <c r="A93" i="5" s="1"/>
  <c r="A94" i="5" s="1"/>
  <c r="A95" i="5" s="1"/>
  <c r="A96" i="5" s="1"/>
  <c r="A97" i="5" s="1"/>
  <c r="P2" i="5"/>
  <c r="A2" i="5" s="1"/>
  <c r="A3" i="5" s="1"/>
  <c r="A4" i="5" s="1"/>
  <c r="A5" i="5" s="1"/>
  <c r="A6" i="5" s="1"/>
  <c r="A7" i="5" s="1"/>
  <c r="A8" i="5" s="1"/>
  <c r="A9" i="5" s="1"/>
  <c r="C106" i="5"/>
  <c r="C105" i="5"/>
  <c r="C104" i="5"/>
  <c r="C103" i="5"/>
  <c r="C102" i="5"/>
  <c r="C101" i="5"/>
  <c r="C100" i="5"/>
  <c r="L95" i="5"/>
  <c r="L97" i="5"/>
  <c r="K95" i="5"/>
  <c r="K91" i="5"/>
  <c r="L89" i="5"/>
  <c r="L86" i="5"/>
  <c r="K86" i="5"/>
  <c r="L87" i="5"/>
  <c r="L85" i="5"/>
  <c r="K87" i="5"/>
  <c r="K85" i="5"/>
  <c r="K81" i="5"/>
  <c r="L79" i="5"/>
  <c r="K79" i="5"/>
  <c r="K78" i="5"/>
  <c r="K77" i="5"/>
  <c r="L78" i="5"/>
  <c r="L80" i="5"/>
  <c r="K80" i="5"/>
  <c r="K74" i="5"/>
  <c r="K73" i="5"/>
  <c r="K72" i="5"/>
  <c r="K69" i="5"/>
  <c r="L70" i="5"/>
  <c r="L73" i="5"/>
  <c r="K68" i="5"/>
  <c r="K67" i="5"/>
  <c r="K70" i="5"/>
  <c r="K66" i="5"/>
  <c r="L62" i="5"/>
  <c r="K62" i="5"/>
  <c r="L63" i="5"/>
  <c r="L65" i="5"/>
  <c r="K63" i="5"/>
  <c r="K65" i="5"/>
  <c r="K57" i="5"/>
  <c r="L55" i="5"/>
  <c r="L54" i="5"/>
  <c r="L53" i="5"/>
  <c r="L52" i="5"/>
  <c r="K52" i="5"/>
  <c r="K54" i="5"/>
  <c r="K53" i="5"/>
  <c r="K46" i="5"/>
  <c r="L46" i="5"/>
  <c r="L48" i="5"/>
  <c r="L44" i="5"/>
  <c r="K44" i="5"/>
  <c r="L43" i="5"/>
  <c r="K47" i="5"/>
  <c r="K48" i="5"/>
  <c r="K39" i="5"/>
  <c r="L38" i="5"/>
  <c r="K38" i="5"/>
  <c r="K34" i="5"/>
  <c r="L30" i="5"/>
  <c r="L31" i="5"/>
  <c r="L33" i="5"/>
  <c r="K31" i="5"/>
  <c r="L23" i="5"/>
  <c r="K23" i="5"/>
  <c r="L22" i="5"/>
  <c r="L21" i="5"/>
  <c r="K22" i="5"/>
  <c r="K21" i="5"/>
  <c r="K15" i="5"/>
  <c r="L14" i="5"/>
  <c r="L16" i="5"/>
  <c r="K14" i="5"/>
  <c r="K16" i="5"/>
  <c r="N5" i="5"/>
  <c r="L6" i="5"/>
  <c r="L8" i="5"/>
  <c r="N4" i="5"/>
  <c r="L4" i="5"/>
  <c r="K4" i="5"/>
  <c r="N3" i="5"/>
  <c r="L3" i="5"/>
  <c r="K3" i="5"/>
  <c r="K8" i="5"/>
  <c r="N2" i="5"/>
  <c r="L2" i="5"/>
  <c r="O1" i="5"/>
  <c r="N1" i="5"/>
  <c r="P3" i="4"/>
  <c r="A10" i="4" s="1"/>
  <c r="A11" i="4" s="1"/>
  <c r="A12" i="4" s="1"/>
  <c r="A13" i="4" s="1"/>
  <c r="A14" i="4" s="1"/>
  <c r="A15" i="4" s="1"/>
  <c r="A16" i="4" s="1"/>
  <c r="A17" i="4" s="1"/>
  <c r="P4" i="4"/>
  <c r="A18" i="4" s="1"/>
  <c r="A19" i="4" s="1"/>
  <c r="A20" i="4" s="1"/>
  <c r="A21" i="4" s="1"/>
  <c r="A22" i="4" s="1"/>
  <c r="A23" i="4" s="1"/>
  <c r="A24" i="4" s="1"/>
  <c r="A25" i="4" s="1"/>
  <c r="P5" i="4"/>
  <c r="A26" i="4" s="1"/>
  <c r="A27" i="4" s="1"/>
  <c r="A28" i="4" s="1"/>
  <c r="A29" i="4" s="1"/>
  <c r="A30" i="4" s="1"/>
  <c r="A31" i="4" s="1"/>
  <c r="A32" i="4" s="1"/>
  <c r="A33" i="4" s="1"/>
  <c r="P6" i="4"/>
  <c r="A34" i="4" s="1"/>
  <c r="A35" i="4" s="1"/>
  <c r="A36" i="4" s="1"/>
  <c r="A37" i="4" s="1"/>
  <c r="A38" i="4" s="1"/>
  <c r="A39" i="4" s="1"/>
  <c r="A40" i="4" s="1"/>
  <c r="A41" i="4" s="1"/>
  <c r="P7" i="4"/>
  <c r="A42" i="4" s="1"/>
  <c r="A43" i="4" s="1"/>
  <c r="A44" i="4" s="1"/>
  <c r="A45" i="4" s="1"/>
  <c r="A46" i="4" s="1"/>
  <c r="A47" i="4" s="1"/>
  <c r="A48" i="4" s="1"/>
  <c r="A49" i="4" s="1"/>
  <c r="P8" i="4"/>
  <c r="A50" i="4" s="1"/>
  <c r="A51" i="4" s="1"/>
  <c r="A52" i="4" s="1"/>
  <c r="A53" i="4" s="1"/>
  <c r="A54" i="4" s="1"/>
  <c r="A55" i="4" s="1"/>
  <c r="A56" i="4" s="1"/>
  <c r="A57" i="4" s="1"/>
  <c r="P9" i="4"/>
  <c r="A58" i="4" s="1"/>
  <c r="A59" i="4" s="1"/>
  <c r="A60" i="4" s="1"/>
  <c r="A61" i="4" s="1"/>
  <c r="A62" i="4" s="1"/>
  <c r="A63" i="4" s="1"/>
  <c r="A64" i="4" s="1"/>
  <c r="A65" i="4" s="1"/>
  <c r="P10" i="4"/>
  <c r="A66" i="4" s="1"/>
  <c r="A67" i="4" s="1"/>
  <c r="A68" i="4" s="1"/>
  <c r="A69" i="4" s="1"/>
  <c r="A70" i="4" s="1"/>
  <c r="A71" i="4" s="1"/>
  <c r="A72" i="4" s="1"/>
  <c r="A73" i="4" s="1"/>
  <c r="P11" i="4"/>
  <c r="A74" i="4" s="1"/>
  <c r="A75" i="4" s="1"/>
  <c r="A76" i="4" s="1"/>
  <c r="A77" i="4" s="1"/>
  <c r="A78" i="4" s="1"/>
  <c r="A79" i="4" s="1"/>
  <c r="A80" i="4" s="1"/>
  <c r="A81" i="4" s="1"/>
  <c r="P12" i="4"/>
  <c r="A82" i="4" s="1"/>
  <c r="A83" i="4" s="1"/>
  <c r="A84" i="4" s="1"/>
  <c r="A85" i="4" s="1"/>
  <c r="A86" i="4" s="1"/>
  <c r="A87" i="4" s="1"/>
  <c r="A88" i="4" s="1"/>
  <c r="A89" i="4" s="1"/>
  <c r="P13" i="4"/>
  <c r="A90" i="4" s="1"/>
  <c r="A91" i="4" s="1"/>
  <c r="A92" i="4" s="1"/>
  <c r="A93" i="4" s="1"/>
  <c r="A94" i="4" s="1"/>
  <c r="A95" i="4" s="1"/>
  <c r="A96" i="4" s="1"/>
  <c r="A97" i="4" s="1"/>
  <c r="P2" i="4"/>
  <c r="A2" i="4" s="1"/>
  <c r="A3" i="4" s="1"/>
  <c r="A4" i="4" s="1"/>
  <c r="A5" i="4" s="1"/>
  <c r="A6" i="4" s="1"/>
  <c r="A7" i="4" s="1"/>
  <c r="A8" i="4" s="1"/>
  <c r="A9" i="4" s="1"/>
  <c r="C106" i="4"/>
  <c r="C105" i="4"/>
  <c r="C104" i="4"/>
  <c r="C103" i="4"/>
  <c r="C102" i="4"/>
  <c r="C101" i="4"/>
  <c r="C100" i="4"/>
  <c r="J93" i="4"/>
  <c r="L95" i="4" s="1"/>
  <c r="I93" i="4"/>
  <c r="L97" i="4" s="1"/>
  <c r="J91" i="4"/>
  <c r="K95" i="4" s="1"/>
  <c r="I91" i="4"/>
  <c r="K97" i="4" s="1"/>
  <c r="L87" i="4"/>
  <c r="J85" i="4"/>
  <c r="L86" i="4" s="1"/>
  <c r="I85" i="4"/>
  <c r="L85" i="4" s="1"/>
  <c r="L84" i="4"/>
  <c r="J83" i="4"/>
  <c r="K86" i="4" s="1"/>
  <c r="I83" i="4"/>
  <c r="K85" i="4" s="1"/>
  <c r="L77" i="4"/>
  <c r="K77" i="4"/>
  <c r="J77" i="4"/>
  <c r="L79" i="4" s="1"/>
  <c r="I77" i="4"/>
  <c r="L80" i="4" s="1"/>
  <c r="L75" i="4"/>
  <c r="J75" i="4"/>
  <c r="K78" i="4" s="1"/>
  <c r="I75" i="4"/>
  <c r="K80" i="4" s="1"/>
  <c r="L74" i="4"/>
  <c r="K74" i="4"/>
  <c r="K73" i="4"/>
  <c r="K71" i="4"/>
  <c r="J69" i="4"/>
  <c r="L70" i="4" s="1"/>
  <c r="I69" i="4"/>
  <c r="L73" i="4" s="1"/>
  <c r="K68" i="4"/>
  <c r="K67" i="4"/>
  <c r="J67" i="4"/>
  <c r="K70" i="4" s="1"/>
  <c r="I67" i="4"/>
  <c r="K69" i="4" s="1"/>
  <c r="L63" i="4"/>
  <c r="J61" i="4"/>
  <c r="L62" i="4" s="1"/>
  <c r="I61" i="4"/>
  <c r="L65" i="4" s="1"/>
  <c r="J59" i="4"/>
  <c r="K63" i="4" s="1"/>
  <c r="I59" i="4"/>
  <c r="K65" i="4" s="1"/>
  <c r="L57" i="4"/>
  <c r="K54" i="4"/>
  <c r="J53" i="4"/>
  <c r="L54" i="4" s="1"/>
  <c r="I53" i="4"/>
  <c r="L53" i="4" s="1"/>
  <c r="K51" i="4"/>
  <c r="J51" i="4"/>
  <c r="K55" i="4" s="1"/>
  <c r="I51" i="4"/>
  <c r="K53" i="4" s="1"/>
  <c r="K50" i="4"/>
  <c r="J45" i="4"/>
  <c r="L46" i="4" s="1"/>
  <c r="I45" i="4"/>
  <c r="L48" i="4" s="1"/>
  <c r="L43" i="4"/>
  <c r="J43" i="4"/>
  <c r="K46" i="4" s="1"/>
  <c r="I43" i="4"/>
  <c r="K48" i="4" s="1"/>
  <c r="L42" i="4"/>
  <c r="K40" i="4"/>
  <c r="K39" i="4"/>
  <c r="J37" i="4"/>
  <c r="L38" i="4" s="1"/>
  <c r="I37" i="4"/>
  <c r="L41" i="4" s="1"/>
  <c r="J35" i="4"/>
  <c r="K38" i="4" s="1"/>
  <c r="I35" i="4"/>
  <c r="K37" i="4" s="1"/>
  <c r="L31" i="4"/>
  <c r="L30" i="4"/>
  <c r="K30" i="4"/>
  <c r="J29" i="4"/>
  <c r="I29" i="4"/>
  <c r="L32" i="4" s="1"/>
  <c r="J27" i="4"/>
  <c r="K31" i="4" s="1"/>
  <c r="I27" i="4"/>
  <c r="K33" i="4" s="1"/>
  <c r="K25" i="4"/>
  <c r="K24" i="4"/>
  <c r="L23" i="4"/>
  <c r="J21" i="4"/>
  <c r="L22" i="4" s="1"/>
  <c r="I21" i="4"/>
  <c r="L21" i="4" s="1"/>
  <c r="L20" i="4"/>
  <c r="K20" i="4"/>
  <c r="K19" i="4"/>
  <c r="J19" i="4"/>
  <c r="K23" i="4" s="1"/>
  <c r="I19" i="4"/>
  <c r="K21" i="4" s="1"/>
  <c r="J13" i="4"/>
  <c r="L14" i="4" s="1"/>
  <c r="I13" i="4"/>
  <c r="L17" i="4" s="1"/>
  <c r="L12" i="4"/>
  <c r="J11" i="4"/>
  <c r="K14" i="4" s="1"/>
  <c r="I11" i="4"/>
  <c r="K17" i="4" s="1"/>
  <c r="J7" i="4"/>
  <c r="I7" i="4"/>
  <c r="N5" i="4"/>
  <c r="J5" i="4"/>
  <c r="L6" i="4" s="1"/>
  <c r="I5" i="4"/>
  <c r="L8" i="4" s="1"/>
  <c r="N4" i="4"/>
  <c r="N3" i="4"/>
  <c r="J3" i="4"/>
  <c r="K7" i="4" s="1"/>
  <c r="I3" i="4"/>
  <c r="K8" i="4" s="1"/>
  <c r="N2" i="4"/>
  <c r="O1" i="4"/>
  <c r="N1" i="4"/>
  <c r="P3" i="3"/>
  <c r="P4" i="3"/>
  <c r="P5" i="3"/>
  <c r="P6" i="3"/>
  <c r="P7" i="3"/>
  <c r="P8" i="3"/>
  <c r="P9" i="3"/>
  <c r="P10" i="3"/>
  <c r="P11" i="3"/>
  <c r="P12" i="3"/>
  <c r="P13" i="3"/>
  <c r="P2" i="3"/>
  <c r="K2" i="3"/>
  <c r="Q177" i="2"/>
  <c r="R177" i="2" s="1"/>
  <c r="R2" i="4" s="1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Q178" i="2"/>
  <c r="R178" i="2" s="1"/>
  <c r="R2" i="5" s="1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Q179" i="2"/>
  <c r="R179" i="2" s="1"/>
  <c r="R2" i="6" s="1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Q180" i="2"/>
  <c r="R180" i="2" s="1"/>
  <c r="R2" i="12" s="1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Q176" i="2"/>
  <c r="R176" i="2" s="1"/>
  <c r="N171" i="2"/>
  <c r="N172" i="2"/>
  <c r="M46" i="9" l="1"/>
  <c r="M28" i="14"/>
  <c r="M20" i="11"/>
  <c r="M36" i="14"/>
  <c r="M4" i="11"/>
  <c r="M50" i="8"/>
  <c r="M31" i="9"/>
  <c r="M63" i="9"/>
  <c r="M30" i="11"/>
  <c r="M55" i="9"/>
  <c r="M46" i="8"/>
  <c r="M95" i="9"/>
  <c r="M22" i="9"/>
  <c r="M2" i="16"/>
  <c r="M29" i="15"/>
  <c r="M93" i="15"/>
  <c r="M50" i="13"/>
  <c r="M42" i="14"/>
  <c r="M74" i="14"/>
  <c r="M75" i="14"/>
  <c r="M35" i="16"/>
  <c r="M51" i="11"/>
  <c r="M58" i="11"/>
  <c r="M31" i="11"/>
  <c r="M86" i="10"/>
  <c r="M38" i="9"/>
  <c r="M54" i="13"/>
  <c r="M74" i="11"/>
  <c r="M13" i="11"/>
  <c r="M54" i="9"/>
  <c r="M38" i="8"/>
  <c r="M78" i="15"/>
  <c r="M20" i="15"/>
  <c r="M60" i="14"/>
  <c r="M3" i="16"/>
  <c r="M19" i="11"/>
  <c r="M76" i="11"/>
  <c r="M52" i="14"/>
  <c r="M23" i="13"/>
  <c r="M55" i="13"/>
  <c r="M45" i="14"/>
  <c r="M85" i="12"/>
  <c r="M76" i="12"/>
  <c r="M29" i="9"/>
  <c r="M52" i="9"/>
  <c r="M82" i="11"/>
  <c r="M92" i="9"/>
  <c r="M21" i="9"/>
  <c r="M71" i="15"/>
  <c r="M87" i="15"/>
  <c r="M14" i="14"/>
  <c r="M23" i="15"/>
  <c r="M20" i="12"/>
  <c r="M21" i="12"/>
  <c r="M93" i="12"/>
  <c r="M44" i="12"/>
  <c r="M86" i="11"/>
  <c r="M26" i="11"/>
  <c r="M29" i="10"/>
  <c r="M69" i="9"/>
  <c r="M86" i="15"/>
  <c r="M15" i="15"/>
  <c r="M84" i="13"/>
  <c r="M62" i="14"/>
  <c r="M15" i="13"/>
  <c r="M86" i="13"/>
  <c r="M28" i="12"/>
  <c r="M53" i="12"/>
  <c r="M13" i="12"/>
  <c r="M61" i="12"/>
  <c r="M69" i="12"/>
  <c r="M77" i="12"/>
  <c r="M3" i="11"/>
  <c r="M66" i="11"/>
  <c r="M42" i="11"/>
  <c r="M2" i="11"/>
  <c r="M37" i="10"/>
  <c r="M42" i="10"/>
  <c r="M20" i="10"/>
  <c r="M78" i="14"/>
  <c r="M77" i="13"/>
  <c r="M29" i="13"/>
  <c r="M22" i="14"/>
  <c r="M79" i="13"/>
  <c r="M6" i="13"/>
  <c r="M22" i="13"/>
  <c r="M36" i="9"/>
  <c r="M18" i="11"/>
  <c r="M20" i="9"/>
  <c r="M84" i="9"/>
  <c r="M91" i="11"/>
  <c r="M52" i="12"/>
  <c r="M90" i="11"/>
  <c r="M83" i="11"/>
  <c r="M45" i="10"/>
  <c r="M53" i="9"/>
  <c r="M44" i="9"/>
  <c r="M48" i="8"/>
  <c r="M36" i="10"/>
  <c r="M79" i="15"/>
  <c r="M38" i="14"/>
  <c r="M30" i="13"/>
  <c r="M71" i="14"/>
  <c r="M71" i="13"/>
  <c r="M7" i="13"/>
  <c r="M47" i="13"/>
  <c r="M29" i="12"/>
  <c r="M76" i="10"/>
  <c r="M12" i="9"/>
  <c r="M76" i="9"/>
  <c r="M92" i="10"/>
  <c r="M28" i="9"/>
  <c r="M5" i="9"/>
  <c r="M63" i="14"/>
  <c r="M69" i="13"/>
  <c r="M63" i="13"/>
  <c r="M53" i="14"/>
  <c r="M49" i="13"/>
  <c r="M4" i="13"/>
  <c r="M2" i="14"/>
  <c r="M94" i="10"/>
  <c r="M71" i="10"/>
  <c r="M8" i="8"/>
  <c r="M54" i="10"/>
  <c r="M38" i="10"/>
  <c r="M31" i="10"/>
  <c r="M28" i="10"/>
  <c r="M35" i="9"/>
  <c r="M39" i="10"/>
  <c r="M63" i="10"/>
  <c r="M88" i="9"/>
  <c r="M81" i="9"/>
  <c r="M30" i="10"/>
  <c r="M19" i="14"/>
  <c r="M55" i="10"/>
  <c r="M8" i="9"/>
  <c r="M12" i="10"/>
  <c r="M37" i="9"/>
  <c r="M68" i="9"/>
  <c r="M14" i="9"/>
  <c r="M47" i="9"/>
  <c r="M23" i="9"/>
  <c r="M90" i="16"/>
  <c r="M51" i="16"/>
  <c r="M92" i="14"/>
  <c r="M13" i="15"/>
  <c r="M39" i="14"/>
  <c r="M62" i="13"/>
  <c r="M21" i="15"/>
  <c r="M47" i="15"/>
  <c r="M70" i="13"/>
  <c r="M31" i="13"/>
  <c r="M7" i="14"/>
  <c r="M13" i="13"/>
  <c r="M68" i="13"/>
  <c r="M14" i="13"/>
  <c r="M55" i="15"/>
  <c r="M52" i="10"/>
  <c r="M5" i="10"/>
  <c r="M79" i="10"/>
  <c r="M44" i="10"/>
  <c r="M55" i="11"/>
  <c r="M3" i="10"/>
  <c r="M60" i="10"/>
  <c r="M69" i="10"/>
  <c r="M87" i="13"/>
  <c r="M94" i="14"/>
  <c r="M72" i="13"/>
  <c r="M46" i="15"/>
  <c r="M28" i="13"/>
  <c r="M93" i="13"/>
  <c r="M56" i="13"/>
  <c r="M84" i="15"/>
  <c r="M34" i="16"/>
  <c r="M8" i="13"/>
  <c r="M9" i="13"/>
  <c r="M75" i="10"/>
  <c r="M62" i="10"/>
  <c r="M2" i="10"/>
  <c r="M22" i="11"/>
  <c r="M63" i="15"/>
  <c r="M6" i="15"/>
  <c r="M70" i="9"/>
  <c r="M79" i="9"/>
  <c r="M87" i="9"/>
  <c r="M31" i="15"/>
  <c r="M64" i="13"/>
  <c r="M10" i="8"/>
  <c r="M43" i="8"/>
  <c r="M71" i="9"/>
  <c r="M94" i="9"/>
  <c r="M93" i="11"/>
  <c r="M71" i="11"/>
  <c r="M63" i="11"/>
  <c r="M78" i="11"/>
  <c r="M23" i="10"/>
  <c r="M70" i="10"/>
  <c r="M49" i="11"/>
  <c r="M59" i="10"/>
  <c r="M25" i="9"/>
  <c r="M78" i="9"/>
  <c r="M30" i="9"/>
  <c r="M66" i="9"/>
  <c r="M9" i="9"/>
  <c r="M95" i="15"/>
  <c r="M14" i="15"/>
  <c r="M96" i="14"/>
  <c r="M33" i="14"/>
  <c r="M90" i="13"/>
  <c r="M54" i="14"/>
  <c r="M83" i="13"/>
  <c r="M11" i="14"/>
  <c r="M75" i="13"/>
  <c r="M89" i="13"/>
  <c r="M43" i="13"/>
  <c r="M70" i="14"/>
  <c r="M81" i="15"/>
  <c r="M31" i="14"/>
  <c r="M34" i="14"/>
  <c r="M21" i="13"/>
  <c r="M52" i="13"/>
  <c r="M26" i="14"/>
  <c r="M54" i="15"/>
  <c r="M87" i="11"/>
  <c r="M40" i="11"/>
  <c r="M87" i="10"/>
  <c r="M6" i="10"/>
  <c r="M14" i="10"/>
  <c r="M95" i="10"/>
  <c r="M82" i="8"/>
  <c r="M90" i="10"/>
  <c r="M54" i="8"/>
  <c r="M46" i="10"/>
  <c r="V10" i="16"/>
  <c r="Z10" i="16" s="1"/>
  <c r="M39" i="15"/>
  <c r="M91" i="14"/>
  <c r="M90" i="14"/>
  <c r="M58" i="14"/>
  <c r="M46" i="14"/>
  <c r="M51" i="14"/>
  <c r="M80" i="13"/>
  <c r="M3" i="13"/>
  <c r="M76" i="13"/>
  <c r="M40" i="13"/>
  <c r="M88" i="13"/>
  <c r="M43" i="14"/>
  <c r="M36" i="13"/>
  <c r="M20" i="13"/>
  <c r="M33" i="13"/>
  <c r="M60" i="13"/>
  <c r="M87" i="14"/>
  <c r="M94" i="15"/>
  <c r="M62" i="15"/>
  <c r="M57" i="14"/>
  <c r="M56" i="14"/>
  <c r="M73" i="14"/>
  <c r="M49" i="14"/>
  <c r="V12" i="16"/>
  <c r="Z12" i="16" s="1"/>
  <c r="M25" i="14"/>
  <c r="M32" i="14"/>
  <c r="M17" i="14"/>
  <c r="M41" i="15"/>
  <c r="M65" i="14"/>
  <c r="M48" i="14"/>
  <c r="M9" i="14"/>
  <c r="M56" i="15"/>
  <c r="M88" i="14"/>
  <c r="M24" i="14"/>
  <c r="M37" i="14"/>
  <c r="M69" i="15"/>
  <c r="M76" i="14"/>
  <c r="M21" i="14"/>
  <c r="M92" i="13"/>
  <c r="M61" i="13"/>
  <c r="M12" i="13"/>
  <c r="M84" i="14"/>
  <c r="M53" i="13"/>
  <c r="M92" i="15"/>
  <c r="M44" i="15"/>
  <c r="M37" i="15"/>
  <c r="M20" i="14"/>
  <c r="M77" i="14"/>
  <c r="M52" i="15"/>
  <c r="M25" i="8"/>
  <c r="M56" i="8"/>
  <c r="M40" i="10"/>
  <c r="M72" i="10"/>
  <c r="M64" i="8"/>
  <c r="M49" i="8"/>
  <c r="M88" i="10"/>
  <c r="M73" i="8"/>
  <c r="M81" i="11"/>
  <c r="M89" i="11"/>
  <c r="M64" i="10"/>
  <c r="M89" i="9"/>
  <c r="M17" i="9"/>
  <c r="M96" i="9"/>
  <c r="M73" i="9"/>
  <c r="M81" i="8"/>
  <c r="M72" i="11"/>
  <c r="M25" i="11"/>
  <c r="M56" i="11"/>
  <c r="M33" i="11"/>
  <c r="M81" i="10"/>
  <c r="M8" i="10"/>
  <c r="M80" i="9"/>
  <c r="M24" i="9"/>
  <c r="M40" i="8"/>
  <c r="M9" i="8"/>
  <c r="M72" i="8"/>
  <c r="M57" i="9"/>
  <c r="M41" i="8"/>
  <c r="M73" i="11"/>
  <c r="M97" i="11"/>
  <c r="M8" i="11"/>
  <c r="M24" i="11"/>
  <c r="M56" i="9"/>
  <c r="M9" i="10"/>
  <c r="M41" i="9"/>
  <c r="M88" i="8"/>
  <c r="M24" i="8"/>
  <c r="M16" i="10"/>
  <c r="M9" i="11"/>
  <c r="M17" i="11"/>
  <c r="M41" i="11"/>
  <c r="M11" i="9"/>
  <c r="M67" i="9"/>
  <c r="M18" i="8"/>
  <c r="M66" i="10"/>
  <c r="M34" i="8"/>
  <c r="M2" i="8"/>
  <c r="M34" i="9"/>
  <c r="M11" i="10"/>
  <c r="M91" i="10"/>
  <c r="M41" i="14"/>
  <c r="M23" i="14"/>
  <c r="M74" i="13"/>
  <c r="M68" i="11"/>
  <c r="M62" i="11"/>
  <c r="M23" i="11"/>
  <c r="M7" i="10"/>
  <c r="M18" i="9"/>
  <c r="M21" i="10"/>
  <c r="M78" i="10"/>
  <c r="M53" i="11"/>
  <c r="M89" i="10"/>
  <c r="M68" i="10"/>
  <c r="M91" i="9"/>
  <c r="M72" i="9"/>
  <c r="M10" i="9"/>
  <c r="M51" i="9"/>
  <c r="M34" i="10"/>
  <c r="M85" i="9"/>
  <c r="M33" i="10"/>
  <c r="M42" i="8"/>
  <c r="M48" i="10"/>
  <c r="M94" i="11"/>
  <c r="M85" i="11"/>
  <c r="M95" i="11"/>
  <c r="M53" i="10"/>
  <c r="M96" i="10"/>
  <c r="M19" i="10"/>
  <c r="M51" i="10"/>
  <c r="M27" i="10"/>
  <c r="M93" i="10"/>
  <c r="M32" i="9"/>
  <c r="M83" i="9"/>
  <c r="M80" i="8"/>
  <c r="M74" i="8"/>
  <c r="M40" i="9"/>
  <c r="M69" i="11"/>
  <c r="M6" i="8"/>
  <c r="M47" i="8"/>
  <c r="M78" i="8"/>
  <c r="M39" i="8"/>
  <c r="M3" i="9"/>
  <c r="M41" i="10"/>
  <c r="M71" i="8"/>
  <c r="M97" i="10"/>
  <c r="M94" i="8"/>
  <c r="M42" i="9"/>
  <c r="M79" i="8"/>
  <c r="M80" i="11"/>
  <c r="M22" i="8"/>
  <c r="M45" i="11"/>
  <c r="M38" i="11"/>
  <c r="M43" i="10"/>
  <c r="M12" i="11"/>
  <c r="M21" i="11"/>
  <c r="M14" i="8"/>
  <c r="M87" i="8"/>
  <c r="M35" i="8"/>
  <c r="M2" i="9"/>
  <c r="M27" i="9"/>
  <c r="M6" i="9"/>
  <c r="M36" i="11"/>
  <c r="M23" i="8"/>
  <c r="M95" i="8"/>
  <c r="M39" i="11"/>
  <c r="M48" i="11"/>
  <c r="M29" i="11"/>
  <c r="M64" i="9"/>
  <c r="M50" i="9"/>
  <c r="M19" i="9"/>
  <c r="M26" i="8"/>
  <c r="M86" i="9"/>
  <c r="M32" i="10"/>
  <c r="M90" i="9"/>
  <c r="M7" i="9"/>
  <c r="M45" i="9"/>
  <c r="M24" i="10"/>
  <c r="M28" i="11"/>
  <c r="M37" i="12"/>
  <c r="M62" i="8"/>
  <c r="S13" i="16"/>
  <c r="W13" i="16" s="1"/>
  <c r="V11" i="16"/>
  <c r="Z11" i="16" s="1"/>
  <c r="U11" i="16"/>
  <c r="Y11" i="16" s="1"/>
  <c r="U12" i="16"/>
  <c r="Y12" i="16" s="1"/>
  <c r="M30" i="16"/>
  <c r="M62" i="16"/>
  <c r="M6" i="14"/>
  <c r="M79" i="14"/>
  <c r="M46" i="13"/>
  <c r="T11" i="16"/>
  <c r="X11" i="16" s="1"/>
  <c r="M16" i="16"/>
  <c r="M92" i="16"/>
  <c r="T13" i="16" s="1"/>
  <c r="X13" i="16" s="1"/>
  <c r="M5" i="16"/>
  <c r="M12" i="16"/>
  <c r="M24" i="16"/>
  <c r="M28" i="16"/>
  <c r="M96" i="16"/>
  <c r="M11" i="16"/>
  <c r="M18" i="16"/>
  <c r="M82" i="16"/>
  <c r="S12" i="16" s="1"/>
  <c r="W12" i="16" s="1"/>
  <c r="M61" i="15"/>
  <c r="M9" i="15"/>
  <c r="M27" i="15"/>
  <c r="M17" i="15"/>
  <c r="M32" i="15"/>
  <c r="M91" i="15"/>
  <c r="M35" i="15"/>
  <c r="M40" i="15"/>
  <c r="M12" i="15"/>
  <c r="M8" i="15"/>
  <c r="M85" i="15"/>
  <c r="M24" i="15"/>
  <c r="M68" i="14"/>
  <c r="M81" i="14"/>
  <c r="M3" i="14"/>
  <c r="M97" i="14"/>
  <c r="M89" i="14"/>
  <c r="M29" i="14"/>
  <c r="M66" i="14"/>
  <c r="M18" i="14"/>
  <c r="M67" i="14"/>
  <c r="M27" i="14"/>
  <c r="M5" i="13"/>
  <c r="M2" i="13"/>
  <c r="M58" i="13"/>
  <c r="M97" i="13"/>
  <c r="M57" i="13"/>
  <c r="M91" i="13"/>
  <c r="S10" i="16"/>
  <c r="W10" i="16" s="1"/>
  <c r="U10" i="16"/>
  <c r="Y10" i="16" s="1"/>
  <c r="S11" i="16"/>
  <c r="W11" i="16" s="1"/>
  <c r="M6" i="16"/>
  <c r="M4" i="15"/>
  <c r="M27" i="13"/>
  <c r="M44" i="13"/>
  <c r="T10" i="16"/>
  <c r="X10" i="16" s="1"/>
  <c r="T12" i="16"/>
  <c r="X12" i="16" s="1"/>
  <c r="M5" i="15"/>
  <c r="M59" i="13"/>
  <c r="M34" i="13"/>
  <c r="U13" i="16"/>
  <c r="Y13" i="16" s="1"/>
  <c r="M96" i="13"/>
  <c r="M72" i="14"/>
  <c r="M45" i="12"/>
  <c r="M59" i="11"/>
  <c r="M46" i="11"/>
  <c r="M43" i="11"/>
  <c r="M57" i="8"/>
  <c r="M61" i="10"/>
  <c r="M3" i="8"/>
  <c r="M11" i="11"/>
  <c r="M58" i="10"/>
  <c r="M16" i="9"/>
  <c r="M49" i="10"/>
  <c r="M49" i="9"/>
  <c r="M74" i="9"/>
  <c r="M47" i="11"/>
  <c r="M15" i="10"/>
  <c r="R2" i="7"/>
  <c r="R3" i="7" s="1"/>
  <c r="R4" i="7" s="1"/>
  <c r="R5" i="7" s="1"/>
  <c r="R6" i="7" s="1"/>
  <c r="R7" i="7" s="1"/>
  <c r="R8" i="7" s="1"/>
  <c r="R9" i="7" s="1"/>
  <c r="R10" i="7" s="1"/>
  <c r="R11" i="7" s="1"/>
  <c r="R12" i="7" s="1"/>
  <c r="R13" i="7" s="1"/>
  <c r="M65" i="10"/>
  <c r="M89" i="8"/>
  <c r="M52" i="11"/>
  <c r="M96" i="11"/>
  <c r="M88" i="11"/>
  <c r="M86" i="8"/>
  <c r="P184" i="2"/>
  <c r="M30" i="8"/>
  <c r="M55" i="8"/>
  <c r="M47" i="10"/>
  <c r="M4" i="10"/>
  <c r="O2" i="7"/>
  <c r="M66" i="7" s="1"/>
  <c r="O2" i="6"/>
  <c r="M35" i="6" s="1"/>
  <c r="O2" i="5"/>
  <c r="M3" i="5" s="1"/>
  <c r="M6" i="12"/>
  <c r="M47" i="12"/>
  <c r="M71" i="12"/>
  <c r="M14" i="11"/>
  <c r="M70" i="11"/>
  <c r="M15" i="8"/>
  <c r="M70" i="8"/>
  <c r="M88" i="12"/>
  <c r="M82" i="12"/>
  <c r="M84" i="12"/>
  <c r="M5" i="12"/>
  <c r="M17" i="12"/>
  <c r="M60" i="12"/>
  <c r="M96" i="12"/>
  <c r="M4" i="12"/>
  <c r="M84" i="11"/>
  <c r="M67" i="11"/>
  <c r="M61" i="11"/>
  <c r="M27" i="11"/>
  <c r="M35" i="11"/>
  <c r="M16" i="11"/>
  <c r="M92" i="11"/>
  <c r="M10" i="11"/>
  <c r="M67" i="10"/>
  <c r="M83" i="10"/>
  <c r="M18" i="10"/>
  <c r="M80" i="10"/>
  <c r="M10" i="10"/>
  <c r="M73" i="10"/>
  <c r="M82" i="10"/>
  <c r="M13" i="10"/>
  <c r="M17" i="10"/>
  <c r="M85" i="10"/>
  <c r="M74" i="10"/>
  <c r="M35" i="10"/>
  <c r="M84" i="10"/>
  <c r="M58" i="9"/>
  <c r="M75" i="9"/>
  <c r="M61" i="9"/>
  <c r="M43" i="9"/>
  <c r="M60" i="9"/>
  <c r="M93" i="9"/>
  <c r="M82" i="9"/>
  <c r="M13" i="9"/>
  <c r="M26" i="9"/>
  <c r="M33" i="9"/>
  <c r="M77" i="9"/>
  <c r="M96" i="8"/>
  <c r="M83" i="8"/>
  <c r="M91" i="8"/>
  <c r="M67" i="8"/>
  <c r="M58" i="8"/>
  <c r="M32" i="8"/>
  <c r="M59" i="8"/>
  <c r="M92" i="8"/>
  <c r="M19" i="8"/>
  <c r="M97" i="8"/>
  <c r="M27" i="8"/>
  <c r="M65" i="8"/>
  <c r="M4" i="8"/>
  <c r="M75" i="8"/>
  <c r="M90" i="8"/>
  <c r="M51" i="8"/>
  <c r="M17" i="8"/>
  <c r="M5" i="8"/>
  <c r="M33" i="8"/>
  <c r="M57" i="10"/>
  <c r="M97" i="9"/>
  <c r="M11" i="8"/>
  <c r="M65" i="9"/>
  <c r="M25" i="10"/>
  <c r="M7" i="8"/>
  <c r="M34" i="11"/>
  <c r="M62" i="9"/>
  <c r="L78" i="7"/>
  <c r="K62" i="7"/>
  <c r="K30" i="7"/>
  <c r="L62" i="7"/>
  <c r="K94" i="7"/>
  <c r="K23" i="7"/>
  <c r="L30" i="7"/>
  <c r="K87" i="7"/>
  <c r="L94" i="7"/>
  <c r="L23" i="7"/>
  <c r="L87" i="7"/>
  <c r="K19" i="7"/>
  <c r="K35" i="7"/>
  <c r="K3" i="7"/>
  <c r="K20" i="7"/>
  <c r="K25" i="7"/>
  <c r="L29" i="7"/>
  <c r="K84" i="7"/>
  <c r="K89" i="7"/>
  <c r="L93" i="7"/>
  <c r="L20" i="7"/>
  <c r="L25" i="7"/>
  <c r="L43" i="7"/>
  <c r="L59" i="7"/>
  <c r="L75" i="7"/>
  <c r="L84" i="7"/>
  <c r="L89" i="7"/>
  <c r="L26" i="7"/>
  <c r="K51" i="7"/>
  <c r="K66" i="7"/>
  <c r="L76" i="7"/>
  <c r="L90" i="7"/>
  <c r="K83" i="7"/>
  <c r="L51" i="7"/>
  <c r="L81" i="7"/>
  <c r="L40" i="7"/>
  <c r="L3" i="7"/>
  <c r="K4" i="7"/>
  <c r="K15" i="7"/>
  <c r="K17" i="7"/>
  <c r="K27" i="7"/>
  <c r="K32" i="7"/>
  <c r="K34" i="7"/>
  <c r="K37" i="7"/>
  <c r="K44" i="7"/>
  <c r="K47" i="7"/>
  <c r="K49" i="7"/>
  <c r="K59" i="7"/>
  <c r="K64" i="7"/>
  <c r="K69" i="7"/>
  <c r="K76" i="7"/>
  <c r="K79" i="7"/>
  <c r="K81" i="7"/>
  <c r="K91" i="7"/>
  <c r="K96" i="7"/>
  <c r="L15" i="7"/>
  <c r="L17" i="7"/>
  <c r="L32" i="7"/>
  <c r="L34" i="7"/>
  <c r="L37" i="7"/>
  <c r="L44" i="7"/>
  <c r="L47" i="7"/>
  <c r="L49" i="7"/>
  <c r="L64" i="7"/>
  <c r="L66" i="7"/>
  <c r="L69" i="7"/>
  <c r="L96" i="7"/>
  <c r="L35" i="7"/>
  <c r="L72" i="7"/>
  <c r="K12" i="7"/>
  <c r="K24" i="7"/>
  <c r="K26" i="7"/>
  <c r="K29" i="7"/>
  <c r="K36" i="7"/>
  <c r="K39" i="7"/>
  <c r="K56" i="7"/>
  <c r="K58" i="7"/>
  <c r="K61" i="7"/>
  <c r="K88" i="7"/>
  <c r="K90" i="7"/>
  <c r="K93" i="7"/>
  <c r="K5" i="7"/>
  <c r="K9" i="7"/>
  <c r="K11" i="7"/>
  <c r="L12" i="7"/>
  <c r="K13" i="7"/>
  <c r="L24" i="7"/>
  <c r="L36" i="7"/>
  <c r="L39" i="7"/>
  <c r="L56" i="7"/>
  <c r="L68" i="7"/>
  <c r="L71" i="7"/>
  <c r="L73" i="7"/>
  <c r="L88" i="7"/>
  <c r="K2" i="7"/>
  <c r="L5" i="7"/>
  <c r="K6" i="7"/>
  <c r="L9" i="7"/>
  <c r="L11" i="7"/>
  <c r="L13" i="7"/>
  <c r="K18" i="7"/>
  <c r="K28" i="7"/>
  <c r="K43" i="7"/>
  <c r="K50" i="7"/>
  <c r="K60" i="7"/>
  <c r="K75" i="7"/>
  <c r="K82" i="7"/>
  <c r="K92" i="7"/>
  <c r="L18" i="7"/>
  <c r="L28" i="7"/>
  <c r="L50" i="7"/>
  <c r="L60" i="7"/>
  <c r="L82" i="7"/>
  <c r="L92" i="7"/>
  <c r="K47" i="6"/>
  <c r="L54" i="6"/>
  <c r="L78" i="6"/>
  <c r="K15" i="6"/>
  <c r="L22" i="6"/>
  <c r="L7" i="6"/>
  <c r="K79" i="6"/>
  <c r="K66" i="6"/>
  <c r="K69" i="6"/>
  <c r="L4" i="6"/>
  <c r="K44" i="6"/>
  <c r="K3" i="6"/>
  <c r="K67" i="6"/>
  <c r="K72" i="6"/>
  <c r="K49" i="6"/>
  <c r="L67" i="6"/>
  <c r="K74" i="6"/>
  <c r="K81" i="6"/>
  <c r="K4" i="6"/>
  <c r="K40" i="6"/>
  <c r="L49" i="6"/>
  <c r="K68" i="6"/>
  <c r="L74" i="6"/>
  <c r="K77" i="6"/>
  <c r="L81" i="6"/>
  <c r="L27" i="6"/>
  <c r="K42" i="6"/>
  <c r="K45" i="6"/>
  <c r="L77" i="6"/>
  <c r="K20" i="6"/>
  <c r="K23" i="6"/>
  <c r="K25" i="6"/>
  <c r="K30" i="6"/>
  <c r="K52" i="6"/>
  <c r="K55" i="6"/>
  <c r="K57" i="6"/>
  <c r="K62" i="6"/>
  <c r="K84" i="6"/>
  <c r="K87" i="6"/>
  <c r="K89" i="6"/>
  <c r="K94" i="6"/>
  <c r="L30" i="6"/>
  <c r="L40" i="6"/>
  <c r="L62" i="6"/>
  <c r="L72" i="6"/>
  <c r="L94" i="6"/>
  <c r="L3" i="6"/>
  <c r="K17" i="6"/>
  <c r="K27" i="6"/>
  <c r="K32" i="6"/>
  <c r="K59" i="6"/>
  <c r="K64" i="6"/>
  <c r="K91" i="6"/>
  <c r="K96" i="6"/>
  <c r="L17" i="6"/>
  <c r="L32" i="6"/>
  <c r="L34" i="6"/>
  <c r="L37" i="6"/>
  <c r="L64" i="6"/>
  <c r="L66" i="6"/>
  <c r="L69" i="6"/>
  <c r="L96" i="6"/>
  <c r="K10" i="6"/>
  <c r="K12" i="6"/>
  <c r="K19" i="6"/>
  <c r="K24" i="6"/>
  <c r="K26" i="6"/>
  <c r="K29" i="6"/>
  <c r="K36" i="6"/>
  <c r="K39" i="6"/>
  <c r="K51" i="6"/>
  <c r="K56" i="6"/>
  <c r="K58" i="6"/>
  <c r="K61" i="6"/>
  <c r="K71" i="6"/>
  <c r="K83" i="6"/>
  <c r="K88" i="6"/>
  <c r="K90" i="6"/>
  <c r="K93" i="6"/>
  <c r="K5" i="6"/>
  <c r="K9" i="6"/>
  <c r="L10" i="6"/>
  <c r="K11" i="6"/>
  <c r="L12" i="6"/>
  <c r="K13" i="6"/>
  <c r="L24" i="6"/>
  <c r="L26" i="6"/>
  <c r="L29" i="6"/>
  <c r="L36" i="6"/>
  <c r="L39" i="6"/>
  <c r="L56" i="6"/>
  <c r="L58" i="6"/>
  <c r="L61" i="6"/>
  <c r="L68" i="6"/>
  <c r="L71" i="6"/>
  <c r="L88" i="6"/>
  <c r="L90" i="6"/>
  <c r="L93" i="6"/>
  <c r="K2" i="6"/>
  <c r="L5" i="6"/>
  <c r="K6" i="6"/>
  <c r="L9" i="6"/>
  <c r="L11" i="6"/>
  <c r="L13" i="6"/>
  <c r="K18" i="6"/>
  <c r="K28" i="6"/>
  <c r="K43" i="6"/>
  <c r="K50" i="6"/>
  <c r="K60" i="6"/>
  <c r="K75" i="6"/>
  <c r="K82" i="6"/>
  <c r="K92" i="6"/>
  <c r="L2" i="6"/>
  <c r="L18" i="6"/>
  <c r="L28" i="6"/>
  <c r="L43" i="6"/>
  <c r="L50" i="6"/>
  <c r="L60" i="6"/>
  <c r="L82" i="6"/>
  <c r="L92" i="6"/>
  <c r="K55" i="5"/>
  <c r="K94" i="5"/>
  <c r="L7" i="5"/>
  <c r="L47" i="5"/>
  <c r="L94" i="5"/>
  <c r="K30" i="5"/>
  <c r="K71" i="5"/>
  <c r="K20" i="5"/>
  <c r="K35" i="5"/>
  <c r="L20" i="5"/>
  <c r="K36" i="5"/>
  <c r="K41" i="5"/>
  <c r="L57" i="5"/>
  <c r="L74" i="5"/>
  <c r="L77" i="5"/>
  <c r="L81" i="5"/>
  <c r="K25" i="5"/>
  <c r="K42" i="5"/>
  <c r="K49" i="5"/>
  <c r="K40" i="5"/>
  <c r="L25" i="5"/>
  <c r="L42" i="5"/>
  <c r="K45" i="5"/>
  <c r="L49" i="5"/>
  <c r="K84" i="5"/>
  <c r="K37" i="5"/>
  <c r="L45" i="5"/>
  <c r="K76" i="5"/>
  <c r="L84" i="5"/>
  <c r="K10" i="5"/>
  <c r="K17" i="5"/>
  <c r="L76" i="5"/>
  <c r="K89" i="5"/>
  <c r="K7" i="5"/>
  <c r="K6" i="5"/>
  <c r="K33" i="5"/>
  <c r="K28" i="5"/>
  <c r="K29" i="5"/>
  <c r="K26" i="5"/>
  <c r="K32" i="5"/>
  <c r="K27" i="5"/>
  <c r="L40" i="5"/>
  <c r="L35" i="5"/>
  <c r="L41" i="5"/>
  <c r="L36" i="5"/>
  <c r="L37" i="5"/>
  <c r="L34" i="5"/>
  <c r="L67" i="5"/>
  <c r="L72" i="5"/>
  <c r="L15" i="5"/>
  <c r="L17" i="5"/>
  <c r="L27" i="5"/>
  <c r="L32" i="5"/>
  <c r="L59" i="5"/>
  <c r="L64" i="5"/>
  <c r="L66" i="5"/>
  <c r="L69" i="5"/>
  <c r="L91" i="5"/>
  <c r="L96" i="5"/>
  <c r="K96" i="5"/>
  <c r="K12" i="5"/>
  <c r="K19" i="5"/>
  <c r="K24" i="5"/>
  <c r="K51" i="5"/>
  <c r="K56" i="5"/>
  <c r="K58" i="5"/>
  <c r="K61" i="5"/>
  <c r="K83" i="5"/>
  <c r="K88" i="5"/>
  <c r="K90" i="5"/>
  <c r="K93" i="5"/>
  <c r="K64" i="5"/>
  <c r="K5" i="5"/>
  <c r="K9" i="5"/>
  <c r="L10" i="5"/>
  <c r="K11" i="5"/>
  <c r="L12" i="5"/>
  <c r="K13" i="5"/>
  <c r="L19" i="5"/>
  <c r="L24" i="5"/>
  <c r="L26" i="5"/>
  <c r="L29" i="5"/>
  <c r="L39" i="5"/>
  <c r="L51" i="5"/>
  <c r="L56" i="5"/>
  <c r="L58" i="5"/>
  <c r="L61" i="5"/>
  <c r="L68" i="5"/>
  <c r="L71" i="5"/>
  <c r="L83" i="5"/>
  <c r="L88" i="5"/>
  <c r="L90" i="5"/>
  <c r="L93" i="5"/>
  <c r="K59" i="5"/>
  <c r="K2" i="5"/>
  <c r="L5" i="5"/>
  <c r="L9" i="5"/>
  <c r="L11" i="5"/>
  <c r="L13" i="5"/>
  <c r="K18" i="5"/>
  <c r="K43" i="5"/>
  <c r="K50" i="5"/>
  <c r="K60" i="5"/>
  <c r="K75" i="5"/>
  <c r="K82" i="5"/>
  <c r="K92" i="5"/>
  <c r="K97" i="5"/>
  <c r="L18" i="5"/>
  <c r="L28" i="5"/>
  <c r="L50" i="5"/>
  <c r="L60" i="5"/>
  <c r="L75" i="5"/>
  <c r="L82" i="5"/>
  <c r="L92" i="5"/>
  <c r="K22" i="4"/>
  <c r="K62" i="4"/>
  <c r="L78" i="4"/>
  <c r="K94" i="4"/>
  <c r="L55" i="4"/>
  <c r="L94" i="4"/>
  <c r="L7" i="4"/>
  <c r="K87" i="4"/>
  <c r="L89" i="4"/>
  <c r="L28" i="4"/>
  <c r="L58" i="4"/>
  <c r="K16" i="4"/>
  <c r="L33" i="4"/>
  <c r="L11" i="4"/>
  <c r="L16" i="4"/>
  <c r="K11" i="4"/>
  <c r="M11" i="4" s="1"/>
  <c r="L5" i="4"/>
  <c r="L29" i="4"/>
  <c r="L4" i="4"/>
  <c r="L10" i="4"/>
  <c r="M10" i="4" s="1"/>
  <c r="L13" i="4"/>
  <c r="K18" i="4"/>
  <c r="L25" i="4"/>
  <c r="K35" i="4"/>
  <c r="K41" i="4"/>
  <c r="K45" i="4"/>
  <c r="K52" i="4"/>
  <c r="L3" i="4"/>
  <c r="M3" i="4" s="1"/>
  <c r="K10" i="4"/>
  <c r="K13" i="4"/>
  <c r="L2" i="4"/>
  <c r="K3" i="4"/>
  <c r="K12" i="4"/>
  <c r="L26" i="4"/>
  <c r="K36" i="4"/>
  <c r="K42" i="4"/>
  <c r="M42" i="4" s="1"/>
  <c r="L45" i="4"/>
  <c r="L52" i="4"/>
  <c r="K56" i="4"/>
  <c r="L61" i="4"/>
  <c r="K72" i="4"/>
  <c r="K83" i="4"/>
  <c r="M83" i="4" s="1"/>
  <c r="K57" i="4"/>
  <c r="K84" i="4"/>
  <c r="K89" i="4"/>
  <c r="L40" i="4"/>
  <c r="L67" i="4"/>
  <c r="K4" i="4"/>
  <c r="K15" i="4"/>
  <c r="K27" i="4"/>
  <c r="M27" i="4" s="1"/>
  <c r="K32" i="4"/>
  <c r="K34" i="4"/>
  <c r="K44" i="4"/>
  <c r="K47" i="4"/>
  <c r="K49" i="4"/>
  <c r="K59" i="4"/>
  <c r="K64" i="4"/>
  <c r="K66" i="4"/>
  <c r="M67" i="4"/>
  <c r="M74" i="4"/>
  <c r="K76" i="4"/>
  <c r="K79" i="4"/>
  <c r="K81" i="4"/>
  <c r="K91" i="4"/>
  <c r="K96" i="4"/>
  <c r="L72" i="4"/>
  <c r="L15" i="4"/>
  <c r="L27" i="4"/>
  <c r="L34" i="4"/>
  <c r="L37" i="4"/>
  <c r="L44" i="4"/>
  <c r="L47" i="4"/>
  <c r="L49" i="4"/>
  <c r="L59" i="4"/>
  <c r="L64" i="4"/>
  <c r="L66" i="4"/>
  <c r="M66" i="4" s="1"/>
  <c r="L69" i="4"/>
  <c r="L76" i="4"/>
  <c r="L81" i="4"/>
  <c r="L91" i="4"/>
  <c r="L96" i="4"/>
  <c r="K26" i="4"/>
  <c r="M26" i="4" s="1"/>
  <c r="K29" i="4"/>
  <c r="K58" i="4"/>
  <c r="M58" i="4" s="1"/>
  <c r="M59" i="4"/>
  <c r="K61" i="4"/>
  <c r="K88" i="4"/>
  <c r="K90" i="4"/>
  <c r="K93" i="4"/>
  <c r="L35" i="4"/>
  <c r="M35" i="4" s="1"/>
  <c r="K5" i="4"/>
  <c r="K9" i="4"/>
  <c r="L19" i="4"/>
  <c r="L24" i="4"/>
  <c r="L36" i="4"/>
  <c r="L39" i="4"/>
  <c r="L51" i="4"/>
  <c r="M51" i="4" s="1"/>
  <c r="L56" i="4"/>
  <c r="L68" i="4"/>
  <c r="L71" i="4"/>
  <c r="L83" i="4"/>
  <c r="L88" i="4"/>
  <c r="L90" i="4"/>
  <c r="L93" i="4"/>
  <c r="K2" i="4"/>
  <c r="M2" i="4" s="1"/>
  <c r="K6" i="4"/>
  <c r="L9" i="4"/>
  <c r="M19" i="4"/>
  <c r="K28" i="4"/>
  <c r="K43" i="4"/>
  <c r="M43" i="4" s="1"/>
  <c r="K60" i="4"/>
  <c r="K75" i="4"/>
  <c r="M75" i="4" s="1"/>
  <c r="K82" i="4"/>
  <c r="K92" i="4"/>
  <c r="L18" i="4"/>
  <c r="M18" i="4" s="1"/>
  <c r="L50" i="4"/>
  <c r="M50" i="4" s="1"/>
  <c r="L60" i="4"/>
  <c r="L82" i="4"/>
  <c r="L92" i="4"/>
  <c r="R2" i="3"/>
  <c r="O2" i="3"/>
  <c r="M2" i="3" s="1"/>
  <c r="H189" i="2"/>
  <c r="H188" i="2"/>
  <c r="H187" i="2"/>
  <c r="H186" i="2"/>
  <c r="H180" i="2"/>
  <c r="H181" i="2"/>
  <c r="H182" i="2"/>
  <c r="H179" i="2"/>
  <c r="M19" i="6" l="1"/>
  <c r="M74" i="7"/>
  <c r="V13" i="16"/>
  <c r="Z13" i="16" s="1"/>
  <c r="M43" i="7"/>
  <c r="M74" i="5"/>
  <c r="M42" i="7"/>
  <c r="M3" i="7"/>
  <c r="M2" i="5"/>
  <c r="M67" i="5"/>
  <c r="M43" i="5"/>
  <c r="M18" i="5"/>
  <c r="M91" i="7"/>
  <c r="M10" i="5"/>
  <c r="M83" i="5"/>
  <c r="M67" i="6"/>
  <c r="M58" i="7"/>
  <c r="M10" i="7"/>
  <c r="M35" i="7"/>
  <c r="M19" i="7"/>
  <c r="M2" i="7"/>
  <c r="M90" i="7"/>
  <c r="M26" i="7"/>
  <c r="M67" i="7"/>
  <c r="M34" i="7"/>
  <c r="M26" i="5"/>
  <c r="M91" i="5"/>
  <c r="M42" i="5"/>
  <c r="M51" i="7"/>
  <c r="M34" i="5"/>
  <c r="M27" i="7"/>
  <c r="M83" i="7"/>
  <c r="O5" i="5"/>
  <c r="M24" i="5" s="1"/>
  <c r="O5" i="6"/>
  <c r="M64" i="6" s="1"/>
  <c r="O5" i="4"/>
  <c r="M57" i="4" s="1"/>
  <c r="O5" i="7"/>
  <c r="M72" i="7" s="1"/>
  <c r="O4" i="6"/>
  <c r="M55" i="6" s="1"/>
  <c r="O4" i="4"/>
  <c r="M78" i="4" s="1"/>
  <c r="O4" i="7"/>
  <c r="M15" i="7" s="1"/>
  <c r="O4" i="5"/>
  <c r="M6" i="5" s="1"/>
  <c r="M89" i="5"/>
  <c r="O3" i="7"/>
  <c r="M12" i="7" s="1"/>
  <c r="O3" i="6"/>
  <c r="M20" i="6" s="1"/>
  <c r="O3" i="5"/>
  <c r="M5" i="5" s="1"/>
  <c r="O3" i="4"/>
  <c r="M52" i="4" s="1"/>
  <c r="P185" i="2"/>
  <c r="Q185" i="2" s="1"/>
  <c r="R185" i="2" s="1"/>
  <c r="Q184" i="2"/>
  <c r="R184" i="2" s="1"/>
  <c r="R2" i="11" s="1"/>
  <c r="M83" i="6"/>
  <c r="M75" i="6"/>
  <c r="M59" i="6"/>
  <c r="M34" i="6"/>
  <c r="M42" i="6"/>
  <c r="M91" i="6"/>
  <c r="M74" i="6"/>
  <c r="M27" i="6"/>
  <c r="M51" i="6"/>
  <c r="M66" i="5"/>
  <c r="M18" i="7"/>
  <c r="M88" i="7"/>
  <c r="M75" i="7"/>
  <c r="M11" i="7"/>
  <c r="M81" i="7"/>
  <c r="M89" i="7"/>
  <c r="M18" i="6"/>
  <c r="M66" i="6"/>
  <c r="M77" i="6"/>
  <c r="M10" i="6"/>
  <c r="M82" i="6"/>
  <c r="M43" i="6"/>
  <c r="M11" i="5"/>
  <c r="M19" i="5"/>
  <c r="M35" i="5"/>
  <c r="M27" i="5"/>
  <c r="M44" i="7"/>
  <c r="M28" i="7"/>
  <c r="M9" i="7"/>
  <c r="M59" i="7"/>
  <c r="M29" i="7"/>
  <c r="M37" i="7"/>
  <c r="M82" i="7"/>
  <c r="M50" i="7"/>
  <c r="M11" i="6"/>
  <c r="M24" i="6"/>
  <c r="M50" i="6"/>
  <c r="M26" i="6"/>
  <c r="M58" i="6"/>
  <c r="M90" i="6"/>
  <c r="M3" i="6"/>
  <c r="M2" i="6"/>
  <c r="M71" i="5"/>
  <c r="M64" i="5"/>
  <c r="M45" i="5"/>
  <c r="M59" i="5"/>
  <c r="M36" i="5"/>
  <c r="M51" i="5"/>
  <c r="M9" i="5"/>
  <c r="M90" i="5"/>
  <c r="M58" i="5"/>
  <c r="M50" i="5"/>
  <c r="M12" i="5"/>
  <c r="M41" i="5"/>
  <c r="M82" i="5"/>
  <c r="M75" i="5"/>
  <c r="M96" i="4"/>
  <c r="M90" i="4"/>
  <c r="M29" i="4"/>
  <c r="M91" i="4"/>
  <c r="M34" i="4"/>
  <c r="M82" i="4"/>
  <c r="S186" i="2"/>
  <c r="AG186" i="2" s="1"/>
  <c r="AH186" i="2" s="1"/>
  <c r="S181" i="2"/>
  <c r="AG181" i="2" s="1"/>
  <c r="AH181" i="2" s="1"/>
  <c r="S176" i="2"/>
  <c r="AG176" i="2" s="1"/>
  <c r="AH176" i="2" s="1"/>
  <c r="R1" i="2"/>
  <c r="S1" i="2"/>
  <c r="T1" i="2"/>
  <c r="Q1" i="2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N2" i="3"/>
  <c r="N3" i="3"/>
  <c r="O3" i="3"/>
  <c r="N4" i="3"/>
  <c r="O4" i="3"/>
  <c r="N5" i="3"/>
  <c r="O5" i="3"/>
  <c r="O1" i="3"/>
  <c r="N1" i="3"/>
  <c r="A2" i="3"/>
  <c r="A3" i="3" s="1"/>
  <c r="A4" i="3" s="1"/>
  <c r="A5" i="3" s="1"/>
  <c r="A6" i="3" s="1"/>
  <c r="A7" i="3" s="1"/>
  <c r="A8" i="3" s="1"/>
  <c r="A9" i="3" s="1"/>
  <c r="C106" i="3"/>
  <c r="C105" i="3"/>
  <c r="C104" i="3"/>
  <c r="C103" i="3"/>
  <c r="C102" i="3"/>
  <c r="C101" i="3"/>
  <c r="C100" i="3"/>
  <c r="L95" i="3"/>
  <c r="L96" i="3"/>
  <c r="K95" i="3"/>
  <c r="K97" i="3"/>
  <c r="L87" i="3"/>
  <c r="L88" i="3"/>
  <c r="K87" i="3"/>
  <c r="K88" i="3"/>
  <c r="L79" i="3"/>
  <c r="L80" i="3"/>
  <c r="K79" i="3"/>
  <c r="K81" i="3"/>
  <c r="L71" i="3"/>
  <c r="L73" i="3"/>
  <c r="K70" i="3"/>
  <c r="K66" i="3"/>
  <c r="L62" i="3"/>
  <c r="L58" i="3"/>
  <c r="K62" i="3"/>
  <c r="K58" i="3"/>
  <c r="L54" i="3"/>
  <c r="L50" i="3"/>
  <c r="K54" i="3"/>
  <c r="K51" i="3"/>
  <c r="L46" i="3"/>
  <c r="L43" i="3"/>
  <c r="K47" i="3"/>
  <c r="K43" i="3"/>
  <c r="L39" i="3"/>
  <c r="L35" i="3"/>
  <c r="K39" i="3"/>
  <c r="K36" i="3"/>
  <c r="L31" i="3"/>
  <c r="L28" i="3"/>
  <c r="K31" i="3"/>
  <c r="K32" i="3"/>
  <c r="L23" i="3"/>
  <c r="L24" i="3"/>
  <c r="K23" i="3"/>
  <c r="K18" i="3"/>
  <c r="L14" i="3"/>
  <c r="L17" i="3"/>
  <c r="K14" i="3"/>
  <c r="K11" i="3"/>
  <c r="L7" i="3"/>
  <c r="L3" i="3"/>
  <c r="K7" i="3"/>
  <c r="K3" i="3"/>
  <c r="K186" i="2"/>
  <c r="K187" i="2" s="1"/>
  <c r="K188" i="2" s="1"/>
  <c r="K189" i="2" s="1"/>
  <c r="G131" i="2"/>
  <c r="I131" i="2" s="1"/>
  <c r="Q11" i="13" s="1"/>
  <c r="G132" i="2"/>
  <c r="I132" i="2" s="1"/>
  <c r="Q12" i="13" s="1"/>
  <c r="G133" i="2"/>
  <c r="I133" i="2" s="1"/>
  <c r="Q13" i="13" s="1"/>
  <c r="V13" i="13" s="1"/>
  <c r="G130" i="2"/>
  <c r="I130" i="2" s="1"/>
  <c r="Q10" i="13" s="1"/>
  <c r="F3" i="2"/>
  <c r="G3" i="2" s="1"/>
  <c r="I3" i="2" s="1"/>
  <c r="Q3" i="3" s="1"/>
  <c r="F4" i="2"/>
  <c r="G4" i="2" s="1"/>
  <c r="I4" i="2" s="1"/>
  <c r="F134" i="2"/>
  <c r="G134" i="2" s="1"/>
  <c r="I134" i="2" s="1"/>
  <c r="Q2" i="14" s="1"/>
  <c r="S2" i="14" s="1"/>
  <c r="W2" i="14" s="1"/>
  <c r="Q134" i="2" s="1"/>
  <c r="F5" i="2"/>
  <c r="G5" i="2" s="1"/>
  <c r="I5" i="2" s="1"/>
  <c r="F6" i="2"/>
  <c r="G6" i="2" s="1"/>
  <c r="I6" i="2" s="1"/>
  <c r="F7" i="2"/>
  <c r="G7" i="2" s="1"/>
  <c r="I7" i="2" s="1"/>
  <c r="F8" i="2"/>
  <c r="G8" i="2" s="1"/>
  <c r="I8" i="2" s="1"/>
  <c r="F135" i="2"/>
  <c r="G135" i="2" s="1"/>
  <c r="I135" i="2" s="1"/>
  <c r="Q3" i="14" s="1"/>
  <c r="F9" i="2"/>
  <c r="G9" i="2" s="1"/>
  <c r="I9" i="2" s="1"/>
  <c r="F10" i="2"/>
  <c r="G10" i="2" s="1"/>
  <c r="I10" i="2" s="1"/>
  <c r="F11" i="2"/>
  <c r="G11" i="2" s="1"/>
  <c r="I11" i="2" s="1"/>
  <c r="F12" i="2"/>
  <c r="G12" i="2" s="1"/>
  <c r="I12" i="2" s="1"/>
  <c r="F136" i="2"/>
  <c r="G136" i="2" s="1"/>
  <c r="I136" i="2" s="1"/>
  <c r="Q4" i="14" s="1"/>
  <c r="S4" i="14" s="1"/>
  <c r="W4" i="14" s="1"/>
  <c r="Q136" i="2" s="1"/>
  <c r="F13" i="2"/>
  <c r="G13" i="2" s="1"/>
  <c r="I13" i="2" s="1"/>
  <c r="F14" i="2"/>
  <c r="G14" i="2" s="1"/>
  <c r="I14" i="2" s="1"/>
  <c r="Q2" i="4" s="1"/>
  <c r="S2" i="4" s="1"/>
  <c r="W2" i="4" s="1"/>
  <c r="Q14" i="2" s="1"/>
  <c r="F15" i="2"/>
  <c r="G15" i="2" s="1"/>
  <c r="I15" i="2" s="1"/>
  <c r="Q3" i="4" s="1"/>
  <c r="S3" i="4" s="1"/>
  <c r="W3" i="4" s="1"/>
  <c r="Q15" i="2" s="1"/>
  <c r="F16" i="2"/>
  <c r="G16" i="2" s="1"/>
  <c r="I16" i="2" s="1"/>
  <c r="Q4" i="4" s="1"/>
  <c r="S4" i="4" s="1"/>
  <c r="W4" i="4" s="1"/>
  <c r="Q16" i="2" s="1"/>
  <c r="F137" i="2"/>
  <c r="G137" i="2" s="1"/>
  <c r="I137" i="2" s="1"/>
  <c r="Q5" i="14" s="1"/>
  <c r="T5" i="14" s="1"/>
  <c r="X5" i="14" s="1"/>
  <c r="R137" i="2" s="1"/>
  <c r="F17" i="2"/>
  <c r="G17" i="2" s="1"/>
  <c r="I17" i="2" s="1"/>
  <c r="Q5" i="4" s="1"/>
  <c r="S5" i="4" s="1"/>
  <c r="W5" i="4" s="1"/>
  <c r="Q17" i="2" s="1"/>
  <c r="F18" i="2"/>
  <c r="G18" i="2" s="1"/>
  <c r="I18" i="2" s="1"/>
  <c r="Q6" i="4" s="1"/>
  <c r="F19" i="2"/>
  <c r="G19" i="2" s="1"/>
  <c r="I19" i="2" s="1"/>
  <c r="Q7" i="4" s="1"/>
  <c r="S7" i="4" s="1"/>
  <c r="W7" i="4" s="1"/>
  <c r="Q19" i="2" s="1"/>
  <c r="F20" i="2"/>
  <c r="G20" i="2" s="1"/>
  <c r="I20" i="2" s="1"/>
  <c r="Q8" i="4" s="1"/>
  <c r="S8" i="4" s="1"/>
  <c r="W8" i="4" s="1"/>
  <c r="Q20" i="2" s="1"/>
  <c r="F138" i="2"/>
  <c r="G138" i="2" s="1"/>
  <c r="I138" i="2" s="1"/>
  <c r="Q6" i="14" s="1"/>
  <c r="F21" i="2"/>
  <c r="G21" i="2" s="1"/>
  <c r="I21" i="2" s="1"/>
  <c r="Q9" i="4" s="1"/>
  <c r="S9" i="4" s="1"/>
  <c r="W9" i="4" s="1"/>
  <c r="Q21" i="2" s="1"/>
  <c r="F22" i="2"/>
  <c r="G22" i="2" s="1"/>
  <c r="I22" i="2" s="1"/>
  <c r="Q10" i="4" s="1"/>
  <c r="S10" i="4" s="1"/>
  <c r="W10" i="4" s="1"/>
  <c r="Q22" i="2" s="1"/>
  <c r="F23" i="2"/>
  <c r="G23" i="2" s="1"/>
  <c r="I23" i="2" s="1"/>
  <c r="Q11" i="4" s="1"/>
  <c r="S11" i="4" s="1"/>
  <c r="W11" i="4" s="1"/>
  <c r="Q23" i="2" s="1"/>
  <c r="F24" i="2"/>
  <c r="G24" i="2" s="1"/>
  <c r="I24" i="2" s="1"/>
  <c r="Q12" i="4" s="1"/>
  <c r="F139" i="2"/>
  <c r="G139" i="2" s="1"/>
  <c r="I139" i="2" s="1"/>
  <c r="Q7" i="14" s="1"/>
  <c r="F25" i="2"/>
  <c r="G25" i="2" s="1"/>
  <c r="I25" i="2" s="1"/>
  <c r="Q13" i="4" s="1"/>
  <c r="F26" i="2"/>
  <c r="G26" i="2" s="1"/>
  <c r="I26" i="2" s="1"/>
  <c r="Q2" i="5" s="1"/>
  <c r="S2" i="5" s="1"/>
  <c r="W2" i="5" s="1"/>
  <c r="Q26" i="2" s="1"/>
  <c r="F27" i="2"/>
  <c r="G27" i="2" s="1"/>
  <c r="I27" i="2" s="1"/>
  <c r="Q3" i="5" s="1"/>
  <c r="F28" i="2"/>
  <c r="G28" i="2" s="1"/>
  <c r="I28" i="2" s="1"/>
  <c r="Q4" i="5" s="1"/>
  <c r="F140" i="2"/>
  <c r="G140" i="2" s="1"/>
  <c r="I140" i="2" s="1"/>
  <c r="Q8" i="14" s="1"/>
  <c r="F29" i="2"/>
  <c r="G29" i="2" s="1"/>
  <c r="I29" i="2" s="1"/>
  <c r="Q5" i="5" s="1"/>
  <c r="F30" i="2"/>
  <c r="G30" i="2" s="1"/>
  <c r="I30" i="2" s="1"/>
  <c r="Q6" i="5" s="1"/>
  <c r="F31" i="2"/>
  <c r="G31" i="2" s="1"/>
  <c r="I31" i="2" s="1"/>
  <c r="Q7" i="5" s="1"/>
  <c r="F32" i="2"/>
  <c r="G32" i="2" s="1"/>
  <c r="I32" i="2" s="1"/>
  <c r="Q8" i="5" s="1"/>
  <c r="F141" i="2"/>
  <c r="G141" i="2" s="1"/>
  <c r="I141" i="2" s="1"/>
  <c r="Q9" i="14" s="1"/>
  <c r="F33" i="2"/>
  <c r="G33" i="2" s="1"/>
  <c r="I33" i="2" s="1"/>
  <c r="Q9" i="5" s="1"/>
  <c r="F34" i="2"/>
  <c r="G34" i="2" s="1"/>
  <c r="I34" i="2" s="1"/>
  <c r="Q10" i="5" s="1"/>
  <c r="F35" i="2"/>
  <c r="G35" i="2" s="1"/>
  <c r="I35" i="2" s="1"/>
  <c r="Q11" i="5" s="1"/>
  <c r="F36" i="2"/>
  <c r="G36" i="2" s="1"/>
  <c r="I36" i="2" s="1"/>
  <c r="Q12" i="5" s="1"/>
  <c r="F142" i="2"/>
  <c r="G142" i="2" s="1"/>
  <c r="I142" i="2" s="1"/>
  <c r="Q10" i="14" s="1"/>
  <c r="U10" i="14" s="1"/>
  <c r="Y10" i="14" s="1"/>
  <c r="S142" i="2" s="1"/>
  <c r="F37" i="2"/>
  <c r="G37" i="2" s="1"/>
  <c r="I37" i="2" s="1"/>
  <c r="Q13" i="5" s="1"/>
  <c r="F38" i="2"/>
  <c r="G38" i="2" s="1"/>
  <c r="I38" i="2" s="1"/>
  <c r="Q2" i="6" s="1"/>
  <c r="F39" i="2"/>
  <c r="G39" i="2" s="1"/>
  <c r="I39" i="2" s="1"/>
  <c r="Q3" i="6" s="1"/>
  <c r="F40" i="2"/>
  <c r="G40" i="2" s="1"/>
  <c r="I40" i="2" s="1"/>
  <c r="Q4" i="6" s="1"/>
  <c r="F143" i="2"/>
  <c r="G143" i="2" s="1"/>
  <c r="I143" i="2" s="1"/>
  <c r="Q11" i="14" s="1"/>
  <c r="V11" i="14" s="1"/>
  <c r="Z11" i="14" s="1"/>
  <c r="T143" i="2" s="1"/>
  <c r="F41" i="2"/>
  <c r="G41" i="2" s="1"/>
  <c r="I41" i="2" s="1"/>
  <c r="Q5" i="6" s="1"/>
  <c r="F42" i="2"/>
  <c r="G42" i="2" s="1"/>
  <c r="I42" i="2" s="1"/>
  <c r="Q6" i="6" s="1"/>
  <c r="F43" i="2"/>
  <c r="G43" i="2" s="1"/>
  <c r="I43" i="2" s="1"/>
  <c r="F44" i="2"/>
  <c r="G44" i="2" s="1"/>
  <c r="I44" i="2" s="1"/>
  <c r="Q8" i="6" s="1"/>
  <c r="F144" i="2"/>
  <c r="G144" i="2" s="1"/>
  <c r="I144" i="2" s="1"/>
  <c r="Q12" i="14" s="1"/>
  <c r="F45" i="2"/>
  <c r="G45" i="2" s="1"/>
  <c r="I45" i="2" s="1"/>
  <c r="Q9" i="6" s="1"/>
  <c r="F46" i="2"/>
  <c r="G46" i="2" s="1"/>
  <c r="I46" i="2" s="1"/>
  <c r="Q10" i="6" s="1"/>
  <c r="F47" i="2"/>
  <c r="G47" i="2" s="1"/>
  <c r="I47" i="2" s="1"/>
  <c r="Q11" i="6" s="1"/>
  <c r="F48" i="2"/>
  <c r="G48" i="2" s="1"/>
  <c r="I48" i="2" s="1"/>
  <c r="Q12" i="6" s="1"/>
  <c r="F145" i="2"/>
  <c r="G145" i="2" s="1"/>
  <c r="I145" i="2" s="1"/>
  <c r="Q13" i="14" s="1"/>
  <c r="V13" i="14" s="1"/>
  <c r="F49" i="2"/>
  <c r="G49" i="2" s="1"/>
  <c r="I49" i="2" s="1"/>
  <c r="Q13" i="6" s="1"/>
  <c r="F50" i="2"/>
  <c r="G50" i="2" s="1"/>
  <c r="I50" i="2" s="1"/>
  <c r="Q2" i="7" s="1"/>
  <c r="F51" i="2"/>
  <c r="G51" i="2" s="1"/>
  <c r="I51" i="2" s="1"/>
  <c r="Q3" i="7" s="1"/>
  <c r="F52" i="2"/>
  <c r="G52" i="2" s="1"/>
  <c r="I52" i="2" s="1"/>
  <c r="Q4" i="7" s="1"/>
  <c r="S4" i="7" s="1"/>
  <c r="W4" i="7" s="1"/>
  <c r="Q52" i="2" s="1"/>
  <c r="F146" i="2"/>
  <c r="G146" i="2" s="1"/>
  <c r="I146" i="2" s="1"/>
  <c r="Q2" i="15" s="1"/>
  <c r="U2" i="15" s="1"/>
  <c r="Y2" i="15" s="1"/>
  <c r="S146" i="2" s="1"/>
  <c r="F53" i="2"/>
  <c r="G53" i="2" s="1"/>
  <c r="I53" i="2" s="1"/>
  <c r="Q5" i="7" s="1"/>
  <c r="S5" i="7" s="1"/>
  <c r="W5" i="7" s="1"/>
  <c r="Q53" i="2" s="1"/>
  <c r="F54" i="2"/>
  <c r="G54" i="2" s="1"/>
  <c r="I54" i="2" s="1"/>
  <c r="Q6" i="7" s="1"/>
  <c r="S6" i="7" s="1"/>
  <c r="W6" i="7" s="1"/>
  <c r="Q54" i="2" s="1"/>
  <c r="F55" i="2"/>
  <c r="G55" i="2" s="1"/>
  <c r="I55" i="2" s="1"/>
  <c r="Q7" i="7" s="1"/>
  <c r="F56" i="2"/>
  <c r="G56" i="2" s="1"/>
  <c r="I56" i="2" s="1"/>
  <c r="Q8" i="7" s="1"/>
  <c r="F147" i="2"/>
  <c r="G147" i="2" s="1"/>
  <c r="I147" i="2" s="1"/>
  <c r="Q3" i="15" s="1"/>
  <c r="V3" i="15" s="1"/>
  <c r="Z3" i="15" s="1"/>
  <c r="T147" i="2" s="1"/>
  <c r="F57" i="2"/>
  <c r="G57" i="2" s="1"/>
  <c r="I57" i="2" s="1"/>
  <c r="Q9" i="7" s="1"/>
  <c r="F58" i="2"/>
  <c r="G58" i="2" s="1"/>
  <c r="I58" i="2" s="1"/>
  <c r="Q10" i="7" s="1"/>
  <c r="S10" i="7" s="1"/>
  <c r="W10" i="7" s="1"/>
  <c r="Q58" i="2" s="1"/>
  <c r="F59" i="2"/>
  <c r="G59" i="2" s="1"/>
  <c r="I59" i="2" s="1"/>
  <c r="Q11" i="7" s="1"/>
  <c r="F60" i="2"/>
  <c r="G60" i="2" s="1"/>
  <c r="I60" i="2" s="1"/>
  <c r="Q12" i="7" s="1"/>
  <c r="F148" i="2"/>
  <c r="G148" i="2" s="1"/>
  <c r="I148" i="2" s="1"/>
  <c r="Q4" i="15" s="1"/>
  <c r="F61" i="2"/>
  <c r="G61" i="2" s="1"/>
  <c r="I61" i="2" s="1"/>
  <c r="F62" i="2"/>
  <c r="G62" i="2" s="1"/>
  <c r="I62" i="2" s="1"/>
  <c r="Q3" i="8" s="1"/>
  <c r="T3" i="8" s="1"/>
  <c r="X3" i="8" s="1"/>
  <c r="R63" i="2" s="1"/>
  <c r="F63" i="2"/>
  <c r="G63" i="2" s="1"/>
  <c r="I63" i="2" s="1"/>
  <c r="Q4" i="8" s="1"/>
  <c r="F64" i="2"/>
  <c r="G64" i="2" s="1"/>
  <c r="I64" i="2" s="1"/>
  <c r="Q5" i="8" s="1"/>
  <c r="T5" i="8" s="1"/>
  <c r="X5" i="8" s="1"/>
  <c r="R65" i="2" s="1"/>
  <c r="F149" i="2"/>
  <c r="G149" i="2" s="1"/>
  <c r="I149" i="2" s="1"/>
  <c r="Q5" i="15" s="1"/>
  <c r="F65" i="2"/>
  <c r="G65" i="2" s="1"/>
  <c r="I65" i="2" s="1"/>
  <c r="Q6" i="8" s="1"/>
  <c r="F66" i="2"/>
  <c r="G66" i="2" s="1"/>
  <c r="I66" i="2" s="1"/>
  <c r="Q7" i="8" s="1"/>
  <c r="F67" i="2"/>
  <c r="G67" i="2" s="1"/>
  <c r="I67" i="2" s="1"/>
  <c r="Q8" i="8" s="1"/>
  <c r="F68" i="2"/>
  <c r="G68" i="2" s="1"/>
  <c r="I68" i="2" s="1"/>
  <c r="Q9" i="8" s="1"/>
  <c r="F150" i="2"/>
  <c r="G150" i="2" s="1"/>
  <c r="I150" i="2" s="1"/>
  <c r="Q6" i="15" s="1"/>
  <c r="F69" i="2"/>
  <c r="G69" i="2" s="1"/>
  <c r="I69" i="2" s="1"/>
  <c r="Q10" i="8" s="1"/>
  <c r="U10" i="8" s="1"/>
  <c r="Y10" i="8" s="1"/>
  <c r="S70" i="2" s="1"/>
  <c r="F70" i="2"/>
  <c r="G70" i="2" s="1"/>
  <c r="I70" i="2" s="1"/>
  <c r="Q11" i="8" s="1"/>
  <c r="F71" i="2"/>
  <c r="G71" i="2" s="1"/>
  <c r="I71" i="2" s="1"/>
  <c r="Q12" i="8" s="1"/>
  <c r="S12" i="8" s="1"/>
  <c r="W12" i="8" s="1"/>
  <c r="Q72" i="2" s="1"/>
  <c r="F72" i="2"/>
  <c r="G72" i="2" s="1"/>
  <c r="I72" i="2" s="1"/>
  <c r="Q13" i="8" s="1"/>
  <c r="U13" i="8" s="1"/>
  <c r="Y13" i="8" s="1"/>
  <c r="S73" i="2" s="1"/>
  <c r="F151" i="2"/>
  <c r="G151" i="2" s="1"/>
  <c r="I151" i="2" s="1"/>
  <c r="Q7" i="15" s="1"/>
  <c r="F73" i="2"/>
  <c r="G73" i="2" s="1"/>
  <c r="I73" i="2" s="1"/>
  <c r="F74" i="2"/>
  <c r="G74" i="2" s="1"/>
  <c r="I74" i="2" s="1"/>
  <c r="Q2" i="9" s="1"/>
  <c r="F75" i="2"/>
  <c r="G75" i="2" s="1"/>
  <c r="I75" i="2" s="1"/>
  <c r="Q3" i="9" s="1"/>
  <c r="F76" i="2"/>
  <c r="G76" i="2" s="1"/>
  <c r="I76" i="2" s="1"/>
  <c r="Q4" i="9" s="1"/>
  <c r="F152" i="2"/>
  <c r="G152" i="2" s="1"/>
  <c r="I152" i="2" s="1"/>
  <c r="Q8" i="15" s="1"/>
  <c r="F77" i="2"/>
  <c r="G77" i="2" s="1"/>
  <c r="I77" i="2" s="1"/>
  <c r="Q5" i="9" s="1"/>
  <c r="V5" i="9" s="1"/>
  <c r="Z5" i="9" s="1"/>
  <c r="T77" i="2" s="1"/>
  <c r="F78" i="2"/>
  <c r="G78" i="2" s="1"/>
  <c r="I78" i="2" s="1"/>
  <c r="Q6" i="9" s="1"/>
  <c r="F79" i="2"/>
  <c r="G79" i="2" s="1"/>
  <c r="I79" i="2" s="1"/>
  <c r="Q7" i="9" s="1"/>
  <c r="S7" i="9" s="1"/>
  <c r="W7" i="9" s="1"/>
  <c r="Q79" i="2" s="1"/>
  <c r="F80" i="2"/>
  <c r="G80" i="2" s="1"/>
  <c r="I80" i="2" s="1"/>
  <c r="Q8" i="9" s="1"/>
  <c r="F153" i="2"/>
  <c r="G153" i="2" s="1"/>
  <c r="I153" i="2" s="1"/>
  <c r="Q9" i="15" s="1"/>
  <c r="T9" i="15" s="1"/>
  <c r="X9" i="15" s="1"/>
  <c r="R153" i="2" s="1"/>
  <c r="F81" i="2"/>
  <c r="G81" i="2" s="1"/>
  <c r="I81" i="2" s="1"/>
  <c r="Q9" i="9" s="1"/>
  <c r="S9" i="9" s="1"/>
  <c r="W9" i="9" s="1"/>
  <c r="Q81" i="2" s="1"/>
  <c r="F82" i="2"/>
  <c r="G82" i="2" s="1"/>
  <c r="I82" i="2" s="1"/>
  <c r="Q10" i="9" s="1"/>
  <c r="F83" i="2"/>
  <c r="G83" i="2" s="1"/>
  <c r="I83" i="2" s="1"/>
  <c r="Q11" i="9" s="1"/>
  <c r="T11" i="9" s="1"/>
  <c r="X11" i="9" s="1"/>
  <c r="R83" i="2" s="1"/>
  <c r="F84" i="2"/>
  <c r="G84" i="2" s="1"/>
  <c r="I84" i="2" s="1"/>
  <c r="Q12" i="9" s="1"/>
  <c r="S12" i="9" s="1"/>
  <c r="W12" i="9" s="1"/>
  <c r="Q84" i="2" s="1"/>
  <c r="F154" i="2"/>
  <c r="G154" i="2" s="1"/>
  <c r="I154" i="2" s="1"/>
  <c r="Q10" i="15" s="1"/>
  <c r="F85" i="2"/>
  <c r="G85" i="2" s="1"/>
  <c r="I85" i="2" s="1"/>
  <c r="Q13" i="9" s="1"/>
  <c r="V13" i="9" s="1"/>
  <c r="F86" i="2"/>
  <c r="G86" i="2" s="1"/>
  <c r="I86" i="2" s="1"/>
  <c r="Q2" i="10" s="1"/>
  <c r="F87" i="2"/>
  <c r="G87" i="2" s="1"/>
  <c r="I87" i="2" s="1"/>
  <c r="Q3" i="10" s="1"/>
  <c r="F88" i="2"/>
  <c r="G88" i="2" s="1"/>
  <c r="I88" i="2" s="1"/>
  <c r="Q4" i="10" s="1"/>
  <c r="V4" i="10" s="1"/>
  <c r="Z4" i="10" s="1"/>
  <c r="T88" i="2" s="1"/>
  <c r="F155" i="2"/>
  <c r="G155" i="2" s="1"/>
  <c r="I155" i="2" s="1"/>
  <c r="Q11" i="15" s="1"/>
  <c r="F89" i="2"/>
  <c r="G89" i="2" s="1"/>
  <c r="I89" i="2" s="1"/>
  <c r="Q5" i="10" s="1"/>
  <c r="F90" i="2"/>
  <c r="G90" i="2" s="1"/>
  <c r="I90" i="2" s="1"/>
  <c r="Q6" i="10" s="1"/>
  <c r="S6" i="10" s="1"/>
  <c r="W6" i="10" s="1"/>
  <c r="Q90" i="2" s="1"/>
  <c r="F91" i="2"/>
  <c r="G91" i="2" s="1"/>
  <c r="I91" i="2" s="1"/>
  <c r="Q7" i="10" s="1"/>
  <c r="U7" i="10" s="1"/>
  <c r="Y7" i="10" s="1"/>
  <c r="S91" i="2" s="1"/>
  <c r="F92" i="2"/>
  <c r="G92" i="2" s="1"/>
  <c r="I92" i="2" s="1"/>
  <c r="Q8" i="10" s="1"/>
  <c r="V8" i="10" s="1"/>
  <c r="Z8" i="10" s="1"/>
  <c r="T92" i="2" s="1"/>
  <c r="F156" i="2"/>
  <c r="G156" i="2" s="1"/>
  <c r="I156" i="2" s="1"/>
  <c r="Q12" i="15" s="1"/>
  <c r="F93" i="2"/>
  <c r="G93" i="2" s="1"/>
  <c r="I93" i="2" s="1"/>
  <c r="Q9" i="10" s="1"/>
  <c r="F94" i="2"/>
  <c r="G94" i="2" s="1"/>
  <c r="I94" i="2" s="1"/>
  <c r="Q10" i="10" s="1"/>
  <c r="F95" i="2"/>
  <c r="G95" i="2" s="1"/>
  <c r="I95" i="2" s="1"/>
  <c r="Q11" i="10" s="1"/>
  <c r="S11" i="10" s="1"/>
  <c r="W11" i="10" s="1"/>
  <c r="Q95" i="2" s="1"/>
  <c r="F96" i="2"/>
  <c r="G96" i="2" s="1"/>
  <c r="I96" i="2" s="1"/>
  <c r="Q12" i="10" s="1"/>
  <c r="T12" i="10" s="1"/>
  <c r="X12" i="10" s="1"/>
  <c r="R96" i="2" s="1"/>
  <c r="F157" i="2"/>
  <c r="G157" i="2" s="1"/>
  <c r="I157" i="2" s="1"/>
  <c r="Q13" i="15" s="1"/>
  <c r="V13" i="15" s="1"/>
  <c r="Z13" i="15" s="1"/>
  <c r="F97" i="2"/>
  <c r="G97" i="2" s="1"/>
  <c r="I97" i="2" s="1"/>
  <c r="Q13" i="10" s="1"/>
  <c r="V13" i="10" s="1"/>
  <c r="F98" i="2"/>
  <c r="G98" i="2" s="1"/>
  <c r="I98" i="2" s="1"/>
  <c r="Q2" i="11" s="1"/>
  <c r="F99" i="2"/>
  <c r="G99" i="2" s="1"/>
  <c r="I99" i="2" s="1"/>
  <c r="Q3" i="11" s="1"/>
  <c r="F100" i="2"/>
  <c r="G100" i="2" s="1"/>
  <c r="I100" i="2" s="1"/>
  <c r="Q4" i="11" s="1"/>
  <c r="F158" i="2"/>
  <c r="G158" i="2" s="1"/>
  <c r="I158" i="2" s="1"/>
  <c r="Q2" i="16" s="1"/>
  <c r="U2" i="16" s="1"/>
  <c r="Y2" i="16" s="1"/>
  <c r="S158" i="2" s="1"/>
  <c r="F101" i="2"/>
  <c r="G101" i="2" s="1"/>
  <c r="I101" i="2" s="1"/>
  <c r="Q5" i="11" s="1"/>
  <c r="F102" i="2"/>
  <c r="G102" i="2" s="1"/>
  <c r="I102" i="2" s="1"/>
  <c r="Q6" i="11" s="1"/>
  <c r="F103" i="2"/>
  <c r="G103" i="2" s="1"/>
  <c r="I103" i="2" s="1"/>
  <c r="Q7" i="11" s="1"/>
  <c r="F104" i="2"/>
  <c r="G104" i="2" s="1"/>
  <c r="I104" i="2" s="1"/>
  <c r="Q8" i="11" s="1"/>
  <c r="F159" i="2"/>
  <c r="G159" i="2" s="1"/>
  <c r="I159" i="2" s="1"/>
  <c r="Q3" i="16" s="1"/>
  <c r="U3" i="16" s="1"/>
  <c r="Y3" i="16" s="1"/>
  <c r="S159" i="2" s="1"/>
  <c r="F105" i="2"/>
  <c r="G105" i="2" s="1"/>
  <c r="I105" i="2" s="1"/>
  <c r="Q9" i="11" s="1"/>
  <c r="F106" i="2"/>
  <c r="G106" i="2" s="1"/>
  <c r="I106" i="2" s="1"/>
  <c r="Q10" i="11" s="1"/>
  <c r="F107" i="2"/>
  <c r="G107" i="2" s="1"/>
  <c r="I107" i="2" s="1"/>
  <c r="Q11" i="11" s="1"/>
  <c r="F108" i="2"/>
  <c r="G108" i="2" s="1"/>
  <c r="I108" i="2" s="1"/>
  <c r="Q12" i="11" s="1"/>
  <c r="F160" i="2"/>
  <c r="G160" i="2" s="1"/>
  <c r="I160" i="2" s="1"/>
  <c r="Q4" i="16" s="1"/>
  <c r="F109" i="2"/>
  <c r="G109" i="2" s="1"/>
  <c r="I109" i="2" s="1"/>
  <c r="Q13" i="11" s="1"/>
  <c r="F110" i="2"/>
  <c r="G110" i="2" s="1"/>
  <c r="I110" i="2" s="1"/>
  <c r="Q2" i="12" s="1"/>
  <c r="T2" i="12" s="1"/>
  <c r="X2" i="12" s="1"/>
  <c r="R110" i="2" s="1"/>
  <c r="F111" i="2"/>
  <c r="G111" i="2" s="1"/>
  <c r="I111" i="2" s="1"/>
  <c r="Q3" i="12" s="1"/>
  <c r="F112" i="2"/>
  <c r="G112" i="2" s="1"/>
  <c r="I112" i="2" s="1"/>
  <c r="Q4" i="12" s="1"/>
  <c r="F161" i="2"/>
  <c r="G161" i="2" s="1"/>
  <c r="I161" i="2" s="1"/>
  <c r="Q5" i="16" s="1"/>
  <c r="T5" i="16" s="1"/>
  <c r="X5" i="16" s="1"/>
  <c r="R161" i="2" s="1"/>
  <c r="F113" i="2"/>
  <c r="G113" i="2" s="1"/>
  <c r="I113" i="2" s="1"/>
  <c r="Q5" i="12" s="1"/>
  <c r="F114" i="2"/>
  <c r="G114" i="2" s="1"/>
  <c r="I114" i="2" s="1"/>
  <c r="Q6" i="12" s="1"/>
  <c r="F115" i="2"/>
  <c r="G115" i="2" s="1"/>
  <c r="I115" i="2" s="1"/>
  <c r="Q7" i="12" s="1"/>
  <c r="U7" i="12" s="1"/>
  <c r="Y7" i="12" s="1"/>
  <c r="S115" i="2" s="1"/>
  <c r="F116" i="2"/>
  <c r="G116" i="2" s="1"/>
  <c r="I116" i="2" s="1"/>
  <c r="Q8" i="12" s="1"/>
  <c r="F162" i="2"/>
  <c r="G162" i="2" s="1"/>
  <c r="I162" i="2" s="1"/>
  <c r="Q6" i="16" s="1"/>
  <c r="F117" i="2"/>
  <c r="G117" i="2" s="1"/>
  <c r="I117" i="2" s="1"/>
  <c r="Q9" i="12" s="1"/>
  <c r="F118" i="2"/>
  <c r="G118" i="2" s="1"/>
  <c r="I118" i="2" s="1"/>
  <c r="Q10" i="12" s="1"/>
  <c r="F119" i="2"/>
  <c r="G119" i="2" s="1"/>
  <c r="I119" i="2" s="1"/>
  <c r="Q11" i="12" s="1"/>
  <c r="F120" i="2"/>
  <c r="G120" i="2" s="1"/>
  <c r="I120" i="2" s="1"/>
  <c r="Q12" i="12" s="1"/>
  <c r="U12" i="12" s="1"/>
  <c r="Y12" i="12" s="1"/>
  <c r="S120" i="2" s="1"/>
  <c r="F163" i="2"/>
  <c r="G163" i="2" s="1"/>
  <c r="I163" i="2" s="1"/>
  <c r="Q7" i="16" s="1"/>
  <c r="F121" i="2"/>
  <c r="G121" i="2" s="1"/>
  <c r="I121" i="2" s="1"/>
  <c r="Q13" i="12" s="1"/>
  <c r="V13" i="12" s="1"/>
  <c r="F122" i="2"/>
  <c r="G122" i="2" s="1"/>
  <c r="I122" i="2" s="1"/>
  <c r="Q2" i="13" s="1"/>
  <c r="T2" i="13" s="1"/>
  <c r="F123" i="2"/>
  <c r="G123" i="2" s="1"/>
  <c r="I123" i="2" s="1"/>
  <c r="Q3" i="13" s="1"/>
  <c r="F124" i="2"/>
  <c r="G124" i="2" s="1"/>
  <c r="I124" i="2" s="1"/>
  <c r="Q4" i="13" s="1"/>
  <c r="F164" i="2"/>
  <c r="G164" i="2" s="1"/>
  <c r="I164" i="2" s="1"/>
  <c r="Q8" i="16" s="1"/>
  <c r="F125" i="2"/>
  <c r="G125" i="2" s="1"/>
  <c r="I125" i="2" s="1"/>
  <c r="Q5" i="13" s="1"/>
  <c r="F126" i="2"/>
  <c r="G126" i="2" s="1"/>
  <c r="I126" i="2" s="1"/>
  <c r="Q6" i="13" s="1"/>
  <c r="S6" i="13" s="1"/>
  <c r="W6" i="13" s="1"/>
  <c r="Q126" i="2" s="1"/>
  <c r="F127" i="2"/>
  <c r="G127" i="2" s="1"/>
  <c r="I127" i="2" s="1"/>
  <c r="Q7" i="13" s="1"/>
  <c r="U7" i="13" s="1"/>
  <c r="Y7" i="13" s="1"/>
  <c r="S127" i="2" s="1"/>
  <c r="F128" i="2"/>
  <c r="G128" i="2" s="1"/>
  <c r="I128" i="2" s="1"/>
  <c r="Q8" i="13" s="1"/>
  <c r="F165" i="2"/>
  <c r="G165" i="2" s="1"/>
  <c r="I165" i="2" s="1"/>
  <c r="Q9" i="16" s="1"/>
  <c r="U9" i="16" s="1"/>
  <c r="Y9" i="16" s="1"/>
  <c r="S165" i="2" s="1"/>
  <c r="F129" i="2"/>
  <c r="G129" i="2" s="1"/>
  <c r="I129" i="2" s="1"/>
  <c r="Q9" i="13" s="1"/>
  <c r="F2" i="2"/>
  <c r="G2" i="2" s="1"/>
  <c r="I2" i="2" s="1"/>
  <c r="Q2" i="3" s="1"/>
  <c r="M44" i="4" l="1"/>
  <c r="M56" i="5"/>
  <c r="M93" i="4"/>
  <c r="M88" i="5"/>
  <c r="S7" i="7"/>
  <c r="W7" i="7" s="1"/>
  <c r="Q55" i="2" s="1"/>
  <c r="S6" i="6"/>
  <c r="W6" i="6" s="1"/>
  <c r="Q42" i="2" s="1"/>
  <c r="M92" i="5"/>
  <c r="M47" i="7"/>
  <c r="M17" i="5"/>
  <c r="M92" i="6"/>
  <c r="M17" i="7"/>
  <c r="S7" i="5"/>
  <c r="W7" i="5" s="1"/>
  <c r="Q31" i="2" s="1"/>
  <c r="M28" i="5"/>
  <c r="M40" i="5"/>
  <c r="M39" i="5"/>
  <c r="M96" i="5"/>
  <c r="M69" i="6"/>
  <c r="M56" i="4"/>
  <c r="M96" i="7"/>
  <c r="Z13" i="12"/>
  <c r="T121" i="2" s="1"/>
  <c r="T12" i="15"/>
  <c r="X12" i="15" s="1"/>
  <c r="R156" i="2" s="1"/>
  <c r="V12" i="15"/>
  <c r="V13" i="8"/>
  <c r="M9" i="4"/>
  <c r="M49" i="7"/>
  <c r="M41" i="4"/>
  <c r="S8" i="8"/>
  <c r="W8" i="8" s="1"/>
  <c r="Q68" i="2" s="1"/>
  <c r="M29" i="5"/>
  <c r="M40" i="7"/>
  <c r="M37" i="5"/>
  <c r="M72" i="5"/>
  <c r="M76" i="5"/>
  <c r="M72" i="4"/>
  <c r="M20" i="5"/>
  <c r="M64" i="7"/>
  <c r="M24" i="7"/>
  <c r="M40" i="4"/>
  <c r="M17" i="6"/>
  <c r="M9" i="6"/>
  <c r="V12" i="7"/>
  <c r="Z12" i="7" s="1"/>
  <c r="T60" i="2" s="1"/>
  <c r="M30" i="7"/>
  <c r="M87" i="7"/>
  <c r="M94" i="7"/>
  <c r="M78" i="7"/>
  <c r="M23" i="7"/>
  <c r="M79" i="7"/>
  <c r="M39" i="7"/>
  <c r="M60" i="4"/>
  <c r="M4" i="4"/>
  <c r="M93" i="5"/>
  <c r="M37" i="6"/>
  <c r="S2" i="7"/>
  <c r="W2" i="7" s="1"/>
  <c r="Q50" i="2" s="1"/>
  <c r="V10" i="15"/>
  <c r="Z10" i="15" s="1"/>
  <c r="T154" i="2" s="1"/>
  <c r="U10" i="15"/>
  <c r="Y10" i="15" s="1"/>
  <c r="S154" i="2" s="1"/>
  <c r="S10" i="15"/>
  <c r="W10" i="15" s="1"/>
  <c r="Q154" i="2" s="1"/>
  <c r="T10" i="15"/>
  <c r="X10" i="15" s="1"/>
  <c r="R154" i="2" s="1"/>
  <c r="S2" i="15"/>
  <c r="W2" i="15" s="1"/>
  <c r="Q146" i="2" s="1"/>
  <c r="S6" i="14"/>
  <c r="W6" i="14" s="1"/>
  <c r="Q138" i="2" s="1"/>
  <c r="T6" i="14"/>
  <c r="X6" i="14" s="1"/>
  <c r="R138" i="2" s="1"/>
  <c r="U6" i="14"/>
  <c r="Y6" i="14" s="1"/>
  <c r="S138" i="2" s="1"/>
  <c r="U13" i="13"/>
  <c r="Y13" i="13" s="1"/>
  <c r="S133" i="2" s="1"/>
  <c r="T13" i="13"/>
  <c r="X13" i="13" s="1"/>
  <c r="R133" i="2" s="1"/>
  <c r="V3" i="16"/>
  <c r="Z3" i="16" s="1"/>
  <c r="T159" i="2" s="1"/>
  <c r="T2" i="16"/>
  <c r="X2" i="16" s="1"/>
  <c r="R158" i="2" s="1"/>
  <c r="T3" i="16"/>
  <c r="X3" i="16" s="1"/>
  <c r="R159" i="2" s="1"/>
  <c r="T3" i="13"/>
  <c r="X3" i="13" s="1"/>
  <c r="R123" i="2" s="1"/>
  <c r="S3" i="13"/>
  <c r="W3" i="13" s="1"/>
  <c r="Q123" i="2" s="1"/>
  <c r="V3" i="13"/>
  <c r="Z3" i="13" s="1"/>
  <c r="T123" i="2" s="1"/>
  <c r="U3" i="13"/>
  <c r="Y3" i="13" s="1"/>
  <c r="S123" i="2" s="1"/>
  <c r="T13" i="15"/>
  <c r="X13" i="15" s="1"/>
  <c r="R157" i="2" s="1"/>
  <c r="U13" i="15"/>
  <c r="Y13" i="15" s="1"/>
  <c r="S157" i="2" s="1"/>
  <c r="T157" i="2"/>
  <c r="T5" i="15"/>
  <c r="X5" i="15" s="1"/>
  <c r="R149" i="2" s="1"/>
  <c r="U5" i="15"/>
  <c r="Y5" i="15" s="1"/>
  <c r="S149" i="2" s="1"/>
  <c r="S5" i="15"/>
  <c r="W5" i="15" s="1"/>
  <c r="Q149" i="2" s="1"/>
  <c r="T9" i="14"/>
  <c r="X9" i="14" s="1"/>
  <c r="R141" i="2" s="1"/>
  <c r="S9" i="14"/>
  <c r="W9" i="14" s="1"/>
  <c r="Q141" i="2" s="1"/>
  <c r="U9" i="14"/>
  <c r="Y9" i="14" s="1"/>
  <c r="S141" i="2" s="1"/>
  <c r="V9" i="14"/>
  <c r="Z9" i="14" s="1"/>
  <c r="T141" i="2" s="1"/>
  <c r="T12" i="13"/>
  <c r="X12" i="13" s="1"/>
  <c r="R132" i="2" s="1"/>
  <c r="U12" i="13"/>
  <c r="Y12" i="13" s="1"/>
  <c r="S132" i="2" s="1"/>
  <c r="V12" i="13"/>
  <c r="Z12" i="13" s="1"/>
  <c r="T132" i="2" s="1"/>
  <c r="S12" i="13"/>
  <c r="W12" i="13" s="1"/>
  <c r="Q132" i="2" s="1"/>
  <c r="M81" i="6"/>
  <c r="T3" i="15"/>
  <c r="X3" i="15" s="1"/>
  <c r="R147" i="2" s="1"/>
  <c r="S13" i="13"/>
  <c r="W13" i="13" s="1"/>
  <c r="Q133" i="2" s="1"/>
  <c r="S13" i="15"/>
  <c r="W13" i="15" s="1"/>
  <c r="Q157" i="2" s="1"/>
  <c r="V8" i="16"/>
  <c r="Z8" i="16" s="1"/>
  <c r="T164" i="2" s="1"/>
  <c r="U8" i="16"/>
  <c r="Y8" i="16" s="1"/>
  <c r="S164" i="2" s="1"/>
  <c r="T8" i="16"/>
  <c r="X8" i="16" s="1"/>
  <c r="R164" i="2" s="1"/>
  <c r="S8" i="16"/>
  <c r="W8" i="16" s="1"/>
  <c r="Q164" i="2" s="1"/>
  <c r="U9" i="13"/>
  <c r="Y9" i="13" s="1"/>
  <c r="S129" i="2" s="1"/>
  <c r="T9" i="13"/>
  <c r="X9" i="13" s="1"/>
  <c r="R129" i="2" s="1"/>
  <c r="V9" i="13"/>
  <c r="Z9" i="13" s="1"/>
  <c r="T129" i="2" s="1"/>
  <c r="U2" i="13"/>
  <c r="Y2" i="13" s="1"/>
  <c r="S122" i="2" s="1"/>
  <c r="V2" i="13"/>
  <c r="Z2" i="13" s="1"/>
  <c r="T122" i="2" s="1"/>
  <c r="S2" i="13"/>
  <c r="W2" i="13" s="1"/>
  <c r="Q122" i="2" s="1"/>
  <c r="U8" i="13"/>
  <c r="Y8" i="13" s="1"/>
  <c r="S128" i="2" s="1"/>
  <c r="T8" i="13"/>
  <c r="X8" i="13" s="1"/>
  <c r="R128" i="2" s="1"/>
  <c r="V8" i="13"/>
  <c r="Z8" i="13" s="1"/>
  <c r="T128" i="2" s="1"/>
  <c r="S8" i="13"/>
  <c r="W8" i="13" s="1"/>
  <c r="Q128" i="2" s="1"/>
  <c r="U4" i="16"/>
  <c r="Y4" i="16" s="1"/>
  <c r="S160" i="2" s="1"/>
  <c r="T4" i="16"/>
  <c r="X4" i="16" s="1"/>
  <c r="R160" i="2" s="1"/>
  <c r="V8" i="15"/>
  <c r="Z8" i="15" s="1"/>
  <c r="T152" i="2" s="1"/>
  <c r="T8" i="15"/>
  <c r="X8" i="15" s="1"/>
  <c r="R152" i="2" s="1"/>
  <c r="U8" i="15"/>
  <c r="Y8" i="15" s="1"/>
  <c r="S152" i="2" s="1"/>
  <c r="S8" i="15"/>
  <c r="W8" i="15" s="1"/>
  <c r="Q152" i="2" s="1"/>
  <c r="S12" i="14"/>
  <c r="W12" i="14" s="1"/>
  <c r="Q144" i="2" s="1"/>
  <c r="U12" i="14"/>
  <c r="Y12" i="14" s="1"/>
  <c r="S144" i="2" s="1"/>
  <c r="T12" i="14"/>
  <c r="X12" i="14" s="1"/>
  <c r="R144" i="2" s="1"/>
  <c r="V4" i="14"/>
  <c r="Z4" i="14" s="1"/>
  <c r="T136" i="2" s="1"/>
  <c r="T4" i="14"/>
  <c r="X4" i="14" s="1"/>
  <c r="R136" i="2" s="1"/>
  <c r="U4" i="14"/>
  <c r="Y4" i="14" s="1"/>
  <c r="S136" i="2" s="1"/>
  <c r="U11" i="13"/>
  <c r="Y11" i="13" s="1"/>
  <c r="S131" i="2" s="1"/>
  <c r="T11" i="13"/>
  <c r="X11" i="13" s="1"/>
  <c r="R131" i="2" s="1"/>
  <c r="V11" i="13"/>
  <c r="Z11" i="13" s="1"/>
  <c r="T131" i="2" s="1"/>
  <c r="M61" i="6"/>
  <c r="M12" i="4"/>
  <c r="M88" i="6"/>
  <c r="S9" i="13"/>
  <c r="W9" i="13" s="1"/>
  <c r="Q129" i="2" s="1"/>
  <c r="X2" i="13"/>
  <c r="R122" i="2" s="1"/>
  <c r="V7" i="13"/>
  <c r="Z7" i="13" s="1"/>
  <c r="T127" i="2" s="1"/>
  <c r="S7" i="13"/>
  <c r="W7" i="13" s="1"/>
  <c r="Q127" i="2" s="1"/>
  <c r="T7" i="16"/>
  <c r="X7" i="16" s="1"/>
  <c r="R163" i="2" s="1"/>
  <c r="S7" i="16"/>
  <c r="W7" i="16" s="1"/>
  <c r="Q163" i="2" s="1"/>
  <c r="U7" i="16"/>
  <c r="Y7" i="16" s="1"/>
  <c r="S163" i="2" s="1"/>
  <c r="V7" i="16"/>
  <c r="Z7" i="16" s="1"/>
  <c r="T163" i="2" s="1"/>
  <c r="U11" i="15"/>
  <c r="Y11" i="15" s="1"/>
  <c r="S155" i="2" s="1"/>
  <c r="V11" i="15"/>
  <c r="Z11" i="15" s="1"/>
  <c r="T155" i="2" s="1"/>
  <c r="S11" i="15"/>
  <c r="W11" i="15" s="1"/>
  <c r="Q155" i="2" s="1"/>
  <c r="T11" i="15"/>
  <c r="X11" i="15" s="1"/>
  <c r="R155" i="2" s="1"/>
  <c r="U3" i="15"/>
  <c r="Y3" i="15" s="1"/>
  <c r="S147" i="2" s="1"/>
  <c r="S3" i="15"/>
  <c r="W3" i="15" s="1"/>
  <c r="Q147" i="2" s="1"/>
  <c r="V7" i="14"/>
  <c r="Z7" i="14" s="1"/>
  <c r="T139" i="2" s="1"/>
  <c r="U7" i="14"/>
  <c r="Y7" i="14" s="1"/>
  <c r="S139" i="2" s="1"/>
  <c r="T7" i="14"/>
  <c r="X7" i="14" s="1"/>
  <c r="R139" i="2" s="1"/>
  <c r="S7" i="14"/>
  <c r="W7" i="14" s="1"/>
  <c r="Q139" i="2" s="1"/>
  <c r="M60" i="5"/>
  <c r="M61" i="5"/>
  <c r="M28" i="6"/>
  <c r="M94" i="6"/>
  <c r="M93" i="6"/>
  <c r="M71" i="4"/>
  <c r="M32" i="5"/>
  <c r="T2" i="15"/>
  <c r="X2" i="15" s="1"/>
  <c r="R146" i="2" s="1"/>
  <c r="T7" i="13"/>
  <c r="X7" i="13" s="1"/>
  <c r="R127" i="2" s="1"/>
  <c r="V6" i="14"/>
  <c r="Z6" i="14" s="1"/>
  <c r="T138" i="2" s="1"/>
  <c r="V12" i="14"/>
  <c r="Z12" i="14" s="1"/>
  <c r="T144" i="2" s="1"/>
  <c r="V10" i="14"/>
  <c r="Z10" i="14" s="1"/>
  <c r="T142" i="2" s="1"/>
  <c r="V4" i="16"/>
  <c r="Z4" i="16" s="1"/>
  <c r="T160" i="2" s="1"/>
  <c r="V2" i="16"/>
  <c r="Z2" i="16" s="1"/>
  <c r="T158" i="2" s="1"/>
  <c r="S2" i="16"/>
  <c r="W2" i="16" s="1"/>
  <c r="Q158" i="2" s="1"/>
  <c r="T2" i="14"/>
  <c r="X2" i="14" s="1"/>
  <c r="R134" i="2" s="1"/>
  <c r="V2" i="14"/>
  <c r="Z2" i="14" s="1"/>
  <c r="T134" i="2" s="1"/>
  <c r="S10" i="14"/>
  <c r="W10" i="14" s="1"/>
  <c r="Q142" i="2" s="1"/>
  <c r="Z13" i="13"/>
  <c r="T133" i="2" s="1"/>
  <c r="V2" i="15"/>
  <c r="Z2" i="15" s="1"/>
  <c r="T146" i="2" s="1"/>
  <c r="U11" i="14"/>
  <c r="Y11" i="14" s="1"/>
  <c r="S143" i="2" s="1"/>
  <c r="S6" i="16"/>
  <c r="W6" i="16" s="1"/>
  <c r="Q162" i="2" s="1"/>
  <c r="U6" i="16"/>
  <c r="Y6" i="16" s="1"/>
  <c r="S162" i="2" s="1"/>
  <c r="V6" i="16"/>
  <c r="Z6" i="16" s="1"/>
  <c r="T162" i="2" s="1"/>
  <c r="T6" i="16"/>
  <c r="X6" i="16" s="1"/>
  <c r="R162" i="2" s="1"/>
  <c r="S9" i="16"/>
  <c r="W9" i="16" s="1"/>
  <c r="Q165" i="2" s="1"/>
  <c r="T9" i="16"/>
  <c r="X9" i="16" s="1"/>
  <c r="R165" i="2" s="1"/>
  <c r="V9" i="16"/>
  <c r="Z9" i="16" s="1"/>
  <c r="T165" i="2" s="1"/>
  <c r="U6" i="13"/>
  <c r="Y6" i="13" s="1"/>
  <c r="S126" i="2" s="1"/>
  <c r="V6" i="13"/>
  <c r="Z6" i="13" s="1"/>
  <c r="T126" i="2" s="1"/>
  <c r="T6" i="13"/>
  <c r="X6" i="13" s="1"/>
  <c r="R126" i="2" s="1"/>
  <c r="T6" i="15"/>
  <c r="X6" i="15" s="1"/>
  <c r="R150" i="2" s="1"/>
  <c r="U6" i="15"/>
  <c r="Y6" i="15" s="1"/>
  <c r="S150" i="2" s="1"/>
  <c r="U5" i="13"/>
  <c r="Y5" i="13" s="1"/>
  <c r="S125" i="2" s="1"/>
  <c r="T5" i="13"/>
  <c r="X5" i="13" s="1"/>
  <c r="R125" i="2" s="1"/>
  <c r="V5" i="13"/>
  <c r="Z5" i="13" s="1"/>
  <c r="T125" i="2" s="1"/>
  <c r="S5" i="16"/>
  <c r="W5" i="16" s="1"/>
  <c r="Q161" i="2" s="1"/>
  <c r="V5" i="16"/>
  <c r="Z5" i="16" s="1"/>
  <c r="T161" i="2" s="1"/>
  <c r="S9" i="15"/>
  <c r="W9" i="15" s="1"/>
  <c r="Q153" i="2" s="1"/>
  <c r="V9" i="15"/>
  <c r="Z9" i="15" s="1"/>
  <c r="T153" i="2" s="1"/>
  <c r="U9" i="15"/>
  <c r="Y9" i="15" s="1"/>
  <c r="S153" i="2" s="1"/>
  <c r="T13" i="14"/>
  <c r="X13" i="14" s="1"/>
  <c r="R145" i="2" s="1"/>
  <c r="S13" i="14"/>
  <c r="W13" i="14" s="1"/>
  <c r="Q145" i="2" s="1"/>
  <c r="Z13" i="14"/>
  <c r="T145" i="2" s="1"/>
  <c r="U13" i="14"/>
  <c r="Y13" i="14" s="1"/>
  <c r="S145" i="2" s="1"/>
  <c r="U5" i="14"/>
  <c r="Y5" i="14" s="1"/>
  <c r="S137" i="2" s="1"/>
  <c r="V5" i="14"/>
  <c r="Z5" i="14" s="1"/>
  <c r="T137" i="2" s="1"/>
  <c r="S5" i="14"/>
  <c r="W5" i="14" s="1"/>
  <c r="Q137" i="2" s="1"/>
  <c r="S3" i="16"/>
  <c r="W3" i="16" s="1"/>
  <c r="Q159" i="2" s="1"/>
  <c r="S4" i="16"/>
  <c r="W4" i="16" s="1"/>
  <c r="Q160" i="2" s="1"/>
  <c r="V6" i="15"/>
  <c r="Z6" i="15" s="1"/>
  <c r="T150" i="2" s="1"/>
  <c r="U4" i="15"/>
  <c r="Y4" i="15" s="1"/>
  <c r="S148" i="2" s="1"/>
  <c r="S4" i="15"/>
  <c r="W4" i="15" s="1"/>
  <c r="Q148" i="2" s="1"/>
  <c r="T4" i="15"/>
  <c r="X4" i="15" s="1"/>
  <c r="R148" i="2" s="1"/>
  <c r="U8" i="14"/>
  <c r="Y8" i="14" s="1"/>
  <c r="S140" i="2" s="1"/>
  <c r="S8" i="14"/>
  <c r="W8" i="14" s="1"/>
  <c r="Q140" i="2" s="1"/>
  <c r="T8" i="14"/>
  <c r="X8" i="14" s="1"/>
  <c r="R140" i="2" s="1"/>
  <c r="V8" i="14"/>
  <c r="Z8" i="14" s="1"/>
  <c r="T140" i="2" s="1"/>
  <c r="S5" i="13"/>
  <c r="W5" i="13" s="1"/>
  <c r="Q125" i="2" s="1"/>
  <c r="V5" i="15"/>
  <c r="Z5" i="15" s="1"/>
  <c r="T149" i="2" s="1"/>
  <c r="S6" i="15"/>
  <c r="W6" i="15" s="1"/>
  <c r="Q150" i="2" s="1"/>
  <c r="Z12" i="15"/>
  <c r="T156" i="2" s="1"/>
  <c r="S12" i="15"/>
  <c r="W12" i="15" s="1"/>
  <c r="Q156" i="2" s="1"/>
  <c r="U12" i="15"/>
  <c r="Y12" i="15" s="1"/>
  <c r="S156" i="2" s="1"/>
  <c r="V4" i="13"/>
  <c r="Z4" i="13" s="1"/>
  <c r="T124" i="2" s="1"/>
  <c r="U4" i="13"/>
  <c r="Y4" i="13" s="1"/>
  <c r="S124" i="2" s="1"/>
  <c r="S4" i="13"/>
  <c r="W4" i="13" s="1"/>
  <c r="Q124" i="2" s="1"/>
  <c r="T4" i="13"/>
  <c r="X4" i="13" s="1"/>
  <c r="R124" i="2" s="1"/>
  <c r="T7" i="15"/>
  <c r="X7" i="15" s="1"/>
  <c r="R151" i="2" s="1"/>
  <c r="V7" i="15"/>
  <c r="Z7" i="15" s="1"/>
  <c r="T151" i="2" s="1"/>
  <c r="S7" i="15"/>
  <c r="W7" i="15" s="1"/>
  <c r="Q151" i="2" s="1"/>
  <c r="U7" i="15"/>
  <c r="Y7" i="15" s="1"/>
  <c r="S151" i="2" s="1"/>
  <c r="T11" i="14"/>
  <c r="X11" i="14" s="1"/>
  <c r="R143" i="2" s="1"/>
  <c r="S11" i="14"/>
  <c r="W11" i="14" s="1"/>
  <c r="Q143" i="2" s="1"/>
  <c r="T3" i="14"/>
  <c r="X3" i="14" s="1"/>
  <c r="R135" i="2" s="1"/>
  <c r="S3" i="14"/>
  <c r="W3" i="14" s="1"/>
  <c r="Q135" i="2" s="1"/>
  <c r="V3" i="14"/>
  <c r="Z3" i="14" s="1"/>
  <c r="T135" i="2" s="1"/>
  <c r="U3" i="14"/>
  <c r="Y3" i="14" s="1"/>
  <c r="S135" i="2" s="1"/>
  <c r="V10" i="13"/>
  <c r="Z10" i="13" s="1"/>
  <c r="T130" i="2" s="1"/>
  <c r="S10" i="13"/>
  <c r="W10" i="13" s="1"/>
  <c r="Q130" i="2" s="1"/>
  <c r="T10" i="13"/>
  <c r="X10" i="13" s="1"/>
  <c r="R130" i="2" s="1"/>
  <c r="U10" i="13"/>
  <c r="Y10" i="13" s="1"/>
  <c r="S130" i="2" s="1"/>
  <c r="M94" i="5"/>
  <c r="M68" i="6"/>
  <c r="M5" i="6"/>
  <c r="M68" i="4"/>
  <c r="U5" i="16"/>
  <c r="Y5" i="16" s="1"/>
  <c r="S161" i="2" s="1"/>
  <c r="V4" i="15"/>
  <c r="Z4" i="15" s="1"/>
  <c r="T148" i="2" s="1"/>
  <c r="U2" i="14"/>
  <c r="Y2" i="14" s="1"/>
  <c r="S134" i="2" s="1"/>
  <c r="T10" i="14"/>
  <c r="X10" i="14" s="1"/>
  <c r="R142" i="2" s="1"/>
  <c r="S11" i="13"/>
  <c r="W11" i="13" s="1"/>
  <c r="Q131" i="2" s="1"/>
  <c r="M47" i="4"/>
  <c r="M6" i="7"/>
  <c r="M15" i="4"/>
  <c r="M39" i="6"/>
  <c r="M56" i="7"/>
  <c r="M55" i="5"/>
  <c r="M77" i="5"/>
  <c r="T11" i="5" s="1"/>
  <c r="X11" i="5" s="1"/>
  <c r="R35" i="2" s="1"/>
  <c r="M84" i="5"/>
  <c r="M16" i="4"/>
  <c r="M15" i="5"/>
  <c r="M49" i="4"/>
  <c r="M64" i="4"/>
  <c r="M3" i="3"/>
  <c r="S2" i="3" s="1"/>
  <c r="W2" i="3" s="1"/>
  <c r="M7" i="5"/>
  <c r="U2" i="5" s="1"/>
  <c r="Y2" i="5" s="1"/>
  <c r="S26" i="2" s="1"/>
  <c r="M13" i="5"/>
  <c r="M32" i="6"/>
  <c r="M57" i="6"/>
  <c r="M97" i="5"/>
  <c r="V13" i="5" s="1"/>
  <c r="M96" i="6"/>
  <c r="M30" i="5"/>
  <c r="S10" i="5"/>
  <c r="W10" i="5" s="1"/>
  <c r="Q34" i="2" s="1"/>
  <c r="S11" i="6"/>
  <c r="W11" i="6" s="1"/>
  <c r="Q47" i="2" s="1"/>
  <c r="M55" i="4"/>
  <c r="M81" i="5"/>
  <c r="M81" i="4"/>
  <c r="M68" i="5"/>
  <c r="M69" i="4"/>
  <c r="T10" i="4" s="1"/>
  <c r="X10" i="4" s="1"/>
  <c r="R22" i="2" s="1"/>
  <c r="M61" i="4"/>
  <c r="T9" i="4" s="1"/>
  <c r="X9" i="4" s="1"/>
  <c r="R21" i="2" s="1"/>
  <c r="T6" i="5"/>
  <c r="X6" i="5" s="1"/>
  <c r="R30" i="2" s="1"/>
  <c r="AI176" i="2"/>
  <c r="M6" i="6"/>
  <c r="M54" i="6"/>
  <c r="U8" i="6" s="1"/>
  <c r="Y8" i="6" s="1"/>
  <c r="S44" i="2" s="1"/>
  <c r="M28" i="4"/>
  <c r="T5" i="4" s="1"/>
  <c r="X5" i="4" s="1"/>
  <c r="R17" i="2" s="1"/>
  <c r="T13" i="6"/>
  <c r="X13" i="6" s="1"/>
  <c r="R49" i="2" s="1"/>
  <c r="S3" i="7"/>
  <c r="W3" i="7" s="1"/>
  <c r="Q51" i="2" s="1"/>
  <c r="M92" i="4"/>
  <c r="T13" i="4" s="1"/>
  <c r="X13" i="4" s="1"/>
  <c r="R25" i="2" s="1"/>
  <c r="S6" i="4"/>
  <c r="W6" i="4" s="1"/>
  <c r="Q18" i="2" s="1"/>
  <c r="M69" i="5"/>
  <c r="M76" i="4"/>
  <c r="T13" i="5"/>
  <c r="X13" i="5" s="1"/>
  <c r="R37" i="2" s="1"/>
  <c r="M30" i="6"/>
  <c r="M71" i="6"/>
  <c r="M5" i="4"/>
  <c r="U3" i="9"/>
  <c r="Y3" i="9" s="1"/>
  <c r="S75" i="2" s="1"/>
  <c r="V3" i="9"/>
  <c r="Z3" i="9" s="1"/>
  <c r="T75" i="2" s="1"/>
  <c r="S3" i="9"/>
  <c r="W3" i="9" s="1"/>
  <c r="Q75" i="2" s="1"/>
  <c r="Q12" i="3"/>
  <c r="Q7" i="6"/>
  <c r="S7" i="6" s="1"/>
  <c r="W7" i="6" s="1"/>
  <c r="Q43" i="2" s="1"/>
  <c r="S12" i="4"/>
  <c r="W12" i="4" s="1"/>
  <c r="Q24" i="2" s="1"/>
  <c r="T5" i="5"/>
  <c r="X5" i="5" s="1"/>
  <c r="R29" i="2" s="1"/>
  <c r="S13" i="6"/>
  <c r="W13" i="6" s="1"/>
  <c r="Q49" i="2" s="1"/>
  <c r="S5" i="5"/>
  <c r="W5" i="5" s="1"/>
  <c r="Q29" i="2" s="1"/>
  <c r="V12" i="12"/>
  <c r="Z12" i="12" s="1"/>
  <c r="T120" i="2" s="1"/>
  <c r="S12" i="12"/>
  <c r="W12" i="12" s="1"/>
  <c r="Q120" i="2" s="1"/>
  <c r="M76" i="6"/>
  <c r="T11" i="6" s="1"/>
  <c r="X11" i="6" s="1"/>
  <c r="R47" i="2" s="1"/>
  <c r="M21" i="6"/>
  <c r="T4" i="6" s="1"/>
  <c r="X4" i="6" s="1"/>
  <c r="R40" i="2" s="1"/>
  <c r="M53" i="6"/>
  <c r="M85" i="6"/>
  <c r="T12" i="12"/>
  <c r="X12" i="12" s="1"/>
  <c r="R120" i="2" s="1"/>
  <c r="U2" i="12"/>
  <c r="Y2" i="12" s="1"/>
  <c r="S110" i="2" s="1"/>
  <c r="Z13" i="8"/>
  <c r="T73" i="2" s="1"/>
  <c r="M14" i="7"/>
  <c r="U3" i="7" s="1"/>
  <c r="Y3" i="7" s="1"/>
  <c r="S51" i="2" s="1"/>
  <c r="M70" i="7"/>
  <c r="M62" i="7"/>
  <c r="M71" i="7"/>
  <c r="M38" i="7"/>
  <c r="U6" i="7" s="1"/>
  <c r="Y6" i="7" s="1"/>
  <c r="S54" i="2" s="1"/>
  <c r="M54" i="7"/>
  <c r="M22" i="7"/>
  <c r="M7" i="7"/>
  <c r="M86" i="7"/>
  <c r="U12" i="7" s="1"/>
  <c r="Y12" i="7" s="1"/>
  <c r="S60" i="2" s="1"/>
  <c r="M63" i="7"/>
  <c r="M95" i="7"/>
  <c r="M31" i="7"/>
  <c r="U5" i="7" s="1"/>
  <c r="Y5" i="7" s="1"/>
  <c r="S53" i="2" s="1"/>
  <c r="M55" i="7"/>
  <c r="M46" i="7"/>
  <c r="U7" i="7" s="1"/>
  <c r="Y7" i="7" s="1"/>
  <c r="S55" i="2" s="1"/>
  <c r="M48" i="6"/>
  <c r="M40" i="6"/>
  <c r="M8" i="6"/>
  <c r="M33" i="6"/>
  <c r="M72" i="6"/>
  <c r="M16" i="6"/>
  <c r="M65" i="6"/>
  <c r="V9" i="6" s="1"/>
  <c r="Z9" i="6" s="1"/>
  <c r="T45" i="2" s="1"/>
  <c r="M49" i="6"/>
  <c r="M41" i="6"/>
  <c r="M97" i="6"/>
  <c r="M80" i="6"/>
  <c r="V11" i="6" s="1"/>
  <c r="Z11" i="6" s="1"/>
  <c r="T47" i="2" s="1"/>
  <c r="M73" i="6"/>
  <c r="V11" i="12"/>
  <c r="Z11" i="12" s="1"/>
  <c r="T119" i="2" s="1"/>
  <c r="T11" i="12"/>
  <c r="X11" i="12" s="1"/>
  <c r="R119" i="2" s="1"/>
  <c r="U11" i="12"/>
  <c r="Y11" i="12" s="1"/>
  <c r="S119" i="2" s="1"/>
  <c r="S11" i="12"/>
  <c r="W11" i="12" s="1"/>
  <c r="Q119" i="2" s="1"/>
  <c r="T9" i="8"/>
  <c r="X9" i="8" s="1"/>
  <c r="R69" i="2" s="1"/>
  <c r="U9" i="8"/>
  <c r="Y9" i="8" s="1"/>
  <c r="S69" i="2" s="1"/>
  <c r="Q13" i="7"/>
  <c r="Q2" i="8"/>
  <c r="S12" i="6"/>
  <c r="W12" i="6" s="1"/>
  <c r="Q48" i="2" s="1"/>
  <c r="T9" i="9"/>
  <c r="X9" i="9" s="1"/>
  <c r="R81" i="2" s="1"/>
  <c r="M21" i="7"/>
  <c r="M45" i="7"/>
  <c r="T7" i="7" s="1"/>
  <c r="X7" i="7" s="1"/>
  <c r="R55" i="2" s="1"/>
  <c r="M85" i="7"/>
  <c r="M53" i="7"/>
  <c r="M77" i="7"/>
  <c r="M52" i="7"/>
  <c r="M68" i="7"/>
  <c r="V5" i="8"/>
  <c r="Z5" i="8" s="1"/>
  <c r="T65" i="2" s="1"/>
  <c r="M54" i="4"/>
  <c r="M38" i="4"/>
  <c r="M46" i="4"/>
  <c r="M23" i="4"/>
  <c r="M94" i="4"/>
  <c r="U13" i="4" s="1"/>
  <c r="M70" i="4"/>
  <c r="M14" i="4"/>
  <c r="U3" i="4" s="1"/>
  <c r="Y3" i="4" s="1"/>
  <c r="S15" i="2" s="1"/>
  <c r="M63" i="4"/>
  <c r="M7" i="4"/>
  <c r="M31" i="4"/>
  <c r="M95" i="4"/>
  <c r="M22" i="4"/>
  <c r="U4" i="4" s="1"/>
  <c r="Y4" i="4" s="1"/>
  <c r="S16" i="2" s="1"/>
  <c r="M79" i="4"/>
  <c r="U11" i="4" s="1"/>
  <c r="Y11" i="4" s="1"/>
  <c r="S23" i="2" s="1"/>
  <c r="M30" i="4"/>
  <c r="M62" i="4"/>
  <c r="M86" i="4"/>
  <c r="M20" i="7"/>
  <c r="M16" i="5"/>
  <c r="V3" i="5" s="1"/>
  <c r="Z3" i="5" s="1"/>
  <c r="T27" i="2" s="1"/>
  <c r="M8" i="5"/>
  <c r="M65" i="5"/>
  <c r="V9" i="5" s="1"/>
  <c r="Z9" i="5" s="1"/>
  <c r="T33" i="2" s="1"/>
  <c r="M73" i="5"/>
  <c r="V10" i="5" s="1"/>
  <c r="Z10" i="5" s="1"/>
  <c r="T34" i="2" s="1"/>
  <c r="M49" i="5"/>
  <c r="M80" i="5"/>
  <c r="V11" i="5" s="1"/>
  <c r="Z11" i="5" s="1"/>
  <c r="T35" i="2" s="1"/>
  <c r="M48" i="5"/>
  <c r="V9" i="8"/>
  <c r="Z9" i="8" s="1"/>
  <c r="T69" i="2" s="1"/>
  <c r="U10" i="10"/>
  <c r="Y10" i="10" s="1"/>
  <c r="S94" i="2" s="1"/>
  <c r="T10" i="10"/>
  <c r="X10" i="10" s="1"/>
  <c r="R94" i="2" s="1"/>
  <c r="T3" i="10"/>
  <c r="X3" i="10" s="1"/>
  <c r="R87" i="2" s="1"/>
  <c r="U3" i="10"/>
  <c r="Y3" i="10" s="1"/>
  <c r="S87" i="2" s="1"/>
  <c r="V3" i="10"/>
  <c r="Z3" i="10" s="1"/>
  <c r="T87" i="2" s="1"/>
  <c r="V8" i="9"/>
  <c r="Z8" i="9" s="1"/>
  <c r="T80" i="2" s="1"/>
  <c r="U8" i="9"/>
  <c r="Y8" i="9" s="1"/>
  <c r="S80" i="2" s="1"/>
  <c r="S8" i="9"/>
  <c r="W8" i="9" s="1"/>
  <c r="Q80" i="2" s="1"/>
  <c r="T8" i="9"/>
  <c r="X8" i="9" s="1"/>
  <c r="R80" i="2" s="1"/>
  <c r="T8" i="8"/>
  <c r="X8" i="8" s="1"/>
  <c r="R68" i="2" s="1"/>
  <c r="V8" i="8"/>
  <c r="Z8" i="8" s="1"/>
  <c r="T68" i="2" s="1"/>
  <c r="U8" i="8"/>
  <c r="Y8" i="8" s="1"/>
  <c r="S68" i="2" s="1"/>
  <c r="S9" i="6"/>
  <c r="W9" i="6" s="1"/>
  <c r="Q45" i="2" s="1"/>
  <c r="S12" i="7"/>
  <c r="W12" i="7" s="1"/>
  <c r="Q60" i="2" s="1"/>
  <c r="S4" i="6"/>
  <c r="W4" i="6" s="1"/>
  <c r="Q40" i="2" s="1"/>
  <c r="V9" i="9"/>
  <c r="Z9" i="9" s="1"/>
  <c r="T81" i="2" s="1"/>
  <c r="V3" i="8"/>
  <c r="Z3" i="8" s="1"/>
  <c r="T63" i="2" s="1"/>
  <c r="M61" i="7"/>
  <c r="S10" i="8"/>
  <c r="W10" i="8" s="1"/>
  <c r="Q70" i="2" s="1"/>
  <c r="M29" i="6"/>
  <c r="T5" i="6" s="1"/>
  <c r="X5" i="6" s="1"/>
  <c r="R41" i="2" s="1"/>
  <c r="U9" i="9"/>
  <c r="Y9" i="9" s="1"/>
  <c r="S81" i="2" s="1"/>
  <c r="M31" i="6"/>
  <c r="U5" i="6" s="1"/>
  <c r="Y5" i="6" s="1"/>
  <c r="S41" i="2" s="1"/>
  <c r="M63" i="6"/>
  <c r="M22" i="6"/>
  <c r="M46" i="6"/>
  <c r="M38" i="6"/>
  <c r="M95" i="6"/>
  <c r="M87" i="6"/>
  <c r="M70" i="6"/>
  <c r="M14" i="6"/>
  <c r="M86" i="6"/>
  <c r="M15" i="6"/>
  <c r="M76" i="7"/>
  <c r="S5" i="12"/>
  <c r="W5" i="12" s="1"/>
  <c r="Q113" i="2" s="1"/>
  <c r="V5" i="12"/>
  <c r="Z5" i="12" s="1"/>
  <c r="T113" i="2" s="1"/>
  <c r="T5" i="12"/>
  <c r="X5" i="12" s="1"/>
  <c r="R113" i="2" s="1"/>
  <c r="U5" i="12"/>
  <c r="Y5" i="12" s="1"/>
  <c r="S113" i="2" s="1"/>
  <c r="U2" i="10"/>
  <c r="Y2" i="10" s="1"/>
  <c r="S86" i="2" s="1"/>
  <c r="T2" i="10"/>
  <c r="X2" i="10" s="1"/>
  <c r="R86" i="2" s="1"/>
  <c r="V2" i="10"/>
  <c r="Z2" i="10" s="1"/>
  <c r="T86" i="2" s="1"/>
  <c r="S2" i="10"/>
  <c r="W2" i="10" s="1"/>
  <c r="Q86" i="2" s="1"/>
  <c r="S9" i="12"/>
  <c r="W9" i="12" s="1"/>
  <c r="Q117" i="2" s="1"/>
  <c r="U9" i="12"/>
  <c r="Y9" i="12" s="1"/>
  <c r="S117" i="2" s="1"/>
  <c r="T9" i="12"/>
  <c r="X9" i="12" s="1"/>
  <c r="R117" i="2" s="1"/>
  <c r="V9" i="12"/>
  <c r="Z9" i="12" s="1"/>
  <c r="T117" i="2" s="1"/>
  <c r="S3" i="12"/>
  <c r="W3" i="12" s="1"/>
  <c r="Q111" i="2" s="1"/>
  <c r="U3" i="12"/>
  <c r="Y3" i="12" s="1"/>
  <c r="S111" i="2" s="1"/>
  <c r="V3" i="12"/>
  <c r="Z3" i="12" s="1"/>
  <c r="T111" i="2" s="1"/>
  <c r="T3" i="12"/>
  <c r="X3" i="12" s="1"/>
  <c r="R111" i="2" s="1"/>
  <c r="U8" i="10"/>
  <c r="Y8" i="10" s="1"/>
  <c r="S92" i="2" s="1"/>
  <c r="T8" i="10"/>
  <c r="X8" i="10" s="1"/>
  <c r="R92" i="2" s="1"/>
  <c r="S8" i="10"/>
  <c r="W8" i="10" s="1"/>
  <c r="Q92" i="2" s="1"/>
  <c r="Z13" i="9"/>
  <c r="T85" i="2" s="1"/>
  <c r="S13" i="9"/>
  <c r="W13" i="9" s="1"/>
  <c r="Q85" i="2" s="1"/>
  <c r="U13" i="9"/>
  <c r="Y13" i="9" s="1"/>
  <c r="S85" i="2" s="1"/>
  <c r="T7" i="9"/>
  <c r="X7" i="9" s="1"/>
  <c r="R79" i="2" s="1"/>
  <c r="U7" i="9"/>
  <c r="Y7" i="9" s="1"/>
  <c r="S79" i="2" s="1"/>
  <c r="V7" i="9"/>
  <c r="Z7" i="9" s="1"/>
  <c r="T79" i="2" s="1"/>
  <c r="U7" i="8"/>
  <c r="Y7" i="8" s="1"/>
  <c r="S67" i="2" s="1"/>
  <c r="S7" i="8"/>
  <c r="W7" i="8" s="1"/>
  <c r="Q67" i="2" s="1"/>
  <c r="T7" i="8"/>
  <c r="X7" i="8" s="1"/>
  <c r="R67" i="2" s="1"/>
  <c r="V7" i="8"/>
  <c r="Z7" i="8" s="1"/>
  <c r="T67" i="2" s="1"/>
  <c r="M7" i="3"/>
  <c r="S5" i="6"/>
  <c r="W5" i="6" s="1"/>
  <c r="Q41" i="2" s="1"/>
  <c r="S6" i="5"/>
  <c r="W6" i="5" s="1"/>
  <c r="Q30" i="2" s="1"/>
  <c r="M84" i="6"/>
  <c r="S5" i="8"/>
  <c r="W5" i="8" s="1"/>
  <c r="Q65" i="2" s="1"/>
  <c r="M92" i="7"/>
  <c r="U3" i="8"/>
  <c r="Y3" i="8" s="1"/>
  <c r="S63" i="2" s="1"/>
  <c r="M69" i="7"/>
  <c r="U13" i="10"/>
  <c r="Y13" i="10" s="1"/>
  <c r="S97" i="2" s="1"/>
  <c r="T13" i="10"/>
  <c r="X13" i="10" s="1"/>
  <c r="R97" i="2" s="1"/>
  <c r="S13" i="10"/>
  <c r="W13" i="10" s="1"/>
  <c r="Q97" i="2" s="1"/>
  <c r="Z13" i="10"/>
  <c r="T97" i="2" s="1"/>
  <c r="V7" i="10"/>
  <c r="Z7" i="10" s="1"/>
  <c r="T91" i="2" s="1"/>
  <c r="S7" i="10"/>
  <c r="W7" i="10" s="1"/>
  <c r="Q91" i="2" s="1"/>
  <c r="T7" i="10"/>
  <c r="X7" i="10" s="1"/>
  <c r="R91" i="2" s="1"/>
  <c r="T6" i="9"/>
  <c r="X6" i="9" s="1"/>
  <c r="R78" i="2" s="1"/>
  <c r="U6" i="9"/>
  <c r="Y6" i="9" s="1"/>
  <c r="S78" i="2" s="1"/>
  <c r="V6" i="9"/>
  <c r="Z6" i="9" s="1"/>
  <c r="T78" i="2" s="1"/>
  <c r="S6" i="9"/>
  <c r="W6" i="9" s="1"/>
  <c r="Q78" i="2" s="1"/>
  <c r="S6" i="8"/>
  <c r="W6" i="8" s="1"/>
  <c r="Q66" i="2" s="1"/>
  <c r="V6" i="8"/>
  <c r="Z6" i="8" s="1"/>
  <c r="T66" i="2" s="1"/>
  <c r="U6" i="8"/>
  <c r="Y6" i="8" s="1"/>
  <c r="S66" i="2" s="1"/>
  <c r="T6" i="8"/>
  <c r="X6" i="8" s="1"/>
  <c r="R66" i="2" s="1"/>
  <c r="S12" i="5"/>
  <c r="W12" i="5" s="1"/>
  <c r="Q36" i="2" s="1"/>
  <c r="V6" i="5"/>
  <c r="Z6" i="5" s="1"/>
  <c r="T30" i="2" s="1"/>
  <c r="V12" i="5"/>
  <c r="Z12" i="5" s="1"/>
  <c r="T36" i="2" s="1"/>
  <c r="T10" i="6"/>
  <c r="X10" i="6" s="1"/>
  <c r="R46" i="2" s="1"/>
  <c r="T5" i="7"/>
  <c r="X5" i="7" s="1"/>
  <c r="R53" i="2" s="1"/>
  <c r="S4" i="5"/>
  <c r="W4" i="5" s="1"/>
  <c r="Q28" i="2" s="1"/>
  <c r="U11" i="7"/>
  <c r="Y11" i="7" s="1"/>
  <c r="S59" i="2" s="1"/>
  <c r="M4" i="7"/>
  <c r="M36" i="7"/>
  <c r="T6" i="7" s="1"/>
  <c r="X6" i="7" s="1"/>
  <c r="R54" i="2" s="1"/>
  <c r="S3" i="8"/>
  <c r="W3" i="8" s="1"/>
  <c r="Q63" i="2" s="1"/>
  <c r="T13" i="9"/>
  <c r="X13" i="9" s="1"/>
  <c r="R85" i="2" s="1"/>
  <c r="U5" i="8"/>
  <c r="Y5" i="8" s="1"/>
  <c r="S65" i="2" s="1"/>
  <c r="M78" i="6"/>
  <c r="M87" i="4"/>
  <c r="T13" i="8"/>
  <c r="X13" i="8" s="1"/>
  <c r="R73" i="2" s="1"/>
  <c r="V10" i="10"/>
  <c r="Z10" i="10" s="1"/>
  <c r="T94" i="2" s="1"/>
  <c r="U4" i="10"/>
  <c r="Y4" i="10" s="1"/>
  <c r="S88" i="2" s="1"/>
  <c r="T4" i="10"/>
  <c r="X4" i="10" s="1"/>
  <c r="R88" i="2" s="1"/>
  <c r="S4" i="10"/>
  <c r="W4" i="10" s="1"/>
  <c r="Q88" i="2" s="1"/>
  <c r="T9" i="10"/>
  <c r="X9" i="10" s="1"/>
  <c r="R93" i="2" s="1"/>
  <c r="U9" i="10"/>
  <c r="Y9" i="10" s="1"/>
  <c r="S93" i="2" s="1"/>
  <c r="S9" i="10"/>
  <c r="W9" i="10" s="1"/>
  <c r="Q93" i="2" s="1"/>
  <c r="V9" i="10"/>
  <c r="Z9" i="10" s="1"/>
  <c r="T93" i="2" s="1"/>
  <c r="U6" i="10"/>
  <c r="Y6" i="10" s="1"/>
  <c r="S90" i="2" s="1"/>
  <c r="T6" i="10"/>
  <c r="X6" i="10" s="1"/>
  <c r="R90" i="2" s="1"/>
  <c r="V6" i="10"/>
  <c r="Z6" i="10" s="1"/>
  <c r="T90" i="2" s="1"/>
  <c r="U12" i="9"/>
  <c r="Y12" i="9" s="1"/>
  <c r="S84" i="2" s="1"/>
  <c r="V12" i="9"/>
  <c r="Z12" i="9" s="1"/>
  <c r="T84" i="2" s="1"/>
  <c r="T12" i="9"/>
  <c r="X12" i="9" s="1"/>
  <c r="R84" i="2" s="1"/>
  <c r="U5" i="9"/>
  <c r="Y5" i="9" s="1"/>
  <c r="S77" i="2" s="1"/>
  <c r="S5" i="9"/>
  <c r="W5" i="9" s="1"/>
  <c r="Q77" i="2" s="1"/>
  <c r="T5" i="9"/>
  <c r="X5" i="9" s="1"/>
  <c r="R77" i="2" s="1"/>
  <c r="S11" i="5"/>
  <c r="W11" i="5" s="1"/>
  <c r="Q35" i="2" s="1"/>
  <c r="T3" i="5"/>
  <c r="X3" i="5" s="1"/>
  <c r="R27" i="2" s="1"/>
  <c r="V3" i="6"/>
  <c r="Z3" i="6" s="1"/>
  <c r="T39" i="2" s="1"/>
  <c r="S9" i="7"/>
  <c r="W9" i="7" s="1"/>
  <c r="Q57" i="2" s="1"/>
  <c r="S3" i="5"/>
  <c r="W3" i="5" s="1"/>
  <c r="Q27" i="2" s="1"/>
  <c r="R3" i="11"/>
  <c r="S2" i="11"/>
  <c r="W2" i="11" s="1"/>
  <c r="Q98" i="2" s="1"/>
  <c r="T2" i="11"/>
  <c r="X2" i="11" s="1"/>
  <c r="R98" i="2" s="1"/>
  <c r="V2" i="11"/>
  <c r="Z2" i="11" s="1"/>
  <c r="T98" i="2" s="1"/>
  <c r="U2" i="11"/>
  <c r="Y2" i="11" s="1"/>
  <c r="S98" i="2" s="1"/>
  <c r="M13" i="7"/>
  <c r="T3" i="7" s="1"/>
  <c r="X3" i="7" s="1"/>
  <c r="R51" i="2" s="1"/>
  <c r="M45" i="6"/>
  <c r="S10" i="10"/>
  <c r="W10" i="10" s="1"/>
  <c r="Q94" i="2" s="1"/>
  <c r="M36" i="6"/>
  <c r="T6" i="6" s="1"/>
  <c r="X6" i="6" s="1"/>
  <c r="R42" i="2" s="1"/>
  <c r="T3" i="9"/>
  <c r="X3" i="9" s="1"/>
  <c r="R75" i="2" s="1"/>
  <c r="M44" i="6"/>
  <c r="S13" i="8"/>
  <c r="W13" i="8" s="1"/>
  <c r="Q73" i="2" s="1"/>
  <c r="U10" i="12"/>
  <c r="Y10" i="12" s="1"/>
  <c r="S118" i="2" s="1"/>
  <c r="V10" i="12"/>
  <c r="Z10" i="12" s="1"/>
  <c r="T118" i="2" s="1"/>
  <c r="S10" i="12"/>
  <c r="W10" i="12" s="1"/>
  <c r="Q118" i="2" s="1"/>
  <c r="T10" i="12"/>
  <c r="X10" i="12" s="1"/>
  <c r="R118" i="2" s="1"/>
  <c r="V2" i="12"/>
  <c r="Z2" i="12" s="1"/>
  <c r="T110" i="2" s="1"/>
  <c r="S2" i="12"/>
  <c r="W2" i="12" s="1"/>
  <c r="Q110" i="2" s="1"/>
  <c r="V8" i="12"/>
  <c r="Z8" i="12" s="1"/>
  <c r="T116" i="2" s="1"/>
  <c r="T8" i="12"/>
  <c r="X8" i="12" s="1"/>
  <c r="R116" i="2" s="1"/>
  <c r="S8" i="12"/>
  <c r="W8" i="12" s="1"/>
  <c r="Q116" i="2" s="1"/>
  <c r="U8" i="12"/>
  <c r="Y8" i="12" s="1"/>
  <c r="S116" i="2" s="1"/>
  <c r="U13" i="12"/>
  <c r="Y13" i="12" s="1"/>
  <c r="S121" i="2" s="1"/>
  <c r="T13" i="12"/>
  <c r="X13" i="12" s="1"/>
  <c r="R121" i="2" s="1"/>
  <c r="S13" i="12"/>
  <c r="W13" i="12" s="1"/>
  <c r="Q121" i="2" s="1"/>
  <c r="T7" i="12"/>
  <c r="X7" i="12" s="1"/>
  <c r="R115" i="2" s="1"/>
  <c r="V7" i="12"/>
  <c r="Z7" i="12" s="1"/>
  <c r="T115" i="2" s="1"/>
  <c r="S7" i="12"/>
  <c r="W7" i="12" s="1"/>
  <c r="Q115" i="2" s="1"/>
  <c r="U12" i="10"/>
  <c r="Y12" i="10" s="1"/>
  <c r="S96" i="2" s="1"/>
  <c r="V12" i="10"/>
  <c r="Z12" i="10" s="1"/>
  <c r="T96" i="2" s="1"/>
  <c r="V5" i="10"/>
  <c r="Z5" i="10" s="1"/>
  <c r="T89" i="2" s="1"/>
  <c r="U5" i="10"/>
  <c r="Y5" i="10" s="1"/>
  <c r="S89" i="2" s="1"/>
  <c r="T5" i="10"/>
  <c r="X5" i="10" s="1"/>
  <c r="R89" i="2" s="1"/>
  <c r="S5" i="10"/>
  <c r="W5" i="10" s="1"/>
  <c r="Q89" i="2" s="1"/>
  <c r="V11" i="9"/>
  <c r="Z11" i="9" s="1"/>
  <c r="T83" i="2" s="1"/>
  <c r="U11" i="9"/>
  <c r="Y11" i="9" s="1"/>
  <c r="S83" i="2" s="1"/>
  <c r="S11" i="9"/>
  <c r="W11" i="9" s="1"/>
  <c r="Q83" i="2" s="1"/>
  <c r="U11" i="8"/>
  <c r="Y11" i="8" s="1"/>
  <c r="S71" i="2" s="1"/>
  <c r="V11" i="8"/>
  <c r="Z11" i="8" s="1"/>
  <c r="T71" i="2" s="1"/>
  <c r="T11" i="8"/>
  <c r="X11" i="8" s="1"/>
  <c r="R71" i="2" s="1"/>
  <c r="S13" i="5"/>
  <c r="W13" i="5" s="1"/>
  <c r="Q37" i="2" s="1"/>
  <c r="S8" i="6"/>
  <c r="W8" i="6" s="1"/>
  <c r="Q44" i="2" s="1"/>
  <c r="S10" i="6"/>
  <c r="W10" i="6" s="1"/>
  <c r="Q46" i="2" s="1"/>
  <c r="S11" i="7"/>
  <c r="W11" i="7" s="1"/>
  <c r="Q59" i="2" s="1"/>
  <c r="M62" i="6"/>
  <c r="M12" i="6"/>
  <c r="M7" i="6"/>
  <c r="U2" i="6" s="1"/>
  <c r="Y2" i="6" s="1"/>
  <c r="S38" i="2" s="1"/>
  <c r="M6" i="4"/>
  <c r="M13" i="4"/>
  <c r="T3" i="4" s="1"/>
  <c r="X3" i="4" s="1"/>
  <c r="R15" i="2" s="1"/>
  <c r="M21" i="4"/>
  <c r="M20" i="4"/>
  <c r="M45" i="4"/>
  <c r="T7" i="4" s="1"/>
  <c r="X7" i="4" s="1"/>
  <c r="R19" i="2" s="1"/>
  <c r="M85" i="4"/>
  <c r="M77" i="4"/>
  <c r="T11" i="4" s="1"/>
  <c r="X11" i="4" s="1"/>
  <c r="R23" i="2" s="1"/>
  <c r="M36" i="4"/>
  <c r="M84" i="4"/>
  <c r="M53" i="4"/>
  <c r="T8" i="4" s="1"/>
  <c r="X8" i="4" s="1"/>
  <c r="R20" i="2" s="1"/>
  <c r="M60" i="6"/>
  <c r="T9" i="6" s="1"/>
  <c r="X9" i="6" s="1"/>
  <c r="R45" i="2" s="1"/>
  <c r="M37" i="4"/>
  <c r="M47" i="6"/>
  <c r="S12" i="10"/>
  <c r="W12" i="10" s="1"/>
  <c r="Q96" i="2" s="1"/>
  <c r="M4" i="6"/>
  <c r="T2" i="6" s="1"/>
  <c r="X2" i="6" s="1"/>
  <c r="R38" i="2" s="1"/>
  <c r="M65" i="7"/>
  <c r="V9" i="7" s="1"/>
  <c r="Z9" i="7" s="1"/>
  <c r="T57" i="2" s="1"/>
  <c r="M16" i="7"/>
  <c r="V3" i="7" s="1"/>
  <c r="Z3" i="7" s="1"/>
  <c r="T51" i="2" s="1"/>
  <c r="M73" i="7"/>
  <c r="V10" i="7" s="1"/>
  <c r="Z10" i="7" s="1"/>
  <c r="T58" i="2" s="1"/>
  <c r="M8" i="7"/>
  <c r="V2" i="7" s="1"/>
  <c r="Z2" i="7" s="1"/>
  <c r="T50" i="2" s="1"/>
  <c r="M57" i="7"/>
  <c r="V8" i="7" s="1"/>
  <c r="Z8" i="7" s="1"/>
  <c r="T56" i="2" s="1"/>
  <c r="M32" i="7"/>
  <c r="M41" i="7"/>
  <c r="V6" i="7" s="1"/>
  <c r="Z6" i="7" s="1"/>
  <c r="T54" i="2" s="1"/>
  <c r="M33" i="7"/>
  <c r="M48" i="7"/>
  <c r="V7" i="7" s="1"/>
  <c r="Z7" i="7" s="1"/>
  <c r="T55" i="2" s="1"/>
  <c r="M97" i="7"/>
  <c r="M80" i="7"/>
  <c r="V11" i="7" s="1"/>
  <c r="Z11" i="7" s="1"/>
  <c r="T59" i="2" s="1"/>
  <c r="M25" i="7"/>
  <c r="V4" i="7" s="1"/>
  <c r="Z4" i="7" s="1"/>
  <c r="T52" i="2" s="1"/>
  <c r="S9" i="8"/>
  <c r="W9" i="8" s="1"/>
  <c r="Q69" i="2" s="1"/>
  <c r="T2" i="9"/>
  <c r="X2" i="9" s="1"/>
  <c r="R74" i="2" s="1"/>
  <c r="U2" i="9"/>
  <c r="Y2" i="9" s="1"/>
  <c r="S74" i="2" s="1"/>
  <c r="V2" i="9"/>
  <c r="Z2" i="9" s="1"/>
  <c r="T74" i="2" s="1"/>
  <c r="S2" i="9"/>
  <c r="W2" i="9" s="1"/>
  <c r="Q74" i="2" s="1"/>
  <c r="V4" i="12"/>
  <c r="Z4" i="12" s="1"/>
  <c r="T112" i="2" s="1"/>
  <c r="S4" i="12"/>
  <c r="W4" i="12" s="1"/>
  <c r="Q112" i="2" s="1"/>
  <c r="T4" i="12"/>
  <c r="X4" i="12" s="1"/>
  <c r="R112" i="2" s="1"/>
  <c r="U4" i="12"/>
  <c r="Y4" i="12" s="1"/>
  <c r="S112" i="2" s="1"/>
  <c r="T12" i="8"/>
  <c r="X12" i="8" s="1"/>
  <c r="R72" i="2" s="1"/>
  <c r="V12" i="8"/>
  <c r="Z12" i="8" s="1"/>
  <c r="T72" i="2" s="1"/>
  <c r="V6" i="12"/>
  <c r="Z6" i="12" s="1"/>
  <c r="T114" i="2" s="1"/>
  <c r="T6" i="12"/>
  <c r="X6" i="12" s="1"/>
  <c r="R114" i="2" s="1"/>
  <c r="S6" i="12"/>
  <c r="W6" i="12" s="1"/>
  <c r="Q114" i="2" s="1"/>
  <c r="U6" i="12"/>
  <c r="Y6" i="12" s="1"/>
  <c r="S114" i="2" s="1"/>
  <c r="V11" i="10"/>
  <c r="Z11" i="10" s="1"/>
  <c r="T95" i="2" s="1"/>
  <c r="U11" i="10"/>
  <c r="Y11" i="10" s="1"/>
  <c r="S95" i="2" s="1"/>
  <c r="T11" i="10"/>
  <c r="X11" i="10" s="1"/>
  <c r="R95" i="2" s="1"/>
  <c r="V10" i="9"/>
  <c r="Z10" i="9" s="1"/>
  <c r="T82" i="2" s="1"/>
  <c r="S10" i="9"/>
  <c r="W10" i="9" s="1"/>
  <c r="Q82" i="2" s="1"/>
  <c r="U10" i="9"/>
  <c r="Y10" i="9" s="1"/>
  <c r="S82" i="2" s="1"/>
  <c r="T10" i="9"/>
  <c r="X10" i="9" s="1"/>
  <c r="R82" i="2" s="1"/>
  <c r="U4" i="9"/>
  <c r="Y4" i="9" s="1"/>
  <c r="S76" i="2" s="1"/>
  <c r="S4" i="9"/>
  <c r="W4" i="9" s="1"/>
  <c r="Q76" i="2" s="1"/>
  <c r="T4" i="9"/>
  <c r="X4" i="9" s="1"/>
  <c r="R76" i="2" s="1"/>
  <c r="V4" i="9"/>
  <c r="Z4" i="9" s="1"/>
  <c r="T76" i="2" s="1"/>
  <c r="V10" i="8"/>
  <c r="Z10" i="8" s="1"/>
  <c r="T70" i="2" s="1"/>
  <c r="T10" i="8"/>
  <c r="X10" i="8" s="1"/>
  <c r="R70" i="2" s="1"/>
  <c r="S4" i="8"/>
  <c r="W4" i="8" s="1"/>
  <c r="Q64" i="2" s="1"/>
  <c r="V4" i="8"/>
  <c r="Z4" i="8" s="1"/>
  <c r="T64" i="2" s="1"/>
  <c r="T4" i="8"/>
  <c r="X4" i="8" s="1"/>
  <c r="R64" i="2" s="1"/>
  <c r="U4" i="8"/>
  <c r="Y4" i="8" s="1"/>
  <c r="S64" i="2" s="1"/>
  <c r="V8" i="4"/>
  <c r="Z8" i="4" s="1"/>
  <c r="T20" i="2" s="1"/>
  <c r="V2" i="5"/>
  <c r="Z2" i="5" s="1"/>
  <c r="T26" i="2" s="1"/>
  <c r="V2" i="6"/>
  <c r="Z2" i="6" s="1"/>
  <c r="T38" i="2" s="1"/>
  <c r="S8" i="7"/>
  <c r="W8" i="7" s="1"/>
  <c r="Q56" i="2" s="1"/>
  <c r="M60" i="7"/>
  <c r="M5" i="7"/>
  <c r="T2" i="7" s="1"/>
  <c r="X2" i="7" s="1"/>
  <c r="R50" i="2" s="1"/>
  <c r="M13" i="6"/>
  <c r="M84" i="7"/>
  <c r="T12" i="7" s="1"/>
  <c r="X12" i="7" s="1"/>
  <c r="R60" i="2" s="1"/>
  <c r="M89" i="6"/>
  <c r="V12" i="6" s="1"/>
  <c r="Z12" i="6" s="1"/>
  <c r="T48" i="2" s="1"/>
  <c r="M79" i="6"/>
  <c r="M56" i="6"/>
  <c r="V8" i="6" s="1"/>
  <c r="Z8" i="6" s="1"/>
  <c r="T44" i="2" s="1"/>
  <c r="M93" i="7"/>
  <c r="S3" i="10"/>
  <c r="W3" i="10" s="1"/>
  <c r="Q87" i="2" s="1"/>
  <c r="M52" i="5"/>
  <c r="M44" i="5"/>
  <c r="T7" i="5" s="1"/>
  <c r="X7" i="5" s="1"/>
  <c r="R31" i="2" s="1"/>
  <c r="M85" i="5"/>
  <c r="T12" i="5" s="1"/>
  <c r="X12" i="5" s="1"/>
  <c r="R36" i="2" s="1"/>
  <c r="M53" i="5"/>
  <c r="M4" i="5"/>
  <c r="T2" i="5" s="1"/>
  <c r="X2" i="5" s="1"/>
  <c r="R26" i="2" s="1"/>
  <c r="M21" i="5"/>
  <c r="T4" i="5" s="1"/>
  <c r="X4" i="5" s="1"/>
  <c r="R28" i="2" s="1"/>
  <c r="M33" i="5"/>
  <c r="M25" i="5"/>
  <c r="V4" i="5" s="1"/>
  <c r="Z4" i="5" s="1"/>
  <c r="T28" i="2" s="1"/>
  <c r="M39" i="4"/>
  <c r="M52" i="6"/>
  <c r="M23" i="6"/>
  <c r="M31" i="5"/>
  <c r="M62" i="5"/>
  <c r="M79" i="5"/>
  <c r="M47" i="5"/>
  <c r="M86" i="5"/>
  <c r="M95" i="5"/>
  <c r="M78" i="5"/>
  <c r="M14" i="5"/>
  <c r="M54" i="5"/>
  <c r="U8" i="5" s="1"/>
  <c r="Y8" i="5" s="1"/>
  <c r="S32" i="2" s="1"/>
  <c r="M23" i="5"/>
  <c r="M63" i="5"/>
  <c r="M87" i="5"/>
  <c r="M38" i="5"/>
  <c r="U6" i="5" s="1"/>
  <c r="Y6" i="5" s="1"/>
  <c r="S30" i="2" s="1"/>
  <c r="M70" i="5"/>
  <c r="U10" i="5" s="1"/>
  <c r="Y10" i="5" s="1"/>
  <c r="S34" i="2" s="1"/>
  <c r="M22" i="5"/>
  <c r="M46" i="5"/>
  <c r="S11" i="8"/>
  <c r="W11" i="8" s="1"/>
  <c r="Q71" i="2" s="1"/>
  <c r="M25" i="6"/>
  <c r="V4" i="6" s="1"/>
  <c r="Z4" i="6" s="1"/>
  <c r="T40" i="2" s="1"/>
  <c r="M97" i="4"/>
  <c r="V13" i="4" s="1"/>
  <c r="Z13" i="4" s="1"/>
  <c r="T25" i="2" s="1"/>
  <c r="M80" i="4"/>
  <c r="V11" i="4" s="1"/>
  <c r="Z11" i="4" s="1"/>
  <c r="T23" i="2" s="1"/>
  <c r="M48" i="4"/>
  <c r="V7" i="4" s="1"/>
  <c r="Z7" i="4" s="1"/>
  <c r="T19" i="2" s="1"/>
  <c r="M25" i="4"/>
  <c r="M17" i="4"/>
  <c r="V3" i="4" s="1"/>
  <c r="Z3" i="4" s="1"/>
  <c r="T15" i="2" s="1"/>
  <c r="M73" i="4"/>
  <c r="V10" i="4" s="1"/>
  <c r="Z10" i="4" s="1"/>
  <c r="T22" i="2" s="1"/>
  <c r="M89" i="4"/>
  <c r="M32" i="4"/>
  <c r="M8" i="4"/>
  <c r="V2" i="4" s="1"/>
  <c r="Z2" i="4" s="1"/>
  <c r="T14" i="2" s="1"/>
  <c r="M24" i="4"/>
  <c r="M88" i="4"/>
  <c r="M33" i="4"/>
  <c r="M65" i="4"/>
  <c r="V9" i="4" s="1"/>
  <c r="Z9" i="4" s="1"/>
  <c r="T21" i="2" s="1"/>
  <c r="M57" i="5"/>
  <c r="V8" i="5" s="1"/>
  <c r="Z8" i="5" s="1"/>
  <c r="T32" i="2" s="1"/>
  <c r="U12" i="8"/>
  <c r="Y12" i="8" s="1"/>
  <c r="S72" i="2" s="1"/>
  <c r="S3" i="6"/>
  <c r="W3" i="6" s="1"/>
  <c r="Q39" i="2" s="1"/>
  <c r="S9" i="5"/>
  <c r="W9" i="5" s="1"/>
  <c r="Q33" i="2" s="1"/>
  <c r="S8" i="5"/>
  <c r="W8" i="5" s="1"/>
  <c r="Q32" i="2" s="1"/>
  <c r="S2" i="6"/>
  <c r="W2" i="6" s="1"/>
  <c r="Q38" i="2" s="1"/>
  <c r="T9" i="5"/>
  <c r="X9" i="5" s="1"/>
  <c r="R33" i="2" s="1"/>
  <c r="S13" i="4"/>
  <c r="W13" i="4" s="1"/>
  <c r="Q25" i="2" s="1"/>
  <c r="A10" i="3"/>
  <c r="A11" i="3" s="1"/>
  <c r="A12" i="3" s="1"/>
  <c r="A13" i="3" s="1"/>
  <c r="A14" i="3" s="1"/>
  <c r="A15" i="3" s="1"/>
  <c r="A16" i="3" s="1"/>
  <c r="A17" i="3" s="1"/>
  <c r="K71" i="3"/>
  <c r="M71" i="3" s="1"/>
  <c r="L33" i="3"/>
  <c r="Q11" i="3"/>
  <c r="Q10" i="3"/>
  <c r="Q9" i="3"/>
  <c r="Q8" i="3"/>
  <c r="Q7" i="3"/>
  <c r="Q6" i="3"/>
  <c r="Q13" i="3"/>
  <c r="Q5" i="3"/>
  <c r="Q4" i="3"/>
  <c r="M62" i="3"/>
  <c r="M14" i="3"/>
  <c r="K75" i="3"/>
  <c r="L67" i="3"/>
  <c r="L90" i="3"/>
  <c r="M23" i="3"/>
  <c r="M87" i="3"/>
  <c r="M58" i="3"/>
  <c r="L48" i="3"/>
  <c r="L78" i="3"/>
  <c r="K12" i="3"/>
  <c r="M12" i="3" s="1"/>
  <c r="L52" i="3"/>
  <c r="L82" i="3"/>
  <c r="L19" i="3"/>
  <c r="K56" i="3"/>
  <c r="K86" i="3"/>
  <c r="K41" i="3"/>
  <c r="K26" i="3"/>
  <c r="K60" i="3"/>
  <c r="K91" i="3"/>
  <c r="K37" i="3"/>
  <c r="M37" i="3" s="1"/>
  <c r="L29" i="3"/>
  <c r="L63" i="3"/>
  <c r="L94" i="3"/>
  <c r="M79" i="3"/>
  <c r="M88" i="3"/>
  <c r="M39" i="3"/>
  <c r="M31" i="3"/>
  <c r="M54" i="3"/>
  <c r="M95" i="3"/>
  <c r="M43" i="3"/>
  <c r="L11" i="3"/>
  <c r="M11" i="3" s="1"/>
  <c r="K15" i="3"/>
  <c r="M15" i="3" s="1"/>
  <c r="L18" i="3"/>
  <c r="M18" i="3" s="1"/>
  <c r="K22" i="3"/>
  <c r="K25" i="3"/>
  <c r="L32" i="3"/>
  <c r="M32" i="3" s="1"/>
  <c r="L36" i="3"/>
  <c r="M36" i="3" s="1"/>
  <c r="K40" i="3"/>
  <c r="K44" i="3"/>
  <c r="L47" i="3"/>
  <c r="M47" i="3" s="1"/>
  <c r="L51" i="3"/>
  <c r="M51" i="3" s="1"/>
  <c r="K55" i="3"/>
  <c r="K59" i="3"/>
  <c r="L66" i="3"/>
  <c r="M66" i="3" s="1"/>
  <c r="K74" i="3"/>
  <c r="L77" i="3"/>
  <c r="L81" i="3"/>
  <c r="M81" i="3" s="1"/>
  <c r="K85" i="3"/>
  <c r="K89" i="3"/>
  <c r="L93" i="3"/>
  <c r="L97" i="3"/>
  <c r="M97" i="3" s="1"/>
  <c r="L15" i="3"/>
  <c r="K19" i="3"/>
  <c r="L22" i="3"/>
  <c r="L25" i="3"/>
  <c r="K29" i="3"/>
  <c r="K33" i="3"/>
  <c r="L40" i="3"/>
  <c r="L44" i="3"/>
  <c r="K48" i="3"/>
  <c r="K52" i="3"/>
  <c r="L55" i="3"/>
  <c r="L59" i="3"/>
  <c r="K63" i="3"/>
  <c r="K67" i="3"/>
  <c r="L70" i="3"/>
  <c r="M70" i="3" s="1"/>
  <c r="L74" i="3"/>
  <c r="K78" i="3"/>
  <c r="K82" i="3"/>
  <c r="L85" i="3"/>
  <c r="L89" i="3"/>
  <c r="K94" i="3"/>
  <c r="K90" i="3"/>
  <c r="L12" i="3"/>
  <c r="K16" i="3"/>
  <c r="K20" i="3"/>
  <c r="L26" i="3"/>
  <c r="K30" i="3"/>
  <c r="K34" i="3"/>
  <c r="L37" i="3"/>
  <c r="L41" i="3"/>
  <c r="K45" i="3"/>
  <c r="K49" i="3"/>
  <c r="L56" i="3"/>
  <c r="L60" i="3"/>
  <c r="K64" i="3"/>
  <c r="K68" i="3"/>
  <c r="L75" i="3"/>
  <c r="K83" i="3"/>
  <c r="L86" i="3"/>
  <c r="M86" i="3" s="1"/>
  <c r="L91" i="3"/>
  <c r="M91" i="3" s="1"/>
  <c r="K13" i="3"/>
  <c r="M13" i="3" s="1"/>
  <c r="L16" i="3"/>
  <c r="L20" i="3"/>
  <c r="K27" i="3"/>
  <c r="L30" i="3"/>
  <c r="L34" i="3"/>
  <c r="K38" i="3"/>
  <c r="K42" i="3"/>
  <c r="L45" i="3"/>
  <c r="L49" i="3"/>
  <c r="K53" i="3"/>
  <c r="K57" i="3"/>
  <c r="L64" i="3"/>
  <c r="L68" i="3"/>
  <c r="K72" i="3"/>
  <c r="K76" i="3"/>
  <c r="L83" i="3"/>
  <c r="K92" i="3"/>
  <c r="L13" i="3"/>
  <c r="K17" i="3"/>
  <c r="M17" i="3" s="1"/>
  <c r="K21" i="3"/>
  <c r="K24" i="3"/>
  <c r="M24" i="3" s="1"/>
  <c r="L27" i="3"/>
  <c r="K35" i="3"/>
  <c r="M35" i="3" s="1"/>
  <c r="L38" i="3"/>
  <c r="L42" i="3"/>
  <c r="K46" i="3"/>
  <c r="M46" i="3" s="1"/>
  <c r="K50" i="3"/>
  <c r="M50" i="3" s="1"/>
  <c r="L53" i="3"/>
  <c r="L57" i="3"/>
  <c r="K61" i="3"/>
  <c r="K65" i="3"/>
  <c r="L72" i="3"/>
  <c r="L76" i="3"/>
  <c r="K80" i="3"/>
  <c r="M80" i="3" s="1"/>
  <c r="K84" i="3"/>
  <c r="L92" i="3"/>
  <c r="K96" i="3"/>
  <c r="M96" i="3" s="1"/>
  <c r="L10" i="3"/>
  <c r="L21" i="3"/>
  <c r="K28" i="3"/>
  <c r="M28" i="3" s="1"/>
  <c r="L61" i="3"/>
  <c r="L65" i="3"/>
  <c r="K69" i="3"/>
  <c r="K73" i="3"/>
  <c r="M73" i="3" s="1"/>
  <c r="L84" i="3"/>
  <c r="M63" i="3"/>
  <c r="L69" i="3"/>
  <c r="K77" i="3"/>
  <c r="K93" i="3"/>
  <c r="K4" i="3"/>
  <c r="L4" i="3"/>
  <c r="K5" i="3"/>
  <c r="L5" i="3"/>
  <c r="K8" i="3"/>
  <c r="L6" i="3"/>
  <c r="K9" i="3"/>
  <c r="K6" i="3"/>
  <c r="L8" i="3"/>
  <c r="L9" i="3"/>
  <c r="L2" i="3"/>
  <c r="U2" i="4" l="1"/>
  <c r="Y2" i="4" s="1"/>
  <c r="S14" i="2" s="1"/>
  <c r="T12" i="6"/>
  <c r="X12" i="6" s="1"/>
  <c r="R48" i="2" s="1"/>
  <c r="U2" i="7"/>
  <c r="Y2" i="7" s="1"/>
  <c r="S50" i="2" s="1"/>
  <c r="V13" i="3"/>
  <c r="U10" i="6"/>
  <c r="Y10" i="6" s="1"/>
  <c r="S46" i="2" s="1"/>
  <c r="V6" i="4"/>
  <c r="Z6" i="4" s="1"/>
  <c r="T18" i="2" s="1"/>
  <c r="T13" i="7"/>
  <c r="X13" i="7" s="1"/>
  <c r="R61" i="2" s="1"/>
  <c r="Z13" i="5"/>
  <c r="T37" i="2" s="1"/>
  <c r="T2" i="4"/>
  <c r="V13" i="7"/>
  <c r="Z13" i="7" s="1"/>
  <c r="T61" i="2" s="1"/>
  <c r="V13" i="6"/>
  <c r="Z13" i="6" s="1"/>
  <c r="T49" i="2" s="1"/>
  <c r="S13" i="7"/>
  <c r="W13" i="7" s="1"/>
  <c r="Q61" i="2" s="1"/>
  <c r="V5" i="6"/>
  <c r="Z5" i="6" s="1"/>
  <c r="T41" i="2" s="1"/>
  <c r="V5" i="5"/>
  <c r="Z5" i="5" s="1"/>
  <c r="T29" i="2" s="1"/>
  <c r="U10" i="4"/>
  <c r="Y10" i="4" s="1"/>
  <c r="S22" i="2" s="1"/>
  <c r="U3" i="5"/>
  <c r="Y3" i="5" s="1"/>
  <c r="S27" i="2" s="1"/>
  <c r="U4" i="7"/>
  <c r="Y4" i="7" s="1"/>
  <c r="S52" i="2" s="1"/>
  <c r="U9" i="6"/>
  <c r="Y9" i="6" s="1"/>
  <c r="S45" i="2" s="1"/>
  <c r="U6" i="6"/>
  <c r="Y6" i="6" s="1"/>
  <c r="S42" i="2" s="1"/>
  <c r="U7" i="4"/>
  <c r="Y7" i="4" s="1"/>
  <c r="S19" i="2" s="1"/>
  <c r="U5" i="5"/>
  <c r="Y5" i="5" s="1"/>
  <c r="S29" i="2" s="1"/>
  <c r="T11" i="7"/>
  <c r="X11" i="7" s="1"/>
  <c r="R59" i="2" s="1"/>
  <c r="T8" i="6"/>
  <c r="X8" i="6" s="1"/>
  <c r="R44" i="2" s="1"/>
  <c r="T4" i="7"/>
  <c r="X4" i="7" s="1"/>
  <c r="R52" i="2" s="1"/>
  <c r="T9" i="7"/>
  <c r="X9" i="7" s="1"/>
  <c r="R57" i="2" s="1"/>
  <c r="X2" i="4"/>
  <c r="R14" i="2" s="1"/>
  <c r="U8" i="4"/>
  <c r="Y8" i="4" s="1"/>
  <c r="S20" i="2" s="1"/>
  <c r="T4" i="4"/>
  <c r="X4" i="4" s="1"/>
  <c r="R16" i="2" s="1"/>
  <c r="M8" i="3"/>
  <c r="U9" i="5"/>
  <c r="Y9" i="5" s="1"/>
  <c r="S33" i="2" s="1"/>
  <c r="V5" i="7"/>
  <c r="Z5" i="7" s="1"/>
  <c r="T53" i="2" s="1"/>
  <c r="T10" i="5"/>
  <c r="X10" i="5" s="1"/>
  <c r="R34" i="2" s="1"/>
  <c r="U12" i="5"/>
  <c r="Y12" i="5" s="1"/>
  <c r="S36" i="2" s="1"/>
  <c r="U12" i="6"/>
  <c r="Y12" i="6" s="1"/>
  <c r="S48" i="2" s="1"/>
  <c r="V6" i="6"/>
  <c r="Z6" i="6" s="1"/>
  <c r="T42" i="2" s="1"/>
  <c r="U9" i="4"/>
  <c r="Y9" i="4" s="1"/>
  <c r="S21" i="2" s="1"/>
  <c r="U7" i="5"/>
  <c r="Y7" i="5" s="1"/>
  <c r="S31" i="2" s="1"/>
  <c r="U9" i="3"/>
  <c r="Y9" i="3" s="1"/>
  <c r="S9" i="2" s="1"/>
  <c r="U4" i="5"/>
  <c r="Y4" i="5" s="1"/>
  <c r="S28" i="2" s="1"/>
  <c r="U11" i="5"/>
  <c r="Y11" i="5" s="1"/>
  <c r="S35" i="2" s="1"/>
  <c r="U10" i="7"/>
  <c r="Y10" i="7" s="1"/>
  <c r="S58" i="2" s="1"/>
  <c r="U13" i="7"/>
  <c r="Y13" i="7" s="1"/>
  <c r="S61" i="2" s="1"/>
  <c r="R4" i="11"/>
  <c r="T3" i="11"/>
  <c r="X3" i="11" s="1"/>
  <c r="R99" i="2" s="1"/>
  <c r="U3" i="11"/>
  <c r="Y3" i="11" s="1"/>
  <c r="S99" i="2" s="1"/>
  <c r="V3" i="11"/>
  <c r="Z3" i="11" s="1"/>
  <c r="T99" i="2" s="1"/>
  <c r="S3" i="11"/>
  <c r="W3" i="11" s="1"/>
  <c r="Q99" i="2" s="1"/>
  <c r="U7" i="6"/>
  <c r="Y7" i="6" s="1"/>
  <c r="S43" i="2" s="1"/>
  <c r="U6" i="4"/>
  <c r="Y6" i="4" s="1"/>
  <c r="S18" i="2" s="1"/>
  <c r="V10" i="6"/>
  <c r="Z10" i="6" s="1"/>
  <c r="T46" i="2" s="1"/>
  <c r="U9" i="7"/>
  <c r="Y9" i="7" s="1"/>
  <c r="S57" i="2" s="1"/>
  <c r="U4" i="6"/>
  <c r="Y4" i="6" s="1"/>
  <c r="S40" i="2" s="1"/>
  <c r="U13" i="5"/>
  <c r="Y13" i="5" s="1"/>
  <c r="S37" i="2" s="1"/>
  <c r="V2" i="8"/>
  <c r="Z2" i="8" s="1"/>
  <c r="T62" i="2" s="1"/>
  <c r="S2" i="8"/>
  <c r="W2" i="8" s="1"/>
  <c r="Q62" i="2" s="1"/>
  <c r="U2" i="8"/>
  <c r="Y2" i="8" s="1"/>
  <c r="S62" i="2" s="1"/>
  <c r="T2" i="8"/>
  <c r="X2" i="8" s="1"/>
  <c r="R62" i="2" s="1"/>
  <c r="U12" i="4"/>
  <c r="Y12" i="4" s="1"/>
  <c r="S24" i="2" s="1"/>
  <c r="U3" i="6"/>
  <c r="Y3" i="6" s="1"/>
  <c r="S39" i="2" s="1"/>
  <c r="T8" i="5"/>
  <c r="X8" i="5" s="1"/>
  <c r="R32" i="2" s="1"/>
  <c r="V12" i="4"/>
  <c r="Z12" i="4" s="1"/>
  <c r="T24" i="2" s="1"/>
  <c r="T12" i="4"/>
  <c r="X12" i="4" s="1"/>
  <c r="R24" i="2" s="1"/>
  <c r="T6" i="4"/>
  <c r="X6" i="4" s="1"/>
  <c r="R18" i="2" s="1"/>
  <c r="U11" i="6"/>
  <c r="Y11" i="6" s="1"/>
  <c r="S47" i="2" s="1"/>
  <c r="V7" i="5"/>
  <c r="Z7" i="5" s="1"/>
  <c r="T31" i="2" s="1"/>
  <c r="U5" i="4"/>
  <c r="Y5" i="4" s="1"/>
  <c r="S17" i="2" s="1"/>
  <c r="T10" i="7"/>
  <c r="X10" i="7" s="1"/>
  <c r="R58" i="2" s="1"/>
  <c r="V7" i="6"/>
  <c r="Z7" i="6" s="1"/>
  <c r="T43" i="2" s="1"/>
  <c r="V4" i="4"/>
  <c r="Z4" i="4" s="1"/>
  <c r="T16" i="2" s="1"/>
  <c r="V5" i="4"/>
  <c r="Z5" i="4" s="1"/>
  <c r="T17" i="2" s="1"/>
  <c r="T3" i="6"/>
  <c r="X3" i="6" s="1"/>
  <c r="R39" i="2" s="1"/>
  <c r="T7" i="6"/>
  <c r="X7" i="6" s="1"/>
  <c r="R43" i="2" s="1"/>
  <c r="U13" i="6"/>
  <c r="Y13" i="6" s="1"/>
  <c r="S49" i="2" s="1"/>
  <c r="Y13" i="4"/>
  <c r="S25" i="2" s="1"/>
  <c r="T8" i="7"/>
  <c r="X8" i="7" s="1"/>
  <c r="R56" i="2" s="1"/>
  <c r="U8" i="7"/>
  <c r="Y8" i="7" s="1"/>
  <c r="S56" i="2" s="1"/>
  <c r="M5" i="3"/>
  <c r="M67" i="3"/>
  <c r="S10" i="3" s="1"/>
  <c r="W10" i="3" s="1"/>
  <c r="Q10" i="2" s="1"/>
  <c r="M4" i="3"/>
  <c r="M33" i="3"/>
  <c r="V5" i="3" s="1"/>
  <c r="Z5" i="3" s="1"/>
  <c r="T5" i="2" s="1"/>
  <c r="M84" i="3"/>
  <c r="M75" i="3"/>
  <c r="M6" i="3"/>
  <c r="U2" i="3" s="1"/>
  <c r="Y2" i="3" s="1"/>
  <c r="S2" i="2" s="1"/>
  <c r="M93" i="3"/>
  <c r="M10" i="3"/>
  <c r="S3" i="3" s="1"/>
  <c r="W3" i="3" s="1"/>
  <c r="Q3" i="2" s="1"/>
  <c r="M90" i="3"/>
  <c r="S13" i="3" s="1"/>
  <c r="W13" i="3" s="1"/>
  <c r="Q13" i="2" s="1"/>
  <c r="M9" i="3"/>
  <c r="V2" i="3" s="1"/>
  <c r="Z2" i="3" s="1"/>
  <c r="T2" i="2" s="1"/>
  <c r="M45" i="3"/>
  <c r="M52" i="3"/>
  <c r="M21" i="3"/>
  <c r="M60" i="3"/>
  <c r="M48" i="3"/>
  <c r="M92" i="3"/>
  <c r="T13" i="3" s="1"/>
  <c r="M68" i="3"/>
  <c r="M83" i="3"/>
  <c r="M26" i="3"/>
  <c r="U12" i="3"/>
  <c r="Y12" i="3" s="1"/>
  <c r="S12" i="2" s="1"/>
  <c r="U7" i="3"/>
  <c r="Y7" i="3" s="1"/>
  <c r="S7" i="2" s="1"/>
  <c r="M40" i="3"/>
  <c r="M82" i="3"/>
  <c r="M19" i="3"/>
  <c r="M78" i="3"/>
  <c r="U11" i="3" s="1"/>
  <c r="Y11" i="3" s="1"/>
  <c r="S11" i="2" s="1"/>
  <c r="Z13" i="3"/>
  <c r="T13" i="2" s="1"/>
  <c r="M56" i="3"/>
  <c r="T6" i="3"/>
  <c r="X6" i="3" s="1"/>
  <c r="R6" i="2" s="1"/>
  <c r="V11" i="3"/>
  <c r="Z11" i="3" s="1"/>
  <c r="T11" i="2" s="1"/>
  <c r="M59" i="3"/>
  <c r="S9" i="3" s="1"/>
  <c r="W9" i="3" s="1"/>
  <c r="Q9" i="2" s="1"/>
  <c r="M25" i="3"/>
  <c r="V4" i="3" s="1"/>
  <c r="Z4" i="3" s="1"/>
  <c r="T4" i="2" s="1"/>
  <c r="M41" i="3"/>
  <c r="U10" i="3"/>
  <c r="Y10" i="3" s="1"/>
  <c r="S10" i="2" s="1"/>
  <c r="M22" i="3"/>
  <c r="U4" i="3" s="1"/>
  <c r="Y4" i="3" s="1"/>
  <c r="S4" i="2" s="1"/>
  <c r="M69" i="3"/>
  <c r="Q2" i="2"/>
  <c r="M76" i="3"/>
  <c r="M94" i="3"/>
  <c r="U13" i="3" s="1"/>
  <c r="Y13" i="3" s="1"/>
  <c r="S13" i="2" s="1"/>
  <c r="M29" i="3"/>
  <c r="T5" i="3" s="1"/>
  <c r="X5" i="3" s="1"/>
  <c r="R5" i="2" s="1"/>
  <c r="M72" i="3"/>
  <c r="V10" i="3" s="1"/>
  <c r="Z10" i="3" s="1"/>
  <c r="T10" i="2" s="1"/>
  <c r="M42" i="3"/>
  <c r="S7" i="3" s="1"/>
  <c r="W7" i="3" s="1"/>
  <c r="Q7" i="2" s="1"/>
  <c r="M74" i="3"/>
  <c r="M38" i="3"/>
  <c r="U6" i="3" s="1"/>
  <c r="Y6" i="3" s="1"/>
  <c r="S6" i="2" s="1"/>
  <c r="M65" i="3"/>
  <c r="M64" i="3"/>
  <c r="M34" i="3"/>
  <c r="M61" i="3"/>
  <c r="M30" i="3"/>
  <c r="U5" i="3" s="1"/>
  <c r="Y5" i="3" s="1"/>
  <c r="S5" i="2" s="1"/>
  <c r="M57" i="3"/>
  <c r="M27" i="3"/>
  <c r="M89" i="3"/>
  <c r="V12" i="3" s="1"/>
  <c r="Z12" i="3" s="1"/>
  <c r="T12" i="2" s="1"/>
  <c r="M53" i="3"/>
  <c r="M20" i="3"/>
  <c r="M55" i="3"/>
  <c r="U8" i="3" s="1"/>
  <c r="Y8" i="3" s="1"/>
  <c r="S8" i="2" s="1"/>
  <c r="M85" i="3"/>
  <c r="M77" i="3"/>
  <c r="S8" i="3"/>
  <c r="W8" i="3" s="1"/>
  <c r="Q8" i="2" s="1"/>
  <c r="M49" i="3"/>
  <c r="M16" i="3"/>
  <c r="V3" i="3" s="1"/>
  <c r="Z3" i="3" s="1"/>
  <c r="T3" i="2" s="1"/>
  <c r="M44" i="3"/>
  <c r="U3" i="3"/>
  <c r="Y3" i="3" s="1"/>
  <c r="S3" i="2" s="1"/>
  <c r="A18" i="3"/>
  <c r="A19" i="3" s="1"/>
  <c r="A20" i="3" s="1"/>
  <c r="A21" i="3" s="1"/>
  <c r="A22" i="3" s="1"/>
  <c r="A23" i="3" s="1"/>
  <c r="A24" i="3" s="1"/>
  <c r="A25" i="3" s="1"/>
  <c r="V7" i="3" l="1"/>
  <c r="Z7" i="3" s="1"/>
  <c r="T7" i="2" s="1"/>
  <c r="T12" i="3"/>
  <c r="X12" i="3" s="1"/>
  <c r="R12" i="2" s="1"/>
  <c r="T2" i="3"/>
  <c r="X2" i="3" s="1"/>
  <c r="R2" i="2" s="1"/>
  <c r="T7" i="3"/>
  <c r="X7" i="3" s="1"/>
  <c r="R7" i="2" s="1"/>
  <c r="R5" i="11"/>
  <c r="T4" i="11"/>
  <c r="X4" i="11" s="1"/>
  <c r="R100" i="2" s="1"/>
  <c r="V4" i="11"/>
  <c r="Z4" i="11" s="1"/>
  <c r="T100" i="2" s="1"/>
  <c r="U4" i="11"/>
  <c r="Y4" i="11" s="1"/>
  <c r="S100" i="2" s="1"/>
  <c r="S4" i="11"/>
  <c r="W4" i="11" s="1"/>
  <c r="Q100" i="2" s="1"/>
  <c r="T9" i="3"/>
  <c r="X9" i="3" s="1"/>
  <c r="R9" i="2" s="1"/>
  <c r="T4" i="3"/>
  <c r="X4" i="3" s="1"/>
  <c r="R4" i="2" s="1"/>
  <c r="T8" i="3"/>
  <c r="X8" i="3" s="1"/>
  <c r="R8" i="2" s="1"/>
  <c r="V8" i="3"/>
  <c r="Z8" i="3" s="1"/>
  <c r="T8" i="2" s="1"/>
  <c r="S11" i="3"/>
  <c r="W11" i="3" s="1"/>
  <c r="Q11" i="2" s="1"/>
  <c r="X13" i="3"/>
  <c r="R13" i="2" s="1"/>
  <c r="S6" i="3"/>
  <c r="W6" i="3" s="1"/>
  <c r="Q6" i="2" s="1"/>
  <c r="S5" i="3"/>
  <c r="W5" i="3" s="1"/>
  <c r="Q5" i="2" s="1"/>
  <c r="S4" i="3"/>
  <c r="W4" i="3" s="1"/>
  <c r="Q4" i="2" s="1"/>
  <c r="T10" i="3"/>
  <c r="X10" i="3" s="1"/>
  <c r="R10" i="2" s="1"/>
  <c r="S12" i="3"/>
  <c r="W12" i="3" s="1"/>
  <c r="Q12" i="2" s="1"/>
  <c r="V6" i="3"/>
  <c r="Z6" i="3" s="1"/>
  <c r="T6" i="2" s="1"/>
  <c r="T3" i="3"/>
  <c r="X3" i="3" s="1"/>
  <c r="R3" i="2" s="1"/>
  <c r="T11" i="3"/>
  <c r="X11" i="3" s="1"/>
  <c r="R11" i="2" s="1"/>
  <c r="V9" i="3"/>
  <c r="Z9" i="3" s="1"/>
  <c r="T9" i="2" s="1"/>
  <c r="A26" i="3"/>
  <c r="A27" i="3" s="1"/>
  <c r="A28" i="3" s="1"/>
  <c r="A29" i="3" s="1"/>
  <c r="A30" i="3" s="1"/>
  <c r="A31" i="3" s="1"/>
  <c r="A32" i="3" s="1"/>
  <c r="A33" i="3" s="1"/>
  <c r="R6" i="11" l="1"/>
  <c r="U5" i="11"/>
  <c r="Y5" i="11" s="1"/>
  <c r="S101" i="2" s="1"/>
  <c r="T5" i="11"/>
  <c r="X5" i="11" s="1"/>
  <c r="R101" i="2" s="1"/>
  <c r="V5" i="11"/>
  <c r="Z5" i="11" s="1"/>
  <c r="T101" i="2" s="1"/>
  <c r="S5" i="11"/>
  <c r="W5" i="11" s="1"/>
  <c r="Q101" i="2" s="1"/>
  <c r="A34" i="3"/>
  <c r="A35" i="3" s="1"/>
  <c r="A36" i="3" s="1"/>
  <c r="A37" i="3" s="1"/>
  <c r="A38" i="3" s="1"/>
  <c r="A39" i="3" s="1"/>
  <c r="A40" i="3" s="1"/>
  <c r="A41" i="3" s="1"/>
  <c r="R7" i="11" l="1"/>
  <c r="T6" i="11"/>
  <c r="X6" i="11" s="1"/>
  <c r="R102" i="2" s="1"/>
  <c r="V6" i="11"/>
  <c r="Z6" i="11" s="1"/>
  <c r="T102" i="2" s="1"/>
  <c r="U6" i="11"/>
  <c r="Y6" i="11" s="1"/>
  <c r="S102" i="2" s="1"/>
  <c r="S6" i="11"/>
  <c r="W6" i="11" s="1"/>
  <c r="Q102" i="2" s="1"/>
  <c r="A42" i="3"/>
  <c r="A43" i="3" s="1"/>
  <c r="A44" i="3" s="1"/>
  <c r="A45" i="3" s="1"/>
  <c r="A46" i="3" s="1"/>
  <c r="A47" i="3" s="1"/>
  <c r="A48" i="3" s="1"/>
  <c r="A49" i="3" s="1"/>
  <c r="R8" i="11" l="1"/>
  <c r="U7" i="11"/>
  <c r="Y7" i="11" s="1"/>
  <c r="S103" i="2" s="1"/>
  <c r="V7" i="11"/>
  <c r="Z7" i="11" s="1"/>
  <c r="T103" i="2" s="1"/>
  <c r="T7" i="11"/>
  <c r="X7" i="11" s="1"/>
  <c r="R103" i="2" s="1"/>
  <c r="S7" i="11"/>
  <c r="W7" i="11" s="1"/>
  <c r="Q103" i="2" s="1"/>
  <c r="A50" i="3"/>
  <c r="A51" i="3" s="1"/>
  <c r="A52" i="3" s="1"/>
  <c r="A53" i="3" s="1"/>
  <c r="A54" i="3" s="1"/>
  <c r="A55" i="3" s="1"/>
  <c r="A56" i="3" s="1"/>
  <c r="A57" i="3" s="1"/>
  <c r="R9" i="11" l="1"/>
  <c r="S8" i="11"/>
  <c r="W8" i="11" s="1"/>
  <c r="Q104" i="2" s="1"/>
  <c r="U8" i="11"/>
  <c r="Y8" i="11" s="1"/>
  <c r="S104" i="2" s="1"/>
  <c r="V8" i="11"/>
  <c r="Z8" i="11" s="1"/>
  <c r="T104" i="2" s="1"/>
  <c r="T8" i="11"/>
  <c r="X8" i="11" s="1"/>
  <c r="R104" i="2" s="1"/>
  <c r="A58" i="3"/>
  <c r="A59" i="3" s="1"/>
  <c r="A60" i="3" s="1"/>
  <c r="A61" i="3" s="1"/>
  <c r="A62" i="3" s="1"/>
  <c r="A63" i="3" s="1"/>
  <c r="A64" i="3" s="1"/>
  <c r="A65" i="3" s="1"/>
  <c r="R10" i="11" l="1"/>
  <c r="S9" i="11"/>
  <c r="W9" i="11" s="1"/>
  <c r="Q105" i="2" s="1"/>
  <c r="V9" i="11"/>
  <c r="Z9" i="11" s="1"/>
  <c r="T105" i="2" s="1"/>
  <c r="T9" i="11"/>
  <c r="X9" i="11" s="1"/>
  <c r="R105" i="2" s="1"/>
  <c r="U9" i="11"/>
  <c r="Y9" i="11" s="1"/>
  <c r="S105" i="2" s="1"/>
  <c r="A66" i="3"/>
  <c r="A67" i="3" s="1"/>
  <c r="A68" i="3" s="1"/>
  <c r="A69" i="3" s="1"/>
  <c r="A70" i="3" s="1"/>
  <c r="A71" i="3" s="1"/>
  <c r="A72" i="3" s="1"/>
  <c r="A73" i="3" s="1"/>
  <c r="R11" i="11" l="1"/>
  <c r="V10" i="11"/>
  <c r="Z10" i="11" s="1"/>
  <c r="T106" i="2" s="1"/>
  <c r="T10" i="11"/>
  <c r="X10" i="11" s="1"/>
  <c r="R106" i="2" s="1"/>
  <c r="S10" i="11"/>
  <c r="W10" i="11" s="1"/>
  <c r="Q106" i="2" s="1"/>
  <c r="U10" i="11"/>
  <c r="Y10" i="11" s="1"/>
  <c r="S106" i="2" s="1"/>
  <c r="A74" i="3"/>
  <c r="A75" i="3" s="1"/>
  <c r="A76" i="3" s="1"/>
  <c r="A77" i="3" s="1"/>
  <c r="A78" i="3" s="1"/>
  <c r="A79" i="3" s="1"/>
  <c r="A80" i="3" s="1"/>
  <c r="A81" i="3" s="1"/>
  <c r="R12" i="11" l="1"/>
  <c r="T11" i="11"/>
  <c r="X11" i="11" s="1"/>
  <c r="R107" i="2" s="1"/>
  <c r="S11" i="11"/>
  <c r="W11" i="11" s="1"/>
  <c r="Q107" i="2" s="1"/>
  <c r="U11" i="11"/>
  <c r="Y11" i="11" s="1"/>
  <c r="S107" i="2" s="1"/>
  <c r="V11" i="11"/>
  <c r="Z11" i="11" s="1"/>
  <c r="T107" i="2" s="1"/>
  <c r="A82" i="3"/>
  <c r="A83" i="3" s="1"/>
  <c r="A84" i="3" s="1"/>
  <c r="A85" i="3" s="1"/>
  <c r="A86" i="3" s="1"/>
  <c r="A87" i="3" s="1"/>
  <c r="A88" i="3" s="1"/>
  <c r="A89" i="3" s="1"/>
  <c r="A90" i="3"/>
  <c r="A91" i="3" s="1"/>
  <c r="A92" i="3" s="1"/>
  <c r="A93" i="3" s="1"/>
  <c r="A94" i="3" s="1"/>
  <c r="A95" i="3" s="1"/>
  <c r="A96" i="3" s="1"/>
  <c r="A97" i="3" s="1"/>
  <c r="R13" i="11" l="1"/>
  <c r="V13" i="11" s="1"/>
  <c r="S12" i="11"/>
  <c r="W12" i="11" s="1"/>
  <c r="Q108" i="2" s="1"/>
  <c r="T12" i="11"/>
  <c r="X12" i="11" s="1"/>
  <c r="R108" i="2" s="1"/>
  <c r="U12" i="11"/>
  <c r="Y12" i="11" s="1"/>
  <c r="S108" i="2" s="1"/>
  <c r="V12" i="11"/>
  <c r="Z12" i="11" s="1"/>
  <c r="T108" i="2" s="1"/>
  <c r="U13" i="11" l="1"/>
  <c r="Y13" i="11" s="1"/>
  <c r="S109" i="2" s="1"/>
  <c r="Z13" i="11"/>
  <c r="T109" i="2" s="1"/>
  <c r="S13" i="11"/>
  <c r="W13" i="11" s="1"/>
  <c r="Q109" i="2" s="1"/>
  <c r="T13" i="11"/>
  <c r="X13" i="11" s="1"/>
  <c r="R10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tc={57F8D478-8B26-4E40-85E4-E0052861CFBF}</author>
  </authors>
  <commentList>
    <comment ref="G130" authorId="0" shapeId="0" xr:uid="{57F8D478-8B26-4E40-85E4-E0052861CFB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this is the correct moisture value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tc={A83DC399-1078-F343-9645-6C041DB6949C}</author>
  </authors>
  <commentList>
    <comment ref="T13" authorId="0" shapeId="0" xr:uid="{A83DC399-1078-F343-9645-6C041DB694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Removed plate rep 2
</t>
      </text>
    </comment>
  </commentList>
</comments>
</file>

<file path=xl/sharedStrings.xml><?xml version="1.0" encoding="utf-8"?>
<sst xmlns="http://schemas.openxmlformats.org/spreadsheetml/2006/main" count="5262" uniqueCount="203">
  <si>
    <t>Nitrogen</t>
  </si>
  <si>
    <t>NONE</t>
  </si>
  <si>
    <t>N0</t>
  </si>
  <si>
    <t>LDPE</t>
  </si>
  <si>
    <t>PBS</t>
  </si>
  <si>
    <t>PLA/PHA</t>
  </si>
  <si>
    <t>PLA</t>
  </si>
  <si>
    <t>N1</t>
  </si>
  <si>
    <t>g</t>
  </si>
  <si>
    <t>mass of empty cup</t>
  </si>
  <si>
    <t>mass of  dry soil (g)</t>
  </si>
  <si>
    <t>moisture in sample at harvest (g)</t>
  </si>
  <si>
    <t>moisture content (g H2O g wet soil-1)</t>
  </si>
  <si>
    <t>Jar No</t>
  </si>
  <si>
    <t>mass of MP</t>
  </si>
  <si>
    <t>mass on harvest</t>
  </si>
  <si>
    <t>Enzyme soil wet weight (g)</t>
  </si>
  <si>
    <t>grams dry weight for enzymes</t>
  </si>
  <si>
    <t>3 plates per set, one for MUB standard curves (MUB), another for MUC standard curves (MUC), and one for substrate (SUB)</t>
  </si>
  <si>
    <t>MUB plate:</t>
  </si>
  <si>
    <t>uM MUB</t>
  </si>
  <si>
    <t>um MUB</t>
  </si>
  <si>
    <t>a</t>
  </si>
  <si>
    <t>b</t>
  </si>
  <si>
    <t>c</t>
  </si>
  <si>
    <t>d</t>
  </si>
  <si>
    <t>e</t>
  </si>
  <si>
    <t>f</t>
  </si>
  <si>
    <t>h</t>
  </si>
  <si>
    <t>---</t>
  </si>
  <si>
    <t>MUC plate:</t>
  </si>
  <si>
    <t>uM MUC</t>
  </si>
  <si>
    <t>um MUC</t>
  </si>
  <si>
    <t>SUB plate:</t>
  </si>
  <si>
    <t>enzyme substrate</t>
  </si>
  <si>
    <t>BG</t>
  </si>
  <si>
    <t>CB</t>
  </si>
  <si>
    <t>LAP</t>
  </si>
  <si>
    <t>XYL</t>
  </si>
  <si>
    <t>164 soils, 14 plate sets</t>
  </si>
  <si>
    <t>Average fluorescence</t>
  </si>
  <si>
    <t>sd</t>
  </si>
  <si>
    <t>set</t>
  </si>
  <si>
    <t>start</t>
  </si>
  <si>
    <t>end</t>
  </si>
  <si>
    <t>tot time</t>
  </si>
  <si>
    <t>hours</t>
  </si>
  <si>
    <t>sample #s</t>
  </si>
  <si>
    <t>day</t>
  </si>
  <si>
    <t>date</t>
  </si>
  <si>
    <t>Soil ID</t>
  </si>
  <si>
    <t>Well</t>
  </si>
  <si>
    <r>
      <rPr>
        <b/>
        <sz val="10"/>
        <color rgb="FF27413E"/>
        <rFont val="Arial, sans-serif"/>
      </rPr>
      <t>SUB</t>
    </r>
    <r>
      <rPr>
        <sz val="10"/>
        <color rgb="FF27413E"/>
        <rFont val="Arial, sans-serif"/>
      </rPr>
      <t xml:space="preserve"> fluorescence</t>
    </r>
  </si>
  <si>
    <t>Substrate</t>
  </si>
  <si>
    <r>
      <rPr>
        <b/>
        <sz val="10"/>
        <color rgb="FF27413E"/>
        <rFont val="Arial, sans-serif"/>
      </rPr>
      <t>MUB</t>
    </r>
    <r>
      <rPr>
        <sz val="10"/>
        <color rgb="FF27413E"/>
        <rFont val="Arial, sans-serif"/>
      </rPr>
      <t xml:space="preserve"> fluorescence</t>
    </r>
  </si>
  <si>
    <r>
      <rPr>
        <b/>
        <sz val="10"/>
        <color rgb="FF27413E"/>
        <rFont val="Arial, sans-serif"/>
      </rPr>
      <t>MUC</t>
    </r>
    <r>
      <rPr>
        <sz val="10"/>
        <color rgb="FF27413E"/>
        <rFont val="Arial, sans-serif"/>
      </rPr>
      <t xml:space="preserve"> fluorescence</t>
    </r>
  </si>
  <si>
    <t>um concentration</t>
  </si>
  <si>
    <t>Full</t>
  </si>
  <si>
    <t>slope</t>
  </si>
  <si>
    <t>intercept</t>
  </si>
  <si>
    <t>umols</t>
  </si>
  <si>
    <t>g dry soil</t>
  </si>
  <si>
    <t>Incubation time (hours)</t>
  </si>
  <si>
    <t>BG nmols/g/h</t>
  </si>
  <si>
    <t>CB nmols/g/h</t>
  </si>
  <si>
    <t>LAP nmols/g/h</t>
  </si>
  <si>
    <t>XYL nmols/g/h</t>
  </si>
  <si>
    <t>A1</t>
  </si>
  <si>
    <t>SLOPE</t>
  </si>
  <si>
    <t>B1</t>
  </si>
  <si>
    <t>C1</t>
  </si>
  <si>
    <t>INT</t>
  </si>
  <si>
    <t>D1</t>
  </si>
  <si>
    <t>E1</t>
  </si>
  <si>
    <t>RSQ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</si>
  <si>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</si>
  <si>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</si>
  <si>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</si>
  <si>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</si>
  <si>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</si>
  <si>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</si>
  <si>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</si>
  <si>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</si>
  <si>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</si>
  <si>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</si>
  <si>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</si>
  <si>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</si>
  <si>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</si>
  <si>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</si>
  <si>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</si>
  <si>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</si>
  <si>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</si>
  <si>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</si>
  <si>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</si>
  <si>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</si>
  <si>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</si>
  <si>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</si>
  <si>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</si>
  <si>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</si>
  <si>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</si>
  <si>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</si>
  <si>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</si>
  <si>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</si>
  <si>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</si>
  <si>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</si>
  <si>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</si>
  <si>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</si>
  <si>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</si>
  <si>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</si>
  <si>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</si>
  <si>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</si>
  <si>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</si>
  <si>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</si>
  <si>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</si>
  <si>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</si>
  <si>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</si>
  <si>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</si>
  <si>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</si>
  <si>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</si>
  <si>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</si>
  <si>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</si>
  <si>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</si>
  <si>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</si>
  <si>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</si>
  <si>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</si>
  <si>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</si>
  <si>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</si>
  <si>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</si>
  <si>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</si>
  <si>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</si>
  <si>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</si>
  <si>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</si>
  <si>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</si>
  <si>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</si>
  <si>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</si>
  <si>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</si>
  <si>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</si>
  <si>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</si>
  <si>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</si>
  <si>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</si>
  <si>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</si>
  <si>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</si>
  <si>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</si>
  <si>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</si>
  <si>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</si>
  <si>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</si>
  <si>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</si>
  <si>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</si>
  <si>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</si>
  <si>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</si>
  <si>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</si>
  <si>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</si>
  <si>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</si>
  <si>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</si>
  <si>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</si>
  <si>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</si>
  <si>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</si>
  <si>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</si>
  <si>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</si>
  <si>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</si>
  <si>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</si>
  <si>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</si>
  <si>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</si>
  <si>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</si>
  <si>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</si>
  <si>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</si>
  <si>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average fluorescence</t>
  </si>
  <si>
    <t>BG umols/g/h</t>
  </si>
  <si>
    <t>CB umols/g/h</t>
  </si>
  <si>
    <t>LAP umols/g/h</t>
  </si>
  <si>
    <t>XYL umols/g/h</t>
  </si>
  <si>
    <t># samples</t>
  </si>
  <si>
    <t>uL sub/samp</t>
  </si>
  <si>
    <t>mL sub needed</t>
  </si>
  <si>
    <t>tubes sub needed</t>
  </si>
  <si>
    <t>total tubes sub needed</t>
  </si>
  <si>
    <t>Day 1 background fluorescence</t>
  </si>
  <si>
    <t>Day 1</t>
  </si>
  <si>
    <t>Day 2 background fluorescence</t>
  </si>
  <si>
    <t>Day 2</t>
  </si>
  <si>
    <t>soil pH</t>
  </si>
  <si>
    <t>pH of buffer</t>
  </si>
  <si>
    <t>Plastic</t>
  </si>
  <si>
    <t>Time</t>
  </si>
  <si>
    <t>T1</t>
  </si>
  <si>
    <t>T2</t>
  </si>
  <si>
    <t>T3</t>
  </si>
  <si>
    <t>T4</t>
  </si>
  <si>
    <t>T0</t>
  </si>
  <si>
    <t>OTHER</t>
  </si>
  <si>
    <t>Treatment</t>
  </si>
  <si>
    <t>average pH</t>
  </si>
  <si>
    <t>L buffer needed</t>
  </si>
  <si>
    <t>plate set</t>
  </si>
  <si>
    <t>number in plate</t>
  </si>
  <si>
    <t>1-75 w/o PLA/PHA</t>
  </si>
  <si>
    <t>76-150 w/o PLA/PHA</t>
  </si>
  <si>
    <t>151-164 w/o PLA/PHA, 4-159 w/ PLA/PHA</t>
  </si>
  <si>
    <t>Background fluorescence of substrate (800 uL milliq water + 200 uL substrate)</t>
  </si>
  <si>
    <t>METADATA</t>
  </si>
  <si>
    <t>Protocol: Jagadamma lab Microplate hydrolytic enzyme assay</t>
  </si>
  <si>
    <t>Buffer pH: 5.78 for all non-PLA/PHA-treated soils, 6.65 for all PLA/PHA-treated soils</t>
  </si>
  <si>
    <t>Deducted background fluorescence for only LAP, as doing so for BG/CB/XYL introduced negative activity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</si>
</sst>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b/>
      <sz val="10"/>
      <color rgb="FF27413E"/>
      <name val="Arial, sans-serif"/>
    </font>
    <font>
      <sz val="10"/>
      <color rgb="FF27413E"/>
      <name val="Arial, sans-serif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01">
    <xf numFmtId="0" fontId="0" fillId="0" borderId="0" xfId="0"/>
    <xf numFmtId="0" fontId="0" fillId="0" borderId="1" xfId="0" applyBorder="1"/>
    <xf numFmtId="2" fontId="0" fillId="0" borderId="0" xfId="0" applyNumberFormat="1" applyAlignment="1">
      <alignment wrapText="1"/>
    </xf>
    <xf numFmtId="0" fontId="2" fillId="0" borderId="0" xfId="0" applyFont="1"/>
    <xf numFmtId="1" fontId="0" fillId="0" borderId="0" xfId="0" applyNumberFormat="1"/>
    <xf numFmtId="0" fontId="2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2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4" fillId="2" borderId="0" xfId="0" applyFont="1" applyFill="1"/>
    <xf numFmtId="0" fontId="3" fillId="0" borderId="0" xfId="0" applyFont="1"/>
    <xf numFmtId="2" fontId="2" fillId="0" borderId="0" xfId="0" applyNumberFormat="1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center"/>
    </xf>
    <xf numFmtId="0" fontId="7" fillId="0" borderId="2" xfId="0" applyFont="1" applyBorder="1"/>
    <xf numFmtId="0" fontId="6" fillId="0" borderId="3" xfId="0" applyFont="1" applyBorder="1" applyAlignment="1">
      <alignment horizontal="right"/>
    </xf>
    <xf numFmtId="0" fontId="6" fillId="0" borderId="4" xfId="0" applyFont="1" applyBorder="1"/>
    <xf numFmtId="0" fontId="7" fillId="0" borderId="5" xfId="0" applyFont="1" applyBorder="1"/>
    <xf numFmtId="0" fontId="6" fillId="0" borderId="0" xfId="0" applyFont="1" applyAlignment="1">
      <alignment horizontal="right"/>
    </xf>
    <xf numFmtId="0" fontId="6" fillId="0" borderId="6" xfId="0" applyFont="1" applyBorder="1"/>
    <xf numFmtId="0" fontId="6" fillId="0" borderId="5" xfId="0" applyFont="1" applyBorder="1"/>
    <xf numFmtId="0" fontId="7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3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right"/>
    </xf>
    <xf numFmtId="165" fontId="3" fillId="3" borderId="0" xfId="0" applyNumberFormat="1" applyFont="1" applyFill="1" applyAlignment="1">
      <alignment horizontal="right"/>
    </xf>
    <xf numFmtId="0" fontId="6" fillId="0" borderId="10" xfId="0" applyFont="1" applyBorder="1"/>
    <xf numFmtId="0" fontId="0" fillId="0" borderId="11" xfId="0" applyBorder="1"/>
    <xf numFmtId="164" fontId="6" fillId="0" borderId="12" xfId="0" applyNumberFormat="1" applyFont="1" applyBorder="1"/>
    <xf numFmtId="0" fontId="6" fillId="0" borderId="13" xfId="0" applyFont="1" applyBorder="1"/>
    <xf numFmtId="0" fontId="7" fillId="0" borderId="13" xfId="0" applyFont="1" applyBorder="1"/>
    <xf numFmtId="0" fontId="6" fillId="0" borderId="14" xfId="0" applyFont="1" applyBorder="1"/>
    <xf numFmtId="0" fontId="0" fillId="0" borderId="15" xfId="0" applyBorder="1"/>
    <xf numFmtId="20" fontId="6" fillId="0" borderId="0" xfId="0" applyNumberFormat="1" applyFont="1"/>
    <xf numFmtId="0" fontId="6" fillId="0" borderId="0" xfId="2" applyFont="1" applyAlignment="1">
      <alignment wrapText="1"/>
    </xf>
    <xf numFmtId="0" fontId="10" fillId="0" borderId="0" xfId="2" applyFont="1" applyAlignment="1">
      <alignment horizontal="left"/>
    </xf>
    <xf numFmtId="0" fontId="9" fillId="0" borderId="0" xfId="2"/>
    <xf numFmtId="0" fontId="11" fillId="0" borderId="0" xfId="2" applyFont="1" applyAlignment="1">
      <alignment horizontal="center"/>
    </xf>
    <xf numFmtId="3" fontId="11" fillId="4" borderId="16" xfId="2" applyNumberFormat="1" applyFont="1" applyFill="1" applyBorder="1" applyAlignment="1">
      <alignment horizontal="center" wrapText="1"/>
    </xf>
    <xf numFmtId="0" fontId="11" fillId="4" borderId="16" xfId="2" applyFont="1" applyFill="1" applyBorder="1" applyAlignment="1">
      <alignment horizontal="center" wrapText="1"/>
    </xf>
    <xf numFmtId="3" fontId="11" fillId="5" borderId="16" xfId="2" applyNumberFormat="1" applyFont="1" applyFill="1" applyBorder="1" applyAlignment="1">
      <alignment horizontal="center" wrapText="1"/>
    </xf>
    <xf numFmtId="3" fontId="11" fillId="5" borderId="17" xfId="2" applyNumberFormat="1" applyFont="1" applyFill="1" applyBorder="1" applyAlignment="1">
      <alignment horizontal="center" wrapText="1"/>
    </xf>
    <xf numFmtId="0" fontId="11" fillId="5" borderId="18" xfId="2" applyFont="1" applyFill="1" applyBorder="1" applyAlignment="1">
      <alignment horizontal="center" wrapText="1"/>
    </xf>
    <xf numFmtId="0" fontId="10" fillId="6" borderId="0" xfId="2" applyFont="1" applyFill="1" applyAlignment="1">
      <alignment horizontal="left"/>
    </xf>
    <xf numFmtId="0" fontId="10" fillId="0" borderId="0" xfId="2" applyFont="1" applyAlignment="1">
      <alignment horizontal="center"/>
    </xf>
    <xf numFmtId="0" fontId="10" fillId="0" borderId="18" xfId="2" applyFont="1" applyBorder="1" applyAlignment="1">
      <alignment horizontal="center"/>
    </xf>
    <xf numFmtId="0" fontId="6" fillId="0" borderId="18" xfId="2" applyFont="1" applyBorder="1"/>
    <xf numFmtId="0" fontId="7" fillId="0" borderId="0" xfId="2" applyFont="1" applyAlignment="1">
      <alignment horizontal="right"/>
    </xf>
    <xf numFmtId="0" fontId="6" fillId="0" borderId="0" xfId="2" applyFont="1"/>
    <xf numFmtId="0" fontId="7" fillId="6" borderId="0" xfId="2" applyFont="1" applyFill="1" applyAlignment="1">
      <alignment horizontal="right"/>
    </xf>
    <xf numFmtId="164" fontId="6" fillId="0" borderId="0" xfId="2" applyNumberFormat="1" applyFont="1"/>
    <xf numFmtId="0" fontId="7" fillId="0" borderId="0" xfId="2" applyFont="1"/>
    <xf numFmtId="1" fontId="6" fillId="0" borderId="0" xfId="2" applyNumberFormat="1" applyFont="1"/>
    <xf numFmtId="0" fontId="5" fillId="0" borderId="0" xfId="2" applyFont="1"/>
    <xf numFmtId="0" fontId="6" fillId="0" borderId="0" xfId="0" applyFont="1" applyAlignment="1">
      <alignment wrapText="1"/>
    </xf>
    <xf numFmtId="166" fontId="6" fillId="0" borderId="0" xfId="0" applyNumberFormat="1" applyFont="1"/>
    <xf numFmtId="2" fontId="6" fillId="0" borderId="0" xfId="0" applyNumberFormat="1" applyFont="1"/>
    <xf numFmtId="2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4" fillId="0" borderId="0" xfId="0" applyFont="1"/>
    <xf numFmtId="2" fontId="2" fillId="0" borderId="0" xfId="0" applyNumberFormat="1" applyFont="1"/>
    <xf numFmtId="0" fontId="0" fillId="2" borderId="0" xfId="0" applyFill="1"/>
    <xf numFmtId="14" fontId="0" fillId="0" borderId="11" xfId="0" applyNumberFormat="1" applyBorder="1"/>
    <xf numFmtId="22" fontId="6" fillId="0" borderId="11" xfId="0" applyNumberFormat="1" applyFont="1" applyBorder="1"/>
    <xf numFmtId="22" fontId="6" fillId="0" borderId="0" xfId="0" applyNumberFormat="1" applyFont="1"/>
    <xf numFmtId="166" fontId="14" fillId="0" borderId="0" xfId="1" applyNumberFormat="1" applyFont="1"/>
    <xf numFmtId="22" fontId="7" fillId="0" borderId="0" xfId="0" applyNumberFormat="1" applyFont="1"/>
    <xf numFmtId="22" fontId="6" fillId="0" borderId="15" xfId="0" applyNumberFormat="1" applyFont="1" applyBorder="1"/>
    <xf numFmtId="0" fontId="10" fillId="0" borderId="18" xfId="0" applyFont="1" applyBorder="1" applyAlignment="1">
      <alignment horizontal="center" vertical="center" wrapText="1"/>
    </xf>
    <xf numFmtId="0" fontId="10" fillId="0" borderId="18" xfId="2" applyFont="1" applyBorder="1" applyAlignment="1">
      <alignment horizontal="center" vertical="center" wrapText="1"/>
    </xf>
    <xf numFmtId="0" fontId="10" fillId="7" borderId="18" xfId="2" applyFont="1" applyFill="1" applyBorder="1" applyAlignment="1">
      <alignment horizontal="center" vertical="center" wrapText="1"/>
    </xf>
    <xf numFmtId="0" fontId="10" fillId="8" borderId="18" xfId="2" applyFont="1" applyFill="1" applyBorder="1" applyAlignment="1">
      <alignment horizontal="center" vertical="center" wrapText="1"/>
    </xf>
    <xf numFmtId="0" fontId="10" fillId="9" borderId="18" xfId="2" applyFont="1" applyFill="1" applyBorder="1" applyAlignment="1">
      <alignment horizontal="center" vertical="center" wrapText="1"/>
    </xf>
    <xf numFmtId="0" fontId="10" fillId="10" borderId="18" xfId="2" applyFont="1" applyFill="1" applyBorder="1" applyAlignment="1">
      <alignment horizontal="center" vertical="center" wrapText="1"/>
    </xf>
    <xf numFmtId="0" fontId="10" fillId="11" borderId="18" xfId="2" applyFont="1" applyFill="1" applyBorder="1" applyAlignment="1">
      <alignment horizontal="center" vertical="center" wrapText="1"/>
    </xf>
    <xf numFmtId="0" fontId="10" fillId="12" borderId="18" xfId="2" applyFont="1" applyFill="1" applyBorder="1" applyAlignment="1">
      <alignment horizontal="center" vertical="center" wrapText="1"/>
    </xf>
    <xf numFmtId="0" fontId="10" fillId="13" borderId="18" xfId="2" applyFont="1" applyFill="1" applyBorder="1" applyAlignment="1">
      <alignment horizontal="center" vertical="center" wrapText="1"/>
    </xf>
    <xf numFmtId="0" fontId="10" fillId="14" borderId="18" xfId="2" applyFont="1" applyFill="1" applyBorder="1" applyAlignment="1">
      <alignment horizontal="center" vertical="center" wrapText="1"/>
    </xf>
    <xf numFmtId="0" fontId="10" fillId="15" borderId="18" xfId="2" applyFont="1" applyFill="1" applyBorder="1" applyAlignment="1">
      <alignment horizontal="center" vertical="center" wrapText="1"/>
    </xf>
    <xf numFmtId="0" fontId="10" fillId="16" borderId="18" xfId="2" applyFont="1" applyFill="1" applyBorder="1" applyAlignment="1">
      <alignment horizontal="center" vertical="center" wrapText="1"/>
    </xf>
    <xf numFmtId="1" fontId="6" fillId="0" borderId="0" xfId="0" applyNumberFormat="1" applyFont="1"/>
    <xf numFmtId="0" fontId="10" fillId="17" borderId="18" xfId="2" applyFont="1" applyFill="1" applyBorder="1" applyAlignment="1">
      <alignment horizontal="center" vertical="center" wrapText="1"/>
    </xf>
    <xf numFmtId="0" fontId="10" fillId="18" borderId="18" xfId="2" applyFont="1" applyFill="1" applyBorder="1" applyAlignment="1">
      <alignment horizontal="center" vertical="center" wrapText="1"/>
    </xf>
    <xf numFmtId="2" fontId="3" fillId="0" borderId="0" xfId="0" applyNumberFormat="1" applyFont="1"/>
    <xf numFmtId="49" fontId="0" fillId="0" borderId="1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3">
    <cellStyle name="Normal" xfId="0" builtinId="0"/>
    <cellStyle name="Normal 2" xfId="2" xr:uid="{14387F26-4A28-3040-89C3-5FF61EFDE8F7}"/>
    <cellStyle name="Normal 6" xfId="1" xr:uid="{C73A1BA8-E238-4534-9375-60E2312B13A1}"/>
  </cellStyles>
  <dxfs count="1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BG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BG</a:t>
          </a:r>
        </a:p>
      </cx:txPr>
    </cx:title>
    <cx:plotArea>
      <cx:plotAreaRegion>
        <cx:series layoutId="clusteredColumn" uniqueId="{8C5F0FB3-8916-564B-A89B-E04D9AC85EE8}">
          <cx:tx>
            <cx:txData>
              <cx:f>_xlchart.v1.0</cx:f>
              <cx:v>BG nmols/g/h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200000003"/>
        <cx:majorTickMarks type="in"/>
        <cx:minorTickMarks type="out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Histogram of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CB</a:t>
            </a:r>
          </a:p>
        </cx:rich>
      </cx:tx>
    </cx:title>
    <cx:plotArea>
      <cx:plotAreaRegion>
        <cx:series layoutId="clusteredColumn" uniqueId="{AF13FA51-D22B-FA41-A469-23B9200E12BE}">
          <cx:tx>
            <cx:txData>
              <cx:f>_xlchart.v1.4</cx:f>
              <cx:v>CB nmols/g/h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200000003"/>
        <cx:majorTickMarks type="in"/>
        <cx:minorTickMarks type="out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Histogram of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LAP</a:t>
            </a:r>
          </a:p>
        </cx:rich>
      </cx:tx>
    </cx:title>
    <cx:plotArea>
      <cx:plotAreaRegion>
        <cx:series layoutId="clusteredColumn" uniqueId="{956FEF8C-A469-0540-922A-72E82FBF5FB5}">
          <cx:tx>
            <cx:txData>
              <cx:f>_xlchart.v1.10</cx:f>
              <cx:v>LAP nmols/g/h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200000003"/>
        <cx:majorTickMarks type="in"/>
        <cx:minorTickMarks type="out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Histogram of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XYL</a:t>
            </a:r>
          </a:p>
        </cx:rich>
      </cx:tx>
    </cx:title>
    <cx:plotArea>
      <cx:plotAreaRegion>
        <cx:series layoutId="clusteredColumn" uniqueId="{D4531FF2-1D5A-674C-BE16-2F221CE7B1F1}">
          <cx:tx>
            <cx:txData>
              <cx:f>_xlchart.v1.2</cx:f>
              <cx:v>XYL nmols/g/h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200000003"/>
        <cx:majorTickMarks type="in"/>
        <cx:minorTickMarks type="out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443908</xdr:colOff>
      <xdr:row>2</xdr:row>
      <xdr:rowOff>141719</xdr:rowOff>
    </xdr:from>
    <xdr:to>
      <xdr:col>13</xdr:col>
      <xdr:colOff>208899</xdr:colOff>
      <xdr:row>17</xdr:row>
      <xdr:rowOff>36321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AE9ACA-2B2B-C2AF-41D2-5E45B28231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2908" y="535419"/>
              <a:ext cx="4590991" cy="2752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430140</xdr:colOff>
      <xdr:row>17</xdr:row>
      <xdr:rowOff>175427</xdr:rowOff>
    </xdr:from>
    <xdr:to>
      <xdr:col>13</xdr:col>
      <xdr:colOff>195131</xdr:colOff>
      <xdr:row>32</xdr:row>
      <xdr:rowOff>70028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F8C4C1-24B6-EC48-83AE-64303AD2B9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9140" y="3426627"/>
              <a:ext cx="4590991" cy="2752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474767</xdr:colOff>
      <xdr:row>33</xdr:row>
      <xdr:rowOff>154299</xdr:rowOff>
    </xdr:from>
    <xdr:to>
      <xdr:col>13</xdr:col>
      <xdr:colOff>239758</xdr:colOff>
      <xdr:row>48</xdr:row>
      <xdr:rowOff>48901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DB0C18-58CC-1F45-BB41-538A40764C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3767" y="6453499"/>
              <a:ext cx="4590991" cy="2752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460998</xdr:colOff>
      <xdr:row>49</xdr:row>
      <xdr:rowOff>57446</xdr:rowOff>
    </xdr:from>
    <xdr:to>
      <xdr:col>13</xdr:col>
      <xdr:colOff>225989</xdr:colOff>
      <xdr:row>63</xdr:row>
      <xdr:rowOff>141955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C7AA712-AE13-C74B-B3B7-998FCF5E6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9998" y="9404646"/>
              <a:ext cx="4590991" cy="27515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ooliver, Rachel" id="{1F037462-A743-FB49-B6DC-3E24FBBF6233}" userId="S::rwoolive@utk.edu::89295863-75e5-4055-8ece-ead835fcf9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0" dT="2023-09-20T13:01:39.40" personId="{1F037462-A743-FB49-B6DC-3E24FBBF6233}" id="{57F8D478-8B26-4E40-85E4-E0052861CFBF}">
    <text>Check that this is the correct moisture value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3-09-27T19:17:00.14" personId="{1F037462-A743-FB49-B6DC-3E24FBBF6233}" id="{A83DC399-1078-F343-9645-6C041DB6949C}">
    <text xml:space="preserve">Removed plate rep 2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DD8A-D070-EB4F-9B6B-33681847E816}">
  <dimension ref="A1:AF167"/>
  <sheetViews>
    <sheetView tabSelected="1" zoomScale="10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5"/>
  <cols>
    <col min="5" max="5" width="13.6640625" bestFit="1" customWidth="1"/>
    <col min="6" max="8" width="12.6640625" bestFit="1" customWidth="1"/>
    <col min="9" max="24" width="12.6640625" customWidth="1"/>
  </cols>
  <sheetData>
    <row r="1" spans="1:17" s="5" customFormat="1" ht="16">
      <c r="A1" s="5" t="s">
        <v>13</v>
      </c>
      <c r="B1" s="9" t="s">
        <v>182</v>
      </c>
      <c r="C1" s="9" t="s">
        <v>0</v>
      </c>
      <c r="D1" s="9" t="s">
        <v>183</v>
      </c>
      <c r="E1" s="5" t="s">
        <v>63</v>
      </c>
      <c r="F1" s="5" t="s">
        <v>64</v>
      </c>
      <c r="G1" s="5" t="s">
        <v>65</v>
      </c>
      <c r="H1" s="5" t="s">
        <v>66</v>
      </c>
      <c r="K1" s="9"/>
      <c r="L1" s="9"/>
      <c r="M1" s="9"/>
    </row>
    <row r="2" spans="1:17">
      <c r="A2">
        <v>1</v>
      </c>
      <c r="B2" t="s">
        <v>1</v>
      </c>
      <c r="C2" t="s">
        <v>2</v>
      </c>
      <c r="D2" t="s">
        <v>184</v>
      </c>
      <c r="E2" s="6">
        <v>86.648824168713901</v>
      </c>
      <c r="F2" s="6">
        <v>36.189523912366347</v>
      </c>
      <c r="G2" s="6">
        <v>38.716026469327765</v>
      </c>
      <c r="H2" s="6">
        <v>20.145231303034855</v>
      </c>
      <c r="I2" s="6"/>
      <c r="J2" s="6"/>
      <c r="K2" s="6"/>
      <c r="L2" s="6"/>
      <c r="N2" s="6"/>
      <c r="O2" s="6"/>
      <c r="P2" s="6"/>
      <c r="Q2" s="6"/>
    </row>
    <row r="3" spans="1:17">
      <c r="A3">
        <v>2</v>
      </c>
      <c r="B3" t="s">
        <v>3</v>
      </c>
      <c r="C3" t="s">
        <v>2</v>
      </c>
      <c r="D3" t="s">
        <v>184</v>
      </c>
      <c r="E3" s="6">
        <v>98.462157945650802</v>
      </c>
      <c r="F3" s="6">
        <v>36.158960734979487</v>
      </c>
      <c r="G3" s="6">
        <v>38.137388801520807</v>
      </c>
      <c r="H3" s="6">
        <v>16.95704942534136</v>
      </c>
      <c r="I3" s="6"/>
      <c r="J3" s="6"/>
      <c r="N3" s="6"/>
      <c r="O3" s="6"/>
      <c r="P3" s="6"/>
      <c r="Q3" s="6"/>
    </row>
    <row r="4" spans="1:17">
      <c r="A4">
        <v>3</v>
      </c>
      <c r="B4" t="s">
        <v>4</v>
      </c>
      <c r="C4" t="s">
        <v>2</v>
      </c>
      <c r="D4" t="s">
        <v>184</v>
      </c>
      <c r="E4" s="6">
        <v>92.697375523257662</v>
      </c>
      <c r="F4" s="6">
        <v>35.816602837258145</v>
      </c>
      <c r="G4" s="6">
        <v>37.752103053232105</v>
      </c>
      <c r="H4" s="6">
        <v>16.306047562377049</v>
      </c>
      <c r="I4" s="6"/>
      <c r="J4" s="6"/>
      <c r="N4" s="6"/>
      <c r="O4" s="6"/>
      <c r="P4" s="6"/>
      <c r="Q4" s="6"/>
    </row>
    <row r="5" spans="1:17">
      <c r="A5">
        <v>4</v>
      </c>
      <c r="B5" t="s">
        <v>5</v>
      </c>
      <c r="C5" t="s">
        <v>2</v>
      </c>
      <c r="D5" t="s">
        <v>184</v>
      </c>
      <c r="E5" s="6">
        <v>57.644277120985329</v>
      </c>
      <c r="F5" s="6">
        <v>27.126084627641493</v>
      </c>
      <c r="G5" s="6">
        <v>128.9145957687507</v>
      </c>
      <c r="H5" s="6">
        <v>15.64883590942957</v>
      </c>
      <c r="I5" s="6"/>
      <c r="J5" s="6"/>
      <c r="N5" s="6"/>
      <c r="O5" s="6"/>
      <c r="P5" s="6"/>
      <c r="Q5" s="6"/>
    </row>
    <row r="6" spans="1:17">
      <c r="A6">
        <v>5</v>
      </c>
      <c r="B6" t="s">
        <v>6</v>
      </c>
      <c r="C6" t="s">
        <v>2</v>
      </c>
      <c r="D6" t="s">
        <v>184</v>
      </c>
      <c r="E6" s="6">
        <v>102.33583775096908</v>
      </c>
      <c r="F6" s="6">
        <v>36.376982298828764</v>
      </c>
      <c r="G6" s="6">
        <v>40.197597816725938</v>
      </c>
      <c r="H6" s="6">
        <v>17.473644881425699</v>
      </c>
      <c r="I6" s="6"/>
      <c r="J6" s="6"/>
      <c r="N6" s="6"/>
      <c r="O6" s="6"/>
      <c r="P6" s="6"/>
      <c r="Q6" s="6"/>
    </row>
    <row r="7" spans="1:17">
      <c r="A7">
        <v>6</v>
      </c>
      <c r="B7" t="s">
        <v>1</v>
      </c>
      <c r="C7" t="s">
        <v>2</v>
      </c>
      <c r="D7" t="s">
        <v>184</v>
      </c>
      <c r="E7" s="6">
        <v>99.756959927978201</v>
      </c>
      <c r="F7" s="6">
        <v>41.198868939411454</v>
      </c>
      <c r="G7" s="6">
        <v>47.762895553263832</v>
      </c>
      <c r="H7" s="6">
        <v>22.126112520524309</v>
      </c>
      <c r="I7" s="6"/>
      <c r="J7" s="6"/>
      <c r="N7" s="6"/>
      <c r="O7" s="6"/>
      <c r="P7" s="6"/>
      <c r="Q7" s="6"/>
    </row>
    <row r="8" spans="1:17">
      <c r="A8">
        <v>7</v>
      </c>
      <c r="B8" t="s">
        <v>3</v>
      </c>
      <c r="C8" t="s">
        <v>2</v>
      </c>
      <c r="D8" t="s">
        <v>184</v>
      </c>
      <c r="E8" s="6">
        <v>101.72937354666037</v>
      </c>
      <c r="F8" s="6">
        <v>40.892186101868319</v>
      </c>
      <c r="G8" s="6">
        <v>45.777243203151428</v>
      </c>
      <c r="H8" s="6">
        <v>19.938020387849036</v>
      </c>
      <c r="I8" s="6"/>
      <c r="J8" s="6"/>
      <c r="K8" s="6"/>
      <c r="L8" s="6"/>
      <c r="N8" s="6"/>
      <c r="O8" s="6"/>
      <c r="P8" s="6"/>
      <c r="Q8" s="6"/>
    </row>
    <row r="9" spans="1:17">
      <c r="A9">
        <v>8</v>
      </c>
      <c r="B9" t="s">
        <v>4</v>
      </c>
      <c r="C9" t="s">
        <v>2</v>
      </c>
      <c r="D9" t="s">
        <v>184</v>
      </c>
      <c r="E9" s="6">
        <v>96.743122434844707</v>
      </c>
      <c r="F9" s="6">
        <v>41.586204925634199</v>
      </c>
      <c r="G9" s="6">
        <v>44.642827341054613</v>
      </c>
      <c r="H9" s="6">
        <v>19.999723282057374</v>
      </c>
      <c r="I9" s="6"/>
      <c r="J9" s="6"/>
      <c r="K9" s="6"/>
      <c r="L9" s="6"/>
      <c r="N9" s="6"/>
      <c r="O9" s="6"/>
      <c r="P9" s="6"/>
      <c r="Q9" s="6"/>
    </row>
    <row r="10" spans="1:17">
      <c r="A10">
        <v>9</v>
      </c>
      <c r="B10" t="s">
        <v>5</v>
      </c>
      <c r="C10" t="s">
        <v>2</v>
      </c>
      <c r="D10" t="s">
        <v>184</v>
      </c>
      <c r="E10" s="6">
        <v>65.000517928698542</v>
      </c>
      <c r="F10" s="6">
        <v>28.039287387566837</v>
      </c>
      <c r="G10" s="6">
        <v>142.46333754076107</v>
      </c>
      <c r="H10" s="6">
        <v>14.205226813600396</v>
      </c>
      <c r="I10" s="6"/>
      <c r="J10" s="6"/>
      <c r="K10" s="6"/>
      <c r="L10" s="6"/>
      <c r="N10" s="6"/>
      <c r="O10" s="6"/>
      <c r="P10" s="6"/>
      <c r="Q10" s="6"/>
    </row>
    <row r="11" spans="1:17">
      <c r="A11">
        <v>10</v>
      </c>
      <c r="B11" t="s">
        <v>6</v>
      </c>
      <c r="C11" t="s">
        <v>2</v>
      </c>
      <c r="D11" t="s">
        <v>184</v>
      </c>
      <c r="E11" s="6">
        <v>110.95271765907577</v>
      </c>
      <c r="F11" s="6">
        <v>43.475318371546393</v>
      </c>
      <c r="G11" s="6">
        <v>46.143869275256158</v>
      </c>
      <c r="H11" s="6">
        <v>20.153636590142227</v>
      </c>
      <c r="I11" s="6"/>
      <c r="J11" s="6"/>
      <c r="K11" s="6"/>
      <c r="L11" s="6"/>
      <c r="N11" s="6"/>
      <c r="O11" s="6"/>
      <c r="P11" s="6"/>
      <c r="Q11" s="6"/>
    </row>
    <row r="12" spans="1:17">
      <c r="A12">
        <v>11</v>
      </c>
      <c r="B12" t="s">
        <v>1</v>
      </c>
      <c r="C12" t="s">
        <v>2</v>
      </c>
      <c r="D12" t="s">
        <v>184</v>
      </c>
      <c r="E12" s="6">
        <v>107.11191420825165</v>
      </c>
      <c r="F12" s="6">
        <v>43.629910511727452</v>
      </c>
      <c r="G12" s="6">
        <v>41.077679748881209</v>
      </c>
      <c r="H12" s="6">
        <v>19.689358721305524</v>
      </c>
      <c r="I12" s="6"/>
      <c r="J12" s="6"/>
      <c r="K12" s="6"/>
      <c r="L12" s="6"/>
      <c r="N12" s="6"/>
      <c r="O12" s="6"/>
      <c r="P12" s="6"/>
      <c r="Q12" s="6"/>
    </row>
    <row r="13" spans="1:17">
      <c r="A13">
        <v>12</v>
      </c>
      <c r="B13" t="s">
        <v>3</v>
      </c>
      <c r="C13" t="s">
        <v>2</v>
      </c>
      <c r="D13" t="s">
        <v>184</v>
      </c>
      <c r="E13" s="6">
        <v>116.3037078250883</v>
      </c>
      <c r="F13" s="6">
        <v>46.357860895556421</v>
      </c>
      <c r="G13" s="6">
        <v>46.978798331720469</v>
      </c>
      <c r="H13" s="6">
        <v>21.827449865981187</v>
      </c>
      <c r="I13" s="6"/>
      <c r="J13" s="6"/>
      <c r="K13" s="6"/>
      <c r="L13" s="6"/>
      <c r="N13" s="6"/>
      <c r="O13" s="6"/>
      <c r="P13" s="6"/>
      <c r="Q13" s="6"/>
    </row>
    <row r="14" spans="1:17">
      <c r="A14">
        <v>13</v>
      </c>
      <c r="B14" t="s">
        <v>4</v>
      </c>
      <c r="C14" t="s">
        <v>2</v>
      </c>
      <c r="D14" t="s">
        <v>184</v>
      </c>
      <c r="E14" s="6">
        <v>120.88271255244027</v>
      </c>
      <c r="F14" s="6">
        <v>49.02979588041692</v>
      </c>
      <c r="G14" s="6">
        <v>48.548728976841907</v>
      </c>
      <c r="H14" s="6">
        <v>21.978374177573169</v>
      </c>
      <c r="I14" s="6"/>
      <c r="J14" s="6"/>
      <c r="K14" s="6"/>
      <c r="L14" s="6"/>
      <c r="N14" s="6"/>
      <c r="O14" s="6"/>
      <c r="P14" s="6"/>
      <c r="Q14" s="6"/>
    </row>
    <row r="15" spans="1:17">
      <c r="A15">
        <v>14</v>
      </c>
      <c r="B15" t="s">
        <v>5</v>
      </c>
      <c r="C15" t="s">
        <v>2</v>
      </c>
      <c r="D15" t="s">
        <v>184</v>
      </c>
      <c r="E15" s="6">
        <v>63.986623021720106</v>
      </c>
      <c r="F15" s="6">
        <v>27.536271219889699</v>
      </c>
      <c r="G15" s="6">
        <v>132.96851668298493</v>
      </c>
      <c r="H15" s="6">
        <v>14.556227909766127</v>
      </c>
      <c r="I15" s="6"/>
      <c r="J15" s="6"/>
      <c r="K15" s="6"/>
      <c r="L15" s="6"/>
      <c r="N15" s="6"/>
      <c r="O15" s="6"/>
      <c r="P15" s="6"/>
      <c r="Q15" s="6"/>
    </row>
    <row r="16" spans="1:17">
      <c r="A16">
        <v>15</v>
      </c>
      <c r="B16" t="s">
        <v>6</v>
      </c>
      <c r="C16" t="s">
        <v>2</v>
      </c>
      <c r="D16" t="s">
        <v>184</v>
      </c>
      <c r="E16" s="6">
        <v>126.76362217751311</v>
      </c>
      <c r="F16" s="6">
        <v>53.075971109412549</v>
      </c>
      <c r="G16" s="6">
        <v>44.442684289263973</v>
      </c>
      <c r="H16" s="6">
        <v>22.105798921370269</v>
      </c>
      <c r="I16" s="6"/>
      <c r="J16" s="6"/>
      <c r="K16" s="6"/>
      <c r="L16" s="6"/>
      <c r="N16" s="6"/>
      <c r="O16" s="6"/>
      <c r="P16" s="6"/>
      <c r="Q16" s="6"/>
    </row>
    <row r="17" spans="1:17">
      <c r="A17">
        <v>16</v>
      </c>
      <c r="B17" t="s">
        <v>1</v>
      </c>
      <c r="C17" t="s">
        <v>2</v>
      </c>
      <c r="D17" t="s">
        <v>184</v>
      </c>
      <c r="E17" s="6">
        <v>58.587224097697558</v>
      </c>
      <c r="F17" s="6">
        <v>33.190345565956676</v>
      </c>
      <c r="G17" s="6">
        <v>26.96023392872879</v>
      </c>
      <c r="H17" s="6">
        <v>19.155228482626182</v>
      </c>
      <c r="I17" s="6"/>
      <c r="J17" s="6"/>
      <c r="K17" s="6"/>
      <c r="L17" s="6"/>
      <c r="N17" s="6"/>
      <c r="O17" s="6"/>
      <c r="P17" s="6"/>
      <c r="Q17" s="6"/>
    </row>
    <row r="18" spans="1:17">
      <c r="A18">
        <v>17</v>
      </c>
      <c r="B18" t="s">
        <v>3</v>
      </c>
      <c r="C18" t="s">
        <v>2</v>
      </c>
      <c r="D18" t="s">
        <v>184</v>
      </c>
      <c r="E18" s="6">
        <v>57.808218786608776</v>
      </c>
      <c r="F18" s="6">
        <v>29.10689869049358</v>
      </c>
      <c r="G18" s="6">
        <v>27.834714925401553</v>
      </c>
      <c r="H18" s="6">
        <v>15.152665715586746</v>
      </c>
      <c r="I18" s="6"/>
      <c r="J18" s="6"/>
      <c r="K18" s="6"/>
      <c r="L18" s="6"/>
      <c r="N18" s="6"/>
      <c r="O18" s="6"/>
      <c r="P18" s="6"/>
      <c r="Q18" s="6"/>
    </row>
    <row r="19" spans="1:17">
      <c r="A19">
        <v>18</v>
      </c>
      <c r="B19" t="s">
        <v>4</v>
      </c>
      <c r="C19" t="s">
        <v>2</v>
      </c>
      <c r="D19" t="s">
        <v>184</v>
      </c>
      <c r="E19" s="6">
        <v>59.984392518339249</v>
      </c>
      <c r="F19" s="6">
        <v>24.412516040129614</v>
      </c>
      <c r="G19" s="6">
        <v>24.71283365226224</v>
      </c>
      <c r="H19" s="6">
        <v>14.105196712020938</v>
      </c>
      <c r="I19" s="6"/>
      <c r="J19" s="6"/>
      <c r="K19" s="6"/>
      <c r="L19" s="6"/>
      <c r="N19" s="6"/>
      <c r="O19" s="6"/>
      <c r="P19" s="6"/>
      <c r="Q19" s="6"/>
    </row>
    <row r="20" spans="1:17">
      <c r="A20">
        <v>19</v>
      </c>
      <c r="B20" t="s">
        <v>5</v>
      </c>
      <c r="C20" t="s">
        <v>2</v>
      </c>
      <c r="D20" t="s">
        <v>184</v>
      </c>
      <c r="E20" s="6">
        <v>63.524199368765231</v>
      </c>
      <c r="F20" s="6">
        <v>25.735104147175662</v>
      </c>
      <c r="G20" s="6">
        <v>131.75164237570584</v>
      </c>
      <c r="H20" s="6">
        <v>14.530968897265774</v>
      </c>
      <c r="I20" s="6"/>
      <c r="J20" s="6"/>
      <c r="K20" s="6"/>
      <c r="L20" s="6"/>
      <c r="N20" s="6"/>
      <c r="O20" s="6"/>
      <c r="P20" s="6"/>
      <c r="Q20" s="6"/>
    </row>
    <row r="21" spans="1:17">
      <c r="A21">
        <v>20</v>
      </c>
      <c r="B21" t="s">
        <v>6</v>
      </c>
      <c r="C21" t="s">
        <v>2</v>
      </c>
      <c r="D21" t="s">
        <v>184</v>
      </c>
      <c r="E21" s="6">
        <v>56.479809983165708</v>
      </c>
      <c r="F21" s="6">
        <v>23.559375361373291</v>
      </c>
      <c r="G21" s="6">
        <v>24.512737758895597</v>
      </c>
      <c r="H21" s="6">
        <v>12.274592807803788</v>
      </c>
      <c r="I21" s="6"/>
      <c r="J21" s="6"/>
      <c r="K21" s="6"/>
      <c r="L21" s="6"/>
      <c r="N21" s="6"/>
      <c r="O21" s="6"/>
      <c r="P21" s="6"/>
      <c r="Q21" s="6"/>
    </row>
    <row r="22" spans="1:17">
      <c r="A22" s="4">
        <v>21</v>
      </c>
      <c r="B22" t="s">
        <v>1</v>
      </c>
      <c r="C22" t="s">
        <v>7</v>
      </c>
      <c r="D22" t="s">
        <v>184</v>
      </c>
      <c r="E22" s="6">
        <v>56.037026106466925</v>
      </c>
      <c r="F22" s="6">
        <v>25.738913138370695</v>
      </c>
      <c r="G22" s="6">
        <v>23.814881865042718</v>
      </c>
      <c r="H22" s="6">
        <v>13.465372005461345</v>
      </c>
      <c r="I22" s="6"/>
      <c r="J22" s="6"/>
      <c r="K22" s="6"/>
      <c r="L22" s="6"/>
      <c r="N22" s="6"/>
      <c r="O22" s="6"/>
      <c r="P22" s="6"/>
      <c r="Q22" s="6"/>
    </row>
    <row r="23" spans="1:17">
      <c r="A23" s="4">
        <v>22</v>
      </c>
      <c r="B23" t="s">
        <v>3</v>
      </c>
      <c r="C23" t="s">
        <v>7</v>
      </c>
      <c r="D23" t="s">
        <v>184</v>
      </c>
      <c r="E23" s="6">
        <v>57.859167134541956</v>
      </c>
      <c r="F23" s="6">
        <v>25.578769406540236</v>
      </c>
      <c r="G23" s="6">
        <v>28.822964568373294</v>
      </c>
      <c r="H23" s="6">
        <v>12.369941452193801</v>
      </c>
      <c r="I23" s="6"/>
      <c r="J23" s="6"/>
      <c r="K23" s="6"/>
      <c r="L23" s="6"/>
      <c r="N23" s="6"/>
      <c r="O23" s="6"/>
      <c r="P23" s="6"/>
      <c r="Q23" s="6"/>
    </row>
    <row r="24" spans="1:17">
      <c r="A24" s="4">
        <v>23</v>
      </c>
      <c r="B24" t="s">
        <v>4</v>
      </c>
      <c r="C24" t="s">
        <v>7</v>
      </c>
      <c r="D24" t="s">
        <v>184</v>
      </c>
      <c r="E24" s="6">
        <v>65.471481968447762</v>
      </c>
      <c r="F24" s="6">
        <v>28.334935236640014</v>
      </c>
      <c r="G24" s="6">
        <v>26.052984520008774</v>
      </c>
      <c r="H24" s="6">
        <v>14.091801851549093</v>
      </c>
      <c r="I24" s="6"/>
      <c r="J24" s="6"/>
      <c r="K24" s="6"/>
      <c r="L24" s="6"/>
      <c r="N24" s="6"/>
      <c r="O24" s="6"/>
      <c r="P24" s="6"/>
      <c r="Q24" s="6"/>
    </row>
    <row r="25" spans="1:17">
      <c r="A25" s="4">
        <v>24</v>
      </c>
      <c r="B25" t="s">
        <v>5</v>
      </c>
      <c r="C25" t="s">
        <v>7</v>
      </c>
      <c r="D25" t="s">
        <v>184</v>
      </c>
      <c r="E25" s="6">
        <v>62.655278716123377</v>
      </c>
      <c r="F25" s="6">
        <v>25.614782824640479</v>
      </c>
      <c r="G25" s="6">
        <v>124.13171208219869</v>
      </c>
      <c r="H25" s="6">
        <v>13.380604437125145</v>
      </c>
      <c r="I25" s="6"/>
      <c r="J25" s="6"/>
      <c r="K25" s="6"/>
      <c r="L25" s="6"/>
      <c r="N25" s="6"/>
      <c r="O25" s="6"/>
      <c r="P25" s="6"/>
      <c r="Q25" s="6"/>
    </row>
    <row r="26" spans="1:17">
      <c r="A26" s="4">
        <v>25</v>
      </c>
      <c r="B26" t="s">
        <v>6</v>
      </c>
      <c r="C26" t="s">
        <v>7</v>
      </c>
      <c r="D26" t="s">
        <v>184</v>
      </c>
      <c r="E26" s="6">
        <v>70.127512715470132</v>
      </c>
      <c r="F26" s="6">
        <v>32.930419610095591</v>
      </c>
      <c r="G26" s="6">
        <v>26.869784972680723</v>
      </c>
      <c r="H26" s="6">
        <v>13.429030991743881</v>
      </c>
      <c r="I26" s="6"/>
      <c r="J26" s="6"/>
      <c r="K26" s="6"/>
      <c r="L26" s="6"/>
      <c r="N26" s="6"/>
      <c r="O26" s="6"/>
      <c r="P26" s="6"/>
      <c r="Q26" s="6"/>
    </row>
    <row r="27" spans="1:17">
      <c r="A27" s="4">
        <v>26</v>
      </c>
      <c r="B27" t="s">
        <v>1</v>
      </c>
      <c r="C27" t="s">
        <v>7</v>
      </c>
      <c r="D27" t="s">
        <v>184</v>
      </c>
      <c r="E27" s="6">
        <v>73.742695156206452</v>
      </c>
      <c r="F27" s="6">
        <v>31.805060971824602</v>
      </c>
      <c r="G27" s="6">
        <v>26.877854478434006</v>
      </c>
      <c r="H27" s="6">
        <v>13.740708409295266</v>
      </c>
      <c r="I27" s="6"/>
      <c r="J27" s="6"/>
      <c r="K27" s="6"/>
      <c r="L27" s="6"/>
      <c r="N27" s="6"/>
      <c r="O27" s="6"/>
      <c r="P27" s="6"/>
      <c r="Q27" s="6"/>
    </row>
    <row r="28" spans="1:17">
      <c r="A28" s="4">
        <v>27</v>
      </c>
      <c r="B28" t="s">
        <v>3</v>
      </c>
      <c r="C28" t="s">
        <v>7</v>
      </c>
      <c r="D28" t="s">
        <v>184</v>
      </c>
      <c r="E28" s="6">
        <v>70.088147347542773</v>
      </c>
      <c r="F28" s="6">
        <v>29.632057504933147</v>
      </c>
      <c r="G28" s="6">
        <v>29.989040038888476</v>
      </c>
      <c r="H28" s="6">
        <v>11.659928374108423</v>
      </c>
      <c r="I28" s="6"/>
      <c r="J28" s="6"/>
      <c r="K28" s="6"/>
      <c r="L28" s="6"/>
      <c r="N28" s="6"/>
      <c r="O28" s="6"/>
      <c r="P28" s="6"/>
      <c r="Q28" s="6"/>
    </row>
    <row r="29" spans="1:17">
      <c r="A29" s="4">
        <v>28</v>
      </c>
      <c r="B29" t="s">
        <v>4</v>
      </c>
      <c r="C29" t="s">
        <v>7</v>
      </c>
      <c r="D29" t="s">
        <v>184</v>
      </c>
      <c r="E29" s="6">
        <v>70.56897833723707</v>
      </c>
      <c r="F29" s="6">
        <v>29.378511222047681</v>
      </c>
      <c r="G29" s="6">
        <v>32.763519229117101</v>
      </c>
      <c r="H29" s="6">
        <v>15.206197960380823</v>
      </c>
      <c r="I29" s="6"/>
      <c r="J29" s="6"/>
      <c r="K29" s="6"/>
      <c r="L29" s="6"/>
      <c r="N29" s="6"/>
      <c r="O29" s="6"/>
      <c r="P29" s="6"/>
      <c r="Q29" s="6"/>
    </row>
    <row r="30" spans="1:17">
      <c r="A30" s="4">
        <v>29</v>
      </c>
      <c r="B30" t="s">
        <v>5</v>
      </c>
      <c r="C30" t="s">
        <v>7</v>
      </c>
      <c r="D30" t="s">
        <v>184</v>
      </c>
      <c r="E30" s="6">
        <v>64.737740089761488</v>
      </c>
      <c r="F30" s="6">
        <v>26.240046010445106</v>
      </c>
      <c r="G30" s="6">
        <v>122.48189660303559</v>
      </c>
      <c r="H30" s="6">
        <v>13.009660445542742</v>
      </c>
      <c r="I30" s="6"/>
      <c r="J30" s="6"/>
      <c r="K30" s="6"/>
      <c r="L30" s="6"/>
      <c r="N30" s="6"/>
      <c r="O30" s="6"/>
      <c r="P30" s="6"/>
      <c r="Q30" s="6"/>
    </row>
    <row r="31" spans="1:17">
      <c r="A31" s="4">
        <v>30</v>
      </c>
      <c r="B31" t="s">
        <v>6</v>
      </c>
      <c r="C31" t="s">
        <v>7</v>
      </c>
      <c r="D31" t="s">
        <v>184</v>
      </c>
      <c r="E31" s="6">
        <v>71.4335050793823</v>
      </c>
      <c r="F31" s="6">
        <v>32.242723773089857</v>
      </c>
      <c r="G31" s="6">
        <v>37.109999668572719</v>
      </c>
      <c r="H31" s="6">
        <v>13.039954790589558</v>
      </c>
      <c r="I31" s="6"/>
      <c r="J31" s="6"/>
      <c r="K31" s="6"/>
      <c r="L31" s="6"/>
      <c r="N31" s="6"/>
      <c r="O31" s="6"/>
      <c r="P31" s="6"/>
      <c r="Q31" s="6"/>
    </row>
    <row r="32" spans="1:17">
      <c r="A32" s="4">
        <v>31</v>
      </c>
      <c r="B32" t="s">
        <v>1</v>
      </c>
      <c r="C32" t="s">
        <v>7</v>
      </c>
      <c r="D32" t="s">
        <v>184</v>
      </c>
      <c r="E32" s="6">
        <v>97.786724884217236</v>
      </c>
      <c r="F32" s="6">
        <v>44.077397031386177</v>
      </c>
      <c r="G32" s="6">
        <v>25.577575928105013</v>
      </c>
      <c r="H32" s="6">
        <v>20.675475609795509</v>
      </c>
      <c r="I32" s="6"/>
      <c r="J32" s="6"/>
      <c r="K32" s="6"/>
      <c r="L32" s="6"/>
      <c r="N32" s="6"/>
      <c r="O32" s="6"/>
      <c r="P32" s="6"/>
      <c r="Q32" s="6"/>
    </row>
    <row r="33" spans="1:17">
      <c r="A33" s="4">
        <v>32</v>
      </c>
      <c r="B33" t="s">
        <v>3</v>
      </c>
      <c r="C33" t="s">
        <v>7</v>
      </c>
      <c r="D33" t="s">
        <v>184</v>
      </c>
      <c r="E33" s="6">
        <v>100.98113979572396</v>
      </c>
      <c r="F33" s="6">
        <v>38.576857355807483</v>
      </c>
      <c r="G33" s="6">
        <v>27.010941002797267</v>
      </c>
      <c r="H33" s="6">
        <v>19.901123194956575</v>
      </c>
      <c r="I33" s="6"/>
      <c r="J33" s="6"/>
      <c r="K33" s="6"/>
      <c r="L33" s="6"/>
      <c r="N33" s="6"/>
      <c r="O33" s="6"/>
      <c r="P33" s="6"/>
      <c r="Q33" s="6"/>
    </row>
    <row r="34" spans="1:17">
      <c r="A34" s="4">
        <v>33</v>
      </c>
      <c r="B34" t="s">
        <v>4</v>
      </c>
      <c r="C34" t="s">
        <v>7</v>
      </c>
      <c r="D34" t="s">
        <v>184</v>
      </c>
      <c r="E34" s="6">
        <v>107.42560290270016</v>
      </c>
      <c r="F34" s="6">
        <v>42.350918466723783</v>
      </c>
      <c r="G34" s="6">
        <v>24.181465411856138</v>
      </c>
      <c r="H34" s="6">
        <v>20.481557303813695</v>
      </c>
      <c r="I34" s="6"/>
      <c r="J34" s="6"/>
      <c r="K34" s="6"/>
      <c r="L34" s="6"/>
      <c r="N34" s="6"/>
      <c r="O34" s="6"/>
      <c r="P34" s="6"/>
      <c r="Q34" s="6"/>
    </row>
    <row r="35" spans="1:17">
      <c r="A35" s="4">
        <v>34</v>
      </c>
      <c r="B35" t="s">
        <v>5</v>
      </c>
      <c r="C35" t="s">
        <v>7</v>
      </c>
      <c r="D35" t="s">
        <v>184</v>
      </c>
      <c r="E35" s="6">
        <v>60.825250189296078</v>
      </c>
      <c r="F35" s="6">
        <v>27.174495946248584</v>
      </c>
      <c r="G35" s="6">
        <v>118.76715176998046</v>
      </c>
      <c r="H35" s="6">
        <v>14.8956211238348</v>
      </c>
      <c r="I35" s="6"/>
      <c r="J35" s="6"/>
      <c r="K35" s="6"/>
      <c r="L35" s="6"/>
      <c r="N35" s="6"/>
      <c r="O35" s="6"/>
      <c r="P35" s="6"/>
      <c r="Q35" s="6"/>
    </row>
    <row r="36" spans="1:17">
      <c r="A36" s="4">
        <v>35</v>
      </c>
      <c r="B36" t="s">
        <v>6</v>
      </c>
      <c r="C36" t="s">
        <v>7</v>
      </c>
      <c r="D36" t="s">
        <v>184</v>
      </c>
      <c r="E36" s="6">
        <v>110.97228423373245</v>
      </c>
      <c r="F36" s="6">
        <v>45.955534574910281</v>
      </c>
      <c r="G36" s="6">
        <v>26.174463572285475</v>
      </c>
      <c r="H36" s="6">
        <v>20.802406564444151</v>
      </c>
      <c r="I36" s="6"/>
      <c r="J36" s="6"/>
      <c r="K36" s="6"/>
      <c r="L36" s="6"/>
      <c r="N36" s="6"/>
      <c r="O36" s="6"/>
      <c r="P36" s="6"/>
      <c r="Q36" s="6"/>
    </row>
    <row r="37" spans="1:17">
      <c r="A37" s="4">
        <v>36</v>
      </c>
      <c r="B37" t="s">
        <v>1</v>
      </c>
      <c r="C37" t="s">
        <v>7</v>
      </c>
      <c r="D37" t="s">
        <v>184</v>
      </c>
      <c r="E37" s="6">
        <v>106.07959651209265</v>
      </c>
      <c r="F37" s="6">
        <v>46.36532774249239</v>
      </c>
      <c r="G37" s="6">
        <v>29.465062876603927</v>
      </c>
      <c r="H37" s="6">
        <v>21.360524128867681</v>
      </c>
      <c r="I37" s="6"/>
      <c r="J37" s="6"/>
      <c r="K37" s="6"/>
      <c r="L37" s="6"/>
      <c r="N37" s="6"/>
      <c r="O37" s="6"/>
      <c r="P37" s="6"/>
      <c r="Q37" s="6"/>
    </row>
    <row r="38" spans="1:17">
      <c r="A38" s="4">
        <v>37</v>
      </c>
      <c r="B38" t="s">
        <v>3</v>
      </c>
      <c r="C38" t="s">
        <v>7</v>
      </c>
      <c r="D38" t="s">
        <v>184</v>
      </c>
      <c r="E38" s="6">
        <v>104.66473393807392</v>
      </c>
      <c r="F38" s="6">
        <v>46.145945385560289</v>
      </c>
      <c r="G38" s="6">
        <v>29.325680771109873</v>
      </c>
      <c r="H38" s="6">
        <v>20.58029024488766</v>
      </c>
      <c r="I38" s="6"/>
      <c r="J38" s="6"/>
      <c r="K38" s="6"/>
      <c r="L38" s="6"/>
      <c r="N38" s="6"/>
      <c r="O38" s="6"/>
      <c r="P38" s="6"/>
      <c r="Q38" s="6"/>
    </row>
    <row r="39" spans="1:17">
      <c r="A39" s="4">
        <v>38</v>
      </c>
      <c r="B39" t="s">
        <v>4</v>
      </c>
      <c r="C39" t="s">
        <v>7</v>
      </c>
      <c r="D39" t="s">
        <v>184</v>
      </c>
      <c r="E39" s="6">
        <v>105.85874695267853</v>
      </c>
      <c r="F39" s="6">
        <v>47.058841675249433</v>
      </c>
      <c r="G39" s="6">
        <v>28.337334164750857</v>
      </c>
      <c r="H39" s="6">
        <v>19.791744775616589</v>
      </c>
      <c r="I39" s="6"/>
      <c r="J39" s="6"/>
      <c r="K39" s="6"/>
      <c r="L39" s="6"/>
      <c r="N39" s="6"/>
      <c r="O39" s="6"/>
      <c r="P39" s="6"/>
      <c r="Q39" s="6"/>
    </row>
    <row r="40" spans="1:17">
      <c r="A40" s="4">
        <v>39</v>
      </c>
      <c r="B40" t="s">
        <v>5</v>
      </c>
      <c r="C40" t="s">
        <v>7</v>
      </c>
      <c r="D40" t="s">
        <v>184</v>
      </c>
      <c r="E40" s="6">
        <v>66.439299895459655</v>
      </c>
      <c r="F40" s="6">
        <v>28.369547320768476</v>
      </c>
      <c r="G40" s="6">
        <v>110.8026843158065</v>
      </c>
      <c r="H40" s="6">
        <v>14.532322184031409</v>
      </c>
      <c r="I40" s="6"/>
      <c r="J40" s="6"/>
      <c r="K40" s="6"/>
      <c r="L40" s="6"/>
      <c r="N40" s="6"/>
      <c r="O40" s="6"/>
      <c r="P40" s="6"/>
      <c r="Q40" s="6"/>
    </row>
    <row r="41" spans="1:17">
      <c r="A41" s="4">
        <v>40</v>
      </c>
      <c r="B41" t="s">
        <v>6</v>
      </c>
      <c r="C41" t="s">
        <v>7</v>
      </c>
      <c r="D41" t="s">
        <v>184</v>
      </c>
      <c r="E41" s="6">
        <v>109.39698296571837</v>
      </c>
      <c r="F41" s="6">
        <v>46.004655645834767</v>
      </c>
      <c r="G41" s="6">
        <v>29.719276656934259</v>
      </c>
      <c r="H41" s="6">
        <v>21.556687631244301</v>
      </c>
      <c r="I41" s="6"/>
      <c r="J41" s="6"/>
      <c r="K41" s="6"/>
      <c r="L41" s="6"/>
      <c r="N41" s="6"/>
      <c r="O41" s="6"/>
      <c r="P41" s="6"/>
      <c r="Q41" s="6"/>
    </row>
    <row r="42" spans="1:17">
      <c r="A42">
        <v>41</v>
      </c>
      <c r="B42" t="s">
        <v>1</v>
      </c>
      <c r="C42" t="s">
        <v>2</v>
      </c>
      <c r="D42" t="s">
        <v>185</v>
      </c>
      <c r="E42" s="6">
        <v>109.42478457802684</v>
      </c>
      <c r="F42" s="6">
        <v>47.588454763403021</v>
      </c>
      <c r="G42" s="6">
        <v>32.777890930534859</v>
      </c>
      <c r="H42" s="6">
        <v>22.669336778405352</v>
      </c>
      <c r="I42" s="6"/>
      <c r="J42" s="6"/>
      <c r="K42" s="6"/>
      <c r="L42" s="6"/>
      <c r="N42" s="6"/>
      <c r="O42" s="6"/>
      <c r="P42" s="6"/>
      <c r="Q42" s="6"/>
    </row>
    <row r="43" spans="1:17">
      <c r="A43">
        <v>42</v>
      </c>
      <c r="B43" t="s">
        <v>3</v>
      </c>
      <c r="C43" t="s">
        <v>2</v>
      </c>
      <c r="D43" t="s">
        <v>185</v>
      </c>
      <c r="E43" s="6">
        <v>118.58816096620633</v>
      </c>
      <c r="F43" s="6">
        <v>49.162800865558729</v>
      </c>
      <c r="G43" s="6">
        <v>32.591287044944742</v>
      </c>
      <c r="H43" s="6">
        <v>21.104052556982911</v>
      </c>
      <c r="I43" s="6"/>
      <c r="J43" s="6"/>
    </row>
    <row r="44" spans="1:17">
      <c r="A44">
        <v>43</v>
      </c>
      <c r="B44" t="s">
        <v>4</v>
      </c>
      <c r="C44" t="s">
        <v>2</v>
      </c>
      <c r="D44" t="s">
        <v>185</v>
      </c>
      <c r="E44" s="6">
        <v>116.56276662008273</v>
      </c>
      <c r="F44" s="6">
        <v>50.474856495710831</v>
      </c>
      <c r="G44" s="6">
        <v>37.443614128610108</v>
      </c>
      <c r="H44" s="6">
        <v>22.849947084906795</v>
      </c>
      <c r="I44" s="6"/>
      <c r="J44" s="6"/>
      <c r="K44" s="6"/>
      <c r="L44" s="6"/>
    </row>
    <row r="45" spans="1:17">
      <c r="A45">
        <v>44</v>
      </c>
      <c r="B45" t="s">
        <v>5</v>
      </c>
      <c r="C45" t="s">
        <v>2</v>
      </c>
      <c r="D45" t="s">
        <v>185</v>
      </c>
      <c r="E45" s="6">
        <v>61.546717325478816</v>
      </c>
      <c r="F45" s="6">
        <v>25.269521309868594</v>
      </c>
      <c r="G45" s="6">
        <v>125.09984386954309</v>
      </c>
      <c r="H45" s="6">
        <v>14.556170656747961</v>
      </c>
      <c r="I45" s="6"/>
      <c r="J45" s="6"/>
      <c r="K45" s="6"/>
      <c r="L45" s="6"/>
    </row>
    <row r="46" spans="1:17">
      <c r="A46">
        <v>45</v>
      </c>
      <c r="B46" t="s">
        <v>6</v>
      </c>
      <c r="C46" t="s">
        <v>2</v>
      </c>
      <c r="D46" t="s">
        <v>185</v>
      </c>
      <c r="E46" s="6">
        <v>107.77114742775315</v>
      </c>
      <c r="F46" s="6">
        <v>47.620395007223323</v>
      </c>
      <c r="G46" s="6">
        <v>35.467399110733858</v>
      </c>
      <c r="H46" s="6">
        <v>20.165370170284479</v>
      </c>
      <c r="I46" s="6"/>
      <c r="J46" s="6"/>
      <c r="K46" s="6"/>
      <c r="L46" s="6"/>
    </row>
    <row r="47" spans="1:17">
      <c r="A47">
        <v>46</v>
      </c>
      <c r="B47" t="s">
        <v>1</v>
      </c>
      <c r="C47" t="s">
        <v>2</v>
      </c>
      <c r="D47" t="s">
        <v>185</v>
      </c>
      <c r="E47" s="6">
        <v>81.650329052663238</v>
      </c>
      <c r="F47" s="6">
        <v>36.425511980984005</v>
      </c>
      <c r="G47" s="6">
        <v>32.83090092739743</v>
      </c>
      <c r="H47" s="6">
        <v>10.165940778073491</v>
      </c>
      <c r="I47" s="6"/>
      <c r="J47" s="6"/>
      <c r="K47" s="6"/>
      <c r="L47" s="6"/>
    </row>
    <row r="48" spans="1:17">
      <c r="A48">
        <v>47</v>
      </c>
      <c r="B48" t="s">
        <v>3</v>
      </c>
      <c r="C48" t="s">
        <v>2</v>
      </c>
      <c r="D48" t="s">
        <v>185</v>
      </c>
      <c r="E48" s="6">
        <v>89.284097137426187</v>
      </c>
      <c r="F48" s="6">
        <v>39.158798940687205</v>
      </c>
      <c r="G48" s="6">
        <v>35.837480730259664</v>
      </c>
      <c r="H48" s="6">
        <v>8.3866114382512968</v>
      </c>
      <c r="I48" s="6"/>
      <c r="J48" s="6"/>
      <c r="K48" s="6"/>
      <c r="L48" s="6"/>
    </row>
    <row r="49" spans="1:12">
      <c r="A49">
        <v>48</v>
      </c>
      <c r="B49" t="s">
        <v>4</v>
      </c>
      <c r="C49" t="s">
        <v>2</v>
      </c>
      <c r="D49" t="s">
        <v>185</v>
      </c>
      <c r="E49" s="6">
        <v>91.285095644130365</v>
      </c>
      <c r="F49" s="6">
        <v>37.670922549804814</v>
      </c>
      <c r="G49" s="6">
        <v>34.502627630824364</v>
      </c>
      <c r="H49" s="6">
        <v>9.1816823741818911</v>
      </c>
      <c r="I49" s="6"/>
      <c r="J49" s="6"/>
      <c r="K49" s="6"/>
      <c r="L49" s="6"/>
    </row>
    <row r="50" spans="1:12">
      <c r="A50">
        <v>49</v>
      </c>
      <c r="B50" t="s">
        <v>5</v>
      </c>
      <c r="C50" t="s">
        <v>2</v>
      </c>
      <c r="D50" t="s">
        <v>185</v>
      </c>
      <c r="E50" s="6">
        <v>66.463647708014747</v>
      </c>
      <c r="F50" s="6">
        <v>27.988866594068906</v>
      </c>
      <c r="G50" s="6">
        <v>135.95438482245615</v>
      </c>
      <c r="H50" s="6">
        <v>15.099654207525644</v>
      </c>
      <c r="I50" s="6"/>
      <c r="J50" s="6"/>
      <c r="K50" s="6"/>
      <c r="L50" s="6"/>
    </row>
    <row r="51" spans="1:12">
      <c r="A51">
        <v>50</v>
      </c>
      <c r="B51" t="s">
        <v>6</v>
      </c>
      <c r="C51" t="s">
        <v>2</v>
      </c>
      <c r="D51" t="s">
        <v>185</v>
      </c>
      <c r="E51" s="6">
        <v>82.811700113868667</v>
      </c>
      <c r="F51" s="6">
        <v>36.147269238118561</v>
      </c>
      <c r="G51" s="6">
        <v>35.326625320276221</v>
      </c>
      <c r="H51" s="6">
        <v>9.1006516517100806</v>
      </c>
      <c r="I51" s="6"/>
      <c r="J51" s="6"/>
      <c r="K51" s="6"/>
      <c r="L51" s="6"/>
    </row>
    <row r="52" spans="1:12">
      <c r="A52">
        <v>51</v>
      </c>
      <c r="B52" t="s">
        <v>1</v>
      </c>
      <c r="C52" t="s">
        <v>2</v>
      </c>
      <c r="D52" t="s">
        <v>185</v>
      </c>
      <c r="E52" s="6">
        <v>83.545996032671042</v>
      </c>
      <c r="F52" s="6">
        <v>39.053368091028034</v>
      </c>
      <c r="G52" s="6">
        <v>40.477378969206839</v>
      </c>
      <c r="H52" s="6">
        <v>9.3002085738122116</v>
      </c>
      <c r="I52" s="6"/>
      <c r="J52" s="6"/>
    </row>
    <row r="53" spans="1:12">
      <c r="A53">
        <v>52</v>
      </c>
      <c r="B53" t="s">
        <v>3</v>
      </c>
      <c r="C53" t="s">
        <v>2</v>
      </c>
      <c r="D53" t="s">
        <v>185</v>
      </c>
      <c r="E53" s="6">
        <v>89.327520213652889</v>
      </c>
      <c r="F53" s="6">
        <v>38.048717565762161</v>
      </c>
      <c r="G53" s="6">
        <v>42.301276359971176</v>
      </c>
      <c r="H53" s="6">
        <v>9.9830813339242699</v>
      </c>
      <c r="I53" s="6"/>
      <c r="J53" s="6"/>
    </row>
    <row r="54" spans="1:12">
      <c r="A54">
        <v>53</v>
      </c>
      <c r="B54" t="s">
        <v>4</v>
      </c>
      <c r="C54" t="s">
        <v>2</v>
      </c>
      <c r="D54" t="s">
        <v>185</v>
      </c>
      <c r="E54" s="6">
        <v>92.851479730096401</v>
      </c>
      <c r="F54" s="6">
        <v>38.43874374364875</v>
      </c>
      <c r="G54" s="6">
        <v>42.102943405131164</v>
      </c>
      <c r="H54" s="6">
        <v>10.45505095061853</v>
      </c>
      <c r="I54" s="6"/>
      <c r="J54" s="6"/>
    </row>
    <row r="55" spans="1:12">
      <c r="A55">
        <v>54</v>
      </c>
      <c r="B55" t="s">
        <v>5</v>
      </c>
      <c r="C55" t="s">
        <v>2</v>
      </c>
      <c r="D55" t="s">
        <v>185</v>
      </c>
      <c r="E55" s="6">
        <v>70.082075885873209</v>
      </c>
      <c r="F55" s="6">
        <v>29.599296683254355</v>
      </c>
      <c r="G55" s="6">
        <v>135.34304435634263</v>
      </c>
      <c r="H55" s="6">
        <v>15.815184114661776</v>
      </c>
      <c r="I55" s="6"/>
      <c r="J55" s="6"/>
    </row>
    <row r="56" spans="1:12">
      <c r="A56">
        <v>55</v>
      </c>
      <c r="B56" t="s">
        <v>6</v>
      </c>
      <c r="C56" t="s">
        <v>2</v>
      </c>
      <c r="D56" t="s">
        <v>185</v>
      </c>
      <c r="E56" s="6">
        <v>100.02570346128601</v>
      </c>
      <c r="F56" s="6">
        <v>40.591821389089766</v>
      </c>
      <c r="G56" s="6">
        <v>42.859602143094655</v>
      </c>
      <c r="H56" s="6">
        <v>8.8131787021618653</v>
      </c>
      <c r="I56" s="6"/>
      <c r="J56" s="6"/>
    </row>
    <row r="57" spans="1:12">
      <c r="A57">
        <v>56</v>
      </c>
      <c r="B57" t="s">
        <v>1</v>
      </c>
      <c r="C57" t="s">
        <v>2</v>
      </c>
      <c r="D57" t="s">
        <v>185</v>
      </c>
      <c r="E57" s="6">
        <v>110.64587919879929</v>
      </c>
      <c r="F57" s="6">
        <v>45.654079322339705</v>
      </c>
      <c r="G57" s="6">
        <v>44.279441772493556</v>
      </c>
      <c r="H57" s="6">
        <v>9.3040145077152161</v>
      </c>
      <c r="I57" s="6"/>
      <c r="J57" s="6"/>
    </row>
    <row r="58" spans="1:12">
      <c r="A58">
        <v>57</v>
      </c>
      <c r="B58" t="s">
        <v>3</v>
      </c>
      <c r="C58" t="s">
        <v>2</v>
      </c>
      <c r="D58" t="s">
        <v>185</v>
      </c>
      <c r="E58" s="6">
        <v>106.55193475048715</v>
      </c>
      <c r="F58" s="6">
        <v>43.014200423696252</v>
      </c>
      <c r="G58" s="6">
        <v>39.42962868296128</v>
      </c>
      <c r="H58" s="6">
        <v>7.9617294191229959</v>
      </c>
      <c r="I58" s="6"/>
      <c r="J58" s="6"/>
    </row>
    <row r="59" spans="1:12">
      <c r="A59">
        <v>58</v>
      </c>
      <c r="B59" t="s">
        <v>4</v>
      </c>
      <c r="C59" t="s">
        <v>2</v>
      </c>
      <c r="D59" t="s">
        <v>185</v>
      </c>
      <c r="E59" s="6">
        <v>120.26509668166149</v>
      </c>
      <c r="F59" s="6">
        <v>46.56649087181372</v>
      </c>
      <c r="G59" s="6">
        <v>41.399319773573012</v>
      </c>
      <c r="H59" s="6">
        <v>8.8486858782215965</v>
      </c>
      <c r="I59" s="6"/>
      <c r="J59" s="6"/>
    </row>
    <row r="60" spans="1:12">
      <c r="A60">
        <v>59</v>
      </c>
      <c r="B60" t="s">
        <v>5</v>
      </c>
      <c r="C60" t="s">
        <v>2</v>
      </c>
      <c r="D60" t="s">
        <v>185</v>
      </c>
      <c r="E60" s="6">
        <v>68.210486314283884</v>
      </c>
      <c r="F60" s="6">
        <v>31.013226670510093</v>
      </c>
      <c r="G60" s="6">
        <v>139.13575627282174</v>
      </c>
      <c r="H60" s="6">
        <v>17.134143054530842</v>
      </c>
      <c r="I60" s="6"/>
      <c r="J60" s="6"/>
    </row>
    <row r="61" spans="1:12">
      <c r="A61">
        <v>60</v>
      </c>
      <c r="B61" t="s">
        <v>6</v>
      </c>
      <c r="C61" t="s">
        <v>2</v>
      </c>
      <c r="D61" t="s">
        <v>185</v>
      </c>
      <c r="E61" s="6">
        <v>109.83814176660168</v>
      </c>
      <c r="F61" s="6">
        <v>47.569170433455447</v>
      </c>
      <c r="G61" s="6">
        <v>45.678270083551993</v>
      </c>
      <c r="H61" s="6">
        <v>9.1852334474596695</v>
      </c>
      <c r="I61" s="6"/>
      <c r="J61" s="6"/>
    </row>
    <row r="62" spans="1:12">
      <c r="A62" s="4">
        <v>61</v>
      </c>
      <c r="B62" t="s">
        <v>1</v>
      </c>
      <c r="C62" t="s">
        <v>7</v>
      </c>
      <c r="D62" t="s">
        <v>185</v>
      </c>
      <c r="E62" s="6">
        <v>65.904022830604049</v>
      </c>
      <c r="F62" s="6">
        <v>31.009700876760522</v>
      </c>
      <c r="G62" s="6">
        <v>22.476604024156043</v>
      </c>
      <c r="H62" s="6">
        <v>15.028290551016463</v>
      </c>
      <c r="I62" s="6"/>
      <c r="J62" s="6"/>
      <c r="K62" s="6"/>
      <c r="L62" s="6"/>
    </row>
    <row r="63" spans="1:12">
      <c r="A63" s="4">
        <v>62</v>
      </c>
      <c r="B63" t="s">
        <v>3</v>
      </c>
      <c r="C63" t="s">
        <v>7</v>
      </c>
      <c r="D63" t="s">
        <v>185</v>
      </c>
      <c r="E63" s="6">
        <v>70.909162856317067</v>
      </c>
      <c r="F63" s="6">
        <v>30.09921438115752</v>
      </c>
      <c r="G63" s="6">
        <v>26.72834912397791</v>
      </c>
      <c r="H63" s="6">
        <v>14.028039981647783</v>
      </c>
      <c r="I63" s="6"/>
      <c r="J63" s="6"/>
      <c r="K63" s="6"/>
      <c r="L63" s="6"/>
    </row>
    <row r="64" spans="1:12">
      <c r="A64" s="4">
        <v>63</v>
      </c>
      <c r="B64" t="s">
        <v>4</v>
      </c>
      <c r="C64" t="s">
        <v>7</v>
      </c>
      <c r="D64" t="s">
        <v>185</v>
      </c>
      <c r="E64" s="6">
        <v>68.525157516533767</v>
      </c>
      <c r="F64" s="6">
        <v>28.885815814556572</v>
      </c>
      <c r="G64" s="6">
        <v>24.669265590703024</v>
      </c>
      <c r="H64" s="6">
        <v>16.460238504003016</v>
      </c>
      <c r="I64" s="6"/>
      <c r="J64" s="6"/>
      <c r="K64" s="6"/>
      <c r="L64" s="6"/>
    </row>
    <row r="65" spans="1:17">
      <c r="A65" s="4">
        <v>64</v>
      </c>
      <c r="B65" t="s">
        <v>5</v>
      </c>
      <c r="C65" t="s">
        <v>7</v>
      </c>
      <c r="D65" t="s">
        <v>185</v>
      </c>
      <c r="E65" s="6">
        <v>110.29828912689504</v>
      </c>
      <c r="F65" s="6">
        <v>51.56913436858855</v>
      </c>
      <c r="G65" s="6">
        <v>211.53656059544275</v>
      </c>
      <c r="H65" s="6">
        <v>27.760017574680507</v>
      </c>
      <c r="I65" s="6"/>
      <c r="J65" s="6"/>
      <c r="K65" s="6"/>
      <c r="L65" s="6"/>
    </row>
    <row r="66" spans="1:17">
      <c r="A66" s="4">
        <v>65</v>
      </c>
      <c r="B66" t="s">
        <v>6</v>
      </c>
      <c r="C66" t="s">
        <v>7</v>
      </c>
      <c r="D66" t="s">
        <v>185</v>
      </c>
      <c r="E66" s="6">
        <v>65.080816301145788</v>
      </c>
      <c r="F66" s="6">
        <v>28.604046971374594</v>
      </c>
      <c r="G66" s="6">
        <v>25.360411658981729</v>
      </c>
      <c r="H66" s="6">
        <v>13.871337217744374</v>
      </c>
      <c r="I66" s="6"/>
      <c r="J66" s="6"/>
      <c r="K66" s="6"/>
      <c r="L66" s="6"/>
    </row>
    <row r="67" spans="1:17">
      <c r="A67" s="4">
        <v>66</v>
      </c>
      <c r="B67" t="s">
        <v>1</v>
      </c>
      <c r="C67" t="s">
        <v>7</v>
      </c>
      <c r="D67" t="s">
        <v>185</v>
      </c>
      <c r="E67" s="6">
        <v>63.056397739927966</v>
      </c>
      <c r="F67" s="6">
        <v>29.317458890209963</v>
      </c>
      <c r="G67" s="6">
        <v>25.843530347718271</v>
      </c>
      <c r="H67" s="6">
        <v>15.463305256267788</v>
      </c>
      <c r="I67" s="6"/>
      <c r="J67" s="6"/>
      <c r="K67" s="6"/>
      <c r="L67" s="6"/>
    </row>
    <row r="68" spans="1:17">
      <c r="A68" s="4">
        <v>67</v>
      </c>
      <c r="B68" t="s">
        <v>3</v>
      </c>
      <c r="C68" t="s">
        <v>7</v>
      </c>
      <c r="D68" t="s">
        <v>185</v>
      </c>
      <c r="E68" s="6">
        <v>62.618475875968031</v>
      </c>
      <c r="F68" s="6">
        <v>29.074051786381428</v>
      </c>
      <c r="G68" s="6">
        <v>29.326936683954223</v>
      </c>
      <c r="H68" s="6">
        <v>13.819325593259901</v>
      </c>
      <c r="I68" s="6"/>
      <c r="J68" s="6"/>
      <c r="K68" s="6"/>
      <c r="L68" s="6"/>
    </row>
    <row r="69" spans="1:17">
      <c r="A69" s="4">
        <v>68</v>
      </c>
      <c r="B69" t="s">
        <v>4</v>
      </c>
      <c r="C69" t="s">
        <v>7</v>
      </c>
      <c r="D69" t="s">
        <v>185</v>
      </c>
      <c r="E69" s="6">
        <v>62.659983554775017</v>
      </c>
      <c r="F69" s="6">
        <v>30.969556618956009</v>
      </c>
      <c r="G69" s="6">
        <v>29.966869531269463</v>
      </c>
      <c r="H69" s="6">
        <v>18.575775787620852</v>
      </c>
      <c r="I69" s="6"/>
      <c r="J69" s="6"/>
      <c r="K69" s="6"/>
      <c r="L69" s="6"/>
    </row>
    <row r="70" spans="1:17">
      <c r="A70" s="4">
        <v>69</v>
      </c>
      <c r="B70" t="s">
        <v>5</v>
      </c>
      <c r="C70" t="s">
        <v>7</v>
      </c>
      <c r="D70" t="s">
        <v>185</v>
      </c>
      <c r="E70" s="6">
        <v>110.81433558883893</v>
      </c>
      <c r="F70" s="6">
        <v>49.71939089945738</v>
      </c>
      <c r="G70" s="6">
        <v>212.44987604956629</v>
      </c>
      <c r="H70" s="6">
        <v>26.74383150533394</v>
      </c>
      <c r="I70" s="6"/>
      <c r="J70" s="6"/>
      <c r="K70" s="6"/>
      <c r="L70" s="6"/>
    </row>
    <row r="71" spans="1:17">
      <c r="A71" s="4">
        <v>70</v>
      </c>
      <c r="B71" t="s">
        <v>6</v>
      </c>
      <c r="C71" t="s">
        <v>7</v>
      </c>
      <c r="D71" t="s">
        <v>185</v>
      </c>
      <c r="E71" s="6">
        <v>69.078255273110855</v>
      </c>
      <c r="F71" s="6">
        <v>30.337983827763576</v>
      </c>
      <c r="G71" s="6">
        <v>29.609042440727194</v>
      </c>
      <c r="H71" s="6">
        <v>14.575241802429968</v>
      </c>
      <c r="I71" s="6"/>
      <c r="J71" s="6"/>
      <c r="K71" s="6"/>
      <c r="L71" s="6"/>
    </row>
    <row r="72" spans="1:17">
      <c r="A72" s="4">
        <v>71</v>
      </c>
      <c r="B72" t="s">
        <v>1</v>
      </c>
      <c r="C72" t="s">
        <v>7</v>
      </c>
      <c r="D72" t="s">
        <v>185</v>
      </c>
      <c r="E72" s="6">
        <v>68.57811326257729</v>
      </c>
      <c r="F72" s="6">
        <v>31.106910689325243</v>
      </c>
      <c r="G72" s="6">
        <v>32.009568767154136</v>
      </c>
      <c r="H72" s="6">
        <v>16.652610325638918</v>
      </c>
      <c r="I72" s="6"/>
      <c r="J72" s="6"/>
      <c r="N72" s="6"/>
      <c r="O72" s="6"/>
      <c r="P72" s="6"/>
      <c r="Q72" s="6"/>
    </row>
    <row r="73" spans="1:17">
      <c r="A73" s="4">
        <v>72</v>
      </c>
      <c r="B73" t="s">
        <v>3</v>
      </c>
      <c r="C73" t="s">
        <v>7</v>
      </c>
      <c r="D73" t="s">
        <v>185</v>
      </c>
      <c r="E73" s="6">
        <v>71.454145757742921</v>
      </c>
      <c r="F73" s="6">
        <v>34.548144517212592</v>
      </c>
      <c r="G73" s="6">
        <v>30.608105631967032</v>
      </c>
      <c r="H73" s="6">
        <v>15.809998191998524</v>
      </c>
      <c r="I73" s="6"/>
      <c r="J73" s="6"/>
      <c r="N73" s="6"/>
      <c r="O73" s="6"/>
      <c r="P73" s="6"/>
      <c r="Q73" s="6"/>
    </row>
    <row r="74" spans="1:17">
      <c r="A74" s="4">
        <v>73</v>
      </c>
      <c r="B74" t="s">
        <v>4</v>
      </c>
      <c r="C74" t="s">
        <v>7</v>
      </c>
      <c r="D74" t="s">
        <v>185</v>
      </c>
      <c r="E74" s="6">
        <v>72.657705141211409</v>
      </c>
      <c r="F74" s="6">
        <v>32.78249162527414</v>
      </c>
      <c r="G74" s="6">
        <v>35.10040344313019</v>
      </c>
      <c r="H74" s="6">
        <v>17.551843852392153</v>
      </c>
      <c r="I74" s="6"/>
      <c r="J74" s="6"/>
      <c r="N74" s="6"/>
      <c r="O74" s="6"/>
      <c r="P74" s="6"/>
      <c r="Q74" s="6"/>
    </row>
    <row r="75" spans="1:17">
      <c r="A75" s="4">
        <v>74</v>
      </c>
      <c r="B75" t="s">
        <v>5</v>
      </c>
      <c r="C75" t="s">
        <v>7</v>
      </c>
      <c r="D75" t="s">
        <v>185</v>
      </c>
      <c r="E75" s="6">
        <v>115.93333811551307</v>
      </c>
      <c r="F75" s="6">
        <v>51.369653003321034</v>
      </c>
      <c r="G75" s="6">
        <v>239.12446940189145</v>
      </c>
      <c r="H75" s="6">
        <v>26.283485191524349</v>
      </c>
      <c r="I75" s="6"/>
      <c r="J75" s="6"/>
      <c r="N75" s="6"/>
      <c r="O75" s="6"/>
      <c r="P75" s="6"/>
      <c r="Q75" s="6"/>
    </row>
    <row r="76" spans="1:17">
      <c r="A76" s="4">
        <v>75</v>
      </c>
      <c r="B76" t="s">
        <v>6</v>
      </c>
      <c r="C76" t="s">
        <v>7</v>
      </c>
      <c r="D76" t="s">
        <v>185</v>
      </c>
      <c r="E76" s="6">
        <v>90.088398128681163</v>
      </c>
      <c r="F76" s="6">
        <v>43.156551458923275</v>
      </c>
      <c r="G76" s="6">
        <v>37.879694400721895</v>
      </c>
      <c r="H76" s="6">
        <v>19.982389160179586</v>
      </c>
      <c r="I76" s="6"/>
      <c r="J76" s="6"/>
      <c r="N76" s="6"/>
      <c r="O76" s="6"/>
      <c r="P76" s="6"/>
      <c r="Q76" s="6"/>
    </row>
    <row r="77" spans="1:17">
      <c r="A77" s="4">
        <v>76</v>
      </c>
      <c r="B77" t="s">
        <v>1</v>
      </c>
      <c r="C77" t="s">
        <v>7</v>
      </c>
      <c r="D77" t="s">
        <v>185</v>
      </c>
      <c r="E77" s="6">
        <v>68.649869647089176</v>
      </c>
      <c r="F77" s="6">
        <v>29.059940386658095</v>
      </c>
      <c r="G77" s="6">
        <v>33.549622738622475</v>
      </c>
      <c r="H77" s="6">
        <v>14.184201559180018</v>
      </c>
      <c r="I77" s="6"/>
      <c r="J77" s="6"/>
    </row>
    <row r="78" spans="1:17">
      <c r="A78" s="4">
        <v>77</v>
      </c>
      <c r="B78" t="s">
        <v>3</v>
      </c>
      <c r="C78" t="s">
        <v>7</v>
      </c>
      <c r="D78" t="s">
        <v>185</v>
      </c>
      <c r="E78" s="6">
        <v>76.313943390280713</v>
      </c>
      <c r="F78" s="6">
        <v>34.492886149488669</v>
      </c>
      <c r="G78" s="6">
        <v>31.388681565807577</v>
      </c>
      <c r="H78" s="6">
        <v>15.73203804146981</v>
      </c>
      <c r="I78" s="6"/>
      <c r="J78" s="6"/>
    </row>
    <row r="79" spans="1:17">
      <c r="A79" s="4">
        <v>78</v>
      </c>
      <c r="B79" t="s">
        <v>4</v>
      </c>
      <c r="C79" t="s">
        <v>7</v>
      </c>
      <c r="D79" t="s">
        <v>185</v>
      </c>
      <c r="E79" s="6">
        <v>76.060970249144091</v>
      </c>
      <c r="F79" s="6">
        <v>28.530761061980868</v>
      </c>
      <c r="G79" s="6">
        <v>31.017925617918266</v>
      </c>
      <c r="H79" s="6">
        <v>12.138329180599499</v>
      </c>
      <c r="I79" s="6"/>
      <c r="J79" s="6"/>
    </row>
    <row r="80" spans="1:17">
      <c r="A80" s="4">
        <v>79</v>
      </c>
      <c r="B80" t="s">
        <v>5</v>
      </c>
      <c r="C80" t="s">
        <v>7</v>
      </c>
      <c r="D80" t="s">
        <v>185</v>
      </c>
      <c r="E80" s="6">
        <v>124.20696130166117</v>
      </c>
      <c r="F80" s="6">
        <v>49.866588471732527</v>
      </c>
      <c r="G80" s="6">
        <v>206.95969467651369</v>
      </c>
      <c r="H80" s="6">
        <v>26.837841399604255</v>
      </c>
      <c r="I80" s="6"/>
      <c r="J80" s="6"/>
    </row>
    <row r="81" spans="1:12">
      <c r="A81" s="4">
        <v>80</v>
      </c>
      <c r="B81" t="s">
        <v>6</v>
      </c>
      <c r="C81" t="s">
        <v>7</v>
      </c>
      <c r="D81" t="s">
        <v>185</v>
      </c>
      <c r="E81" s="6">
        <v>75.47101819078452</v>
      </c>
      <c r="F81" s="6">
        <v>31.969660147132753</v>
      </c>
      <c r="G81" s="6">
        <v>33.30465939212533</v>
      </c>
      <c r="H81" s="6">
        <v>15.647291724557734</v>
      </c>
      <c r="I81" s="6"/>
      <c r="J81" s="6"/>
    </row>
    <row r="82" spans="1:12">
      <c r="A82">
        <v>81</v>
      </c>
      <c r="B82" t="s">
        <v>1</v>
      </c>
      <c r="C82" t="s">
        <v>2</v>
      </c>
      <c r="D82" t="s">
        <v>186</v>
      </c>
      <c r="E82" s="6">
        <v>80.116541914235171</v>
      </c>
      <c r="F82" s="6">
        <v>34.753897309291787</v>
      </c>
      <c r="G82" s="6">
        <v>40.369069840377215</v>
      </c>
      <c r="H82" s="6">
        <v>17.521983611959392</v>
      </c>
      <c r="I82" s="6"/>
      <c r="J82" s="6"/>
      <c r="K82" s="6"/>
      <c r="L82" s="6"/>
    </row>
    <row r="83" spans="1:12">
      <c r="A83">
        <v>82</v>
      </c>
      <c r="B83" t="s">
        <v>3</v>
      </c>
      <c r="C83" t="s">
        <v>2</v>
      </c>
      <c r="D83" t="s">
        <v>186</v>
      </c>
      <c r="E83" s="6">
        <v>76.89264846509603</v>
      </c>
      <c r="F83" s="6">
        <v>32.072713884534849</v>
      </c>
      <c r="G83" s="6">
        <v>44.607481159942488</v>
      </c>
      <c r="H83" s="6">
        <v>16.019932243953505</v>
      </c>
      <c r="I83" s="6"/>
      <c r="J83" s="6"/>
      <c r="K83" s="6"/>
      <c r="L83" s="6"/>
    </row>
    <row r="84" spans="1:12">
      <c r="A84">
        <v>83</v>
      </c>
      <c r="B84" t="s">
        <v>4</v>
      </c>
      <c r="C84" t="s">
        <v>2</v>
      </c>
      <c r="D84" t="s">
        <v>186</v>
      </c>
      <c r="E84" s="6">
        <v>66.134655304527413</v>
      </c>
      <c r="F84" s="6">
        <v>28.813404608343433</v>
      </c>
      <c r="G84" s="6">
        <v>35.59597404703792</v>
      </c>
      <c r="H84" s="6">
        <v>14.468842265932571</v>
      </c>
      <c r="I84" s="6"/>
      <c r="J84" s="6"/>
      <c r="K84" s="6"/>
      <c r="L84" s="6"/>
    </row>
    <row r="85" spans="1:12">
      <c r="A85">
        <v>84</v>
      </c>
      <c r="B85" t="s">
        <v>5</v>
      </c>
      <c r="C85" t="s">
        <v>2</v>
      </c>
      <c r="D85" t="s">
        <v>186</v>
      </c>
      <c r="E85" s="6">
        <v>104.94709551959404</v>
      </c>
      <c r="F85" s="6">
        <v>41.505019529046777</v>
      </c>
      <c r="G85" s="6">
        <v>207.11003430199582</v>
      </c>
      <c r="H85" s="6">
        <v>21.793001951290016</v>
      </c>
      <c r="I85" s="6"/>
      <c r="J85" s="6"/>
      <c r="K85" s="6"/>
      <c r="L85" s="6"/>
    </row>
    <row r="86" spans="1:12">
      <c r="A86">
        <v>85</v>
      </c>
      <c r="B86" t="s">
        <v>6</v>
      </c>
      <c r="C86" t="s">
        <v>2</v>
      </c>
      <c r="D86" t="s">
        <v>186</v>
      </c>
      <c r="E86" s="6">
        <v>75.911609248586629</v>
      </c>
      <c r="F86" s="6">
        <v>30.126890269364392</v>
      </c>
      <c r="G86" s="6">
        <v>39.54865485753529</v>
      </c>
      <c r="H86" s="6">
        <v>14.61134253661737</v>
      </c>
      <c r="I86" s="6"/>
      <c r="J86" s="6"/>
      <c r="K86" s="6"/>
      <c r="L86" s="6"/>
    </row>
    <row r="87" spans="1:12">
      <c r="A87">
        <v>86</v>
      </c>
      <c r="B87" t="s">
        <v>1</v>
      </c>
      <c r="C87" t="s">
        <v>2</v>
      </c>
      <c r="D87" t="s">
        <v>186</v>
      </c>
      <c r="E87" s="6">
        <v>75.90449481567488</v>
      </c>
      <c r="F87" s="6">
        <v>32.185619130517907</v>
      </c>
      <c r="G87" s="6">
        <v>37.169008348969136</v>
      </c>
      <c r="H87" s="6">
        <v>16.485117789571031</v>
      </c>
      <c r="I87" s="6"/>
      <c r="J87" s="6"/>
      <c r="K87" s="6"/>
      <c r="L87" s="6"/>
    </row>
    <row r="88" spans="1:12">
      <c r="A88">
        <v>87</v>
      </c>
      <c r="B88" t="s">
        <v>3</v>
      </c>
      <c r="C88" t="s">
        <v>2</v>
      </c>
      <c r="D88" t="s">
        <v>186</v>
      </c>
      <c r="E88" s="6">
        <v>71.946844167634879</v>
      </c>
      <c r="F88" s="6">
        <v>30.127780945735996</v>
      </c>
      <c r="G88" s="6">
        <v>41.193106643302905</v>
      </c>
      <c r="H88" s="6">
        <v>15.393928086446293</v>
      </c>
      <c r="I88" s="6"/>
      <c r="J88" s="6"/>
      <c r="K88" s="6"/>
      <c r="L88" s="6"/>
    </row>
    <row r="89" spans="1:12">
      <c r="A89">
        <v>88</v>
      </c>
      <c r="B89" t="s">
        <v>4</v>
      </c>
      <c r="C89" t="s">
        <v>2</v>
      </c>
      <c r="D89" t="s">
        <v>186</v>
      </c>
      <c r="E89" s="6">
        <v>74.233628618207817</v>
      </c>
      <c r="F89" s="6">
        <v>29.712299203197446</v>
      </c>
      <c r="G89" s="6">
        <v>39.067860530950995</v>
      </c>
      <c r="H89" s="6">
        <v>13.721777013901617</v>
      </c>
      <c r="I89" s="6"/>
      <c r="J89" s="6"/>
      <c r="K89" s="6"/>
      <c r="L89" s="6"/>
    </row>
    <row r="90" spans="1:12">
      <c r="A90">
        <v>89</v>
      </c>
      <c r="B90" t="s">
        <v>5</v>
      </c>
      <c r="C90" t="s">
        <v>2</v>
      </c>
      <c r="D90" t="s">
        <v>186</v>
      </c>
      <c r="E90" s="6">
        <v>105.78172459635884</v>
      </c>
      <c r="F90" s="6">
        <v>42.378122684472174</v>
      </c>
      <c r="G90" s="6">
        <v>207.00747334617199</v>
      </c>
      <c r="H90" s="6">
        <v>22.235203365941761</v>
      </c>
      <c r="I90" s="6"/>
      <c r="J90" s="6"/>
      <c r="K90" s="6"/>
      <c r="L90" s="6"/>
    </row>
    <row r="91" spans="1:12">
      <c r="A91">
        <v>90</v>
      </c>
      <c r="B91" t="s">
        <v>6</v>
      </c>
      <c r="C91" t="s">
        <v>2</v>
      </c>
      <c r="D91" t="s">
        <v>186</v>
      </c>
      <c r="E91" s="6">
        <v>78.433743390665896</v>
      </c>
      <c r="F91" s="6">
        <v>30.180916989574186</v>
      </c>
      <c r="G91" s="6">
        <v>39.026257216177356</v>
      </c>
      <c r="H91" s="6">
        <v>13.514202578055047</v>
      </c>
      <c r="I91" s="6"/>
      <c r="J91" s="6"/>
      <c r="K91" s="6"/>
      <c r="L91" s="6"/>
    </row>
    <row r="92" spans="1:12">
      <c r="A92">
        <v>91</v>
      </c>
      <c r="B92" t="s">
        <v>1</v>
      </c>
      <c r="C92" t="s">
        <v>2</v>
      </c>
      <c r="D92" t="s">
        <v>186</v>
      </c>
      <c r="E92" s="6">
        <v>76.390048048306312</v>
      </c>
      <c r="F92" s="6">
        <v>38.467102677228993</v>
      </c>
      <c r="G92" s="6">
        <v>42.353959966220074</v>
      </c>
      <c r="H92" s="6">
        <v>20.371450662262877</v>
      </c>
      <c r="I92" s="6"/>
      <c r="J92" s="6"/>
    </row>
    <row r="93" spans="1:12">
      <c r="A93">
        <v>92</v>
      </c>
      <c r="B93" t="s">
        <v>3</v>
      </c>
      <c r="C93" t="s">
        <v>2</v>
      </c>
      <c r="D93" t="s">
        <v>186</v>
      </c>
      <c r="E93" s="6">
        <v>71.24507308440252</v>
      </c>
      <c r="F93" s="6">
        <v>33.884290556786176</v>
      </c>
      <c r="G93" s="6">
        <v>42.246098803961338</v>
      </c>
      <c r="H93" s="6">
        <v>18.057847958282025</v>
      </c>
      <c r="I93" s="6"/>
      <c r="J93" s="6"/>
    </row>
    <row r="94" spans="1:12">
      <c r="A94">
        <v>93</v>
      </c>
      <c r="B94" t="s">
        <v>4</v>
      </c>
      <c r="C94" t="s">
        <v>2</v>
      </c>
      <c r="D94" t="s">
        <v>186</v>
      </c>
      <c r="E94" s="6">
        <v>73.416634103829296</v>
      </c>
      <c r="F94" s="6">
        <v>32.850290167283134</v>
      </c>
      <c r="G94" s="6">
        <v>35.305855417023757</v>
      </c>
      <c r="H94" s="6">
        <v>20.914102548093631</v>
      </c>
      <c r="I94" s="6"/>
      <c r="J94" s="6"/>
    </row>
    <row r="95" spans="1:12">
      <c r="A95">
        <v>94</v>
      </c>
      <c r="B95" t="s">
        <v>5</v>
      </c>
      <c r="C95" t="s">
        <v>2</v>
      </c>
      <c r="D95" t="s">
        <v>186</v>
      </c>
      <c r="E95" s="6">
        <v>106.82498405895109</v>
      </c>
      <c r="F95" s="6">
        <v>43.148970846348078</v>
      </c>
      <c r="G95" s="6">
        <v>205.09629925238235</v>
      </c>
      <c r="H95" s="6">
        <v>22.374121520814718</v>
      </c>
      <c r="I95" s="6"/>
      <c r="J95" s="6"/>
    </row>
    <row r="96" spans="1:12">
      <c r="A96">
        <v>95</v>
      </c>
      <c r="B96" t="s">
        <v>6</v>
      </c>
      <c r="C96" t="s">
        <v>2</v>
      </c>
      <c r="D96" t="s">
        <v>186</v>
      </c>
      <c r="E96" s="6">
        <v>65.201894543474907</v>
      </c>
      <c r="F96" s="6">
        <v>33.282828070064241</v>
      </c>
      <c r="G96" s="6">
        <v>37.543617245503597</v>
      </c>
      <c r="H96" s="6">
        <v>19.404973081624817</v>
      </c>
      <c r="I96" s="6"/>
      <c r="J96" s="6"/>
    </row>
    <row r="97" spans="1:17">
      <c r="A97">
        <v>96</v>
      </c>
      <c r="B97" t="s">
        <v>1</v>
      </c>
      <c r="C97" t="s">
        <v>2</v>
      </c>
      <c r="D97" t="s">
        <v>186</v>
      </c>
      <c r="E97" s="6">
        <v>62.044696113839734</v>
      </c>
      <c r="F97" s="6">
        <v>32.182869753032811</v>
      </c>
      <c r="G97" s="6">
        <v>38.111914817192094</v>
      </c>
      <c r="H97" s="6">
        <v>16.676214419143339</v>
      </c>
      <c r="I97" s="6"/>
      <c r="J97" s="6"/>
    </row>
    <row r="98" spans="1:17">
      <c r="A98">
        <v>97</v>
      </c>
      <c r="B98" t="s">
        <v>3</v>
      </c>
      <c r="C98" t="s">
        <v>2</v>
      </c>
      <c r="D98" t="s">
        <v>186</v>
      </c>
      <c r="E98" s="6">
        <v>70.555125485030786</v>
      </c>
      <c r="F98" s="6">
        <v>33.004988556880235</v>
      </c>
      <c r="G98" s="6">
        <v>39.035823710150169</v>
      </c>
      <c r="H98" s="6">
        <v>17.137563439011316</v>
      </c>
      <c r="I98" s="6"/>
      <c r="J98" s="6"/>
    </row>
    <row r="99" spans="1:17">
      <c r="A99">
        <v>98</v>
      </c>
      <c r="B99" t="s">
        <v>4</v>
      </c>
      <c r="C99" t="s">
        <v>2</v>
      </c>
      <c r="D99" t="s">
        <v>186</v>
      </c>
      <c r="E99" s="6">
        <v>58.462150086550473</v>
      </c>
      <c r="F99" s="6">
        <v>27.406766080363258</v>
      </c>
      <c r="G99" s="6">
        <v>37.856312992841325</v>
      </c>
      <c r="H99" s="6">
        <v>16.209926948880796</v>
      </c>
      <c r="I99" s="6"/>
      <c r="J99" s="6"/>
    </row>
    <row r="100" spans="1:17">
      <c r="A100">
        <v>99</v>
      </c>
      <c r="B100" t="s">
        <v>5</v>
      </c>
      <c r="C100" t="s">
        <v>2</v>
      </c>
      <c r="D100" t="s">
        <v>186</v>
      </c>
      <c r="E100" s="6">
        <v>104.88984980065214</v>
      </c>
      <c r="F100" s="6">
        <v>41.79803420578753</v>
      </c>
      <c r="G100" s="6">
        <v>204.39952567550196</v>
      </c>
      <c r="H100" s="6">
        <v>21.716256510248073</v>
      </c>
      <c r="I100" s="6"/>
      <c r="J100" s="6"/>
    </row>
    <row r="101" spans="1:17">
      <c r="A101">
        <v>100</v>
      </c>
      <c r="B101" t="s">
        <v>6</v>
      </c>
      <c r="C101" t="s">
        <v>2</v>
      </c>
      <c r="D101" t="s">
        <v>186</v>
      </c>
      <c r="E101" s="6">
        <v>66.787689999753482</v>
      </c>
      <c r="F101" s="6">
        <v>30.743264185636189</v>
      </c>
      <c r="G101" s="6">
        <v>37.51466285669909</v>
      </c>
      <c r="H101" s="6">
        <v>16.721909133708685</v>
      </c>
      <c r="I101" s="6"/>
      <c r="J101" s="6"/>
    </row>
    <row r="102" spans="1:17">
      <c r="A102" s="4">
        <v>101</v>
      </c>
      <c r="B102" t="s">
        <v>1</v>
      </c>
      <c r="C102" t="s">
        <v>7</v>
      </c>
      <c r="D102" t="s">
        <v>186</v>
      </c>
      <c r="E102" s="6">
        <v>57.448959226004462</v>
      </c>
      <c r="F102" s="6">
        <v>30.907146637354508</v>
      </c>
      <c r="G102" s="6">
        <v>33.670215352534235</v>
      </c>
      <c r="H102" s="6">
        <v>15.469561764364235</v>
      </c>
      <c r="I102" s="6"/>
      <c r="J102" s="6"/>
      <c r="K102" s="6"/>
      <c r="L102" s="6"/>
    </row>
    <row r="103" spans="1:17">
      <c r="A103" s="4">
        <v>102</v>
      </c>
      <c r="B103" t="s">
        <v>3</v>
      </c>
      <c r="C103" t="s">
        <v>7</v>
      </c>
      <c r="D103" t="s">
        <v>186</v>
      </c>
      <c r="E103" s="6">
        <v>56.689194969766334</v>
      </c>
      <c r="F103" s="6">
        <v>28.601410637631037</v>
      </c>
      <c r="G103" s="6">
        <v>30.168322217281801</v>
      </c>
      <c r="H103" s="6">
        <v>12.09621778266493</v>
      </c>
      <c r="I103" s="6"/>
      <c r="J103" s="6"/>
      <c r="K103" s="6"/>
      <c r="L103" s="6"/>
    </row>
    <row r="104" spans="1:17">
      <c r="A104" s="4">
        <v>103</v>
      </c>
      <c r="B104" t="s">
        <v>4</v>
      </c>
      <c r="C104" t="s">
        <v>7</v>
      </c>
      <c r="D104" t="s">
        <v>186</v>
      </c>
      <c r="E104" s="6">
        <v>60.117240324255881</v>
      </c>
      <c r="F104" s="6">
        <v>28.544186127199094</v>
      </c>
      <c r="G104" s="6">
        <v>31.22713696165464</v>
      </c>
      <c r="H104" s="6">
        <v>12.569275650406636</v>
      </c>
      <c r="I104" s="6"/>
      <c r="J104" s="6"/>
      <c r="K104" s="6"/>
      <c r="L104" s="6"/>
    </row>
    <row r="105" spans="1:17">
      <c r="A105" s="4">
        <v>104</v>
      </c>
      <c r="B105" t="s">
        <v>5</v>
      </c>
      <c r="C105" t="s">
        <v>7</v>
      </c>
      <c r="D105" t="s">
        <v>186</v>
      </c>
      <c r="E105" s="6">
        <v>108.03026670147352</v>
      </c>
      <c r="F105" s="6">
        <v>43.076982486053346</v>
      </c>
      <c r="G105" s="6">
        <v>229.70147082265979</v>
      </c>
      <c r="H105" s="6">
        <v>23.616602983930079</v>
      </c>
      <c r="I105" s="6"/>
      <c r="J105" s="6"/>
      <c r="K105" s="6"/>
      <c r="L105" s="6"/>
    </row>
    <row r="106" spans="1:17">
      <c r="A106" s="4">
        <v>105</v>
      </c>
      <c r="B106" t="s">
        <v>6</v>
      </c>
      <c r="C106" t="s">
        <v>7</v>
      </c>
      <c r="D106" t="s">
        <v>186</v>
      </c>
      <c r="E106" s="6">
        <v>57.550065776466049</v>
      </c>
      <c r="F106" s="6">
        <v>30.953016623138769</v>
      </c>
      <c r="G106" s="6">
        <v>35.378319885300854</v>
      </c>
      <c r="H106" s="6">
        <v>14.320495744156636</v>
      </c>
      <c r="I106" s="6"/>
      <c r="J106" s="6"/>
      <c r="K106" s="6"/>
      <c r="L106" s="6"/>
    </row>
    <row r="107" spans="1:17">
      <c r="A107" s="4">
        <v>106</v>
      </c>
      <c r="B107" t="s">
        <v>1</v>
      </c>
      <c r="C107" t="s">
        <v>7</v>
      </c>
      <c r="D107" t="s">
        <v>186</v>
      </c>
      <c r="E107" s="6">
        <v>102.12879771785015</v>
      </c>
      <c r="F107" s="6">
        <v>46.217748006636285</v>
      </c>
      <c r="G107" s="6">
        <v>30.836358654928333</v>
      </c>
      <c r="H107" s="6">
        <v>19.708198574595226</v>
      </c>
      <c r="I107" s="6"/>
      <c r="J107" s="6"/>
      <c r="K107" s="6"/>
      <c r="L107" s="6"/>
    </row>
    <row r="108" spans="1:17">
      <c r="A108" s="4">
        <v>107</v>
      </c>
      <c r="B108" t="s">
        <v>3</v>
      </c>
      <c r="C108" t="s">
        <v>7</v>
      </c>
      <c r="D108" t="s">
        <v>186</v>
      </c>
      <c r="E108" s="6">
        <v>90.38909946107087</v>
      </c>
      <c r="F108" s="6">
        <v>39.616592100660704</v>
      </c>
      <c r="G108" s="6">
        <v>21.032811216337262</v>
      </c>
      <c r="H108" s="6">
        <v>19.484359975159567</v>
      </c>
      <c r="I108" s="6"/>
      <c r="J108" s="6"/>
      <c r="K108" s="6"/>
      <c r="L108" s="6"/>
    </row>
    <row r="109" spans="1:17">
      <c r="A109" s="4">
        <v>108</v>
      </c>
      <c r="B109" t="s">
        <v>4</v>
      </c>
      <c r="C109" t="s">
        <v>7</v>
      </c>
      <c r="D109" t="s">
        <v>186</v>
      </c>
      <c r="E109" s="6">
        <v>93.638356712531433</v>
      </c>
      <c r="F109" s="6">
        <v>49.031960618415894</v>
      </c>
      <c r="G109" s="6">
        <v>24.20658254057798</v>
      </c>
      <c r="H109" s="6">
        <v>20.787736017338375</v>
      </c>
      <c r="I109" s="6"/>
      <c r="J109" s="6"/>
      <c r="K109" s="6"/>
      <c r="L109" s="6"/>
    </row>
    <row r="110" spans="1:17">
      <c r="A110" s="4">
        <v>109</v>
      </c>
      <c r="B110" t="s">
        <v>5</v>
      </c>
      <c r="C110" t="s">
        <v>7</v>
      </c>
      <c r="D110" t="s">
        <v>186</v>
      </c>
      <c r="E110" s="6">
        <v>102.00348741740369</v>
      </c>
      <c r="F110" s="6">
        <v>40.933792774943306</v>
      </c>
      <c r="G110" s="6">
        <v>224.56594855824082</v>
      </c>
      <c r="H110" s="6">
        <v>20.734671753528975</v>
      </c>
      <c r="I110" s="6"/>
      <c r="J110" s="6"/>
      <c r="K110" s="6"/>
      <c r="L110" s="6"/>
    </row>
    <row r="111" spans="1:17">
      <c r="A111" s="4">
        <v>110</v>
      </c>
      <c r="B111" t="s">
        <v>6</v>
      </c>
      <c r="C111" t="s">
        <v>7</v>
      </c>
      <c r="D111" t="s">
        <v>186</v>
      </c>
      <c r="E111" s="6">
        <v>94.363915385792168</v>
      </c>
      <c r="F111" s="6">
        <v>45.884821339033714</v>
      </c>
      <c r="G111" s="6">
        <v>23.05766358042457</v>
      </c>
      <c r="H111" s="6">
        <v>19.891775169282393</v>
      </c>
      <c r="I111" s="6"/>
      <c r="J111" s="6"/>
      <c r="K111" s="6"/>
      <c r="L111" s="6"/>
    </row>
    <row r="112" spans="1:17">
      <c r="A112" s="4">
        <v>111</v>
      </c>
      <c r="B112" t="s">
        <v>1</v>
      </c>
      <c r="C112" t="s">
        <v>7</v>
      </c>
      <c r="D112" t="s">
        <v>186</v>
      </c>
      <c r="E112" s="6">
        <v>87.30635906059311</v>
      </c>
      <c r="F112" s="6">
        <v>36.994158792390493</v>
      </c>
      <c r="G112" s="6">
        <v>25.888403771712017</v>
      </c>
      <c r="H112" s="6">
        <v>20.005623636893507</v>
      </c>
      <c r="I112" s="6"/>
      <c r="J112" s="6"/>
      <c r="N112" s="6"/>
      <c r="O112" s="6"/>
      <c r="P112" s="6"/>
      <c r="Q112" s="6"/>
    </row>
    <row r="113" spans="1:17">
      <c r="A113" s="4">
        <v>112</v>
      </c>
      <c r="B113" t="s">
        <v>3</v>
      </c>
      <c r="C113" t="s">
        <v>7</v>
      </c>
      <c r="D113" t="s">
        <v>186</v>
      </c>
      <c r="E113" s="6">
        <v>81.819293399748986</v>
      </c>
      <c r="F113" s="6">
        <v>39.320038043811763</v>
      </c>
      <c r="G113" s="6">
        <v>15.36328777465555</v>
      </c>
      <c r="H113" s="6">
        <v>15.945447598046291</v>
      </c>
      <c r="I113" s="6"/>
      <c r="J113" s="6"/>
      <c r="N113" s="6"/>
      <c r="O113" s="6"/>
      <c r="P113" s="6"/>
      <c r="Q113" s="6"/>
    </row>
    <row r="114" spans="1:17">
      <c r="A114" s="4">
        <v>113</v>
      </c>
      <c r="B114" t="s">
        <v>4</v>
      </c>
      <c r="C114" t="s">
        <v>7</v>
      </c>
      <c r="D114" t="s">
        <v>186</v>
      </c>
      <c r="E114" s="6">
        <v>78.072289674459768</v>
      </c>
      <c r="F114" s="6">
        <v>39.113613836530604</v>
      </c>
      <c r="G114" s="6">
        <v>25.063780957861617</v>
      </c>
      <c r="H114" s="6">
        <v>19.242074482955999</v>
      </c>
      <c r="I114" s="6"/>
      <c r="J114" s="6"/>
      <c r="N114" s="6"/>
      <c r="O114" s="6"/>
      <c r="P114" s="6"/>
      <c r="Q114" s="6"/>
    </row>
    <row r="115" spans="1:17">
      <c r="A115" s="4">
        <v>114</v>
      </c>
      <c r="B115" t="s">
        <v>5</v>
      </c>
      <c r="C115" t="s">
        <v>7</v>
      </c>
      <c r="D115" t="s">
        <v>186</v>
      </c>
      <c r="E115" s="6">
        <v>98.804602808287157</v>
      </c>
      <c r="F115" s="6">
        <v>41.095770777152197</v>
      </c>
      <c r="G115" s="6">
        <v>222.9396225506741</v>
      </c>
      <c r="H115" s="6">
        <v>22.943360113757468</v>
      </c>
      <c r="I115" s="6"/>
      <c r="J115" s="6"/>
      <c r="N115" s="6"/>
      <c r="O115" s="6"/>
      <c r="P115" s="6"/>
      <c r="Q115" s="6"/>
    </row>
    <row r="116" spans="1:17">
      <c r="A116" s="4">
        <v>115</v>
      </c>
      <c r="B116" t="s">
        <v>6</v>
      </c>
      <c r="C116" t="s">
        <v>7</v>
      </c>
      <c r="D116" t="s">
        <v>186</v>
      </c>
      <c r="E116" s="6">
        <v>79.168417600741478</v>
      </c>
      <c r="F116" s="6">
        <v>36.941775769519843</v>
      </c>
      <c r="G116" s="6">
        <v>27.557194130070094</v>
      </c>
      <c r="H116" s="6">
        <v>18.833042830361325</v>
      </c>
      <c r="I116" s="6"/>
      <c r="J116" s="6"/>
      <c r="N116" s="6"/>
      <c r="O116" s="6"/>
      <c r="P116" s="6"/>
      <c r="Q116" s="6"/>
    </row>
    <row r="117" spans="1:17">
      <c r="A117" s="4">
        <v>116</v>
      </c>
      <c r="B117" t="s">
        <v>1</v>
      </c>
      <c r="C117" t="s">
        <v>7</v>
      </c>
      <c r="D117" t="s">
        <v>186</v>
      </c>
      <c r="E117" s="6">
        <v>77.821750552065481</v>
      </c>
      <c r="F117" s="6">
        <v>38.772202872227133</v>
      </c>
      <c r="G117" s="6">
        <v>27.971758268023265</v>
      </c>
      <c r="H117" s="6">
        <v>18.684986987536622</v>
      </c>
      <c r="I117" s="6"/>
      <c r="J117" s="6"/>
    </row>
    <row r="118" spans="1:17">
      <c r="A118" s="4">
        <v>117</v>
      </c>
      <c r="B118" t="s">
        <v>3</v>
      </c>
      <c r="C118" t="s">
        <v>7</v>
      </c>
      <c r="D118" t="s">
        <v>186</v>
      </c>
      <c r="E118" s="6">
        <v>76.599338156407782</v>
      </c>
      <c r="F118" s="6">
        <v>34.031523751264267</v>
      </c>
      <c r="G118" s="6">
        <v>30.578010254952442</v>
      </c>
      <c r="H118" s="6">
        <v>17.690712079424145</v>
      </c>
      <c r="I118" s="6"/>
      <c r="J118" s="6"/>
    </row>
    <row r="119" spans="1:17">
      <c r="A119" s="4">
        <v>118</v>
      </c>
      <c r="B119" t="s">
        <v>4</v>
      </c>
      <c r="C119" t="s">
        <v>7</v>
      </c>
      <c r="D119" t="s">
        <v>186</v>
      </c>
      <c r="E119" s="6">
        <v>82.138815702928966</v>
      </c>
      <c r="F119" s="6">
        <v>35.742374914856633</v>
      </c>
      <c r="G119" s="6">
        <v>30.458642774332947</v>
      </c>
      <c r="H119" s="6">
        <v>17.232722790265388</v>
      </c>
      <c r="I119" s="6"/>
      <c r="J119" s="6"/>
    </row>
    <row r="120" spans="1:17">
      <c r="A120" s="4">
        <v>119</v>
      </c>
      <c r="B120" t="s">
        <v>5</v>
      </c>
      <c r="C120" t="s">
        <v>7</v>
      </c>
      <c r="D120" t="s">
        <v>186</v>
      </c>
      <c r="E120" s="6">
        <v>94.131455313426343</v>
      </c>
      <c r="F120" s="6">
        <v>40.223325188171323</v>
      </c>
      <c r="G120" s="6">
        <v>189.31486012578816</v>
      </c>
      <c r="H120" s="6">
        <v>21.332923941350796</v>
      </c>
      <c r="I120" s="6"/>
      <c r="J120" s="6"/>
    </row>
    <row r="121" spans="1:17">
      <c r="A121" s="4">
        <v>120</v>
      </c>
      <c r="B121" t="s">
        <v>6</v>
      </c>
      <c r="C121" t="s">
        <v>7</v>
      </c>
      <c r="D121" t="s">
        <v>186</v>
      </c>
      <c r="E121" s="6">
        <v>81.068278501122236</v>
      </c>
      <c r="F121" s="6">
        <v>34.243502575073585</v>
      </c>
      <c r="G121" s="6">
        <v>34.312617870320615</v>
      </c>
      <c r="H121" s="6">
        <v>15.402293925712758</v>
      </c>
      <c r="I121" s="6"/>
      <c r="J121" s="6"/>
    </row>
    <row r="122" spans="1:17">
      <c r="A122">
        <v>121</v>
      </c>
      <c r="B122" t="s">
        <v>1</v>
      </c>
      <c r="C122" t="s">
        <v>2</v>
      </c>
      <c r="D122" t="s">
        <v>187</v>
      </c>
      <c r="E122" s="6">
        <v>71.712875523293121</v>
      </c>
      <c r="F122" s="6">
        <v>32.346451584909239</v>
      </c>
      <c r="G122" s="6">
        <v>19.756058691029885</v>
      </c>
      <c r="H122" s="6">
        <v>13.492006435472742</v>
      </c>
      <c r="I122" s="6"/>
      <c r="J122" s="6"/>
    </row>
    <row r="123" spans="1:17">
      <c r="A123">
        <v>122</v>
      </c>
      <c r="B123" t="s">
        <v>3</v>
      </c>
      <c r="C123" t="s">
        <v>2</v>
      </c>
      <c r="D123" t="s">
        <v>187</v>
      </c>
      <c r="E123" s="6">
        <v>67.635136185529504</v>
      </c>
      <c r="F123" s="6">
        <v>27.287558842089911</v>
      </c>
      <c r="G123" s="6">
        <v>22.06988201222411</v>
      </c>
      <c r="H123" s="6">
        <v>15.183285639058031</v>
      </c>
      <c r="I123" s="6"/>
      <c r="J123" s="6"/>
    </row>
    <row r="124" spans="1:17">
      <c r="A124">
        <v>123</v>
      </c>
      <c r="B124" t="s">
        <v>4</v>
      </c>
      <c r="C124" t="s">
        <v>2</v>
      </c>
      <c r="D124" t="s">
        <v>187</v>
      </c>
      <c r="E124" s="6">
        <v>62.447175548620422</v>
      </c>
      <c r="F124" s="6">
        <v>21.855178223831061</v>
      </c>
      <c r="G124" s="6">
        <v>20.867607058847916</v>
      </c>
      <c r="H124" s="6">
        <v>10.504809303629296</v>
      </c>
      <c r="I124" s="6"/>
      <c r="J124" s="6"/>
    </row>
    <row r="125" spans="1:17">
      <c r="A125">
        <v>124</v>
      </c>
      <c r="B125" t="s">
        <v>5</v>
      </c>
      <c r="C125" t="s">
        <v>2</v>
      </c>
      <c r="D125" t="s">
        <v>187</v>
      </c>
      <c r="E125" s="6">
        <v>68.800204660878293</v>
      </c>
      <c r="F125" s="6">
        <v>26.657324618885347</v>
      </c>
      <c r="G125" s="6">
        <v>199.98593956139905</v>
      </c>
      <c r="H125" s="6">
        <v>12.749243898624977</v>
      </c>
      <c r="I125" s="6"/>
      <c r="J125" s="6"/>
    </row>
    <row r="126" spans="1:17">
      <c r="A126">
        <v>125</v>
      </c>
      <c r="B126" t="s">
        <v>6</v>
      </c>
      <c r="C126" t="s">
        <v>2</v>
      </c>
      <c r="D126" t="s">
        <v>187</v>
      </c>
      <c r="E126" s="6">
        <v>72.573088622684523</v>
      </c>
      <c r="F126" s="6">
        <v>31.294027103659534</v>
      </c>
      <c r="G126" s="6">
        <v>22.576780323784671</v>
      </c>
      <c r="H126" s="6">
        <v>15.669709425897748</v>
      </c>
      <c r="I126" s="6"/>
      <c r="J126" s="6"/>
    </row>
    <row r="127" spans="1:17">
      <c r="A127">
        <v>126</v>
      </c>
      <c r="B127" t="s">
        <v>1</v>
      </c>
      <c r="C127" t="s">
        <v>2</v>
      </c>
      <c r="D127" t="s">
        <v>187</v>
      </c>
      <c r="E127" s="6">
        <v>71.379429446860172</v>
      </c>
      <c r="F127" s="6">
        <v>30.955570850356153</v>
      </c>
      <c r="G127" s="6">
        <v>23.264165352598912</v>
      </c>
      <c r="H127" s="6">
        <v>15.560292854805622</v>
      </c>
      <c r="I127" s="6"/>
      <c r="J127" s="6"/>
    </row>
    <row r="128" spans="1:17">
      <c r="A128">
        <v>127</v>
      </c>
      <c r="B128" t="s">
        <v>3</v>
      </c>
      <c r="C128" t="s">
        <v>2</v>
      </c>
      <c r="D128" t="s">
        <v>187</v>
      </c>
      <c r="E128" s="6">
        <v>64.53196137074535</v>
      </c>
      <c r="F128" s="6">
        <v>28.931512826725314</v>
      </c>
      <c r="G128" s="6">
        <v>22.901435553162532</v>
      </c>
      <c r="H128" s="6">
        <v>15.88895218502212</v>
      </c>
      <c r="I128" s="6"/>
      <c r="J128" s="6"/>
    </row>
    <row r="129" spans="1:12">
      <c r="A129">
        <v>128</v>
      </c>
      <c r="B129" t="s">
        <v>4</v>
      </c>
      <c r="C129" t="s">
        <v>2</v>
      </c>
      <c r="D129" t="s">
        <v>187</v>
      </c>
      <c r="E129" s="6">
        <v>69.978892245223534</v>
      </c>
      <c r="F129" s="6">
        <v>31.174297878592331</v>
      </c>
      <c r="G129" s="6">
        <v>24.341270160945772</v>
      </c>
      <c r="H129" s="6">
        <v>16.183560540489768</v>
      </c>
      <c r="I129" s="6"/>
      <c r="J129" s="6"/>
    </row>
    <row r="130" spans="1:12">
      <c r="A130">
        <v>129</v>
      </c>
      <c r="B130" t="s">
        <v>5</v>
      </c>
      <c r="C130" t="s">
        <v>2</v>
      </c>
      <c r="D130" t="s">
        <v>187</v>
      </c>
      <c r="E130" s="6">
        <v>71.936050518727058</v>
      </c>
      <c r="F130" s="6">
        <v>27.10847603547834</v>
      </c>
      <c r="G130" s="6">
        <v>205.75339328450804</v>
      </c>
      <c r="H130" s="6">
        <v>11.95061888905815</v>
      </c>
      <c r="I130" s="6"/>
      <c r="J130" s="6"/>
    </row>
    <row r="131" spans="1:12">
      <c r="A131">
        <v>130</v>
      </c>
      <c r="B131" t="s">
        <v>6</v>
      </c>
      <c r="C131" t="s">
        <v>2</v>
      </c>
      <c r="D131" t="s">
        <v>187</v>
      </c>
      <c r="E131" s="6">
        <v>65.033759162395313</v>
      </c>
      <c r="F131" s="6">
        <v>29.36861271980484</v>
      </c>
      <c r="G131" s="6">
        <v>21.357096091353775</v>
      </c>
      <c r="H131" s="6">
        <v>15.840453724339485</v>
      </c>
      <c r="I131" s="6"/>
      <c r="J131" s="6"/>
    </row>
    <row r="132" spans="1:12">
      <c r="A132">
        <v>131</v>
      </c>
      <c r="B132" t="s">
        <v>1</v>
      </c>
      <c r="C132" t="s">
        <v>2</v>
      </c>
      <c r="D132" t="s">
        <v>187</v>
      </c>
      <c r="E132" s="6">
        <v>73.00760312777183</v>
      </c>
      <c r="F132" s="6">
        <v>33.700618898091818</v>
      </c>
      <c r="G132" s="6">
        <v>26.172494969831927</v>
      </c>
      <c r="H132" s="6">
        <v>16.678556689841272</v>
      </c>
      <c r="I132" s="6"/>
      <c r="J132" s="6"/>
    </row>
    <row r="133" spans="1:12">
      <c r="A133">
        <v>132</v>
      </c>
      <c r="B133" t="s">
        <v>3</v>
      </c>
      <c r="C133" t="s">
        <v>2</v>
      </c>
      <c r="D133" t="s">
        <v>187</v>
      </c>
      <c r="E133" s="6">
        <v>73.9993801132822</v>
      </c>
      <c r="F133" s="6">
        <v>34.075374453473422</v>
      </c>
      <c r="G133" s="6">
        <v>28.497123919341639</v>
      </c>
      <c r="H133" s="6">
        <v>18.781904543466027</v>
      </c>
      <c r="I133" s="6"/>
      <c r="J133" s="6"/>
      <c r="K133" s="6"/>
      <c r="L133" s="6"/>
    </row>
    <row r="134" spans="1:12">
      <c r="A134">
        <v>133</v>
      </c>
      <c r="B134" t="s">
        <v>4</v>
      </c>
      <c r="C134" t="s">
        <v>2</v>
      </c>
      <c r="D134" t="s">
        <v>187</v>
      </c>
      <c r="E134" s="6">
        <v>74.815513379914321</v>
      </c>
      <c r="F134" s="6">
        <v>34.385471608924178</v>
      </c>
      <c r="G134" s="6">
        <v>31.515455953879176</v>
      </c>
      <c r="H134" s="6">
        <v>19.155514126259931</v>
      </c>
      <c r="I134" s="6"/>
      <c r="J134" s="6"/>
      <c r="K134" s="6"/>
      <c r="L134" s="6"/>
    </row>
    <row r="135" spans="1:12">
      <c r="A135">
        <v>134</v>
      </c>
      <c r="B135" t="s">
        <v>5</v>
      </c>
      <c r="C135" t="s">
        <v>2</v>
      </c>
      <c r="D135" t="s">
        <v>187</v>
      </c>
      <c r="E135" s="6">
        <v>66.949248113085488</v>
      </c>
      <c r="F135" s="6">
        <v>24.786689755783723</v>
      </c>
      <c r="G135" s="6">
        <v>198.49064692701279</v>
      </c>
      <c r="H135" s="6">
        <v>11.563362335106909</v>
      </c>
      <c r="I135" s="6"/>
      <c r="J135" s="6"/>
      <c r="K135" s="6"/>
      <c r="L135" s="6"/>
    </row>
    <row r="136" spans="1:12">
      <c r="A136">
        <v>135</v>
      </c>
      <c r="B136" t="s">
        <v>6</v>
      </c>
      <c r="C136" t="s">
        <v>2</v>
      </c>
      <c r="D136" t="s">
        <v>187</v>
      </c>
      <c r="E136" s="6">
        <v>81.426030760312386</v>
      </c>
      <c r="F136" s="6">
        <v>39.704781163508258</v>
      </c>
      <c r="G136" s="6">
        <v>32.874614608326972</v>
      </c>
      <c r="H136" s="6">
        <v>20.15821147051734</v>
      </c>
      <c r="I136" s="6"/>
      <c r="J136" s="6"/>
      <c r="K136" s="6"/>
      <c r="L136" s="6"/>
    </row>
    <row r="137" spans="1:12">
      <c r="A137">
        <v>136</v>
      </c>
      <c r="B137" t="s">
        <v>1</v>
      </c>
      <c r="C137" t="s">
        <v>2</v>
      </c>
      <c r="D137" t="s">
        <v>187</v>
      </c>
      <c r="E137" s="6">
        <v>74.921107869724807</v>
      </c>
      <c r="F137" s="6">
        <v>36.125012909097322</v>
      </c>
      <c r="G137" s="6">
        <v>30.995786126195409</v>
      </c>
      <c r="H137" s="6">
        <v>16.965270680384489</v>
      </c>
      <c r="I137" s="6"/>
      <c r="J137" s="6"/>
      <c r="K137" s="6"/>
      <c r="L137" s="6"/>
    </row>
    <row r="138" spans="1:12">
      <c r="A138">
        <v>137</v>
      </c>
      <c r="B138" t="s">
        <v>3</v>
      </c>
      <c r="C138" t="s">
        <v>2</v>
      </c>
      <c r="D138" t="s">
        <v>187</v>
      </c>
      <c r="E138" s="6">
        <v>73.43284139998083</v>
      </c>
      <c r="F138" s="6">
        <v>35.667215506350942</v>
      </c>
      <c r="G138" s="6">
        <v>35.301738379391814</v>
      </c>
      <c r="H138" s="6">
        <v>17.102907838156984</v>
      </c>
      <c r="I138" s="6"/>
      <c r="J138" s="6"/>
      <c r="K138" s="6"/>
      <c r="L138" s="6"/>
    </row>
    <row r="139" spans="1:12">
      <c r="A139">
        <v>138</v>
      </c>
      <c r="B139" t="s">
        <v>4</v>
      </c>
      <c r="C139" t="s">
        <v>2</v>
      </c>
      <c r="D139" t="s">
        <v>187</v>
      </c>
      <c r="E139" s="6">
        <v>69.813533486276583</v>
      </c>
      <c r="F139" s="6">
        <v>33.152826691264636</v>
      </c>
      <c r="G139" s="6">
        <v>32.287341609980842</v>
      </c>
      <c r="H139" s="6">
        <v>16.103389555271129</v>
      </c>
      <c r="I139" s="6"/>
      <c r="J139" s="6"/>
      <c r="K139" s="6"/>
      <c r="L139" s="6"/>
    </row>
    <row r="140" spans="1:12">
      <c r="A140">
        <v>139</v>
      </c>
      <c r="B140" t="s">
        <v>5</v>
      </c>
      <c r="C140" t="s">
        <v>2</v>
      </c>
      <c r="D140" t="s">
        <v>187</v>
      </c>
      <c r="E140" s="6">
        <v>69.834837129850555</v>
      </c>
      <c r="F140" s="6">
        <v>27.025767800726705</v>
      </c>
      <c r="G140" s="6">
        <v>203.03388374058477</v>
      </c>
      <c r="H140" s="6">
        <v>12.851160529268977</v>
      </c>
      <c r="I140" s="6"/>
      <c r="J140" s="6"/>
      <c r="K140" s="6"/>
      <c r="L140" s="6"/>
    </row>
    <row r="141" spans="1:12">
      <c r="A141">
        <v>140</v>
      </c>
      <c r="B141" t="s">
        <v>6</v>
      </c>
      <c r="C141" t="s">
        <v>2</v>
      </c>
      <c r="D141" t="s">
        <v>187</v>
      </c>
      <c r="E141" s="6">
        <v>69.368305276554935</v>
      </c>
      <c r="F141" s="6">
        <v>33.450399908737914</v>
      </c>
      <c r="G141" s="6">
        <v>31.523579079748316</v>
      </c>
      <c r="H141" s="6">
        <v>16.354858411555782</v>
      </c>
      <c r="I141" s="6"/>
      <c r="J141" s="6"/>
      <c r="K141" s="6"/>
      <c r="L141" s="6"/>
    </row>
    <row r="142" spans="1:12">
      <c r="A142" s="4">
        <v>141</v>
      </c>
      <c r="B142" t="s">
        <v>1</v>
      </c>
      <c r="C142" t="s">
        <v>7</v>
      </c>
      <c r="D142" t="s">
        <v>187</v>
      </c>
      <c r="E142" s="6">
        <v>65.778598355145974</v>
      </c>
      <c r="F142" s="6">
        <v>31.8804450485949</v>
      </c>
      <c r="G142" s="6">
        <v>19.955817896331453</v>
      </c>
      <c r="H142" s="6">
        <v>15.467470576566523</v>
      </c>
      <c r="I142" s="6"/>
      <c r="J142" s="6"/>
      <c r="K142" s="6"/>
      <c r="L142" s="6"/>
    </row>
    <row r="143" spans="1:12">
      <c r="A143" s="4">
        <v>142</v>
      </c>
      <c r="B143" t="s">
        <v>3</v>
      </c>
      <c r="C143" t="s">
        <v>7</v>
      </c>
      <c r="D143" t="s">
        <v>187</v>
      </c>
      <c r="E143" s="6">
        <v>64.861713817177957</v>
      </c>
      <c r="F143" s="6">
        <v>32.19528320403095</v>
      </c>
      <c r="G143" s="6">
        <v>20.986639722223376</v>
      </c>
      <c r="H143" s="6">
        <v>17.838185304919421</v>
      </c>
      <c r="I143" s="6"/>
      <c r="J143" s="6"/>
      <c r="K143" s="6"/>
      <c r="L143" s="6"/>
    </row>
    <row r="144" spans="1:12">
      <c r="A144" s="4">
        <v>143</v>
      </c>
      <c r="B144" t="s">
        <v>4</v>
      </c>
      <c r="C144" t="s">
        <v>7</v>
      </c>
      <c r="D144" t="s">
        <v>187</v>
      </c>
      <c r="E144" s="6">
        <v>65.223080212024456</v>
      </c>
      <c r="F144" s="6">
        <v>34.450382801159996</v>
      </c>
      <c r="G144" s="6">
        <v>22.415534218542767</v>
      </c>
      <c r="H144" s="6">
        <v>18.372512805595974</v>
      </c>
      <c r="I144" s="6"/>
      <c r="J144" s="6"/>
      <c r="K144" s="6"/>
      <c r="L144" s="6"/>
    </row>
    <row r="145" spans="1:17">
      <c r="A145" s="4">
        <v>144</v>
      </c>
      <c r="B145" t="s">
        <v>5</v>
      </c>
      <c r="C145" t="s">
        <v>7</v>
      </c>
      <c r="D145" t="s">
        <v>187</v>
      </c>
      <c r="E145" s="6">
        <v>68.37468791211225</v>
      </c>
      <c r="F145" s="6">
        <v>30.053907233798046</v>
      </c>
      <c r="G145" s="6">
        <v>209.50957095367175</v>
      </c>
      <c r="H145" s="6">
        <v>15.182235505176916</v>
      </c>
      <c r="I145" s="6"/>
      <c r="J145" s="6"/>
      <c r="K145" s="6"/>
      <c r="L145" s="6"/>
    </row>
    <row r="146" spans="1:17">
      <c r="A146" s="4">
        <v>145</v>
      </c>
      <c r="B146" t="s">
        <v>6</v>
      </c>
      <c r="C146" t="s">
        <v>7</v>
      </c>
      <c r="D146" t="s">
        <v>187</v>
      </c>
      <c r="E146" s="6">
        <v>59.288656454769921</v>
      </c>
      <c r="F146" s="6">
        <v>31.732277024810241</v>
      </c>
      <c r="G146" s="6">
        <v>17.450546433471906</v>
      </c>
      <c r="H146" s="6">
        <v>16.109144527482677</v>
      </c>
      <c r="I146" s="6"/>
      <c r="J146" s="6"/>
      <c r="K146" s="6"/>
      <c r="L146" s="6"/>
    </row>
    <row r="147" spans="1:17">
      <c r="A147" s="4">
        <v>146</v>
      </c>
      <c r="B147" t="s">
        <v>1</v>
      </c>
      <c r="C147" t="s">
        <v>7</v>
      </c>
      <c r="D147" t="s">
        <v>187</v>
      </c>
      <c r="E147" s="6">
        <v>64.437708148465205</v>
      </c>
      <c r="F147" s="6">
        <v>35.514480194821623</v>
      </c>
      <c r="G147" s="6">
        <v>22.790790822712143</v>
      </c>
      <c r="H147" s="6">
        <v>19.272975267006387</v>
      </c>
      <c r="I147" s="6"/>
      <c r="J147" s="6"/>
      <c r="K147" s="6"/>
      <c r="L147" s="6"/>
      <c r="N147" s="6"/>
      <c r="O147" s="6"/>
      <c r="P147" s="6"/>
      <c r="Q147" s="6"/>
    </row>
    <row r="148" spans="1:17">
      <c r="A148" s="4">
        <v>147</v>
      </c>
      <c r="B148" t="s">
        <v>3</v>
      </c>
      <c r="C148" t="s">
        <v>7</v>
      </c>
      <c r="D148" t="s">
        <v>187</v>
      </c>
      <c r="E148" s="6">
        <v>61.64983675461729</v>
      </c>
      <c r="F148" s="6">
        <v>30.205926393235014</v>
      </c>
      <c r="G148" s="6">
        <v>21.756381541194536</v>
      </c>
      <c r="H148" s="6">
        <v>15.824603049657076</v>
      </c>
      <c r="I148" s="6"/>
      <c r="J148" s="6"/>
    </row>
    <row r="149" spans="1:17">
      <c r="A149" s="4">
        <v>148</v>
      </c>
      <c r="B149" t="s">
        <v>4</v>
      </c>
      <c r="C149" t="s">
        <v>7</v>
      </c>
      <c r="D149" t="s">
        <v>187</v>
      </c>
      <c r="E149" s="6">
        <v>61.527450843447482</v>
      </c>
      <c r="F149" s="6">
        <v>32.696069697322955</v>
      </c>
      <c r="G149" s="6">
        <v>23.985835137516865</v>
      </c>
      <c r="H149" s="6">
        <v>16.990554178249862</v>
      </c>
      <c r="I149" s="6"/>
      <c r="J149" s="6"/>
    </row>
    <row r="150" spans="1:17">
      <c r="A150" s="4">
        <v>149</v>
      </c>
      <c r="B150" t="s">
        <v>5</v>
      </c>
      <c r="C150" t="s">
        <v>7</v>
      </c>
      <c r="D150" t="s">
        <v>187</v>
      </c>
      <c r="E150" s="6">
        <v>74.351049077652263</v>
      </c>
      <c r="F150" s="6">
        <v>27.705720599759289</v>
      </c>
      <c r="G150" s="6">
        <v>202.28632496077631</v>
      </c>
      <c r="H150" s="6">
        <v>12.533508126028622</v>
      </c>
      <c r="I150" s="6"/>
      <c r="J150" s="6"/>
    </row>
    <row r="151" spans="1:17">
      <c r="A151" s="4">
        <v>150</v>
      </c>
      <c r="B151" t="s">
        <v>6</v>
      </c>
      <c r="C151" t="s">
        <v>7</v>
      </c>
      <c r="D151" t="s">
        <v>187</v>
      </c>
      <c r="E151" s="6">
        <v>63.235033441373865</v>
      </c>
      <c r="F151" s="6">
        <v>29.766319020720324</v>
      </c>
      <c r="G151" s="6">
        <v>27.549989000019615</v>
      </c>
      <c r="H151" s="6">
        <v>9.913286148469016</v>
      </c>
      <c r="I151" s="6"/>
      <c r="J151" s="6"/>
    </row>
    <row r="152" spans="1:17">
      <c r="A152" s="4">
        <v>151</v>
      </c>
      <c r="B152" t="s">
        <v>1</v>
      </c>
      <c r="C152" t="s">
        <v>7</v>
      </c>
      <c r="D152" t="s">
        <v>187</v>
      </c>
      <c r="E152" s="6">
        <v>70.785715267179313</v>
      </c>
      <c r="F152" s="6">
        <v>33.670824967370251</v>
      </c>
      <c r="G152" s="6">
        <v>26.037264280057236</v>
      </c>
      <c r="H152" s="6">
        <v>11.667590225872713</v>
      </c>
      <c r="I152" s="6"/>
      <c r="J152" s="6"/>
    </row>
    <row r="153" spans="1:17">
      <c r="A153" s="4">
        <v>152</v>
      </c>
      <c r="B153" t="s">
        <v>3</v>
      </c>
      <c r="C153" t="s">
        <v>7</v>
      </c>
      <c r="D153" t="s">
        <v>187</v>
      </c>
      <c r="E153" s="6">
        <v>67.700822730446063</v>
      </c>
      <c r="F153" s="6">
        <v>28.855001265222675</v>
      </c>
      <c r="G153" s="6">
        <v>27.272130374406846</v>
      </c>
      <c r="H153" s="6">
        <v>10.535665006054829</v>
      </c>
      <c r="I153" s="6"/>
      <c r="J153" s="6"/>
    </row>
    <row r="154" spans="1:17">
      <c r="A154" s="4">
        <v>153</v>
      </c>
      <c r="B154" t="s">
        <v>4</v>
      </c>
      <c r="C154" t="s">
        <v>7</v>
      </c>
      <c r="D154" t="s">
        <v>187</v>
      </c>
      <c r="E154" s="6">
        <v>67.210952309661465</v>
      </c>
      <c r="F154" s="6">
        <v>30.16129473734723</v>
      </c>
      <c r="G154" s="6">
        <v>26.234999463424437</v>
      </c>
      <c r="H154" s="6">
        <v>10.353977804456154</v>
      </c>
      <c r="I154" s="6"/>
      <c r="J154" s="6"/>
    </row>
    <row r="155" spans="1:17">
      <c r="A155" s="4">
        <v>154</v>
      </c>
      <c r="B155" t="s">
        <v>5</v>
      </c>
      <c r="C155" t="s">
        <v>7</v>
      </c>
      <c r="D155" t="s">
        <v>187</v>
      </c>
      <c r="E155" s="6">
        <v>76.323545324404392</v>
      </c>
      <c r="F155" s="6">
        <v>28.26463132670802</v>
      </c>
      <c r="G155" s="6">
        <v>202.92593075027196</v>
      </c>
      <c r="H155" s="6">
        <v>13.118933637224542</v>
      </c>
      <c r="I155" s="6"/>
      <c r="J155" s="6"/>
    </row>
    <row r="156" spans="1:17">
      <c r="A156" s="4">
        <v>155</v>
      </c>
      <c r="B156" t="s">
        <v>6</v>
      </c>
      <c r="C156" t="s">
        <v>7</v>
      </c>
      <c r="D156" t="s">
        <v>187</v>
      </c>
      <c r="E156" s="6">
        <v>65.361469554723158</v>
      </c>
      <c r="F156" s="6">
        <v>29.768707137221071</v>
      </c>
      <c r="G156" s="6">
        <v>25.460231301123873</v>
      </c>
      <c r="H156" s="6">
        <v>12.046169833900525</v>
      </c>
      <c r="I156" s="6"/>
      <c r="J156" s="6"/>
    </row>
    <row r="157" spans="1:17">
      <c r="A157" s="4">
        <v>156</v>
      </c>
      <c r="B157" t="s">
        <v>1</v>
      </c>
      <c r="C157" t="s">
        <v>7</v>
      </c>
      <c r="D157" t="s">
        <v>187</v>
      </c>
      <c r="E157" s="6">
        <v>66.595878496803707</v>
      </c>
      <c r="F157" s="6">
        <v>30.482421569016154</v>
      </c>
      <c r="G157" s="6">
        <v>25.393896163888581</v>
      </c>
      <c r="H157" s="6">
        <v>13.354324854694061</v>
      </c>
      <c r="I157" s="6"/>
      <c r="J157" s="6"/>
    </row>
    <row r="158" spans="1:17">
      <c r="A158" s="4">
        <v>157</v>
      </c>
      <c r="B158" t="s">
        <v>3</v>
      </c>
      <c r="C158" t="s">
        <v>7</v>
      </c>
      <c r="D158" t="s">
        <v>187</v>
      </c>
      <c r="E158" s="6">
        <v>66.078604278540354</v>
      </c>
      <c r="F158" s="6">
        <v>28.826801920052858</v>
      </c>
      <c r="G158" s="6">
        <v>25.701938746618268</v>
      </c>
      <c r="H158" s="6">
        <v>12.672749308521833</v>
      </c>
      <c r="I158" s="6"/>
      <c r="J158" s="6"/>
    </row>
    <row r="159" spans="1:17">
      <c r="A159" s="4">
        <v>158</v>
      </c>
      <c r="B159" t="s">
        <v>4</v>
      </c>
      <c r="C159" t="s">
        <v>7</v>
      </c>
      <c r="D159" t="s">
        <v>187</v>
      </c>
      <c r="E159" s="6">
        <v>64.393854445672943</v>
      </c>
      <c r="F159" s="6">
        <v>30.819999609654154</v>
      </c>
      <c r="G159" s="6">
        <v>25.610509521720907</v>
      </c>
      <c r="H159" s="6">
        <v>13.209832680740245</v>
      </c>
      <c r="I159" s="6"/>
      <c r="J159" s="6"/>
    </row>
    <row r="160" spans="1:17">
      <c r="A160" s="4">
        <v>159</v>
      </c>
      <c r="B160" t="s">
        <v>5</v>
      </c>
      <c r="C160" t="s">
        <v>7</v>
      </c>
      <c r="D160" t="s">
        <v>187</v>
      </c>
      <c r="E160" s="6">
        <v>74.069308188659051</v>
      </c>
      <c r="F160" s="6">
        <v>27.720339115229134</v>
      </c>
      <c r="G160" s="6">
        <v>189.54751121939049</v>
      </c>
      <c r="H160" s="6">
        <v>14.356039960872433</v>
      </c>
      <c r="I160" s="6"/>
      <c r="J160" s="6"/>
    </row>
    <row r="161" spans="1:32">
      <c r="A161" s="4">
        <v>160</v>
      </c>
      <c r="B161" t="s">
        <v>6</v>
      </c>
      <c r="C161" t="s">
        <v>7</v>
      </c>
      <c r="D161" t="s">
        <v>187</v>
      </c>
      <c r="E161" s="6">
        <v>66.359027460397712</v>
      </c>
      <c r="F161" s="6">
        <v>30.794158493771363</v>
      </c>
      <c r="G161" s="6">
        <v>26.305260972554432</v>
      </c>
      <c r="H161" s="6">
        <v>12.907326156348711</v>
      </c>
      <c r="I161" s="6"/>
      <c r="J161" s="6"/>
    </row>
    <row r="162" spans="1:32">
      <c r="A162">
        <v>161</v>
      </c>
      <c r="B162" t="s">
        <v>1</v>
      </c>
      <c r="C162" t="s">
        <v>2</v>
      </c>
      <c r="D162" t="s">
        <v>188</v>
      </c>
      <c r="E162" s="6">
        <v>59.846920602478221</v>
      </c>
      <c r="F162" s="6">
        <v>26.851902802554761</v>
      </c>
      <c r="G162" s="6">
        <v>38.531724380164043</v>
      </c>
      <c r="H162" s="6">
        <v>16.90204334927045</v>
      </c>
      <c r="I162" s="6"/>
      <c r="J162" s="6"/>
    </row>
    <row r="163" spans="1:32">
      <c r="A163">
        <v>162</v>
      </c>
      <c r="B163" t="s">
        <v>1</v>
      </c>
      <c r="C163" t="s">
        <v>2</v>
      </c>
      <c r="D163" t="s">
        <v>188</v>
      </c>
      <c r="E163" s="6">
        <v>62.713278852130543</v>
      </c>
      <c r="F163" s="6">
        <v>31.759786596375253</v>
      </c>
      <c r="G163" s="6">
        <v>35.446199088571255</v>
      </c>
      <c r="H163" s="6">
        <v>15.732756161728624</v>
      </c>
      <c r="I163" s="6"/>
      <c r="J163" s="6"/>
      <c r="K163" s="6"/>
      <c r="L163" s="6"/>
    </row>
    <row r="164" spans="1:32">
      <c r="A164">
        <v>163</v>
      </c>
      <c r="B164" t="s">
        <v>1</v>
      </c>
      <c r="C164" t="s">
        <v>2</v>
      </c>
      <c r="D164" t="s">
        <v>188</v>
      </c>
      <c r="E164" s="6">
        <v>66.272730328188118</v>
      </c>
      <c r="F164" s="6">
        <v>31.642015461752187</v>
      </c>
      <c r="G164" s="6">
        <v>37.613631717988092</v>
      </c>
      <c r="H164" s="6">
        <v>15.269907071588893</v>
      </c>
      <c r="I164" s="6"/>
      <c r="J164" s="6"/>
      <c r="K164" s="6"/>
      <c r="L164" s="6"/>
    </row>
    <row r="165" spans="1:32">
      <c r="A165">
        <v>164</v>
      </c>
      <c r="B165" t="s">
        <v>1</v>
      </c>
      <c r="C165" t="s">
        <v>2</v>
      </c>
      <c r="D165" t="s">
        <v>188</v>
      </c>
      <c r="E165" s="6">
        <v>72.686304006823178</v>
      </c>
      <c r="F165" s="6">
        <v>29.208179889028923</v>
      </c>
      <c r="G165" s="6">
        <v>39.431335874003032</v>
      </c>
      <c r="H165" s="6">
        <v>16.408220148750303</v>
      </c>
      <c r="I165" s="6"/>
      <c r="J165" s="6"/>
      <c r="K165" s="6"/>
      <c r="L165" s="6"/>
    </row>
    <row r="166" spans="1:32">
      <c r="E166" s="6"/>
      <c r="F166" s="6"/>
      <c r="G166" s="6"/>
      <c r="H166" s="6"/>
      <c r="I166" s="6"/>
      <c r="J166" s="6"/>
      <c r="K166" s="6"/>
      <c r="L166" s="6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</row>
    <row r="167" spans="1:32"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</row>
  </sheetData>
  <sortState xmlns:xlrd2="http://schemas.microsoft.com/office/spreadsheetml/2017/richdata2" ref="A2:H165">
    <sortCondition ref="A2:A16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2915-CFC9-7544-B429-E913B03FBA9D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P2" sqref="P2:Q13"/>
      <selection pane="topRight" activeCell="P2" sqref="P2:Q13"/>
      <selection pane="bottomLeft" activeCell="P2" sqref="P2:Q13"/>
      <selection pane="bottomRight" activeCell="C46" sqref="C46:C47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106</v>
      </c>
      <c r="B2" s="55" t="s">
        <v>67</v>
      </c>
      <c r="C2" s="80">
        <v>452</v>
      </c>
      <c r="D2" s="56" t="s">
        <v>35</v>
      </c>
      <c r="E2" s="80">
        <v>17</v>
      </c>
      <c r="F2" s="80">
        <v>16</v>
      </c>
      <c r="G2" s="57">
        <v>0</v>
      </c>
      <c r="H2" s="58"/>
      <c r="I2" s="59" t="s">
        <v>68</v>
      </c>
      <c r="J2" s="59" t="s">
        <v>68</v>
      </c>
      <c r="K2" s="60">
        <f>I3</f>
        <v>1.4547806749486352E-5</v>
      </c>
      <c r="L2" s="60">
        <f>I5</f>
        <v>-4.5420947675405606E-4</v>
      </c>
      <c r="M2" s="60">
        <f>(C2-$O$2)*K2+L2</f>
        <v>6.1213991740137752E-3</v>
      </c>
      <c r="N2" s="47" t="str">
        <f>'enzyme setup and metadata'!F179</f>
        <v>BG</v>
      </c>
      <c r="O2" s="47">
        <f>'enzyme setup and metadata'!G186</f>
        <v>0</v>
      </c>
      <c r="P2" s="91">
        <f>'enzyme setup and metadata'!A86</f>
        <v>106</v>
      </c>
      <c r="Q2" s="66">
        <f>'enzyme setup and metadata'!I86</f>
        <v>2.1683876092136614</v>
      </c>
      <c r="R2" s="14">
        <f>'enzyme setup and metadata'!R183</f>
        <v>3.1666666665114462</v>
      </c>
      <c r="S2" s="14">
        <f>(((M2+M3)/2)*91)/(R2*Q2*0.8)</f>
        <v>0.10212879771785015</v>
      </c>
      <c r="T2" s="14">
        <f>(((M4+M5)/2)*91)/(R2*Q2*0.8)</f>
        <v>4.6217748006636285E-2</v>
      </c>
      <c r="U2" s="14">
        <f>(((M6+M7)/2)*91)/(R2*Q2*0.8)</f>
        <v>3.0836358654928332E-2</v>
      </c>
      <c r="V2" s="14">
        <f>(((M8+M9)/2)*91)/(R2*Q2*0.8)</f>
        <v>1.9708198574595225E-2</v>
      </c>
      <c r="W2" s="14">
        <f>S2*1000</f>
        <v>102.12879771785015</v>
      </c>
      <c r="X2" s="14">
        <f>T2*1000</f>
        <v>46.217748006636285</v>
      </c>
      <c r="Y2" s="14">
        <f>U2*1000</f>
        <v>30.836358654928333</v>
      </c>
      <c r="Z2" s="14">
        <f>V2*1000</f>
        <v>19.708198574595226</v>
      </c>
    </row>
    <row r="3" spans="1:26" ht="14">
      <c r="A3" s="55">
        <f t="shared" ref="A3:A9" si="0">A2</f>
        <v>106</v>
      </c>
      <c r="B3" s="55" t="s">
        <v>69</v>
      </c>
      <c r="C3" s="80">
        <v>458</v>
      </c>
      <c r="D3" s="56" t="s">
        <v>35</v>
      </c>
      <c r="E3" s="80">
        <v>54</v>
      </c>
      <c r="F3" s="80">
        <v>253</v>
      </c>
      <c r="G3" s="57">
        <v>5.0000000000000001E-4</v>
      </c>
      <c r="H3" s="58"/>
      <c r="I3" s="59">
        <f>SLOPE(G2:G8, E2:E8)</f>
        <v>1.4547806749486352E-5</v>
      </c>
      <c r="J3" s="59">
        <f>SLOPE(G2:G8, F2:F8)</f>
        <v>1.5228389856856767E-6</v>
      </c>
      <c r="K3" s="60">
        <f>I3</f>
        <v>1.4547806749486352E-5</v>
      </c>
      <c r="L3" s="60">
        <f>I5</f>
        <v>-4.5420947675405606E-4</v>
      </c>
      <c r="M3" s="60">
        <f>(C3-$O$2)*K3+L3</f>
        <v>6.2086860145106936E-3</v>
      </c>
      <c r="N3" s="47" t="str">
        <f>'enzyme setup and metadata'!F180</f>
        <v>CB</v>
      </c>
      <c r="O3" s="47">
        <f>'enzyme setup and metadata'!G187</f>
        <v>0</v>
      </c>
      <c r="P3" s="91">
        <f>'enzyme setup and metadata'!A87</f>
        <v>107</v>
      </c>
      <c r="Q3" s="66">
        <f>'enzyme setup and metadata'!I87</f>
        <v>2.2004115877790085</v>
      </c>
      <c r="R3" s="14">
        <f>R2</f>
        <v>3.1666666665114462</v>
      </c>
      <c r="S3" s="14">
        <f>(((M10+M11)/2)*91)/(R3*Q3*0.8)</f>
        <v>9.0389099461070876E-2</v>
      </c>
      <c r="T3" s="14">
        <f>(((M12+M13)/2)*91)/(R3*Q3*0.8)</f>
        <v>3.9616592100660701E-2</v>
      </c>
      <c r="U3" s="14">
        <f>(((M14+M15)/2)*91)/(R3*Q3*0.8)</f>
        <v>2.1032811216337263E-2</v>
      </c>
      <c r="V3" s="14">
        <f>(((M16+M17)/2)*91)/(R3*Q3*0.8)</f>
        <v>1.9484359975159567E-2</v>
      </c>
      <c r="W3" s="14">
        <f>S3*1000</f>
        <v>90.38909946107087</v>
      </c>
      <c r="X3" s="14">
        <f t="shared" ref="X3:Z13" si="1">T3*1000</f>
        <v>39.616592100660704</v>
      </c>
      <c r="Y3" s="14">
        <f t="shared" si="1"/>
        <v>21.032811216337262</v>
      </c>
      <c r="Z3" s="14">
        <f t="shared" si="1"/>
        <v>19.484359975159567</v>
      </c>
    </row>
    <row r="4" spans="1:26" ht="14">
      <c r="A4" s="55">
        <f t="shared" si="0"/>
        <v>106</v>
      </c>
      <c r="B4" s="55" t="s">
        <v>70</v>
      </c>
      <c r="C4" s="80">
        <v>243</v>
      </c>
      <c r="D4" s="56" t="s">
        <v>36</v>
      </c>
      <c r="E4" s="80">
        <v>89</v>
      </c>
      <c r="F4" s="80">
        <v>582</v>
      </c>
      <c r="G4" s="57">
        <v>1E-3</v>
      </c>
      <c r="H4" s="58"/>
      <c r="I4" s="59" t="s">
        <v>71</v>
      </c>
      <c r="J4" s="59" t="s">
        <v>71</v>
      </c>
      <c r="K4" s="60">
        <f>I3</f>
        <v>1.4547806749486352E-5</v>
      </c>
      <c r="L4" s="60">
        <f>I5</f>
        <v>-4.5420947675405606E-4</v>
      </c>
      <c r="M4" s="60">
        <f>(C4-$O$3)*K4 + L4</f>
        <v>3.0809075633711274E-3</v>
      </c>
      <c r="N4" s="47" t="str">
        <f>'enzyme setup and metadata'!F181</f>
        <v>LAP</v>
      </c>
      <c r="O4" s="47">
        <f>'enzyme setup and metadata'!G188</f>
        <v>325.75</v>
      </c>
      <c r="P4" s="91">
        <f>'enzyme setup and metadata'!A88</f>
        <v>108</v>
      </c>
      <c r="Q4" s="66">
        <f>'enzyme setup and metadata'!I88</f>
        <v>2.198063799396921</v>
      </c>
      <c r="R4" s="14">
        <f t="shared" ref="R4:R13" si="2">R3</f>
        <v>3.1666666665114462</v>
      </c>
      <c r="S4" s="14">
        <f>(((M18+M19)/2)*91)/(R4*Q4*0.8)</f>
        <v>9.3638356712531429E-2</v>
      </c>
      <c r="T4" s="14">
        <f>(((M20+M21)/2)*91)/(R4*Q4*0.8)</f>
        <v>4.9031960618415894E-2</v>
      </c>
      <c r="U4" s="14">
        <f>(((M22+M23)/2)*91)/(R4*Q4*0.8)</f>
        <v>2.4206582540577979E-2</v>
      </c>
      <c r="V4" s="14">
        <f>(((M24+M25)/2)*91)/(R4*Q4*0.8)</f>
        <v>2.0787736017338375E-2</v>
      </c>
      <c r="W4" s="14">
        <f>S4*1000</f>
        <v>93.638356712531433</v>
      </c>
      <c r="X4" s="14">
        <f t="shared" si="1"/>
        <v>49.031960618415894</v>
      </c>
      <c r="Y4" s="14">
        <f t="shared" si="1"/>
        <v>24.20658254057798</v>
      </c>
      <c r="Z4" s="14">
        <f t="shared" si="1"/>
        <v>20.787736017338375</v>
      </c>
    </row>
    <row r="5" spans="1:26" ht="14">
      <c r="A5" s="55">
        <f t="shared" si="0"/>
        <v>106</v>
      </c>
      <c r="B5" s="55" t="s">
        <v>72</v>
      </c>
      <c r="C5" s="80">
        <v>203</v>
      </c>
      <c r="D5" s="56" t="s">
        <v>36</v>
      </c>
      <c r="E5" s="80">
        <v>161</v>
      </c>
      <c r="F5" s="80">
        <v>1042</v>
      </c>
      <c r="G5" s="57">
        <v>2E-3</v>
      </c>
      <c r="H5" s="58"/>
      <c r="I5" s="59">
        <f>INTERCEPT(G2:G8, E2:E8)</f>
        <v>-4.5420947675405606E-4</v>
      </c>
      <c r="J5" s="59">
        <f>INTERCEPT(G2:G8, F2:F8)</f>
        <v>3.6716242453316457E-4</v>
      </c>
      <c r="K5" s="60">
        <f>I3</f>
        <v>1.4547806749486352E-5</v>
      </c>
      <c r="L5" s="60">
        <f>I5</f>
        <v>-4.5420947675405606E-4</v>
      </c>
      <c r="M5" s="60">
        <f>(C5-$O$3)*K5+ L5</f>
        <v>2.4989952933916733E-3</v>
      </c>
      <c r="N5" s="47" t="str">
        <f>'enzyme setup and metadata'!F182</f>
        <v>XYL</v>
      </c>
      <c r="O5" s="47">
        <f>'enzyme setup and metadata'!G189</f>
        <v>0</v>
      </c>
      <c r="P5" s="91">
        <f>'enzyme setup and metadata'!A89</f>
        <v>110</v>
      </c>
      <c r="Q5" s="66">
        <f>'enzyme setup and metadata'!I89</f>
        <v>2.2179974651457539</v>
      </c>
      <c r="R5" s="14">
        <f t="shared" si="2"/>
        <v>3.1666666665114462</v>
      </c>
      <c r="S5" s="14">
        <f>(((M26+M27)/2)*91)/(R5*Q5*0.8)</f>
        <v>9.4363915385792169E-2</v>
      </c>
      <c r="T5" s="14">
        <f>(((M28+M29)/2)*91)/(R5*Q5*0.8)</f>
        <v>4.5884821339033717E-2</v>
      </c>
      <c r="U5" s="14">
        <f>(((M30+M31)/2)*91)/(R5*Q5*0.8)</f>
        <v>2.3057663580424572E-2</v>
      </c>
      <c r="V5" s="14">
        <f>(((M32+M33)/2)*91)/(R5*Q5*0.8)</f>
        <v>1.9891775169282394E-2</v>
      </c>
      <c r="W5" s="14">
        <f t="shared" ref="W5:W13" si="3">S5*1000</f>
        <v>94.363915385792168</v>
      </c>
      <c r="X5" s="14">
        <f t="shared" si="1"/>
        <v>45.884821339033714</v>
      </c>
      <c r="Y5" s="14">
        <f t="shared" si="1"/>
        <v>23.05766358042457</v>
      </c>
      <c r="Z5" s="14">
        <f t="shared" si="1"/>
        <v>19.891775169282393</v>
      </c>
    </row>
    <row r="6" spans="1:26" ht="14">
      <c r="A6" s="55">
        <f t="shared" si="0"/>
        <v>106</v>
      </c>
      <c r="B6" s="55" t="s">
        <v>73</v>
      </c>
      <c r="C6" s="80">
        <v>1336</v>
      </c>
      <c r="D6" s="56" t="s">
        <v>37</v>
      </c>
      <c r="E6" s="80">
        <v>400</v>
      </c>
      <c r="F6" s="80">
        <v>2935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1.5228389856856767E-6</v>
      </c>
      <c r="L6" s="60">
        <f>J5</f>
        <v>3.6716242453316457E-4</v>
      </c>
      <c r="M6" s="60">
        <f>(C6-$O$4)*K6 + L6</f>
        <v>1.9056105098221195E-3</v>
      </c>
      <c r="P6" s="91">
        <f>'enzyme setup and metadata'!A90</f>
        <v>111</v>
      </c>
      <c r="Q6" s="66">
        <f>'enzyme setup and metadata'!I90</f>
        <v>2.2128807106598987</v>
      </c>
      <c r="R6" s="14">
        <f t="shared" si="2"/>
        <v>3.1666666665114462</v>
      </c>
      <c r="S6" s="14">
        <f>(((M34+M35)/2)*91)/(R6*Q6*0.8)</f>
        <v>8.7306359060593114E-2</v>
      </c>
      <c r="T6" s="14">
        <f>(((M36+M37)/2)*91)/(R6*Q6*0.8)</f>
        <v>3.6994158792390493E-2</v>
      </c>
      <c r="U6" s="14">
        <f>(((M38+M39)/2)*91)/(R6*Q6*0.8)</f>
        <v>2.5888403771712018E-2</v>
      </c>
      <c r="V6" s="14">
        <f>(((M40+M41)/2)*91)/(R6*Q6*0.8)</f>
        <v>2.0005623636893507E-2</v>
      </c>
      <c r="W6" s="14">
        <f t="shared" si="3"/>
        <v>87.30635906059311</v>
      </c>
      <c r="X6" s="14">
        <f t="shared" si="1"/>
        <v>36.994158792390493</v>
      </c>
      <c r="Y6" s="14">
        <f t="shared" si="1"/>
        <v>25.888403771712017</v>
      </c>
      <c r="Z6" s="14">
        <f t="shared" si="1"/>
        <v>20.005623636893507</v>
      </c>
    </row>
    <row r="7" spans="1:26" ht="14">
      <c r="A7" s="55">
        <f t="shared" si="0"/>
        <v>106</v>
      </c>
      <c r="B7" s="55" t="s">
        <v>75</v>
      </c>
      <c r="C7" s="80">
        <v>1278</v>
      </c>
      <c r="D7" s="56" t="s">
        <v>37</v>
      </c>
      <c r="E7" s="80">
        <v>775</v>
      </c>
      <c r="F7" s="80">
        <v>5524</v>
      </c>
      <c r="G7" s="57">
        <v>0.01</v>
      </c>
      <c r="H7" s="58"/>
      <c r="I7" s="61">
        <f>RSQ(G2:G8, E2:E8)</f>
        <v>0.99621644932393105</v>
      </c>
      <c r="J7" s="61">
        <f>RSQ(G2:G8, F2:F8)</f>
        <v>0.99345760083285017</v>
      </c>
      <c r="K7" s="60">
        <f>J3</f>
        <v>1.5228389856856767E-6</v>
      </c>
      <c r="L7" s="60">
        <f>J5</f>
        <v>3.6716242453316457E-4</v>
      </c>
      <c r="M7" s="60">
        <f>(C7-$O$4)*K7 + L7</f>
        <v>1.8172858486523503E-3</v>
      </c>
      <c r="P7" s="91">
        <f>'enzyme setup and metadata'!A91</f>
        <v>112</v>
      </c>
      <c r="Q7" s="66">
        <f>'enzyme setup and metadata'!I91</f>
        <v>2.1469465648854964</v>
      </c>
      <c r="R7" s="14">
        <f t="shared" si="2"/>
        <v>3.1666666665114462</v>
      </c>
      <c r="S7" s="14">
        <f>(((M42+M43)/2)*91)/(R7*Q7*0.8)</f>
        <v>8.1819293399748985E-2</v>
      </c>
      <c r="T7" s="14">
        <f>(((M44+M45)/2)*91)/(R7*Q7*0.8)</f>
        <v>3.9320038043811761E-2</v>
      </c>
      <c r="U7" s="14">
        <f>(((M46+M47)/2)*91)/(R7*Q7*0.8)</f>
        <v>1.536328777465555E-2</v>
      </c>
      <c r="V7" s="14">
        <f>(((M48+M49)/2)*91)/(R7*Q7*0.8)</f>
        <v>1.5945447598046291E-2</v>
      </c>
      <c r="W7" s="14">
        <f t="shared" si="3"/>
        <v>81.819293399748986</v>
      </c>
      <c r="X7" s="14">
        <f t="shared" si="1"/>
        <v>39.320038043811763</v>
      </c>
      <c r="Y7" s="14">
        <f t="shared" si="1"/>
        <v>15.36328777465555</v>
      </c>
      <c r="Z7" s="14">
        <f t="shared" si="1"/>
        <v>15.945447598046291</v>
      </c>
    </row>
    <row r="8" spans="1:26" ht="14">
      <c r="A8" s="55">
        <f t="shared" si="0"/>
        <v>106</v>
      </c>
      <c r="B8" s="55" t="s">
        <v>76</v>
      </c>
      <c r="C8" s="80">
        <v>109</v>
      </c>
      <c r="D8" s="56" t="s">
        <v>38</v>
      </c>
      <c r="E8" s="80">
        <v>1369</v>
      </c>
      <c r="F8" s="80">
        <v>13242</v>
      </c>
      <c r="G8" s="57">
        <v>0.02</v>
      </c>
      <c r="H8" s="58"/>
      <c r="I8" s="58"/>
      <c r="J8" s="58"/>
      <c r="K8" s="60">
        <f>I3</f>
        <v>1.4547806749486352E-5</v>
      </c>
      <c r="L8" s="60">
        <f>I5</f>
        <v>-4.5420947675405606E-4</v>
      </c>
      <c r="M8" s="60">
        <f>(C8-$O$5)*K8 + L8</f>
        <v>1.1315014589399564E-3</v>
      </c>
      <c r="P8" s="91">
        <f>'enzyme setup and metadata'!A92</f>
        <v>113</v>
      </c>
      <c r="Q8" s="66">
        <f>'enzyme setup and metadata'!I92</f>
        <v>2.1732233502538074</v>
      </c>
      <c r="R8" s="14">
        <f t="shared" si="2"/>
        <v>3.1666666665114462</v>
      </c>
      <c r="S8" s="14">
        <f>(((M50+M51)/2)*91)/(R8*Q8*0.8)</f>
        <v>7.8072289674459769E-2</v>
      </c>
      <c r="T8" s="14">
        <f>(((M52+M53)/2)*91)/(R8*Q8*0.8)</f>
        <v>3.9113613836530607E-2</v>
      </c>
      <c r="U8" s="14">
        <f>(((M54+M55)/2)*91)/(R8*Q8*0.8)</f>
        <v>2.5063780957861617E-2</v>
      </c>
      <c r="V8" s="14">
        <f>(((M56+M57)/2)*91)/(R8*Q8*0.8)</f>
        <v>1.9242074482955999E-2</v>
      </c>
      <c r="W8" s="14">
        <f t="shared" si="3"/>
        <v>78.072289674459768</v>
      </c>
      <c r="X8" s="14">
        <f t="shared" si="1"/>
        <v>39.113613836530604</v>
      </c>
      <c r="Y8" s="14">
        <f t="shared" si="1"/>
        <v>25.063780957861617</v>
      </c>
      <c r="Z8" s="14">
        <f t="shared" si="1"/>
        <v>19.242074482955999</v>
      </c>
    </row>
    <row r="9" spans="1:26" ht="14">
      <c r="A9" s="55">
        <f t="shared" si="0"/>
        <v>106</v>
      </c>
      <c r="B9" s="55" t="s">
        <v>77</v>
      </c>
      <c r="C9" s="80">
        <v>117</v>
      </c>
      <c r="D9" s="56" t="s">
        <v>38</v>
      </c>
      <c r="E9" s="80">
        <v>16</v>
      </c>
      <c r="F9" s="80">
        <v>8</v>
      </c>
      <c r="G9" s="56"/>
      <c r="H9" s="58"/>
      <c r="I9" s="58"/>
      <c r="J9" s="58"/>
      <c r="K9" s="60">
        <f>I3</f>
        <v>1.4547806749486352E-5</v>
      </c>
      <c r="L9" s="60">
        <f>I5</f>
        <v>-4.5420947675405606E-4</v>
      </c>
      <c r="M9" s="60">
        <f>(C9-$O$5)*K9 + L9</f>
        <v>1.2478839129358471E-3</v>
      </c>
      <c r="P9" s="91">
        <f>'enzyme setup and metadata'!A93</f>
        <v>115</v>
      </c>
      <c r="Q9" s="66">
        <f>'enzyme setup and metadata'!I93</f>
        <v>2.1790808240887483</v>
      </c>
      <c r="R9" s="14">
        <f t="shared" si="2"/>
        <v>3.1666666665114462</v>
      </c>
      <c r="S9" s="14">
        <f>(((M58+M59)/2)*91)/(R9*Q9*0.8)</f>
        <v>7.9168417600741475E-2</v>
      </c>
      <c r="T9" s="14">
        <f>(((M60+M61)/2)*91)/(R9*Q9*0.8)</f>
        <v>3.694177576951984E-2</v>
      </c>
      <c r="U9" s="14">
        <f>(((M62+M63)/2)*91)/(R9*Q9*0.8)</f>
        <v>2.7557194130070094E-2</v>
      </c>
      <c r="V9" s="14">
        <f>(((M64+M65)/2)*91)/(R9*Q9*0.8)</f>
        <v>1.8833042830361326E-2</v>
      </c>
      <c r="W9" s="14">
        <f t="shared" si="3"/>
        <v>79.168417600741478</v>
      </c>
      <c r="X9" s="14">
        <f t="shared" si="1"/>
        <v>36.941775769519843</v>
      </c>
      <c r="Y9" s="14">
        <f t="shared" si="1"/>
        <v>27.557194130070094</v>
      </c>
      <c r="Z9" s="14">
        <f t="shared" si="1"/>
        <v>18.833042830361325</v>
      </c>
    </row>
    <row r="10" spans="1:26" ht="14">
      <c r="A10" s="55">
        <f>P3</f>
        <v>107</v>
      </c>
      <c r="B10" s="55" t="s">
        <v>78</v>
      </c>
      <c r="C10" s="80">
        <v>476</v>
      </c>
      <c r="D10" s="56" t="s">
        <v>35</v>
      </c>
      <c r="E10" s="80">
        <v>15</v>
      </c>
      <c r="F10" s="80">
        <v>21</v>
      </c>
      <c r="G10" s="57">
        <v>0</v>
      </c>
      <c r="H10" s="58"/>
      <c r="I10" s="59" t="s">
        <v>68</v>
      </c>
      <c r="J10" s="59" t="s">
        <v>68</v>
      </c>
      <c r="K10" s="60">
        <f>I11</f>
        <v>1.203158745984989E-5</v>
      </c>
      <c r="L10" s="60">
        <f>I13</f>
        <v>-1.1187615091569868E-4</v>
      </c>
      <c r="M10" s="60">
        <f>(C10-$O$2)*K10+L10</f>
        <v>5.6151594799728494E-3</v>
      </c>
      <c r="P10" s="91">
        <f>'enzyme setup and metadata'!A94</f>
        <v>116</v>
      </c>
      <c r="Q10" s="66">
        <f>'enzyme setup and metadata'!I94</f>
        <v>2.2520364159080017</v>
      </c>
      <c r="R10" s="14">
        <f t="shared" si="2"/>
        <v>3.1666666665114462</v>
      </c>
      <c r="S10" s="14">
        <f>(((M66+M67)/2)*91)/(R10*Q10*0.8)</f>
        <v>7.7821750552065486E-2</v>
      </c>
      <c r="T10" s="14">
        <f>(((M68+M69)/2)*91)/(R10*Q10*0.8)</f>
        <v>3.8772202872227136E-2</v>
      </c>
      <c r="U10" s="14">
        <f>(((M70+M71)/2)*91)/(R10*Q10*0.8)</f>
        <v>2.7971758268023266E-2</v>
      </c>
      <c r="V10" s="14">
        <f>(((M72+M73)/2)*91)/(R10*Q10*0.8)</f>
        <v>1.8684986987536623E-2</v>
      </c>
      <c r="W10" s="14">
        <f t="shared" si="3"/>
        <v>77.821750552065481</v>
      </c>
      <c r="X10" s="14">
        <f t="shared" si="1"/>
        <v>38.772202872227133</v>
      </c>
      <c r="Y10" s="14">
        <f t="shared" si="1"/>
        <v>27.971758268023265</v>
      </c>
      <c r="Z10" s="14">
        <f t="shared" si="1"/>
        <v>18.684986987536622</v>
      </c>
    </row>
    <row r="11" spans="1:26" ht="14">
      <c r="A11" s="55">
        <f t="shared" ref="A11:A17" si="4">A10</f>
        <v>107</v>
      </c>
      <c r="B11" s="55" t="s">
        <v>79</v>
      </c>
      <c r="C11" s="80">
        <v>463</v>
      </c>
      <c r="D11" s="56" t="s">
        <v>35</v>
      </c>
      <c r="E11" s="80">
        <v>58</v>
      </c>
      <c r="F11" s="80">
        <v>248</v>
      </c>
      <c r="G11" s="57">
        <v>5.0000000000000001E-4</v>
      </c>
      <c r="H11" s="58"/>
      <c r="I11" s="59">
        <f>SLOPE(G10:G16, E10:E16)</f>
        <v>1.203158745984989E-5</v>
      </c>
      <c r="J11" s="59">
        <f>SLOPE(G10:G16, F10:F16)</f>
        <v>1.8205838447799996E-6</v>
      </c>
      <c r="K11" s="60">
        <f>I11</f>
        <v>1.203158745984989E-5</v>
      </c>
      <c r="L11" s="60">
        <f>I13</f>
        <v>-1.1187615091569868E-4</v>
      </c>
      <c r="M11" s="60">
        <f>(C11-$O$2)*K11+L11</f>
        <v>5.4587488429948009E-3</v>
      </c>
      <c r="P11" s="91">
        <f>'enzyme setup and metadata'!A95</f>
        <v>117</v>
      </c>
      <c r="Q11" s="66">
        <f>'enzyme setup and metadata'!I95</f>
        <v>2.1646051379638438</v>
      </c>
      <c r="R11" s="14">
        <f t="shared" si="2"/>
        <v>3.1666666665114462</v>
      </c>
      <c r="S11" s="14">
        <f>(((M74+M75)/2)*91)/(R11*Q11*0.8)</f>
        <v>7.6599338156407779E-2</v>
      </c>
      <c r="T11" s="14">
        <f>(((M76+M77)/2)*91)/(R11*Q11*0.8)</f>
        <v>3.4031523751264267E-2</v>
      </c>
      <c r="U11" s="14">
        <f>(((M78+M79)/2)*91)/(R11*Q11*0.8)</f>
        <v>3.0578010254952444E-2</v>
      </c>
      <c r="V11" s="14">
        <f>(((M80+M81)/2)*91)/(R11*Q11*0.8)</f>
        <v>1.7690712079424145E-2</v>
      </c>
      <c r="W11" s="14">
        <f t="shared" si="3"/>
        <v>76.599338156407782</v>
      </c>
      <c r="X11" s="14">
        <f t="shared" si="1"/>
        <v>34.031523751264267</v>
      </c>
      <c r="Y11" s="14">
        <f t="shared" si="1"/>
        <v>30.578010254952442</v>
      </c>
      <c r="Z11" s="14">
        <f t="shared" si="1"/>
        <v>17.690712079424145</v>
      </c>
    </row>
    <row r="12" spans="1:26" ht="14">
      <c r="A12" s="55">
        <f t="shared" si="4"/>
        <v>107</v>
      </c>
      <c r="B12" s="55" t="s">
        <v>80</v>
      </c>
      <c r="C12" s="80">
        <v>223</v>
      </c>
      <c r="D12" s="56" t="s">
        <v>36</v>
      </c>
      <c r="E12" s="80">
        <v>99</v>
      </c>
      <c r="F12" s="80">
        <v>529</v>
      </c>
      <c r="G12" s="57">
        <v>1E-3</v>
      </c>
      <c r="H12" s="58"/>
      <c r="I12" s="59" t="s">
        <v>71</v>
      </c>
      <c r="J12" s="59" t="s">
        <v>71</v>
      </c>
      <c r="K12" s="60">
        <f>I11</f>
        <v>1.203158745984989E-5</v>
      </c>
      <c r="L12" s="60">
        <f>I13</f>
        <v>-1.1187615091569868E-4</v>
      </c>
      <c r="M12" s="60">
        <f>(C12-$O$3)*K12 + L12</f>
        <v>2.5711678526308267E-3</v>
      </c>
      <c r="P12" s="91">
        <f>'enzyme setup and metadata'!A96</f>
        <v>118</v>
      </c>
      <c r="Q12" s="66">
        <f>'enzyme setup and metadata'!I96</f>
        <v>2.1759847522236342</v>
      </c>
      <c r="R12" s="14">
        <f t="shared" si="2"/>
        <v>3.1666666665114462</v>
      </c>
      <c r="S12" s="14">
        <f>(((M82+M83)/2)*91)/(R12*Q12*0.8)</f>
        <v>8.2138815702928969E-2</v>
      </c>
      <c r="T12" s="14">
        <f>(((M84+M85)/2)*91)/(R12*Q12*0.8)</f>
        <v>3.5742374914856635E-2</v>
      </c>
      <c r="U12" s="14">
        <f>(((M86+M87)/2)*91)/(R12*Q12*0.8)</f>
        <v>3.0458642774332946E-2</v>
      </c>
      <c r="V12" s="14">
        <f>(((M88+M89)/2)*91)/(R12*Q12*0.8)</f>
        <v>1.7232722790265387E-2</v>
      </c>
      <c r="W12" s="14">
        <f t="shared" si="3"/>
        <v>82.138815702928966</v>
      </c>
      <c r="X12" s="14">
        <f t="shared" si="1"/>
        <v>35.742374914856633</v>
      </c>
      <c r="Y12" s="14">
        <f t="shared" si="1"/>
        <v>30.458642774332947</v>
      </c>
      <c r="Z12" s="14">
        <f t="shared" si="1"/>
        <v>17.232722790265388</v>
      </c>
    </row>
    <row r="13" spans="1:26" ht="14">
      <c r="A13" s="55">
        <f t="shared" si="4"/>
        <v>107</v>
      </c>
      <c r="B13" s="55" t="s">
        <v>81</v>
      </c>
      <c r="C13" s="80">
        <v>199</v>
      </c>
      <c r="D13" s="56" t="s">
        <v>36</v>
      </c>
      <c r="E13" s="80">
        <v>173</v>
      </c>
      <c r="F13" s="80">
        <v>1270</v>
      </c>
      <c r="G13" s="57">
        <v>2E-3</v>
      </c>
      <c r="H13" s="58"/>
      <c r="I13" s="59">
        <f>INTERCEPT(G10:G16, E10:E16)</f>
        <v>-1.1187615091569868E-4</v>
      </c>
      <c r="J13" s="59">
        <f>INTERCEPT(G10:G16, F10:F16)</f>
        <v>-3.5421739459328642E-4</v>
      </c>
      <c r="K13" s="60">
        <f>I11</f>
        <v>1.203158745984989E-5</v>
      </c>
      <c r="L13" s="60">
        <f>I13</f>
        <v>-1.1187615091569868E-4</v>
      </c>
      <c r="M13" s="60">
        <f>(C13-$O$3)*K13+ L13</f>
        <v>2.2824097535944295E-3</v>
      </c>
      <c r="P13" s="91">
        <f>'enzyme setup and metadata'!A97</f>
        <v>120</v>
      </c>
      <c r="Q13" s="66">
        <f>'enzyme setup and metadata'!I97</f>
        <v>2.2333492290573833</v>
      </c>
      <c r="R13" s="14">
        <f t="shared" si="2"/>
        <v>3.1666666665114462</v>
      </c>
      <c r="S13" s="14">
        <f>(((M90+M91)/2)*91)/(R13*Q13*0.8)</f>
        <v>8.1068278501122235E-2</v>
      </c>
      <c r="T13" s="14">
        <f>(((M92+M93)/2)*91)/(R13*Q13*0.8)</f>
        <v>3.4243502575073588E-2</v>
      </c>
      <c r="U13" s="14">
        <f>(((M94+M95)/2)*91)/(R13*Q13*0.8)</f>
        <v>3.4312617870320618E-2</v>
      </c>
      <c r="V13" s="14">
        <f>(((M96+M97)/2)*91)/(R13*Q13*0.8)</f>
        <v>1.5402293925712757E-2</v>
      </c>
      <c r="W13" s="14">
        <f t="shared" si="3"/>
        <v>81.068278501122236</v>
      </c>
      <c r="X13" s="14">
        <f t="shared" si="1"/>
        <v>34.243502575073585</v>
      </c>
      <c r="Y13" s="14">
        <f t="shared" si="1"/>
        <v>34.312617870320615</v>
      </c>
      <c r="Z13" s="14">
        <f t="shared" si="1"/>
        <v>15.402293925712758</v>
      </c>
    </row>
    <row r="14" spans="1:26" ht="14">
      <c r="A14" s="55">
        <f t="shared" si="4"/>
        <v>107</v>
      </c>
      <c r="B14" s="55" t="s">
        <v>82</v>
      </c>
      <c r="C14" s="80">
        <v>1224</v>
      </c>
      <c r="D14" s="56" t="s">
        <v>37</v>
      </c>
      <c r="E14" s="80">
        <v>419</v>
      </c>
      <c r="F14" s="80">
        <v>3349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1.8205838447799996E-6</v>
      </c>
      <c r="L14" s="60">
        <f>J13</f>
        <v>-3.5421739459328642E-4</v>
      </c>
      <c r="M14" s="60">
        <f>(C14-$O$4)*K14 + L14</f>
        <v>1.2811220439803482E-3</v>
      </c>
    </row>
    <row r="15" spans="1:26" ht="14">
      <c r="A15" s="55">
        <f t="shared" si="4"/>
        <v>107</v>
      </c>
      <c r="B15" s="55" t="s">
        <v>83</v>
      </c>
      <c r="C15" s="80">
        <v>1232</v>
      </c>
      <c r="D15" s="56" t="s">
        <v>37</v>
      </c>
      <c r="E15" s="80">
        <v>817</v>
      </c>
      <c r="F15" s="80">
        <v>6587</v>
      </c>
      <c r="G15" s="57">
        <v>0.01</v>
      </c>
      <c r="H15" s="58"/>
      <c r="I15" s="61">
        <f>RSQ(G10:G16, E10:E16)</f>
        <v>0.99960392957242694</v>
      </c>
      <c r="J15" s="61">
        <f>RSQ(G10:G16, F10:F16)</f>
        <v>0.98379263626159663</v>
      </c>
      <c r="K15" s="60">
        <f>J11</f>
        <v>1.8205838447799996E-6</v>
      </c>
      <c r="L15" s="60">
        <f>J13</f>
        <v>-3.5421739459328642E-4</v>
      </c>
      <c r="M15" s="60">
        <f>(C15-$O$4)*K15 + L15</f>
        <v>1.2956867147385883E-3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107</v>
      </c>
      <c r="B16" s="55" t="s">
        <v>84</v>
      </c>
      <c r="C16" s="80">
        <v>108</v>
      </c>
      <c r="D16" s="56" t="s">
        <v>38</v>
      </c>
      <c r="E16" s="80">
        <v>1684</v>
      </c>
      <c r="F16" s="80">
        <v>10505</v>
      </c>
      <c r="G16" s="57">
        <v>0.02</v>
      </c>
      <c r="H16" s="58"/>
      <c r="I16" s="58"/>
      <c r="J16" s="58"/>
      <c r="K16" s="60">
        <f>I11</f>
        <v>1.203158745984989E-5</v>
      </c>
      <c r="L16" s="60">
        <f>I13</f>
        <v>-1.1187615091569868E-4</v>
      </c>
      <c r="M16" s="60">
        <f>(C16-$O$5)*K16 + L16</f>
        <v>1.1875352947480894E-3</v>
      </c>
    </row>
    <row r="17" spans="1:13" ht="14">
      <c r="A17" s="55">
        <f t="shared" si="4"/>
        <v>107</v>
      </c>
      <c r="B17" s="55" t="s">
        <v>85</v>
      </c>
      <c r="C17" s="80">
        <v>109</v>
      </c>
      <c r="D17" s="56" t="s">
        <v>38</v>
      </c>
      <c r="E17" s="80">
        <v>16</v>
      </c>
      <c r="F17" s="80">
        <v>8</v>
      </c>
      <c r="G17" s="56"/>
      <c r="H17" s="58"/>
      <c r="I17" s="58"/>
      <c r="J17" s="58"/>
      <c r="K17" s="60">
        <f>I11</f>
        <v>1.203158745984989E-5</v>
      </c>
      <c r="L17" s="60">
        <f>I13</f>
        <v>-1.1187615091569868E-4</v>
      </c>
      <c r="M17" s="60">
        <f>(C17-$O$5)*K17 + L17</f>
        <v>1.1995668822079393E-3</v>
      </c>
    </row>
    <row r="18" spans="1:13" ht="14">
      <c r="A18" s="55">
        <f>P4</f>
        <v>108</v>
      </c>
      <c r="B18" s="55" t="s">
        <v>86</v>
      </c>
      <c r="C18" s="80">
        <v>517</v>
      </c>
      <c r="D18" s="56" t="s">
        <v>35</v>
      </c>
      <c r="E18" s="80">
        <v>17</v>
      </c>
      <c r="F18" s="80">
        <v>17</v>
      </c>
      <c r="G18" s="57">
        <v>0</v>
      </c>
      <c r="H18" s="58"/>
      <c r="I18" s="59" t="s">
        <v>68</v>
      </c>
      <c r="J18" s="59" t="s">
        <v>68</v>
      </c>
      <c r="K18" s="60">
        <f>I19</f>
        <v>1.1919358798108433E-5</v>
      </c>
      <c r="L18" s="60">
        <f>I21</f>
        <v>-1.2253182162200605E-4</v>
      </c>
      <c r="M18" s="60">
        <f>(C18-$O$2)*K18+L18</f>
        <v>6.0397766770000534E-3</v>
      </c>
    </row>
    <row r="19" spans="1:13" ht="14">
      <c r="A19" s="55">
        <f t="shared" ref="A19:A25" si="5">A18</f>
        <v>108</v>
      </c>
      <c r="B19" s="55" t="s">
        <v>87</v>
      </c>
      <c r="C19" s="80">
        <v>465</v>
      </c>
      <c r="D19" s="56" t="s">
        <v>35</v>
      </c>
      <c r="E19" s="80">
        <v>56</v>
      </c>
      <c r="F19" s="80">
        <v>258</v>
      </c>
      <c r="G19" s="57">
        <v>5.0000000000000001E-4</v>
      </c>
      <c r="H19" s="58"/>
      <c r="I19" s="59">
        <f>SLOPE(G18:G24, E18:E24)</f>
        <v>1.1919358798108433E-5</v>
      </c>
      <c r="J19" s="59">
        <f>SLOPE(G18:G24, F18:F24)</f>
        <v>1.880719827204199E-6</v>
      </c>
      <c r="K19" s="60">
        <f>I19</f>
        <v>1.1919358798108433E-5</v>
      </c>
      <c r="L19" s="60">
        <f>I21</f>
        <v>-1.2253182162200605E-4</v>
      </c>
      <c r="M19" s="60">
        <f>(C19-$O$2)*K19+L19</f>
        <v>5.4199700194984147E-3</v>
      </c>
    </row>
    <row r="20" spans="1:13" ht="14">
      <c r="A20" s="55">
        <f t="shared" si="5"/>
        <v>108</v>
      </c>
      <c r="B20" s="55" t="s">
        <v>88</v>
      </c>
      <c r="C20" s="80">
        <v>253</v>
      </c>
      <c r="D20" s="56" t="s">
        <v>36</v>
      </c>
      <c r="E20" s="80">
        <v>97</v>
      </c>
      <c r="F20" s="80">
        <v>449</v>
      </c>
      <c r="G20" s="57">
        <v>1E-3</v>
      </c>
      <c r="H20" s="58"/>
      <c r="I20" s="59" t="s">
        <v>71</v>
      </c>
      <c r="J20" s="59" t="s">
        <v>71</v>
      </c>
      <c r="K20" s="60">
        <f>I19</f>
        <v>1.1919358798108433E-5</v>
      </c>
      <c r="L20" s="60">
        <f>I21</f>
        <v>-1.2253182162200605E-4</v>
      </c>
      <c r="M20" s="60">
        <f>(C20-$O$3)*K20 + L20</f>
        <v>2.8930659542994275E-3</v>
      </c>
    </row>
    <row r="21" spans="1:13" ht="14">
      <c r="A21" s="55">
        <f t="shared" si="5"/>
        <v>108</v>
      </c>
      <c r="B21" s="55" t="s">
        <v>89</v>
      </c>
      <c r="C21" s="80">
        <v>271</v>
      </c>
      <c r="D21" s="56" t="s">
        <v>36</v>
      </c>
      <c r="E21" s="80">
        <v>170</v>
      </c>
      <c r="F21" s="80">
        <v>1364</v>
      </c>
      <c r="G21" s="57">
        <v>2E-3</v>
      </c>
      <c r="H21" s="58"/>
      <c r="I21" s="59">
        <f>INTERCEPT(G18:G24, E18:E24)</f>
        <v>-1.2253182162200605E-4</v>
      </c>
      <c r="J21" s="59">
        <f>INTERCEPT(G18:G24, F18:F24)</f>
        <v>-1.9777505364563467E-4</v>
      </c>
      <c r="K21" s="60">
        <f>I19</f>
        <v>1.1919358798108433E-5</v>
      </c>
      <c r="L21" s="60">
        <f>I21</f>
        <v>-1.2253182162200605E-4</v>
      </c>
      <c r="M21" s="60">
        <f>(C21-$O$3)*K21+ L21</f>
        <v>3.1076144126653792E-3</v>
      </c>
    </row>
    <row r="22" spans="1:13" ht="14">
      <c r="A22" s="55">
        <f t="shared" si="5"/>
        <v>108</v>
      </c>
      <c r="B22" s="55" t="s">
        <v>90</v>
      </c>
      <c r="C22" s="80">
        <v>1279</v>
      </c>
      <c r="D22" s="56" t="s">
        <v>37</v>
      </c>
      <c r="E22" s="80">
        <v>425</v>
      </c>
      <c r="F22" s="80">
        <v>3099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1.880719827204199E-6</v>
      </c>
      <c r="L22" s="60">
        <f>J21</f>
        <v>-1.9777505364563467E-4</v>
      </c>
      <c r="M22" s="60">
        <f>(C22-$O$4)*K22 + L22</f>
        <v>1.595021121636768E-3</v>
      </c>
    </row>
    <row r="23" spans="1:13" ht="14">
      <c r="A23" s="55">
        <f t="shared" si="5"/>
        <v>108</v>
      </c>
      <c r="B23" s="55" t="s">
        <v>91</v>
      </c>
      <c r="C23" s="80">
        <v>1158</v>
      </c>
      <c r="D23" s="56" t="s">
        <v>37</v>
      </c>
      <c r="E23" s="80">
        <v>845</v>
      </c>
      <c r="F23" s="80">
        <v>5362</v>
      </c>
      <c r="G23" s="57">
        <v>0.01</v>
      </c>
      <c r="H23" s="58"/>
      <c r="I23" s="61">
        <f>RSQ(G18:G24, E18:E24)</f>
        <v>0.99991631939296477</v>
      </c>
      <c r="J23" s="61">
        <f>RSQ(G18:G24, F18:F24)</f>
        <v>0.99759343613012674</v>
      </c>
      <c r="K23" s="60">
        <f>J19</f>
        <v>1.880719827204199E-6</v>
      </c>
      <c r="L23" s="60">
        <f>J21</f>
        <v>-1.9777505364563467E-4</v>
      </c>
      <c r="M23" s="60">
        <f>(C23-$O$4)*K23 + L23</f>
        <v>1.3674540225450599E-3</v>
      </c>
    </row>
    <row r="24" spans="1:13" ht="14">
      <c r="A24" s="55">
        <f t="shared" si="5"/>
        <v>108</v>
      </c>
      <c r="B24" s="55" t="s">
        <v>92</v>
      </c>
      <c r="C24" s="80">
        <v>119</v>
      </c>
      <c r="D24" s="56" t="s">
        <v>38</v>
      </c>
      <c r="E24" s="80">
        <v>1692</v>
      </c>
      <c r="F24" s="80">
        <v>10658</v>
      </c>
      <c r="G24" s="57">
        <v>0.02</v>
      </c>
      <c r="H24" s="58"/>
      <c r="I24" s="58"/>
      <c r="J24" s="58"/>
      <c r="K24" s="60">
        <f>I19</f>
        <v>1.1919358798108433E-5</v>
      </c>
      <c r="L24" s="60">
        <f>I21</f>
        <v>-1.2253182162200605E-4</v>
      </c>
      <c r="M24" s="60">
        <f>(C24-$O$5)*K24 + L24</f>
        <v>1.2958718753528975E-3</v>
      </c>
    </row>
    <row r="25" spans="1:13" ht="14">
      <c r="A25" s="55">
        <f t="shared" si="5"/>
        <v>108</v>
      </c>
      <c r="B25" s="55" t="s">
        <v>93</v>
      </c>
      <c r="C25" s="80">
        <v>115</v>
      </c>
      <c r="D25" s="56" t="s">
        <v>38</v>
      </c>
      <c r="E25" s="80">
        <v>15</v>
      </c>
      <c r="F25" s="80">
        <v>8</v>
      </c>
      <c r="G25" s="56"/>
      <c r="H25" s="58"/>
      <c r="I25" s="58"/>
      <c r="J25" s="58"/>
      <c r="K25" s="60">
        <f>I19</f>
        <v>1.1919358798108433E-5</v>
      </c>
      <c r="L25" s="60">
        <f>I21</f>
        <v>-1.2253182162200605E-4</v>
      </c>
      <c r="M25" s="60">
        <f>(C25-$O$5)*K25 + L25</f>
        <v>1.2481944401604636E-3</v>
      </c>
    </row>
    <row r="26" spans="1:13" ht="14">
      <c r="A26" s="55">
        <f>P5</f>
        <v>110</v>
      </c>
      <c r="B26" s="55" t="s">
        <v>94</v>
      </c>
      <c r="C26" s="80">
        <v>507</v>
      </c>
      <c r="D26" s="56" t="s">
        <v>35</v>
      </c>
      <c r="E26" s="80">
        <v>17</v>
      </c>
      <c r="F26" s="80">
        <v>21</v>
      </c>
      <c r="G26" s="57">
        <v>0</v>
      </c>
      <c r="H26" s="58"/>
      <c r="I26" s="59" t="s">
        <v>68</v>
      </c>
      <c r="J26" s="59" t="s">
        <v>68</v>
      </c>
      <c r="K26" s="60">
        <f>I27</f>
        <v>1.2737923132145846E-5</v>
      </c>
      <c r="L26" s="60">
        <f>I29</f>
        <v>-1.9203193676459954E-4</v>
      </c>
      <c r="M26" s="60">
        <f>(C26-$O$2)*K26+L26</f>
        <v>6.266095091233344E-3</v>
      </c>
    </row>
    <row r="27" spans="1:13" ht="14">
      <c r="A27" s="55">
        <f t="shared" ref="A27:A33" si="6">A26</f>
        <v>110</v>
      </c>
      <c r="B27" s="55" t="s">
        <v>95</v>
      </c>
      <c r="C27" s="80">
        <v>438</v>
      </c>
      <c r="D27" s="56" t="s">
        <v>35</v>
      </c>
      <c r="E27" s="80">
        <v>54</v>
      </c>
      <c r="F27" s="80">
        <v>273</v>
      </c>
      <c r="G27" s="57">
        <v>5.0000000000000001E-4</v>
      </c>
      <c r="H27" s="58"/>
      <c r="I27" s="59">
        <f>SLOPE(G26:G32, E26:E32)</f>
        <v>1.2737923132145846E-5</v>
      </c>
      <c r="J27" s="59">
        <f>SLOPE(G26:G32, F26:F32)</f>
        <v>1.8649911252613158E-6</v>
      </c>
      <c r="K27" s="60">
        <f>I27</f>
        <v>1.2737923132145846E-5</v>
      </c>
      <c r="L27" s="60">
        <f>I29</f>
        <v>-1.9203193676459954E-4</v>
      </c>
      <c r="M27" s="60">
        <f>(C27-$O$2)*K27+L27</f>
        <v>5.3871783951152811E-3</v>
      </c>
    </row>
    <row r="28" spans="1:13" ht="14">
      <c r="A28" s="55">
        <f t="shared" si="6"/>
        <v>110</v>
      </c>
      <c r="B28" s="55" t="s">
        <v>96</v>
      </c>
      <c r="C28" s="80">
        <v>276</v>
      </c>
      <c r="D28" s="56" t="s">
        <v>36</v>
      </c>
      <c r="E28" s="80">
        <v>99</v>
      </c>
      <c r="F28" s="80">
        <v>558</v>
      </c>
      <c r="G28" s="57">
        <v>1E-3</v>
      </c>
      <c r="H28" s="58"/>
      <c r="I28" s="59" t="s">
        <v>71</v>
      </c>
      <c r="J28" s="59" t="s">
        <v>71</v>
      </c>
      <c r="K28" s="60">
        <f>I27</f>
        <v>1.2737923132145846E-5</v>
      </c>
      <c r="L28" s="60">
        <f>I29</f>
        <v>-1.9203193676459954E-4</v>
      </c>
      <c r="M28" s="60">
        <f>(C28-$O$3)*K28 + L28</f>
        <v>3.3236348477076539E-3</v>
      </c>
    </row>
    <row r="29" spans="1:13" ht="14">
      <c r="A29" s="55">
        <f t="shared" si="6"/>
        <v>110</v>
      </c>
      <c r="B29" s="55" t="s">
        <v>97</v>
      </c>
      <c r="C29" s="80">
        <v>199</v>
      </c>
      <c r="D29" s="56" t="s">
        <v>36</v>
      </c>
      <c r="E29" s="80">
        <v>168</v>
      </c>
      <c r="F29" s="80">
        <v>1307</v>
      </c>
      <c r="G29" s="57">
        <v>2E-3</v>
      </c>
      <c r="H29" s="58"/>
      <c r="I29" s="59">
        <f>INTERCEPT(G26:G32, E26:E32)</f>
        <v>-1.9203193676459954E-4</v>
      </c>
      <c r="J29" s="59">
        <f>INTERCEPT(G26:G32, F26:F32)</f>
        <v>-1.6104734707891952E-4</v>
      </c>
      <c r="K29" s="60">
        <f>I27</f>
        <v>1.2737923132145846E-5</v>
      </c>
      <c r="L29" s="60">
        <f>I29</f>
        <v>-1.9203193676459954E-4</v>
      </c>
      <c r="M29" s="60">
        <f>(C29-$O$3)*K29+ L29</f>
        <v>2.3428147665324238E-3</v>
      </c>
    </row>
    <row r="30" spans="1:13" ht="14">
      <c r="A30" s="55">
        <f t="shared" si="6"/>
        <v>110</v>
      </c>
      <c r="B30" s="55" t="s">
        <v>98</v>
      </c>
      <c r="C30" s="80">
        <v>1162</v>
      </c>
      <c r="D30" s="56" t="s">
        <v>37</v>
      </c>
      <c r="E30" s="80">
        <v>407</v>
      </c>
      <c r="F30" s="80">
        <v>2903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1.8649911252613158E-6</v>
      </c>
      <c r="L30" s="60">
        <f>J29</f>
        <v>-1.6104734707891952E-4</v>
      </c>
      <c r="M30" s="60">
        <f>(C30-$O$4)*K30 + L30</f>
        <v>1.3985514814208559E-3</v>
      </c>
    </row>
    <row r="31" spans="1:13" ht="14">
      <c r="A31" s="55">
        <f t="shared" si="6"/>
        <v>110</v>
      </c>
      <c r="B31" s="55" t="s">
        <v>99</v>
      </c>
      <c r="C31" s="80">
        <v>1189</v>
      </c>
      <c r="D31" s="56" t="s">
        <v>37</v>
      </c>
      <c r="E31" s="80">
        <v>795</v>
      </c>
      <c r="F31" s="80">
        <v>5401</v>
      </c>
      <c r="G31" s="57">
        <v>0.01</v>
      </c>
      <c r="H31" s="58"/>
      <c r="I31" s="61">
        <f>RSQ(G26:G32, E26:E32)</f>
        <v>0.9999569609828648</v>
      </c>
      <c r="J31" s="61">
        <f>RSQ(G26:G32, F26:F32)</f>
        <v>0.99936296029132243</v>
      </c>
      <c r="K31" s="60">
        <f>J27</f>
        <v>1.8649911252613158E-6</v>
      </c>
      <c r="L31" s="60">
        <f>J29</f>
        <v>-1.6104734707891952E-4</v>
      </c>
      <c r="M31" s="60">
        <f>(C31-$O$4)*K31 + L31</f>
        <v>1.4489062418029113E-3</v>
      </c>
    </row>
    <row r="32" spans="1:13" ht="14">
      <c r="A32" s="55">
        <f t="shared" si="6"/>
        <v>110</v>
      </c>
      <c r="B32" s="55" t="s">
        <v>100</v>
      </c>
      <c r="C32" s="80">
        <v>108</v>
      </c>
      <c r="D32" s="56" t="s">
        <v>38</v>
      </c>
      <c r="E32" s="80">
        <v>1588</v>
      </c>
      <c r="F32" s="80">
        <v>10785</v>
      </c>
      <c r="G32" s="57">
        <v>0.02</v>
      </c>
      <c r="H32" s="58"/>
      <c r="I32" s="58"/>
      <c r="J32" s="58"/>
      <c r="K32" s="60">
        <f>I27</f>
        <v>1.2737923132145846E-5</v>
      </c>
      <c r="L32" s="60">
        <f>I29</f>
        <v>-1.9203193676459954E-4</v>
      </c>
      <c r="M32" s="60">
        <f>(C32-$O$5)*K32 + L32</f>
        <v>1.1836637615071518E-3</v>
      </c>
    </row>
    <row r="33" spans="1:26" ht="14">
      <c r="A33" s="55">
        <f t="shared" si="6"/>
        <v>110</v>
      </c>
      <c r="B33" s="55" t="s">
        <v>101</v>
      </c>
      <c r="C33" s="80">
        <v>115</v>
      </c>
      <c r="D33" s="56" t="s">
        <v>38</v>
      </c>
      <c r="E33" s="80">
        <v>15</v>
      </c>
      <c r="F33" s="80">
        <v>8</v>
      </c>
      <c r="G33" s="56"/>
      <c r="H33" s="58"/>
      <c r="I33" s="58"/>
      <c r="J33" s="58"/>
      <c r="K33" s="60">
        <f>I27</f>
        <v>1.2737923132145846E-5</v>
      </c>
      <c r="L33" s="60">
        <f>I29</f>
        <v>-1.9203193676459954E-4</v>
      </c>
      <c r="M33" s="60">
        <f>(C33-$O$5)*K33 + L33</f>
        <v>1.2728292234321728E-3</v>
      </c>
    </row>
    <row r="34" spans="1:26" ht="14">
      <c r="A34" s="55">
        <f>P6</f>
        <v>111</v>
      </c>
      <c r="B34" s="55" t="s">
        <v>102</v>
      </c>
      <c r="C34" s="80">
        <v>489</v>
      </c>
      <c r="D34" s="56" t="s">
        <v>35</v>
      </c>
      <c r="E34" s="80">
        <v>17</v>
      </c>
      <c r="F34" s="80">
        <v>17</v>
      </c>
      <c r="G34" s="57">
        <v>0</v>
      </c>
      <c r="H34" s="58"/>
      <c r="I34" s="59" t="s">
        <v>68</v>
      </c>
      <c r="J34" s="59" t="s">
        <v>68</v>
      </c>
      <c r="K34" s="60">
        <f>I35</f>
        <v>1.1500679196173702E-5</v>
      </c>
      <c r="L34" s="60">
        <f>I37</f>
        <v>-1.6490598120098843E-4</v>
      </c>
      <c r="M34" s="60">
        <f>(C34-$O$2)*K34+L34</f>
        <v>5.4589261457279516E-3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111</v>
      </c>
      <c r="B35" s="55" t="s">
        <v>103</v>
      </c>
      <c r="C35" s="80">
        <v>475</v>
      </c>
      <c r="D35" s="56" t="s">
        <v>35</v>
      </c>
      <c r="E35" s="80">
        <v>58</v>
      </c>
      <c r="F35" s="80">
        <v>269</v>
      </c>
      <c r="G35" s="57">
        <v>5.0000000000000001E-4</v>
      </c>
      <c r="H35" s="58"/>
      <c r="I35" s="59">
        <f>SLOPE(G34:G40, E34:E40)</f>
        <v>1.1500679196173702E-5</v>
      </c>
      <c r="J35" s="59">
        <f>SLOPE(G34:G40, F34:F40)</f>
        <v>1.8404183925321499E-6</v>
      </c>
      <c r="K35" s="60">
        <f>I35</f>
        <v>1.1500679196173702E-5</v>
      </c>
      <c r="L35" s="60">
        <f>I37</f>
        <v>-1.6490598120098843E-4</v>
      </c>
      <c r="M35" s="60">
        <f>(C35-$O$2)*K35+L35</f>
        <v>5.2979166369815202E-3</v>
      </c>
    </row>
    <row r="36" spans="1:26" ht="14">
      <c r="A36" s="55">
        <f t="shared" si="7"/>
        <v>111</v>
      </c>
      <c r="B36" s="55" t="s">
        <v>104</v>
      </c>
      <c r="C36" s="80">
        <v>214</v>
      </c>
      <c r="D36" s="56" t="s">
        <v>36</v>
      </c>
      <c r="E36" s="80">
        <v>102</v>
      </c>
      <c r="F36" s="80">
        <v>544</v>
      </c>
      <c r="G36" s="57">
        <v>1E-3</v>
      </c>
      <c r="H36" s="58"/>
      <c r="I36" s="59" t="s">
        <v>71</v>
      </c>
      <c r="J36" s="59" t="s">
        <v>71</v>
      </c>
      <c r="K36" s="60">
        <f>I35</f>
        <v>1.1500679196173702E-5</v>
      </c>
      <c r="L36" s="60">
        <f>I37</f>
        <v>-1.6490598120098843E-4</v>
      </c>
      <c r="M36" s="60">
        <f>(C36-$O$3)*K36 + L36</f>
        <v>2.2962393667801837E-3</v>
      </c>
    </row>
    <row r="37" spans="1:26" ht="14">
      <c r="A37" s="55">
        <f t="shared" si="7"/>
        <v>111</v>
      </c>
      <c r="B37" s="55" t="s">
        <v>105</v>
      </c>
      <c r="C37" s="80">
        <v>211</v>
      </c>
      <c r="D37" s="56" t="s">
        <v>36</v>
      </c>
      <c r="E37" s="80">
        <v>183</v>
      </c>
      <c r="F37" s="80">
        <v>968</v>
      </c>
      <c r="G37" s="57">
        <v>2E-3</v>
      </c>
      <c r="H37" s="58"/>
      <c r="I37" s="59">
        <f>INTERCEPT(G34:G40, E34:E40)</f>
        <v>-1.6490598120098843E-4</v>
      </c>
      <c r="J37" s="59">
        <f>INTERCEPT(G34:G40, F34:F40)</f>
        <v>-4.9543289768793145E-6</v>
      </c>
      <c r="K37" s="60">
        <f>I35</f>
        <v>1.1500679196173702E-5</v>
      </c>
      <c r="L37" s="60">
        <f>I37</f>
        <v>-1.6490598120098843E-4</v>
      </c>
      <c r="M37" s="60">
        <f>(C37-$O$3)*K37+ L37</f>
        <v>2.2617373291916629E-3</v>
      </c>
    </row>
    <row r="38" spans="1:26" ht="14">
      <c r="A38" s="55">
        <f t="shared" si="7"/>
        <v>111</v>
      </c>
      <c r="B38" s="55" t="s">
        <v>106</v>
      </c>
      <c r="C38" s="80">
        <v>1175</v>
      </c>
      <c r="D38" s="56" t="s">
        <v>37</v>
      </c>
      <c r="E38" s="80">
        <v>474</v>
      </c>
      <c r="F38" s="80">
        <v>3165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1.8404183925321499E-6</v>
      </c>
      <c r="L38" s="60">
        <f>J37</f>
        <v>-4.9543289768793145E-6</v>
      </c>
      <c r="M38" s="60">
        <f>(C38-$O$4)*K38 + L38</f>
        <v>1.5580209908810491E-3</v>
      </c>
    </row>
    <row r="39" spans="1:26" ht="14">
      <c r="A39" s="55">
        <f t="shared" si="7"/>
        <v>111</v>
      </c>
      <c r="B39" s="55" t="s">
        <v>107</v>
      </c>
      <c r="C39" s="80">
        <v>1215</v>
      </c>
      <c r="D39" s="56" t="s">
        <v>37</v>
      </c>
      <c r="E39" s="80">
        <v>851</v>
      </c>
      <c r="F39" s="80">
        <v>5041</v>
      </c>
      <c r="G39" s="57">
        <v>0.01</v>
      </c>
      <c r="H39" s="58"/>
      <c r="I39" s="61">
        <f>RSQ(G34:G40, E34:E40)</f>
        <v>0.99924111584211883</v>
      </c>
      <c r="J39" s="61">
        <f>RSQ(G34:G40, F34:F40)</f>
        <v>0.9960246107691143</v>
      </c>
      <c r="K39" s="60">
        <f>J35</f>
        <v>1.8404183925321499E-6</v>
      </c>
      <c r="L39" s="60">
        <f>J37</f>
        <v>-4.9543289768793145E-6</v>
      </c>
      <c r="M39" s="60">
        <f>(C39-$O$4)*K39 + L39</f>
        <v>1.6316377265823351E-3</v>
      </c>
    </row>
    <row r="40" spans="1:26" ht="14">
      <c r="A40" s="55">
        <f t="shared" si="7"/>
        <v>111</v>
      </c>
      <c r="B40" s="55" t="s">
        <v>108</v>
      </c>
      <c r="C40" s="80">
        <v>122</v>
      </c>
      <c r="D40" s="56" t="s">
        <v>38</v>
      </c>
      <c r="E40" s="80">
        <v>1763</v>
      </c>
      <c r="F40" s="80">
        <v>10934</v>
      </c>
      <c r="G40" s="57">
        <v>0.02</v>
      </c>
      <c r="H40" s="58"/>
      <c r="I40" s="58"/>
      <c r="J40" s="58"/>
      <c r="K40" s="60">
        <f>I35</f>
        <v>1.1500679196173702E-5</v>
      </c>
      <c r="L40" s="60">
        <f>I37</f>
        <v>-1.6490598120098843E-4</v>
      </c>
      <c r="M40" s="60">
        <f>(C40-$O$5)*K40 + L40</f>
        <v>1.2381768807322032E-3</v>
      </c>
    </row>
    <row r="41" spans="1:26" ht="14">
      <c r="A41" s="55">
        <f t="shared" si="7"/>
        <v>111</v>
      </c>
      <c r="B41" s="55" t="s">
        <v>109</v>
      </c>
      <c r="C41" s="80">
        <v>121</v>
      </c>
      <c r="D41" s="56" t="s">
        <v>38</v>
      </c>
      <c r="E41" s="80">
        <v>17</v>
      </c>
      <c r="F41" s="80">
        <v>8</v>
      </c>
      <c r="G41" s="56"/>
      <c r="H41" s="58"/>
      <c r="I41" s="58"/>
      <c r="J41" s="58"/>
      <c r="K41" s="60">
        <f>I35</f>
        <v>1.1500679196173702E-5</v>
      </c>
      <c r="L41" s="60">
        <f>I37</f>
        <v>-1.6490598120098843E-4</v>
      </c>
      <c r="M41" s="60">
        <f>(C41-$O$5)*K41 + L41</f>
        <v>1.2266762015360295E-3</v>
      </c>
    </row>
    <row r="42" spans="1:26" ht="14">
      <c r="A42" s="55">
        <f>P7</f>
        <v>112</v>
      </c>
      <c r="B42" s="55" t="s">
        <v>110</v>
      </c>
      <c r="C42" s="80">
        <v>469</v>
      </c>
      <c r="D42" s="56" t="s">
        <v>35</v>
      </c>
      <c r="E42" s="80">
        <v>16</v>
      </c>
      <c r="F42" s="80">
        <v>18</v>
      </c>
      <c r="G42" s="57">
        <v>0</v>
      </c>
      <c r="H42" s="58"/>
      <c r="I42" s="62" t="s">
        <v>68</v>
      </c>
      <c r="J42" s="62" t="s">
        <v>68</v>
      </c>
      <c r="K42" s="60">
        <f>I43</f>
        <v>1.1043981369968602E-5</v>
      </c>
      <c r="L42" s="60">
        <f>I45</f>
        <v>-1.8449498228526647E-4</v>
      </c>
      <c r="M42" s="60">
        <f>(C42-$O$2)*K42+L42</f>
        <v>4.9951322802300078E-3</v>
      </c>
    </row>
    <row r="43" spans="1:26" ht="14">
      <c r="A43" s="55">
        <f t="shared" ref="A43:A49" si="8">A42</f>
        <v>112</v>
      </c>
      <c r="B43" s="55" t="s">
        <v>111</v>
      </c>
      <c r="C43" s="80">
        <v>450</v>
      </c>
      <c r="D43" s="56" t="s">
        <v>35</v>
      </c>
      <c r="E43" s="80">
        <v>58</v>
      </c>
      <c r="F43" s="80">
        <v>270</v>
      </c>
      <c r="G43" s="57">
        <v>5.0000000000000001E-4</v>
      </c>
      <c r="H43" s="58"/>
      <c r="I43" s="58">
        <f>SLOPE(G42:G48, E42:E48)</f>
        <v>1.1043981369968602E-5</v>
      </c>
      <c r="J43" s="58">
        <f>SLOPE(G42:G48, F42:F48)</f>
        <v>1.9340188410260938E-6</v>
      </c>
      <c r="K43" s="60">
        <f>I43</f>
        <v>1.1043981369968602E-5</v>
      </c>
      <c r="L43" s="60">
        <f>I45</f>
        <v>-1.8449498228526647E-4</v>
      </c>
      <c r="M43" s="60">
        <f>(C43-$O$2)*K43+L43</f>
        <v>4.785296634200604E-3</v>
      </c>
    </row>
    <row r="44" spans="1:26" ht="14">
      <c r="A44" s="55">
        <f t="shared" si="8"/>
        <v>112</v>
      </c>
      <c r="B44" s="55" t="s">
        <v>112</v>
      </c>
      <c r="C44" s="80">
        <v>256</v>
      </c>
      <c r="D44" s="56" t="s">
        <v>36</v>
      </c>
      <c r="E44" s="80">
        <v>116</v>
      </c>
      <c r="F44" s="80">
        <v>912</v>
      </c>
      <c r="G44" s="57">
        <v>1E-3</v>
      </c>
      <c r="H44" s="58"/>
      <c r="I44" s="62" t="s">
        <v>71</v>
      </c>
      <c r="J44" s="62" t="s">
        <v>71</v>
      </c>
      <c r="K44" s="60">
        <f>I43</f>
        <v>1.1043981369968602E-5</v>
      </c>
      <c r="L44" s="60">
        <f>I45</f>
        <v>-1.8449498228526647E-4</v>
      </c>
      <c r="M44" s="60">
        <f>(C44-$O$3)*K44 + L44</f>
        <v>2.6427642484266956E-3</v>
      </c>
    </row>
    <row r="45" spans="1:26" ht="14">
      <c r="A45" s="55">
        <f t="shared" si="8"/>
        <v>112</v>
      </c>
      <c r="B45" s="55" t="s">
        <v>113</v>
      </c>
      <c r="C45" s="80">
        <v>203</v>
      </c>
      <c r="D45" s="56" t="s">
        <v>36</v>
      </c>
      <c r="E45" s="80">
        <v>181</v>
      </c>
      <c r="F45" s="80">
        <v>1630</v>
      </c>
      <c r="G45" s="57">
        <v>2E-3</v>
      </c>
      <c r="H45" s="58"/>
      <c r="I45" s="58">
        <f>INTERCEPT(G42:G48, E42:E48)</f>
        <v>-1.8449498228526647E-4</v>
      </c>
      <c r="J45" s="58">
        <f>INTERCEPT(G42:G48, F42:F48)</f>
        <v>-5.3662537965415945E-4</v>
      </c>
      <c r="K45" s="60">
        <f>I43</f>
        <v>1.1043981369968602E-5</v>
      </c>
      <c r="L45" s="60">
        <f>I45</f>
        <v>-1.8449498228526647E-4</v>
      </c>
      <c r="M45" s="60">
        <f>(C45-$O$3)*K45+ L45</f>
        <v>2.0574332358183596E-3</v>
      </c>
    </row>
    <row r="46" spans="1:26" ht="14">
      <c r="A46" s="55">
        <f t="shared" si="8"/>
        <v>112</v>
      </c>
      <c r="B46" s="55" t="s">
        <v>114</v>
      </c>
      <c r="C46" s="80">
        <v>1099</v>
      </c>
      <c r="D46" s="56" t="s">
        <v>37</v>
      </c>
      <c r="E46" s="80">
        <v>464</v>
      </c>
      <c r="F46" s="80">
        <v>3099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1.9340188410260938E-6</v>
      </c>
      <c r="L46" s="60">
        <f>J45</f>
        <v>-5.3662537965415945E-4</v>
      </c>
      <c r="M46" s="60">
        <f>(C46-$O$4)*K46 + L46</f>
        <v>9.5885468916926753E-4</v>
      </c>
    </row>
    <row r="47" spans="1:26" ht="14">
      <c r="A47" s="55">
        <f t="shared" si="8"/>
        <v>112</v>
      </c>
      <c r="B47" s="55" t="s">
        <v>115</v>
      </c>
      <c r="C47" s="80">
        <v>1057</v>
      </c>
      <c r="D47" s="56" t="s">
        <v>37</v>
      </c>
      <c r="E47" s="80">
        <v>955</v>
      </c>
      <c r="F47" s="80">
        <v>5397</v>
      </c>
      <c r="G47" s="57">
        <v>0.01</v>
      </c>
      <c r="H47" s="58"/>
      <c r="I47" s="61">
        <f>RSQ(G42:G48, E42:E48)</f>
        <v>0.99935028280433269</v>
      </c>
      <c r="J47" s="61">
        <f>RSQ(G42:G48, F42:F48)</f>
        <v>0.99623223267140826</v>
      </c>
      <c r="K47" s="60">
        <f>J43</f>
        <v>1.9340188410260938E-6</v>
      </c>
      <c r="L47" s="60">
        <f>J45</f>
        <v>-5.3662537965415945E-4</v>
      </c>
      <c r="M47" s="60">
        <f>(C47-$O$4)*K47 + L47</f>
        <v>8.7762589784617169E-4</v>
      </c>
    </row>
    <row r="48" spans="1:26" ht="14">
      <c r="A48" s="55">
        <f t="shared" si="8"/>
        <v>112</v>
      </c>
      <c r="B48" s="55" t="s">
        <v>116</v>
      </c>
      <c r="C48" s="80">
        <v>101</v>
      </c>
      <c r="D48" s="56" t="s">
        <v>38</v>
      </c>
      <c r="E48" s="80">
        <v>1813</v>
      </c>
      <c r="F48" s="80">
        <v>10523</v>
      </c>
      <c r="G48" s="57">
        <v>0.02</v>
      </c>
      <c r="H48" s="58"/>
      <c r="I48" s="58"/>
      <c r="J48" s="58"/>
      <c r="K48" s="60">
        <f>I43</f>
        <v>1.1043981369968602E-5</v>
      </c>
      <c r="L48" s="60">
        <f>I45</f>
        <v>-1.8449498228526647E-4</v>
      </c>
      <c r="M48" s="60">
        <f>(C48-$O$5)*K48 + L48</f>
        <v>9.3094713608156236E-4</v>
      </c>
    </row>
    <row r="49" spans="1:13" ht="14">
      <c r="A49" s="55">
        <f t="shared" si="8"/>
        <v>112</v>
      </c>
      <c r="B49" s="55" t="s">
        <v>117</v>
      </c>
      <c r="C49" s="80">
        <v>105</v>
      </c>
      <c r="D49" s="56" t="s">
        <v>38</v>
      </c>
      <c r="E49" s="80">
        <v>17</v>
      </c>
      <c r="F49" s="80">
        <v>8</v>
      </c>
      <c r="G49" s="56"/>
      <c r="H49" s="58"/>
      <c r="I49" s="58"/>
      <c r="J49" s="58"/>
      <c r="K49" s="60">
        <f>I43</f>
        <v>1.1043981369968602E-5</v>
      </c>
      <c r="L49" s="60">
        <f>I45</f>
        <v>-1.8449498228526647E-4</v>
      </c>
      <c r="M49" s="60">
        <f>(C49-$O$5)*K49 + L49</f>
        <v>9.7512306156143677E-4</v>
      </c>
    </row>
    <row r="50" spans="1:13" ht="14">
      <c r="A50" s="55">
        <f>P8</f>
        <v>113</v>
      </c>
      <c r="B50" s="55" t="s">
        <v>118</v>
      </c>
      <c r="C50" s="80">
        <v>461</v>
      </c>
      <c r="D50" s="56" t="s">
        <v>35</v>
      </c>
      <c r="E50" s="80">
        <v>17</v>
      </c>
      <c r="F50" s="80">
        <v>21</v>
      </c>
      <c r="G50" s="57">
        <v>0</v>
      </c>
      <c r="H50" s="58"/>
      <c r="I50" s="62" t="s">
        <v>68</v>
      </c>
      <c r="J50" s="62" t="s">
        <v>68</v>
      </c>
      <c r="K50" s="60">
        <f>I51</f>
        <v>1.0545859176204879E-5</v>
      </c>
      <c r="L50" s="60">
        <f>I53</f>
        <v>-6.4450412898325524E-6</v>
      </c>
      <c r="M50" s="60">
        <f>(C50-$O$2)*K50+L50</f>
        <v>4.8551960389406163E-3</v>
      </c>
    </row>
    <row r="51" spans="1:13" ht="14">
      <c r="A51" s="55">
        <f t="shared" ref="A51:A57" si="9">A50</f>
        <v>113</v>
      </c>
      <c r="B51" s="55" t="s">
        <v>119</v>
      </c>
      <c r="C51" s="80">
        <v>436</v>
      </c>
      <c r="D51" s="56" t="s">
        <v>35</v>
      </c>
      <c r="E51" s="80">
        <v>57</v>
      </c>
      <c r="F51" s="80">
        <v>324</v>
      </c>
      <c r="G51" s="57">
        <v>5.0000000000000001E-4</v>
      </c>
      <c r="H51" s="58"/>
      <c r="I51" s="58">
        <f>SLOPE(G50:G56, E50:E56)</f>
        <v>1.0545859176204879E-5</v>
      </c>
      <c r="J51" s="58">
        <f>SLOPE(G50:G56, F50:F56)</f>
        <v>2.36693817684756E-6</v>
      </c>
      <c r="K51" s="60">
        <f>I51</f>
        <v>1.0545859176204879E-5</v>
      </c>
      <c r="L51" s="60">
        <f>I53</f>
        <v>-6.4450412898325524E-6</v>
      </c>
      <c r="M51" s="60">
        <f>(C51-$O$2)*K51+L51</f>
        <v>4.5915495595354947E-3</v>
      </c>
    </row>
    <row r="52" spans="1:13" ht="14">
      <c r="A52" s="55">
        <f t="shared" si="9"/>
        <v>113</v>
      </c>
      <c r="B52" s="55" t="s">
        <v>120</v>
      </c>
      <c r="C52" s="80">
        <v>208</v>
      </c>
      <c r="D52" s="56" t="s">
        <v>36</v>
      </c>
      <c r="E52" s="80">
        <v>103</v>
      </c>
      <c r="F52" s="80">
        <v>552</v>
      </c>
      <c r="G52" s="57">
        <v>1E-3</v>
      </c>
      <c r="H52" s="58"/>
      <c r="I52" s="62" t="s">
        <v>71</v>
      </c>
      <c r="J52" s="62" t="s">
        <v>71</v>
      </c>
      <c r="K52" s="60">
        <f>I51</f>
        <v>1.0545859176204879E-5</v>
      </c>
      <c r="L52" s="60">
        <f>I53</f>
        <v>-6.4450412898325524E-6</v>
      </c>
      <c r="M52" s="60">
        <f>(C52-$O$3)*K52 + L52</f>
        <v>2.1870936673607823E-3</v>
      </c>
    </row>
    <row r="53" spans="1:13" ht="14">
      <c r="A53" s="55">
        <f t="shared" si="9"/>
        <v>113</v>
      </c>
      <c r="B53" s="55" t="s">
        <v>121</v>
      </c>
      <c r="C53" s="80">
        <v>242</v>
      </c>
      <c r="D53" s="56" t="s">
        <v>36</v>
      </c>
      <c r="E53" s="80">
        <v>187</v>
      </c>
      <c r="F53" s="80">
        <v>1225</v>
      </c>
      <c r="G53" s="57">
        <v>2E-3</v>
      </c>
      <c r="H53" s="58"/>
      <c r="I53" s="58">
        <f>INTERCEPT(G50:G56, E50:E56)</f>
        <v>-6.4450412898325524E-6</v>
      </c>
      <c r="J53" s="58">
        <f>INTERCEPT(G50:G56, F50:F56)</f>
        <v>-6.1211064067092681E-4</v>
      </c>
      <c r="K53" s="60">
        <f>I51</f>
        <v>1.0545859176204879E-5</v>
      </c>
      <c r="L53" s="60">
        <f>I53</f>
        <v>-6.4450412898325524E-6</v>
      </c>
      <c r="M53" s="60">
        <f>(C53-$O$3)*K53+ L53</f>
        <v>2.5456528793517483E-3</v>
      </c>
    </row>
    <row r="54" spans="1:13" ht="14">
      <c r="A54" s="55">
        <f t="shared" si="9"/>
        <v>113</v>
      </c>
      <c r="B54" s="55" t="s">
        <v>122</v>
      </c>
      <c r="C54" s="80">
        <v>1271</v>
      </c>
      <c r="D54" s="56" t="s">
        <v>37</v>
      </c>
      <c r="E54" s="80">
        <v>469</v>
      </c>
      <c r="F54" s="80">
        <v>2694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2.36693817684756E-6</v>
      </c>
      <c r="L54" s="60">
        <f>J53</f>
        <v>-6.1211064067092681E-4</v>
      </c>
      <c r="M54" s="60">
        <f>(C54-$O$4)*K54 + L54</f>
        <v>1.6252376709942292E-3</v>
      </c>
    </row>
    <row r="55" spans="1:13" ht="14">
      <c r="A55" s="55">
        <f t="shared" si="9"/>
        <v>113</v>
      </c>
      <c r="B55" s="55" t="s">
        <v>123</v>
      </c>
      <c r="C55" s="80">
        <v>1179</v>
      </c>
      <c r="D55" s="56" t="s">
        <v>37</v>
      </c>
      <c r="E55" s="80">
        <v>902</v>
      </c>
      <c r="F55" s="80">
        <v>4909</v>
      </c>
      <c r="G55" s="57">
        <v>0.01</v>
      </c>
      <c r="H55" s="58"/>
      <c r="I55" s="61">
        <f>RSQ(G50:G56, E50:E56)</f>
        <v>0.99889318564442309</v>
      </c>
      <c r="J55" s="61">
        <f>RSQ(G50:G56, F50:F56)</f>
        <v>0.99081444071076219</v>
      </c>
      <c r="K55" s="60">
        <f>J51</f>
        <v>2.36693817684756E-6</v>
      </c>
      <c r="L55" s="60">
        <f>J53</f>
        <v>-6.1211064067092681E-4</v>
      </c>
      <c r="M55" s="60">
        <f>(C55-$O$4)*K55 + L55</f>
        <v>1.4074793587242535E-3</v>
      </c>
    </row>
    <row r="56" spans="1:13" ht="14">
      <c r="A56" s="55">
        <f t="shared" si="9"/>
        <v>113</v>
      </c>
      <c r="B56" s="55" t="s">
        <v>124</v>
      </c>
      <c r="C56" s="80">
        <v>108</v>
      </c>
      <c r="D56" s="56" t="s">
        <v>38</v>
      </c>
      <c r="E56" s="80">
        <v>1920</v>
      </c>
      <c r="F56" s="80">
        <v>8351</v>
      </c>
      <c r="G56" s="57">
        <v>0.02</v>
      </c>
      <c r="H56" s="58"/>
      <c r="I56" s="58"/>
      <c r="J56" s="58"/>
      <c r="K56" s="60">
        <f>I51</f>
        <v>1.0545859176204879E-5</v>
      </c>
      <c r="L56" s="60">
        <f>I53</f>
        <v>-6.4450412898325524E-6</v>
      </c>
      <c r="M56" s="60">
        <f>(C56-$O$5)*K56 + L56</f>
        <v>1.1325077497402944E-3</v>
      </c>
    </row>
    <row r="57" spans="1:13" ht="14">
      <c r="A57" s="55">
        <f t="shared" si="9"/>
        <v>113</v>
      </c>
      <c r="B57" s="55" t="s">
        <v>125</v>
      </c>
      <c r="C57" s="80">
        <v>114</v>
      </c>
      <c r="D57" s="56" t="s">
        <v>38</v>
      </c>
      <c r="E57" s="80">
        <v>17</v>
      </c>
      <c r="F57" s="80">
        <v>8</v>
      </c>
      <c r="G57" s="56"/>
      <c r="H57" s="58"/>
      <c r="I57" s="58"/>
      <c r="J57" s="58"/>
      <c r="K57" s="60">
        <f>I51</f>
        <v>1.0545859176204879E-5</v>
      </c>
      <c r="L57" s="60">
        <f>I53</f>
        <v>-6.4450412898325524E-6</v>
      </c>
      <c r="M57" s="60">
        <f>(C57-$O$5)*K57 + L57</f>
        <v>1.1957829047975236E-3</v>
      </c>
    </row>
    <row r="58" spans="1:13" ht="14">
      <c r="A58" s="55">
        <f>P9</f>
        <v>115</v>
      </c>
      <c r="B58" s="55" t="s">
        <v>126</v>
      </c>
      <c r="C58" s="80">
        <v>476</v>
      </c>
      <c r="D58" s="56" t="s">
        <v>35</v>
      </c>
      <c r="E58" s="80">
        <v>18</v>
      </c>
      <c r="F58" s="80">
        <v>21</v>
      </c>
      <c r="G58" s="57">
        <v>0</v>
      </c>
      <c r="H58" s="58"/>
      <c r="I58" s="62" t="s">
        <v>68</v>
      </c>
      <c r="J58" s="62" t="s">
        <v>68</v>
      </c>
      <c r="K58" s="60">
        <f>I59</f>
        <v>9.8522966696861248E-6</v>
      </c>
      <c r="L58" s="60">
        <f>I61</f>
        <v>6.8569593097320483E-5</v>
      </c>
      <c r="M58" s="60">
        <f>(C58-$O$2)*K58+L58</f>
        <v>4.7582628078679159E-3</v>
      </c>
    </row>
    <row r="59" spans="1:13" ht="14">
      <c r="A59" s="55">
        <f t="shared" ref="A59:A65" si="10">A58</f>
        <v>115</v>
      </c>
      <c r="B59" s="55" t="s">
        <v>127</v>
      </c>
      <c r="C59" s="80">
        <v>485</v>
      </c>
      <c r="D59" s="56" t="s">
        <v>35</v>
      </c>
      <c r="E59" s="80">
        <v>61</v>
      </c>
      <c r="F59" s="80">
        <v>288</v>
      </c>
      <c r="G59" s="57">
        <v>5.0000000000000001E-4</v>
      </c>
      <c r="H59" s="58"/>
      <c r="I59" s="58">
        <f>SLOPE(G58:G64, E58:E64)</f>
        <v>9.8522966696861248E-6</v>
      </c>
      <c r="J59" s="58">
        <f>SLOPE(G58:G64, F58:F64)</f>
        <v>1.9994459900526859E-6</v>
      </c>
      <c r="K59" s="60">
        <f>I59</f>
        <v>9.8522966696861248E-6</v>
      </c>
      <c r="L59" s="60">
        <f>I61</f>
        <v>6.8569593097320483E-5</v>
      </c>
      <c r="M59" s="60">
        <f>(C59-$O$2)*K59+L59</f>
        <v>4.846933477895091E-3</v>
      </c>
    </row>
    <row r="60" spans="1:13" ht="14">
      <c r="A60" s="55">
        <f t="shared" si="10"/>
        <v>115</v>
      </c>
      <c r="B60" s="55" t="s">
        <v>128</v>
      </c>
      <c r="C60" s="80">
        <v>209</v>
      </c>
      <c r="D60" s="56" t="s">
        <v>36</v>
      </c>
      <c r="E60" s="80">
        <v>109</v>
      </c>
      <c r="F60" s="80">
        <v>571</v>
      </c>
      <c r="G60" s="57">
        <v>1E-3</v>
      </c>
      <c r="H60" s="58"/>
      <c r="I60" s="62" t="s">
        <v>71</v>
      </c>
      <c r="J60" s="62" t="s">
        <v>71</v>
      </c>
      <c r="K60" s="60">
        <f>I59</f>
        <v>9.8522966696861248E-6</v>
      </c>
      <c r="L60" s="60">
        <f>I61</f>
        <v>6.8569593097320483E-5</v>
      </c>
      <c r="M60" s="60">
        <f>(C60-$O$3)*K60 + L60</f>
        <v>2.1276995970617206E-3</v>
      </c>
    </row>
    <row r="61" spans="1:13" ht="14">
      <c r="A61" s="55">
        <f t="shared" si="10"/>
        <v>115</v>
      </c>
      <c r="B61" s="55" t="s">
        <v>129</v>
      </c>
      <c r="C61" s="80">
        <v>232</v>
      </c>
      <c r="D61" s="56" t="s">
        <v>36</v>
      </c>
      <c r="E61" s="80">
        <v>191</v>
      </c>
      <c r="F61" s="80">
        <v>1019</v>
      </c>
      <c r="G61" s="57">
        <v>2E-3</v>
      </c>
      <c r="H61" s="58"/>
      <c r="I61" s="58">
        <f>INTERCEPT(G58:G64, E58:E64)</f>
        <v>6.8569593097320483E-5</v>
      </c>
      <c r="J61" s="58">
        <f>INTERCEPT(G58:G64, F58:F64)</f>
        <v>-1.4329348935298789E-4</v>
      </c>
      <c r="K61" s="60">
        <f>I59</f>
        <v>9.8522966696861248E-6</v>
      </c>
      <c r="L61" s="60">
        <f>I61</f>
        <v>6.8569593097320483E-5</v>
      </c>
      <c r="M61" s="60">
        <f>(C61-$O$3)*K61+ L61</f>
        <v>2.3543024204645013E-3</v>
      </c>
    </row>
    <row r="62" spans="1:13" ht="14">
      <c r="A62" s="55">
        <f t="shared" si="10"/>
        <v>115</v>
      </c>
      <c r="B62" s="55" t="s">
        <v>130</v>
      </c>
      <c r="C62" s="80">
        <v>1221</v>
      </c>
      <c r="D62" s="56" t="s">
        <v>37</v>
      </c>
      <c r="E62" s="80">
        <v>471</v>
      </c>
      <c r="F62" s="80">
        <v>2749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1.9994459900526859E-6</v>
      </c>
      <c r="L62" s="60">
        <f>J61</f>
        <v>-1.4329348935298789E-4</v>
      </c>
      <c r="M62" s="60">
        <f>(C62-$O$4)*K62 + L62</f>
        <v>1.6467105332416791E-3</v>
      </c>
    </row>
    <row r="63" spans="1:13" ht="14">
      <c r="A63" s="55">
        <f t="shared" si="10"/>
        <v>115</v>
      </c>
      <c r="B63" s="55" t="s">
        <v>131</v>
      </c>
      <c r="C63" s="80">
        <v>1246</v>
      </c>
      <c r="D63" s="56" t="s">
        <v>37</v>
      </c>
      <c r="E63" s="80">
        <v>956</v>
      </c>
      <c r="F63" s="80">
        <v>5080</v>
      </c>
      <c r="G63" s="57">
        <v>0.01</v>
      </c>
      <c r="H63" s="58"/>
      <c r="I63" s="61">
        <f>RSQ(G58:G64, E58:E64)</f>
        <v>0.99828357338810247</v>
      </c>
      <c r="J63" s="61">
        <f>RSQ(G58:G64, F58:F64)</f>
        <v>0.99950013683906846</v>
      </c>
      <c r="K63" s="60">
        <f>J59</f>
        <v>1.9994459900526859E-6</v>
      </c>
      <c r="L63" s="60">
        <f>J61</f>
        <v>-1.4329348935298789E-4</v>
      </c>
      <c r="M63" s="60">
        <f>(C63-$O$4)*K63 + L63</f>
        <v>1.6966966829929963E-3</v>
      </c>
    </row>
    <row r="64" spans="1:13" ht="14">
      <c r="A64" s="55">
        <f t="shared" si="10"/>
        <v>115</v>
      </c>
      <c r="B64" s="55" t="s">
        <v>132</v>
      </c>
      <c r="C64" s="80">
        <v>108</v>
      </c>
      <c r="D64" s="56" t="s">
        <v>38</v>
      </c>
      <c r="E64" s="80">
        <v>2053</v>
      </c>
      <c r="F64" s="80">
        <v>10029</v>
      </c>
      <c r="G64" s="57">
        <v>0.02</v>
      </c>
      <c r="H64" s="58"/>
      <c r="I64" s="58"/>
      <c r="J64" s="58"/>
      <c r="K64" s="60">
        <f>I59</f>
        <v>9.8522966696861248E-6</v>
      </c>
      <c r="L64" s="60">
        <f>I61</f>
        <v>6.8569593097320483E-5</v>
      </c>
      <c r="M64" s="60">
        <f>(C64-$O$5)*K64 + L64</f>
        <v>1.132617633423422E-3</v>
      </c>
    </row>
    <row r="65" spans="1:26" ht="14">
      <c r="A65" s="55">
        <f t="shared" si="10"/>
        <v>115</v>
      </c>
      <c r="B65" s="55" t="s">
        <v>133</v>
      </c>
      <c r="C65" s="80">
        <v>110</v>
      </c>
      <c r="D65" s="56" t="s">
        <v>38</v>
      </c>
      <c r="E65" s="80">
        <v>17</v>
      </c>
      <c r="F65" s="80">
        <v>8</v>
      </c>
      <c r="G65" s="56"/>
      <c r="H65" s="58"/>
      <c r="I65" s="58"/>
      <c r="J65" s="58"/>
      <c r="K65" s="60">
        <f>I59</f>
        <v>9.8522966696861248E-6</v>
      </c>
      <c r="L65" s="60">
        <f>I61</f>
        <v>6.8569593097320483E-5</v>
      </c>
      <c r="M65" s="60">
        <f>(C65-$O$5)*K65 + L65</f>
        <v>1.1523222267627942E-3</v>
      </c>
    </row>
    <row r="66" spans="1:26" ht="14">
      <c r="A66" s="55">
        <f>P10</f>
        <v>116</v>
      </c>
      <c r="B66" s="55" t="s">
        <v>134</v>
      </c>
      <c r="C66" s="80">
        <v>484</v>
      </c>
      <c r="D66" s="56" t="s">
        <v>35</v>
      </c>
      <c r="E66" s="80">
        <v>18</v>
      </c>
      <c r="F66" s="80">
        <v>18</v>
      </c>
      <c r="G66" s="57">
        <v>0</v>
      </c>
      <c r="H66" s="58"/>
      <c r="I66" s="62" t="s">
        <v>68</v>
      </c>
      <c r="J66" s="62" t="s">
        <v>68</v>
      </c>
      <c r="K66" s="60">
        <f>I67</f>
        <v>1.007479198970743E-5</v>
      </c>
      <c r="L66" s="60">
        <f>I69</f>
        <v>-2.2756823787857886E-6</v>
      </c>
      <c r="M66" s="60">
        <f>(C66-$O$2)*K66+L66</f>
        <v>4.8739236406396104E-3</v>
      </c>
    </row>
    <row r="67" spans="1:26" ht="14">
      <c r="A67" s="55">
        <f t="shared" ref="A67:A73" si="11">A66</f>
        <v>116</v>
      </c>
      <c r="B67" s="55" t="s">
        <v>135</v>
      </c>
      <c r="C67" s="80">
        <v>485</v>
      </c>
      <c r="D67" s="56" t="s">
        <v>35</v>
      </c>
      <c r="E67" s="80">
        <v>60</v>
      </c>
      <c r="F67" s="80">
        <v>250</v>
      </c>
      <c r="G67" s="57">
        <v>5.0000000000000001E-4</v>
      </c>
      <c r="H67" s="58"/>
      <c r="I67" s="58">
        <f>SLOPE(G66:G72, E66:E72)</f>
        <v>1.007479198970743E-5</v>
      </c>
      <c r="J67" s="58">
        <f>SLOPE(G66:G72, F66:F72)</f>
        <v>2.1064165564555764E-6</v>
      </c>
      <c r="K67" s="60">
        <f>I67</f>
        <v>1.007479198970743E-5</v>
      </c>
      <c r="L67" s="60">
        <f>I69</f>
        <v>-2.2756823787857886E-6</v>
      </c>
      <c r="M67" s="60">
        <f>(C67-$O$2)*K67+L67</f>
        <v>4.8839984326293174E-3</v>
      </c>
    </row>
    <row r="68" spans="1:26" ht="14">
      <c r="A68" s="55">
        <f t="shared" si="11"/>
        <v>116</v>
      </c>
      <c r="B68" s="55" t="s">
        <v>136</v>
      </c>
      <c r="C68" s="80">
        <v>220</v>
      </c>
      <c r="D68" s="56" t="s">
        <v>36</v>
      </c>
      <c r="E68" s="80">
        <v>117</v>
      </c>
      <c r="F68" s="80">
        <v>575</v>
      </c>
      <c r="G68" s="57">
        <v>1E-3</v>
      </c>
      <c r="H68" s="58"/>
      <c r="I68" s="62" t="s">
        <v>71</v>
      </c>
      <c r="J68" s="62" t="s">
        <v>71</v>
      </c>
      <c r="K68" s="60">
        <f>I67</f>
        <v>1.007479198970743E-5</v>
      </c>
      <c r="L68" s="60">
        <f>I69</f>
        <v>-2.2756823787857886E-6</v>
      </c>
      <c r="M68" s="60">
        <f>(C68-$O$3)*K68 + L68</f>
        <v>2.2141785553568489E-3</v>
      </c>
    </row>
    <row r="69" spans="1:26" ht="14">
      <c r="A69" s="55">
        <f t="shared" si="11"/>
        <v>116</v>
      </c>
      <c r="B69" s="55" t="s">
        <v>137</v>
      </c>
      <c r="C69" s="80">
        <v>263</v>
      </c>
      <c r="D69" s="56" t="s">
        <v>36</v>
      </c>
      <c r="E69" s="80">
        <v>194</v>
      </c>
      <c r="F69" s="80">
        <v>1044</v>
      </c>
      <c r="G69" s="57">
        <v>2E-3</v>
      </c>
      <c r="H69" s="58"/>
      <c r="I69" s="58">
        <f>INTERCEPT(G66:G72, E66:E72)</f>
        <v>-2.2756823787857886E-6</v>
      </c>
      <c r="J69" s="58">
        <f>INTERCEPT(G66:G72, F66:F72)</f>
        <v>-2.3005486686101129E-4</v>
      </c>
      <c r="K69" s="60">
        <f>I67</f>
        <v>1.007479198970743E-5</v>
      </c>
      <c r="L69" s="60">
        <f>I69</f>
        <v>-2.2756823787857886E-6</v>
      </c>
      <c r="M69" s="60">
        <f>(C69-$O$3)*K69+ L69</f>
        <v>2.6473946109142684E-3</v>
      </c>
    </row>
    <row r="70" spans="1:26" ht="14">
      <c r="A70" s="55">
        <f t="shared" si="11"/>
        <v>116</v>
      </c>
      <c r="B70" s="55" t="s">
        <v>138</v>
      </c>
      <c r="C70" s="80">
        <v>1310</v>
      </c>
      <c r="D70" s="56" t="s">
        <v>37</v>
      </c>
      <c r="E70" s="80">
        <v>477</v>
      </c>
      <c r="F70" s="80">
        <v>2659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2.1064165564555764E-6</v>
      </c>
      <c r="L70" s="60">
        <f>J69</f>
        <v>-2.3005486686101129E-4</v>
      </c>
      <c r="M70" s="60">
        <f>(C70-$O$4)*K70 + L70</f>
        <v>1.8431856288303899E-3</v>
      </c>
    </row>
    <row r="71" spans="1:26" ht="14">
      <c r="A71" s="55">
        <f t="shared" si="11"/>
        <v>116</v>
      </c>
      <c r="B71" s="55" t="s">
        <v>139</v>
      </c>
      <c r="C71" s="80">
        <v>1225</v>
      </c>
      <c r="D71" s="56" t="s">
        <v>37</v>
      </c>
      <c r="E71" s="80">
        <v>946</v>
      </c>
      <c r="F71" s="80">
        <v>5027</v>
      </c>
      <c r="G71" s="57">
        <v>0.01</v>
      </c>
      <c r="H71" s="58"/>
      <c r="I71" s="61">
        <f>RSQ(G66:G72, E66:E72)</f>
        <v>0.99873295097967851</v>
      </c>
      <c r="J71" s="61">
        <f>RSQ(G66:G72, F66:F72)</f>
        <v>0.99865969500127139</v>
      </c>
      <c r="K71" s="60">
        <f>J67</f>
        <v>2.1064165564555764E-6</v>
      </c>
      <c r="L71" s="60">
        <f>J69</f>
        <v>-2.3005486686101129E-4</v>
      </c>
      <c r="M71" s="60">
        <f>(C71-$O$4)*K71 + L71</f>
        <v>1.6641402215316658E-3</v>
      </c>
    </row>
    <row r="72" spans="1:26" ht="14">
      <c r="A72" s="55">
        <f t="shared" si="11"/>
        <v>116</v>
      </c>
      <c r="B72" s="55" t="s">
        <v>140</v>
      </c>
      <c r="C72" s="80">
        <v>115</v>
      </c>
      <c r="D72" s="56" t="s">
        <v>38</v>
      </c>
      <c r="E72" s="80">
        <v>2011</v>
      </c>
      <c r="F72" s="80">
        <v>9469</v>
      </c>
      <c r="G72" s="57">
        <v>0.02</v>
      </c>
      <c r="H72" s="58"/>
      <c r="I72" s="58"/>
      <c r="J72" s="58"/>
      <c r="K72" s="60">
        <f>I67</f>
        <v>1.007479198970743E-5</v>
      </c>
      <c r="L72" s="60">
        <f>I69</f>
        <v>-2.2756823787857886E-6</v>
      </c>
      <c r="M72" s="60">
        <f>(C72-$O$5)*K72 + L72</f>
        <v>1.1563253964375687E-3</v>
      </c>
    </row>
    <row r="73" spans="1:26" ht="14">
      <c r="A73" s="55">
        <f t="shared" si="11"/>
        <v>116</v>
      </c>
      <c r="B73" s="55" t="s">
        <v>141</v>
      </c>
      <c r="C73" s="80">
        <v>118</v>
      </c>
      <c r="D73" s="56" t="s">
        <v>38</v>
      </c>
      <c r="E73" s="80">
        <v>17</v>
      </c>
      <c r="F73" s="80">
        <v>8</v>
      </c>
      <c r="G73" s="56"/>
      <c r="H73" s="58"/>
      <c r="I73" s="58"/>
      <c r="J73" s="58"/>
      <c r="K73" s="60">
        <f>I67</f>
        <v>1.007479198970743E-5</v>
      </c>
      <c r="L73" s="60">
        <f>I69</f>
        <v>-2.2756823787857886E-6</v>
      </c>
      <c r="M73" s="60">
        <f>(C73-$O$5)*K73 + L73</f>
        <v>1.186549772406691E-3</v>
      </c>
    </row>
    <row r="74" spans="1:26" ht="14">
      <c r="A74" s="55">
        <f>P11</f>
        <v>117</v>
      </c>
      <c r="B74" s="55" t="s">
        <v>142</v>
      </c>
      <c r="C74" s="80">
        <v>495</v>
      </c>
      <c r="D74" s="56" t="s">
        <v>35</v>
      </c>
      <c r="E74" s="80">
        <v>16</v>
      </c>
      <c r="F74" s="80">
        <v>16</v>
      </c>
      <c r="G74" s="57">
        <v>0</v>
      </c>
      <c r="H74" s="58"/>
      <c r="I74" s="62" t="s">
        <v>68</v>
      </c>
      <c r="J74" s="62" t="s">
        <v>68</v>
      </c>
      <c r="K74" s="60">
        <f>I75</f>
        <v>9.8469845147397285E-6</v>
      </c>
      <c r="L74" s="60">
        <f>I77</f>
        <v>-7.2777678865763515E-6</v>
      </c>
      <c r="M74" s="60">
        <f>(C74-$O$2)*K74+L74</f>
        <v>4.8669795669095892E-3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117</v>
      </c>
      <c r="B75" s="55" t="s">
        <v>143</v>
      </c>
      <c r="C75" s="80">
        <v>444</v>
      </c>
      <c r="D75" s="56" t="s">
        <v>35</v>
      </c>
      <c r="E75" s="80">
        <v>61</v>
      </c>
      <c r="F75" s="80">
        <v>255</v>
      </c>
      <c r="G75" s="57">
        <v>5.0000000000000001E-4</v>
      </c>
      <c r="H75" s="58"/>
      <c r="I75" s="58">
        <f>SLOPE(G74:G80, E74:E80)</f>
        <v>9.8469845147397285E-6</v>
      </c>
      <c r="J75" s="58">
        <f>SLOPE(G74:G80, F74:F80)</f>
        <v>2.1679250401052212E-6</v>
      </c>
      <c r="K75" s="60">
        <f>I75</f>
        <v>9.8469845147397285E-6</v>
      </c>
      <c r="L75" s="60">
        <f>I77</f>
        <v>-7.2777678865763515E-6</v>
      </c>
      <c r="M75" s="60">
        <f>(C75-$O$2)*K75+L75</f>
        <v>4.3647833566578635E-3</v>
      </c>
    </row>
    <row r="76" spans="1:26" ht="14">
      <c r="A76" s="55">
        <f t="shared" si="12"/>
        <v>117</v>
      </c>
      <c r="B76" s="55" t="s">
        <v>144</v>
      </c>
      <c r="C76" s="80">
        <v>212</v>
      </c>
      <c r="D76" s="56" t="s">
        <v>36</v>
      </c>
      <c r="E76" s="80">
        <v>103</v>
      </c>
      <c r="F76" s="80">
        <v>512</v>
      </c>
      <c r="G76" s="57">
        <v>1E-3</v>
      </c>
      <c r="H76" s="58"/>
      <c r="I76" s="62" t="s">
        <v>71</v>
      </c>
      <c r="J76" s="62" t="s">
        <v>71</v>
      </c>
      <c r="K76" s="60">
        <f>I75</f>
        <v>9.8469845147397285E-6</v>
      </c>
      <c r="L76" s="60">
        <f>I77</f>
        <v>-7.2777678865763515E-6</v>
      </c>
      <c r="M76" s="60">
        <f>(C76-$O$3)*K76 + L76</f>
        <v>2.0802829492382463E-3</v>
      </c>
    </row>
    <row r="77" spans="1:26" ht="14">
      <c r="A77" s="55">
        <f t="shared" si="12"/>
        <v>117</v>
      </c>
      <c r="B77" s="55" t="s">
        <v>145</v>
      </c>
      <c r="C77" s="80">
        <v>206</v>
      </c>
      <c r="D77" s="56" t="s">
        <v>36</v>
      </c>
      <c r="E77" s="80">
        <v>203</v>
      </c>
      <c r="F77" s="80">
        <v>958</v>
      </c>
      <c r="G77" s="57">
        <v>2E-3</v>
      </c>
      <c r="H77" s="58"/>
      <c r="I77" s="58">
        <f>INTERCEPT(G74:G80, E74:E80)</f>
        <v>-7.2777678865763515E-6</v>
      </c>
      <c r="J77" s="58">
        <f>INTERCEPT(G74:G80, F74:F80)</f>
        <v>-1.8275093727009983E-4</v>
      </c>
      <c r="K77" s="60">
        <f>I75</f>
        <v>9.8469845147397285E-6</v>
      </c>
      <c r="L77" s="60">
        <f>I77</f>
        <v>-7.2777678865763515E-6</v>
      </c>
      <c r="M77" s="60">
        <f>(C77-$O$3)*K77+ L77</f>
        <v>2.0212010421498078E-3</v>
      </c>
    </row>
    <row r="78" spans="1:26" ht="14">
      <c r="A78" s="55">
        <f t="shared" si="12"/>
        <v>117</v>
      </c>
      <c r="B78" s="55" t="s">
        <v>146</v>
      </c>
      <c r="C78" s="80">
        <v>1292</v>
      </c>
      <c r="D78" s="56" t="s">
        <v>37</v>
      </c>
      <c r="E78" s="80">
        <v>539</v>
      </c>
      <c r="F78" s="80">
        <v>2583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2.1679250401052212E-6</v>
      </c>
      <c r="L78" s="60">
        <f>J77</f>
        <v>-1.8275093727009983E-4</v>
      </c>
      <c r="M78" s="60">
        <f>(C78-$O$4)*K78 + L78</f>
        <v>1.9120066327315702E-3</v>
      </c>
    </row>
    <row r="79" spans="1:26" ht="14">
      <c r="A79" s="55">
        <f t="shared" si="12"/>
        <v>117</v>
      </c>
      <c r="B79" s="55" t="s">
        <v>147</v>
      </c>
      <c r="C79" s="80">
        <v>1228</v>
      </c>
      <c r="D79" s="56" t="s">
        <v>37</v>
      </c>
      <c r="E79" s="80">
        <v>931</v>
      </c>
      <c r="F79" s="80">
        <v>4831</v>
      </c>
      <c r="G79" s="57">
        <v>0.01</v>
      </c>
      <c r="H79" s="58"/>
      <c r="I79" s="61">
        <f>RSQ(G74:G80, E74:E80)</f>
        <v>0.99712698451926418</v>
      </c>
      <c r="J79" s="61">
        <f>RSQ(G74:G80, F74:F80)</f>
        <v>0.99881785968628045</v>
      </c>
      <c r="K79" s="60">
        <f>J75</f>
        <v>2.1679250401052212E-6</v>
      </c>
      <c r="L79" s="60">
        <f>J77</f>
        <v>-1.8275093727009983E-4</v>
      </c>
      <c r="M79" s="60">
        <f>(C79-$O$4)*K79 + L79</f>
        <v>1.7732594301648362E-3</v>
      </c>
    </row>
    <row r="80" spans="1:26" ht="14">
      <c r="A80" s="55">
        <f t="shared" si="12"/>
        <v>117</v>
      </c>
      <c r="B80" s="55" t="s">
        <v>148</v>
      </c>
      <c r="C80" s="80">
        <v>109</v>
      </c>
      <c r="D80" s="56" t="s">
        <v>38</v>
      </c>
      <c r="E80" s="80">
        <v>2062</v>
      </c>
      <c r="F80" s="80">
        <v>9194</v>
      </c>
      <c r="G80" s="57">
        <v>0.02</v>
      </c>
      <c r="H80" s="58"/>
      <c r="I80" s="58"/>
      <c r="J80" s="58"/>
      <c r="K80" s="60">
        <f>I75</f>
        <v>9.8469845147397285E-6</v>
      </c>
      <c r="L80" s="60">
        <f>I77</f>
        <v>-7.2777678865763515E-6</v>
      </c>
      <c r="M80" s="60">
        <f>(C80-$O$5)*K80 + L80</f>
        <v>1.066043544220054E-3</v>
      </c>
    </row>
    <row r="81" spans="1:13" ht="14">
      <c r="A81" s="55">
        <f t="shared" si="12"/>
        <v>117</v>
      </c>
      <c r="B81" s="55" t="s">
        <v>149</v>
      </c>
      <c r="C81" s="80">
        <v>109</v>
      </c>
      <c r="D81" s="56" t="s">
        <v>38</v>
      </c>
      <c r="E81" s="80">
        <v>17</v>
      </c>
      <c r="F81" s="80">
        <v>8</v>
      </c>
      <c r="G81" s="56"/>
      <c r="H81" s="58"/>
      <c r="I81" s="58"/>
      <c r="J81" s="58"/>
      <c r="K81" s="60">
        <f>I75</f>
        <v>9.8469845147397285E-6</v>
      </c>
      <c r="L81" s="60">
        <f>I77</f>
        <v>-7.2777678865763515E-6</v>
      </c>
      <c r="M81" s="60">
        <f>(C81-$O$5)*K81 + L81</f>
        <v>1.066043544220054E-3</v>
      </c>
    </row>
    <row r="82" spans="1:13" ht="14">
      <c r="A82" s="55">
        <f>P12</f>
        <v>118</v>
      </c>
      <c r="B82" s="55" t="s">
        <v>150</v>
      </c>
      <c r="C82" s="80">
        <v>496</v>
      </c>
      <c r="D82" s="56" t="s">
        <v>35</v>
      </c>
      <c r="E82" s="80">
        <v>29</v>
      </c>
      <c r="F82" s="80">
        <v>17</v>
      </c>
      <c r="G82" s="57">
        <v>0</v>
      </c>
      <c r="H82" s="58"/>
      <c r="I82" s="62" t="s">
        <v>68</v>
      </c>
      <c r="J82" s="62" t="s">
        <v>68</v>
      </c>
      <c r="K82" s="60">
        <f>I83</f>
        <v>9.8789136210408386E-6</v>
      </c>
      <c r="L82" s="60">
        <f>I85</f>
        <v>-2.7957807659565424E-5</v>
      </c>
      <c r="M82" s="60">
        <f>(C82-$O$2)*K82+L82</f>
        <v>4.8719833483766902E-3</v>
      </c>
    </row>
    <row r="83" spans="1:13" ht="14">
      <c r="A83" s="55">
        <f t="shared" ref="A83:A89" si="13">A82</f>
        <v>118</v>
      </c>
      <c r="B83" s="55" t="s">
        <v>151</v>
      </c>
      <c r="C83" s="80">
        <v>517</v>
      </c>
      <c r="D83" s="56" t="s">
        <v>35</v>
      </c>
      <c r="E83" s="80">
        <v>63</v>
      </c>
      <c r="F83" s="80">
        <v>247</v>
      </c>
      <c r="G83" s="57">
        <v>5.0000000000000001E-4</v>
      </c>
      <c r="H83" s="58"/>
      <c r="I83" s="58">
        <f>SLOPE(G82:G88, E82:E88)</f>
        <v>9.8789136210408386E-6</v>
      </c>
      <c r="J83" s="58">
        <f>SLOPE(G82:G88, F82:F88)</f>
        <v>2.2185069160494508E-6</v>
      </c>
      <c r="K83" s="60">
        <f>I83</f>
        <v>9.8789136210408386E-6</v>
      </c>
      <c r="L83" s="60">
        <f>I85</f>
        <v>-2.7957807659565424E-5</v>
      </c>
      <c r="M83" s="60">
        <f>(C83-$O$2)*K83+L83</f>
        <v>5.0794405344185478E-3</v>
      </c>
    </row>
    <row r="84" spans="1:13" ht="14">
      <c r="A84" s="55">
        <f t="shared" si="13"/>
        <v>118</v>
      </c>
      <c r="B84" s="55" t="s">
        <v>152</v>
      </c>
      <c r="C84" s="80">
        <v>215</v>
      </c>
      <c r="D84" s="56" t="s">
        <v>36</v>
      </c>
      <c r="E84" s="80">
        <v>111</v>
      </c>
      <c r="F84" s="80">
        <v>538</v>
      </c>
      <c r="G84" s="57">
        <v>1E-3</v>
      </c>
      <c r="H84" s="58"/>
      <c r="I84" s="62" t="s">
        <v>71</v>
      </c>
      <c r="J84" s="62" t="s">
        <v>71</v>
      </c>
      <c r="K84" s="60">
        <f>I83</f>
        <v>9.8789136210408386E-6</v>
      </c>
      <c r="L84" s="60">
        <f>I85</f>
        <v>-2.7957807659565424E-5</v>
      </c>
      <c r="M84" s="60">
        <f>(C84-$O$3)*K84 + L84</f>
        <v>2.096008620864215E-3</v>
      </c>
    </row>
    <row r="85" spans="1:13" ht="14">
      <c r="A85" s="55">
        <f t="shared" si="13"/>
        <v>118</v>
      </c>
      <c r="B85" s="55" t="s">
        <v>153</v>
      </c>
      <c r="C85" s="80">
        <v>229</v>
      </c>
      <c r="D85" s="56" t="s">
        <v>36</v>
      </c>
      <c r="E85" s="80">
        <v>198</v>
      </c>
      <c r="F85" s="80">
        <v>1033</v>
      </c>
      <c r="G85" s="57">
        <v>2E-3</v>
      </c>
      <c r="H85" s="58"/>
      <c r="I85" s="58">
        <f>INTERCEPT(G82:G88, E82:E88)</f>
        <v>-2.7957807659565424E-5</v>
      </c>
      <c r="J85" s="58">
        <f>INTERCEPT(G82:G88, F82:F88)</f>
        <v>-3.4956887850353009E-4</v>
      </c>
      <c r="K85" s="60">
        <f>I83</f>
        <v>9.8789136210408386E-6</v>
      </c>
      <c r="L85" s="60">
        <f>I85</f>
        <v>-2.7957807659565424E-5</v>
      </c>
      <c r="M85" s="60">
        <f>(C85-$O$3)*K85+ L85</f>
        <v>2.2343134115587865E-3</v>
      </c>
    </row>
    <row r="86" spans="1:13" ht="14">
      <c r="A86" s="55">
        <f t="shared" si="13"/>
        <v>118</v>
      </c>
      <c r="B86" s="55" t="s">
        <v>154</v>
      </c>
      <c r="C86" s="80">
        <v>1413</v>
      </c>
      <c r="D86" s="56" t="s">
        <v>37</v>
      </c>
      <c r="E86" s="80">
        <v>497</v>
      </c>
      <c r="F86" s="80">
        <v>2735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2.2185069160494508E-6</v>
      </c>
      <c r="L86" s="60">
        <f>J85</f>
        <v>-3.4956887850353009E-4</v>
      </c>
      <c r="M86" s="60">
        <f>(C86-$O$4)*K86 + L86</f>
        <v>2.0625027659712351E-3</v>
      </c>
    </row>
    <row r="87" spans="1:13" ht="14">
      <c r="A87" s="55">
        <f t="shared" si="13"/>
        <v>118</v>
      </c>
      <c r="B87" s="55" t="s">
        <v>155</v>
      </c>
      <c r="C87" s="80">
        <v>1217</v>
      </c>
      <c r="D87" s="56" t="s">
        <v>37</v>
      </c>
      <c r="E87" s="80">
        <v>966</v>
      </c>
      <c r="F87" s="80">
        <v>4976</v>
      </c>
      <c r="G87" s="57">
        <v>0.01</v>
      </c>
      <c r="H87" s="58"/>
      <c r="I87" s="61">
        <f>RSQ(G82:G88, E82:E88)</f>
        <v>0.99874731113819493</v>
      </c>
      <c r="J87" s="61">
        <f>RSQ(G82:G88, F82:F88)</f>
        <v>0.99515185114307381</v>
      </c>
      <c r="K87" s="60">
        <f>J83</f>
        <v>2.2185069160494508E-6</v>
      </c>
      <c r="L87" s="60">
        <f>J85</f>
        <v>-3.4956887850353009E-4</v>
      </c>
      <c r="M87" s="60">
        <f>(C87-$O$4)*K87 + L87</f>
        <v>1.6276754104255428E-3</v>
      </c>
    </row>
    <row r="88" spans="1:13" ht="14">
      <c r="A88" s="55">
        <f t="shared" si="13"/>
        <v>118</v>
      </c>
      <c r="B88" s="55" t="s">
        <v>156</v>
      </c>
      <c r="C88" s="80">
        <v>104</v>
      </c>
      <c r="D88" s="56" t="s">
        <v>38</v>
      </c>
      <c r="E88" s="80">
        <v>2053</v>
      </c>
      <c r="F88" s="80">
        <v>8911</v>
      </c>
      <c r="G88" s="57">
        <v>0.02</v>
      </c>
      <c r="H88" s="58"/>
      <c r="I88" s="58"/>
      <c r="J88" s="58"/>
      <c r="K88" s="60">
        <f>I83</f>
        <v>9.8789136210408386E-6</v>
      </c>
      <c r="L88" s="60">
        <f>I85</f>
        <v>-2.7957807659565424E-5</v>
      </c>
      <c r="M88" s="60">
        <f>(C88-$O$5)*K88 + L88</f>
        <v>9.9944920892868177E-4</v>
      </c>
    </row>
    <row r="89" spans="1:13" ht="14">
      <c r="A89" s="55">
        <f t="shared" si="13"/>
        <v>118</v>
      </c>
      <c r="B89" s="55" t="s">
        <v>157</v>
      </c>
      <c r="C89" s="80">
        <v>113</v>
      </c>
      <c r="D89" s="56" t="s">
        <v>38</v>
      </c>
      <c r="E89" s="80">
        <v>18</v>
      </c>
      <c r="F89" s="80">
        <v>9</v>
      </c>
      <c r="G89" s="56"/>
      <c r="H89" s="58"/>
      <c r="I89" s="58"/>
      <c r="J89" s="58"/>
      <c r="K89" s="60">
        <f>I83</f>
        <v>9.8789136210408386E-6</v>
      </c>
      <c r="L89" s="60">
        <f>I85</f>
        <v>-2.7957807659565424E-5</v>
      </c>
      <c r="M89" s="60">
        <f>(C89-$O$5)*K89 + L89</f>
        <v>1.0883594315180493E-3</v>
      </c>
    </row>
    <row r="90" spans="1:13" ht="14">
      <c r="A90" s="55">
        <f>P13</f>
        <v>120</v>
      </c>
      <c r="B90" s="55" t="s">
        <v>158</v>
      </c>
      <c r="C90" s="80">
        <v>521</v>
      </c>
      <c r="D90" s="56" t="s">
        <v>35</v>
      </c>
      <c r="E90" s="80">
        <v>19</v>
      </c>
      <c r="F90" s="80">
        <v>19</v>
      </c>
      <c r="G90" s="57">
        <v>0</v>
      </c>
      <c r="H90" s="58"/>
      <c r="I90" s="62" t="s">
        <v>68</v>
      </c>
      <c r="J90" s="62" t="s">
        <v>68</v>
      </c>
      <c r="K90" s="60">
        <f>I91</f>
        <v>9.8854852615006001E-6</v>
      </c>
      <c r="L90" s="60">
        <f>I93</f>
        <v>-1.7426854010134385E-4</v>
      </c>
      <c r="M90" s="60">
        <f>(C90-$O$2)*K90+L90</f>
        <v>4.976069281140469E-3</v>
      </c>
    </row>
    <row r="91" spans="1:13" ht="14">
      <c r="A91" s="55">
        <f t="shared" ref="A91:A97" si="14">A90</f>
        <v>120</v>
      </c>
      <c r="B91" s="55" t="s">
        <v>159</v>
      </c>
      <c r="C91" s="80">
        <v>534</v>
      </c>
      <c r="D91" s="56" t="s">
        <v>35</v>
      </c>
      <c r="E91" s="80">
        <v>71</v>
      </c>
      <c r="F91" s="80">
        <v>246</v>
      </c>
      <c r="G91" s="57">
        <v>5.0000000000000001E-4</v>
      </c>
      <c r="H91" s="58"/>
      <c r="I91" s="58">
        <f>SLOPE(G90:G96, E90:E96)</f>
        <v>9.8854852615006001E-6</v>
      </c>
      <c r="J91" s="58">
        <f>SLOPE(G90:G96, F90:F96)</f>
        <v>2.4112109664613861E-6</v>
      </c>
      <c r="K91" s="60">
        <f>I91</f>
        <v>9.8854852615006001E-6</v>
      </c>
      <c r="L91" s="60">
        <f>I93</f>
        <v>-1.7426854010134385E-4</v>
      </c>
      <c r="M91" s="60">
        <f>(C91-$O$2)*K91+L91</f>
        <v>5.1045805895399768E-3</v>
      </c>
    </row>
    <row r="92" spans="1:13" ht="14">
      <c r="A92" s="55">
        <f t="shared" si="14"/>
        <v>120</v>
      </c>
      <c r="B92" s="55" t="s">
        <v>160</v>
      </c>
      <c r="C92" s="80">
        <v>227</v>
      </c>
      <c r="D92" s="56" t="s">
        <v>36</v>
      </c>
      <c r="E92" s="80">
        <v>135</v>
      </c>
      <c r="F92" s="80">
        <v>513</v>
      </c>
      <c r="G92" s="57">
        <v>1E-3</v>
      </c>
      <c r="H92" s="58"/>
      <c r="I92" s="62" t="s">
        <v>71</v>
      </c>
      <c r="J92" s="62" t="s">
        <v>71</v>
      </c>
      <c r="K92" s="60">
        <f>I91</f>
        <v>9.8854852615006001E-6</v>
      </c>
      <c r="L92" s="60">
        <f>I93</f>
        <v>-1.7426854010134385E-4</v>
      </c>
      <c r="M92" s="60">
        <f>(C92-$O$3)*K92 + L92</f>
        <v>2.0697366142592923E-3</v>
      </c>
    </row>
    <row r="93" spans="1:13" ht="14">
      <c r="A93" s="55">
        <f t="shared" si="14"/>
        <v>120</v>
      </c>
      <c r="B93" s="55" t="s">
        <v>161</v>
      </c>
      <c r="C93" s="80">
        <v>239</v>
      </c>
      <c r="D93" s="56" t="s">
        <v>36</v>
      </c>
      <c r="E93" s="80">
        <v>208</v>
      </c>
      <c r="F93" s="80">
        <v>994</v>
      </c>
      <c r="G93" s="57">
        <v>2E-3</v>
      </c>
      <c r="H93" s="58"/>
      <c r="I93" s="58">
        <f>INTERCEPT(G90:G96, E90:E96)</f>
        <v>-1.7426854010134385E-4</v>
      </c>
      <c r="J93" s="58">
        <f>INTERCEPT(G90:G96, F90:F96)</f>
        <v>-4.0505565686393442E-4</v>
      </c>
      <c r="K93" s="60">
        <f>I91</f>
        <v>9.8854852615006001E-6</v>
      </c>
      <c r="L93" s="60">
        <f>I93</f>
        <v>-1.7426854010134385E-4</v>
      </c>
      <c r="M93" s="60">
        <f>(C93-$O$3)*K93+ L93</f>
        <v>2.1883624373972995E-3</v>
      </c>
    </row>
    <row r="94" spans="1:13" ht="14">
      <c r="A94" s="55">
        <f t="shared" si="14"/>
        <v>120</v>
      </c>
      <c r="B94" s="55" t="s">
        <v>162</v>
      </c>
      <c r="C94" s="80">
        <v>1457</v>
      </c>
      <c r="D94" s="56" t="s">
        <v>37</v>
      </c>
      <c r="E94" s="80">
        <v>494</v>
      </c>
      <c r="F94" s="80">
        <v>2578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2.4112109664613861E-6</v>
      </c>
      <c r="L94" s="60">
        <f>J93</f>
        <v>-4.0505565686393442E-4</v>
      </c>
      <c r="M94" s="60">
        <f>(C94-$O$4)*K94 + L94</f>
        <v>2.3226267489455084E-3</v>
      </c>
    </row>
    <row r="95" spans="1:13" ht="14">
      <c r="A95" s="55">
        <f t="shared" si="14"/>
        <v>120</v>
      </c>
      <c r="B95" s="55" t="s">
        <v>163</v>
      </c>
      <c r="C95" s="80">
        <v>1300</v>
      </c>
      <c r="D95" s="56" t="s">
        <v>37</v>
      </c>
      <c r="E95" s="80">
        <v>1058</v>
      </c>
      <c r="F95" s="80">
        <v>4566</v>
      </c>
      <c r="G95" s="57">
        <v>0.01</v>
      </c>
      <c r="H95" s="58"/>
      <c r="I95" s="61">
        <f>RSQ(G90:G96, E90:E96)</f>
        <v>0.999334102691258</v>
      </c>
      <c r="J95" s="61">
        <f>RSQ(G90:G96, F90:F96)</f>
        <v>0.99497466026563208</v>
      </c>
      <c r="K95" s="60">
        <f>J91</f>
        <v>2.4112109664613861E-6</v>
      </c>
      <c r="L95" s="60">
        <f>J93</f>
        <v>-4.0505565686393442E-4</v>
      </c>
      <c r="M95" s="60">
        <f>(C95-$O$4)*K95 + L95</f>
        <v>1.9440666272110712E-3</v>
      </c>
    </row>
    <row r="96" spans="1:13" ht="14">
      <c r="A96" s="55">
        <f t="shared" si="14"/>
        <v>120</v>
      </c>
      <c r="B96" s="55" t="s">
        <v>164</v>
      </c>
      <c r="C96" s="80">
        <v>112</v>
      </c>
      <c r="D96" s="56" t="s">
        <v>38</v>
      </c>
      <c r="E96" s="80">
        <v>2033</v>
      </c>
      <c r="F96" s="80">
        <v>8227</v>
      </c>
      <c r="G96" s="57">
        <v>0.02</v>
      </c>
      <c r="I96" s="58"/>
      <c r="J96" s="58"/>
      <c r="K96" s="60">
        <f>I91</f>
        <v>9.8854852615006001E-6</v>
      </c>
      <c r="L96" s="60">
        <f>I93</f>
        <v>-1.7426854010134385E-4</v>
      </c>
      <c r="M96" s="60">
        <f>(C96-$O$5)*K96 + L96</f>
        <v>9.3290580918672342E-4</v>
      </c>
    </row>
    <row r="97" spans="1:13" ht="14">
      <c r="A97" s="55">
        <f t="shared" si="14"/>
        <v>120</v>
      </c>
      <c r="B97" s="55" t="s">
        <v>165</v>
      </c>
      <c r="C97" s="80">
        <v>117</v>
      </c>
      <c r="D97" s="56" t="s">
        <v>38</v>
      </c>
      <c r="E97" s="80">
        <v>18</v>
      </c>
      <c r="F97" s="80">
        <v>8</v>
      </c>
      <c r="G97" s="56"/>
      <c r="I97" s="58"/>
      <c r="J97" s="58"/>
      <c r="K97" s="60">
        <f>I91</f>
        <v>9.8854852615006001E-6</v>
      </c>
      <c r="L97" s="60">
        <f>I93</f>
        <v>-1.7426854010134385E-4</v>
      </c>
      <c r="M97" s="60">
        <f>(C97-$O$5)*K97 + L97</f>
        <v>9.8233323549422628E-4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486.91666666666669</v>
      </c>
      <c r="D100" s="56" t="s">
        <v>35</v>
      </c>
      <c r="I100" s="58"/>
      <c r="J100" s="58"/>
    </row>
    <row r="101" spans="1:13" ht="14">
      <c r="C101" s="63">
        <f t="shared" si="15"/>
        <v>470.83333333333331</v>
      </c>
      <c r="D101" s="56" t="s">
        <v>35</v>
      </c>
      <c r="I101" s="58"/>
      <c r="J101" s="58"/>
    </row>
    <row r="102" spans="1:13" ht="14">
      <c r="C102" s="63">
        <f t="shared" si="15"/>
        <v>229.66666666666666</v>
      </c>
      <c r="D102" s="56" t="s">
        <v>36</v>
      </c>
      <c r="I102" s="58"/>
      <c r="J102" s="58"/>
    </row>
    <row r="103" spans="1:13" ht="14">
      <c r="C103" s="63">
        <f t="shared" si="15"/>
        <v>224.75</v>
      </c>
      <c r="D103" s="56" t="s">
        <v>36</v>
      </c>
      <c r="I103" s="58"/>
      <c r="J103" s="58"/>
    </row>
    <row r="104" spans="1:13" ht="14">
      <c r="C104" s="63">
        <f t="shared" si="15"/>
        <v>1269.9166666666667</v>
      </c>
      <c r="D104" s="56" t="s">
        <v>37</v>
      </c>
      <c r="I104" s="58"/>
      <c r="J104" s="58"/>
    </row>
    <row r="105" spans="1:13" ht="14">
      <c r="C105" s="63">
        <f t="shared" si="15"/>
        <v>1210.3333333333333</v>
      </c>
      <c r="D105" s="56" t="s">
        <v>37</v>
      </c>
      <c r="I105" s="58"/>
      <c r="J105" s="58"/>
    </row>
    <row r="106" spans="1:13" ht="14">
      <c r="C106" s="63">
        <f t="shared" si="15"/>
        <v>110.25</v>
      </c>
      <c r="D106" s="56" t="s">
        <v>38</v>
      </c>
      <c r="I106" s="58"/>
      <c r="J106" s="58"/>
    </row>
    <row r="107" spans="1:13" ht="14">
      <c r="C107" s="63">
        <f t="shared" si="15"/>
        <v>113.58333333333333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6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3CAF-105B-9A46-9A31-5A519E58228C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P2" sqref="P2:Q13"/>
      <selection pane="topRight" activeCell="P2" sqref="P2:Q13"/>
      <selection pane="bottomLeft" activeCell="P2" sqref="P2:Q13"/>
      <selection pane="bottomRight" activeCell="V13" sqref="V13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121</v>
      </c>
      <c r="B2" s="55" t="s">
        <v>67</v>
      </c>
      <c r="C2" s="80">
        <v>369</v>
      </c>
      <c r="D2" s="56" t="s">
        <v>35</v>
      </c>
      <c r="E2" s="80">
        <v>15</v>
      </c>
      <c r="F2" s="80">
        <v>20</v>
      </c>
      <c r="G2" s="57">
        <v>0</v>
      </c>
      <c r="H2" s="58"/>
      <c r="I2" s="59" t="s">
        <v>68</v>
      </c>
      <c r="J2" s="59" t="s">
        <v>68</v>
      </c>
      <c r="K2" s="60">
        <f>I3</f>
        <v>1.2529169872547064E-5</v>
      </c>
      <c r="L2" s="60">
        <f>I5</f>
        <v>-2.7415742983383142E-4</v>
      </c>
      <c r="M2" s="60">
        <f>(C2-$O$2)*K2+L2</f>
        <v>4.3491062531360349E-3</v>
      </c>
      <c r="N2" s="47" t="str">
        <f>'enzyme setup and metadata'!F179</f>
        <v>BG</v>
      </c>
      <c r="O2" s="47">
        <f>'enzyme setup and metadata'!G186</f>
        <v>0</v>
      </c>
      <c r="P2" s="91">
        <f>'enzyme setup and metadata'!A98</f>
        <v>121</v>
      </c>
      <c r="Q2" s="66">
        <f>'enzyme setup and metadata'!I98</f>
        <v>2.1721958925750395</v>
      </c>
      <c r="R2" s="14">
        <f>'enzyme setup and metadata'!R184</f>
        <v>3.1666666665114462</v>
      </c>
      <c r="S2" s="14">
        <f>(((M2+M3)/2)*91)/(R2*Q2*0.8)</f>
        <v>7.1712875523293126E-2</v>
      </c>
      <c r="T2" s="14">
        <f>(((M4+M5)/2)*91)/(R2*Q2*0.8)</f>
        <v>3.2346451584909237E-2</v>
      </c>
      <c r="U2" s="14">
        <f>(((M6+M7)/2)*91)/(R2*Q2*0.8)</f>
        <v>1.9756058691029886E-2</v>
      </c>
      <c r="V2" s="14">
        <f>(((M8+M9)/2)*91)/(R2*Q2*0.8)</f>
        <v>1.3492006435472742E-2</v>
      </c>
      <c r="W2" s="14">
        <f>S2*1000</f>
        <v>71.712875523293121</v>
      </c>
      <c r="X2" s="14">
        <f>T2*1000</f>
        <v>32.346451584909239</v>
      </c>
      <c r="Y2" s="14">
        <f>U2*1000</f>
        <v>19.756058691029885</v>
      </c>
      <c r="Z2" s="14">
        <f>V2*1000</f>
        <v>13.492006435472742</v>
      </c>
    </row>
    <row r="3" spans="1:26" ht="14">
      <c r="A3" s="55">
        <f t="shared" ref="A3:A9" si="0">A2</f>
        <v>121</v>
      </c>
      <c r="B3" s="55" t="s">
        <v>69</v>
      </c>
      <c r="C3" s="80">
        <v>367</v>
      </c>
      <c r="D3" s="56" t="s">
        <v>35</v>
      </c>
      <c r="E3" s="80">
        <v>61</v>
      </c>
      <c r="F3" s="80">
        <v>273</v>
      </c>
      <c r="G3" s="57">
        <v>5.0000000000000001E-4</v>
      </c>
      <c r="H3" s="58"/>
      <c r="I3" s="59">
        <f>SLOPE(G2:G8, E2:E8)</f>
        <v>1.2529169872547064E-5</v>
      </c>
      <c r="J3" s="59">
        <f>SLOPE(G2:G8, F2:F8)</f>
        <v>1.8680799019605766E-6</v>
      </c>
      <c r="K3" s="60">
        <f>I3</f>
        <v>1.2529169872547064E-5</v>
      </c>
      <c r="L3" s="60">
        <f>I5</f>
        <v>-2.7415742983383142E-4</v>
      </c>
      <c r="M3" s="60">
        <f>(C3-$O$2)*K3+L3</f>
        <v>4.3240479133909411E-3</v>
      </c>
      <c r="N3" s="47" t="str">
        <f>'enzyme setup and metadata'!F180</f>
        <v>CB</v>
      </c>
      <c r="O3" s="47">
        <f>'enzyme setup and metadata'!G187</f>
        <v>0</v>
      </c>
      <c r="P3" s="91">
        <f>'enzyme setup and metadata'!A99</f>
        <v>122</v>
      </c>
      <c r="Q3" s="66">
        <f>'enzyme setup and metadata'!I99</f>
        <v>2.1797717184527583</v>
      </c>
      <c r="R3" s="14">
        <f>R2</f>
        <v>3.1666666665114462</v>
      </c>
      <c r="S3" s="14">
        <f>(((M10+M11)/2)*91)/(R3*Q3*0.8)</f>
        <v>6.7635136185529507E-2</v>
      </c>
      <c r="T3" s="14">
        <f>(((M12+M13)/2)*91)/(R3*Q3*0.8)</f>
        <v>2.7287558842089912E-2</v>
      </c>
      <c r="U3" s="14">
        <f>(((M14+M15)/2)*91)/(R3*Q3*0.8)</f>
        <v>2.206988201222411E-2</v>
      </c>
      <c r="V3" s="14">
        <f>(((M16+M17)/2)*91)/(R3*Q3*0.8)</f>
        <v>1.5183285639058032E-2</v>
      </c>
      <c r="W3" s="14">
        <f>S3*1000</f>
        <v>67.635136185529504</v>
      </c>
      <c r="X3" s="14">
        <f t="shared" ref="X3:Z13" si="1">T3*1000</f>
        <v>27.287558842089911</v>
      </c>
      <c r="Y3" s="14">
        <f t="shared" si="1"/>
        <v>22.06988201222411</v>
      </c>
      <c r="Z3" s="14">
        <f t="shared" si="1"/>
        <v>15.183285639058031</v>
      </c>
    </row>
    <row r="4" spans="1:26" ht="14">
      <c r="A4" s="55">
        <f t="shared" si="0"/>
        <v>121</v>
      </c>
      <c r="B4" s="55" t="s">
        <v>70</v>
      </c>
      <c r="C4" s="80">
        <v>183</v>
      </c>
      <c r="D4" s="56" t="s">
        <v>36</v>
      </c>
      <c r="E4" s="80">
        <v>99</v>
      </c>
      <c r="F4" s="80">
        <v>554</v>
      </c>
      <c r="G4" s="57">
        <v>1E-3</v>
      </c>
      <c r="H4" s="58"/>
      <c r="I4" s="59" t="s">
        <v>71</v>
      </c>
      <c r="J4" s="59" t="s">
        <v>71</v>
      </c>
      <c r="K4" s="60">
        <f>I3</f>
        <v>1.2529169872547064E-5</v>
      </c>
      <c r="L4" s="60">
        <f>I5</f>
        <v>-2.7415742983383142E-4</v>
      </c>
      <c r="M4" s="60">
        <f>(C4-$O$3)*K4 + L4</f>
        <v>2.0186806568422812E-3</v>
      </c>
      <c r="N4" s="47" t="str">
        <f>'enzyme setup and metadata'!F181</f>
        <v>LAP</v>
      </c>
      <c r="O4" s="47">
        <f>'enzyme setup and metadata'!G188</f>
        <v>325.75</v>
      </c>
      <c r="P4" s="91">
        <f>'enzyme setup and metadata'!A100</f>
        <v>123</v>
      </c>
      <c r="Q4" s="66">
        <f>'enzyme setup and metadata'!I100</f>
        <v>2.2056490003173592</v>
      </c>
      <c r="R4" s="14">
        <f t="shared" ref="R4:R13" si="2">R3</f>
        <v>3.1666666665114462</v>
      </c>
      <c r="S4" s="14">
        <f>(((M18+M19)/2)*91)/(R4*Q4*0.8)</f>
        <v>6.2447175548620421E-2</v>
      </c>
      <c r="T4" s="14">
        <f>(((M20+M21)/2)*91)/(R4*Q4*0.8)</f>
        <v>2.1855178223831061E-2</v>
      </c>
      <c r="U4" s="14">
        <f>(((M22+M23)/2)*91)/(R4*Q4*0.8)</f>
        <v>2.0867607058847916E-2</v>
      </c>
      <c r="V4" s="14">
        <f>(((M24+M25)/2)*91)/(R4*Q4*0.8)</f>
        <v>1.0504809303629296E-2</v>
      </c>
      <c r="W4" s="14">
        <f>S4*1000</f>
        <v>62.447175548620422</v>
      </c>
      <c r="X4" s="14">
        <f t="shared" si="1"/>
        <v>21.855178223831061</v>
      </c>
      <c r="Y4" s="14">
        <f t="shared" si="1"/>
        <v>20.867607058847916</v>
      </c>
      <c r="Z4" s="14">
        <f t="shared" si="1"/>
        <v>10.504809303629296</v>
      </c>
    </row>
    <row r="5" spans="1:26" ht="14">
      <c r="A5" s="55">
        <f t="shared" si="0"/>
        <v>121</v>
      </c>
      <c r="B5" s="55" t="s">
        <v>72</v>
      </c>
      <c r="C5" s="80">
        <v>173</v>
      </c>
      <c r="D5" s="56" t="s">
        <v>36</v>
      </c>
      <c r="E5" s="80">
        <v>178</v>
      </c>
      <c r="F5" s="80">
        <v>1354</v>
      </c>
      <c r="G5" s="57">
        <v>2E-3</v>
      </c>
      <c r="H5" s="58"/>
      <c r="I5" s="59">
        <f>INTERCEPT(G2:G8, E2:E8)</f>
        <v>-2.7415742983383142E-4</v>
      </c>
      <c r="J5" s="59">
        <f>INTERCEPT(G2:G8, F2:F8)</f>
        <v>-1.0877647135791937E-4</v>
      </c>
      <c r="K5" s="60">
        <f>I3</f>
        <v>1.2529169872547064E-5</v>
      </c>
      <c r="L5" s="60">
        <f>I5</f>
        <v>-2.7415742983383142E-4</v>
      </c>
      <c r="M5" s="60">
        <f>(C5-$O$3)*K5+ L5</f>
        <v>1.8933889581168105E-3</v>
      </c>
      <c r="N5" s="47" t="str">
        <f>'enzyme setup and metadata'!F182</f>
        <v>XYL</v>
      </c>
      <c r="O5" s="47">
        <f>'enzyme setup and metadata'!G189</f>
        <v>0</v>
      </c>
      <c r="P5" s="91">
        <f>'enzyme setup and metadata'!A101</f>
        <v>125</v>
      </c>
      <c r="Q5" s="66">
        <f>'enzyme setup and metadata'!I101</f>
        <v>2.2005084207181445</v>
      </c>
      <c r="R5" s="14">
        <f t="shared" si="2"/>
        <v>3.1666666665114462</v>
      </c>
      <c r="S5" s="14">
        <f>(((M26+M27)/2)*91)/(R5*Q5*0.8)</f>
        <v>7.2573088622684523E-2</v>
      </c>
      <c r="T5" s="14">
        <f>(((M28+M29)/2)*91)/(R5*Q5*0.8)</f>
        <v>3.1294027103659534E-2</v>
      </c>
      <c r="U5" s="14">
        <f>(((M30+M31)/2)*91)/(R5*Q5*0.8)</f>
        <v>2.257678032378467E-2</v>
      </c>
      <c r="V5" s="14">
        <f>(((M32+M33)/2)*91)/(R5*Q5*0.8)</f>
        <v>1.5669709425897748E-2</v>
      </c>
      <c r="W5" s="14">
        <f t="shared" ref="W5:W13" si="3">S5*1000</f>
        <v>72.573088622684523</v>
      </c>
      <c r="X5" s="14">
        <f t="shared" si="1"/>
        <v>31.294027103659534</v>
      </c>
      <c r="Y5" s="14">
        <f t="shared" si="1"/>
        <v>22.576780323784671</v>
      </c>
      <c r="Z5" s="14">
        <f t="shared" si="1"/>
        <v>15.669709425897748</v>
      </c>
    </row>
    <row r="6" spans="1:26" ht="14">
      <c r="A6" s="55">
        <f t="shared" si="0"/>
        <v>121</v>
      </c>
      <c r="B6" s="55" t="s">
        <v>73</v>
      </c>
      <c r="C6" s="80">
        <v>1069</v>
      </c>
      <c r="D6" s="56" t="s">
        <v>37</v>
      </c>
      <c r="E6" s="80">
        <v>444</v>
      </c>
      <c r="F6" s="80">
        <v>3247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1.8680799019605766E-6</v>
      </c>
      <c r="L6" s="60">
        <f>J5</f>
        <v>-1.0877647135791937E-4</v>
      </c>
      <c r="M6" s="60">
        <f>(C6-$O$4)*K6 + L6</f>
        <v>1.2796739157742792E-3</v>
      </c>
      <c r="P6" s="91">
        <f>'enzyme setup and metadata'!A102</f>
        <v>126</v>
      </c>
      <c r="Q6" s="66">
        <f>'enzyme setup and metadata'!I102</f>
        <v>2.1660079051383399</v>
      </c>
      <c r="R6" s="14">
        <f t="shared" si="2"/>
        <v>3.1666666665114462</v>
      </c>
      <c r="S6" s="14">
        <f>(((M34+M35)/2)*91)/(R6*Q6*0.8)</f>
        <v>7.1379429446860168E-2</v>
      </c>
      <c r="T6" s="14">
        <f>(((M36+M37)/2)*91)/(R6*Q6*0.8)</f>
        <v>3.0955570850356152E-2</v>
      </c>
      <c r="U6" s="14">
        <f>(((M38+M39)/2)*91)/(R6*Q6*0.8)</f>
        <v>2.3264165352598912E-2</v>
      </c>
      <c r="V6" s="14">
        <f>(((M40+M41)/2)*91)/(R6*Q6*0.8)</f>
        <v>1.5560292854805622E-2</v>
      </c>
      <c r="W6" s="14">
        <f t="shared" si="3"/>
        <v>71.379429446860172</v>
      </c>
      <c r="X6" s="14">
        <f t="shared" si="1"/>
        <v>30.955570850356153</v>
      </c>
      <c r="Y6" s="14">
        <f t="shared" si="1"/>
        <v>23.264165352598912</v>
      </c>
      <c r="Z6" s="14">
        <f t="shared" si="1"/>
        <v>15.560292854805622</v>
      </c>
    </row>
    <row r="7" spans="1:26" ht="14">
      <c r="A7" s="55">
        <f t="shared" si="0"/>
        <v>121</v>
      </c>
      <c r="B7" s="55" t="s">
        <v>75</v>
      </c>
      <c r="C7" s="80">
        <v>978</v>
      </c>
      <c r="D7" s="56" t="s">
        <v>37</v>
      </c>
      <c r="E7" s="80">
        <v>813</v>
      </c>
      <c r="F7" s="80">
        <v>4661</v>
      </c>
      <c r="G7" s="57">
        <v>0.01</v>
      </c>
      <c r="H7" s="58"/>
      <c r="I7" s="61">
        <f>RSQ(G2:G8, E2:E8)</f>
        <v>0.99967827122795039</v>
      </c>
      <c r="J7" s="61">
        <f>RSQ(G2:G8, F2:F8)</f>
        <v>0.9901116742542071</v>
      </c>
      <c r="K7" s="60">
        <f>J3</f>
        <v>1.8680799019605766E-6</v>
      </c>
      <c r="L7" s="60">
        <f>J5</f>
        <v>-1.0877647135791937E-4</v>
      </c>
      <c r="M7" s="60">
        <f>(C7-$O$4)*K7 + L7</f>
        <v>1.1096786446958668E-3</v>
      </c>
      <c r="P7" s="91">
        <f>'enzyme setup and metadata'!A103</f>
        <v>127</v>
      </c>
      <c r="Q7" s="66">
        <f>'enzyme setup and metadata'!I103</f>
        <v>2.2021546261089986</v>
      </c>
      <c r="R7" s="14">
        <f t="shared" si="2"/>
        <v>3.1666666665114462</v>
      </c>
      <c r="S7" s="14">
        <f>(((M42+M43)/2)*91)/(R7*Q7*0.8)</f>
        <v>6.453196137074535E-2</v>
      </c>
      <c r="T7" s="14">
        <f>(((M44+M45)/2)*91)/(R7*Q7*0.8)</f>
        <v>2.8931512826725313E-2</v>
      </c>
      <c r="U7" s="14">
        <f>(((M46+M47)/2)*91)/(R7*Q7*0.8)</f>
        <v>2.2901435553162531E-2</v>
      </c>
      <c r="V7" s="14">
        <f>(((M48+M49)/2)*91)/(R7*Q7*0.8)</f>
        <v>1.588895218502212E-2</v>
      </c>
      <c r="W7" s="14">
        <f t="shared" si="3"/>
        <v>64.53196137074535</v>
      </c>
      <c r="X7" s="14">
        <f t="shared" si="1"/>
        <v>28.931512826725314</v>
      </c>
      <c r="Y7" s="14">
        <f t="shared" si="1"/>
        <v>22.901435553162532</v>
      </c>
      <c r="Z7" s="14">
        <f t="shared" si="1"/>
        <v>15.88895218502212</v>
      </c>
    </row>
    <row r="8" spans="1:26" ht="14">
      <c r="A8" s="55">
        <f t="shared" si="0"/>
        <v>121</v>
      </c>
      <c r="B8" s="55" t="s">
        <v>76</v>
      </c>
      <c r="C8" s="80">
        <v>87</v>
      </c>
      <c r="D8" s="56" t="s">
        <v>38</v>
      </c>
      <c r="E8" s="80">
        <v>1616</v>
      </c>
      <c r="F8" s="80">
        <v>10908</v>
      </c>
      <c r="G8" s="57">
        <v>0.02</v>
      </c>
      <c r="H8" s="58"/>
      <c r="I8" s="58"/>
      <c r="J8" s="58"/>
      <c r="K8" s="60">
        <f>I3</f>
        <v>1.2529169872547064E-5</v>
      </c>
      <c r="L8" s="60">
        <f>I5</f>
        <v>-2.7415742983383142E-4</v>
      </c>
      <c r="M8" s="60">
        <f>(C8-$O$5)*K8 + L8</f>
        <v>8.1588034907776317E-4</v>
      </c>
      <c r="P8" s="91">
        <f>'enzyme setup and metadata'!A104</f>
        <v>128</v>
      </c>
      <c r="Q8" s="66">
        <f>'enzyme setup and metadata'!I104</f>
        <v>2.1739130434782612</v>
      </c>
      <c r="R8" s="14">
        <f t="shared" si="2"/>
        <v>3.1666666665114462</v>
      </c>
      <c r="S8" s="14">
        <f>(((M50+M51)/2)*91)/(R8*Q8*0.8)</f>
        <v>6.9978892245223537E-2</v>
      </c>
      <c r="T8" s="14">
        <f>(((M52+M53)/2)*91)/(R8*Q8*0.8)</f>
        <v>3.1174297878592331E-2</v>
      </c>
      <c r="U8" s="14">
        <f>(((M54+M55)/2)*91)/(R8*Q8*0.8)</f>
        <v>2.4341270160945772E-2</v>
      </c>
      <c r="V8" s="14">
        <f>(((M56+M57)/2)*91)/(R8*Q8*0.8)</f>
        <v>1.6183560540489767E-2</v>
      </c>
      <c r="W8" s="14">
        <f t="shared" si="3"/>
        <v>69.978892245223534</v>
      </c>
      <c r="X8" s="14">
        <f t="shared" si="1"/>
        <v>31.174297878592331</v>
      </c>
      <c r="Y8" s="14">
        <f t="shared" si="1"/>
        <v>24.341270160945772</v>
      </c>
      <c r="Z8" s="14">
        <f t="shared" si="1"/>
        <v>16.183560540489768</v>
      </c>
    </row>
    <row r="9" spans="1:26" ht="14">
      <c r="A9" s="55">
        <f t="shared" si="0"/>
        <v>121</v>
      </c>
      <c r="B9" s="55" t="s">
        <v>77</v>
      </c>
      <c r="C9" s="80">
        <v>87</v>
      </c>
      <c r="D9" s="56" t="s">
        <v>38</v>
      </c>
      <c r="E9" s="80">
        <v>15</v>
      </c>
      <c r="F9" s="80">
        <v>19</v>
      </c>
      <c r="G9" s="56"/>
      <c r="H9" s="58"/>
      <c r="I9" s="58"/>
      <c r="J9" s="58"/>
      <c r="K9" s="60">
        <f>I3</f>
        <v>1.2529169872547064E-5</v>
      </c>
      <c r="L9" s="60">
        <f>I5</f>
        <v>-2.7415742983383142E-4</v>
      </c>
      <c r="M9" s="60">
        <f>(C9-$O$5)*K9 + L9</f>
        <v>8.1588034907776317E-4</v>
      </c>
      <c r="P9" s="91">
        <f>'enzyme setup and metadata'!A105</f>
        <v>130</v>
      </c>
      <c r="Q9" s="66">
        <f>'enzyme setup and metadata'!I105</f>
        <v>2.1856620569066925</v>
      </c>
      <c r="R9" s="14">
        <f t="shared" si="2"/>
        <v>3.1666666665114462</v>
      </c>
      <c r="S9" s="14">
        <f>(((M58+M59)/2)*91)/(R9*Q9*0.8)</f>
        <v>6.5033759162395316E-2</v>
      </c>
      <c r="T9" s="14">
        <f>(((M60+M61)/2)*91)/(R9*Q9*0.8)</f>
        <v>2.936861271980484E-2</v>
      </c>
      <c r="U9" s="14">
        <f>(((M62+M63)/2)*91)/(R9*Q9*0.8)</f>
        <v>2.1357096091353774E-2</v>
      </c>
      <c r="V9" s="14">
        <f>(((M64+M65)/2)*91)/(R9*Q9*0.8)</f>
        <v>1.5840453724339485E-2</v>
      </c>
      <c r="W9" s="14">
        <f t="shared" si="3"/>
        <v>65.033759162395313</v>
      </c>
      <c r="X9" s="14">
        <f t="shared" si="1"/>
        <v>29.36861271980484</v>
      </c>
      <c r="Y9" s="14">
        <f t="shared" si="1"/>
        <v>21.357096091353775</v>
      </c>
      <c r="Z9" s="14">
        <f t="shared" si="1"/>
        <v>15.840453724339485</v>
      </c>
    </row>
    <row r="10" spans="1:26" ht="14">
      <c r="A10" s="55">
        <f>P3</f>
        <v>122</v>
      </c>
      <c r="B10" s="55" t="s">
        <v>78</v>
      </c>
      <c r="C10" s="80">
        <v>360</v>
      </c>
      <c r="D10" s="56" t="s">
        <v>35</v>
      </c>
      <c r="E10" s="80">
        <v>15</v>
      </c>
      <c r="F10" s="80">
        <v>23</v>
      </c>
      <c r="G10" s="57">
        <v>0</v>
      </c>
      <c r="H10" s="58"/>
      <c r="I10" s="59" t="s">
        <v>68</v>
      </c>
      <c r="J10" s="59" t="s">
        <v>68</v>
      </c>
      <c r="K10" s="60">
        <f>I11</f>
        <v>1.1658968441954127E-5</v>
      </c>
      <c r="L10" s="60">
        <f>I13</f>
        <v>-2.0956340271696336E-4</v>
      </c>
      <c r="M10" s="60">
        <f>(C10-$O$2)*K10+L10</f>
        <v>3.9876652363865219E-3</v>
      </c>
      <c r="P10" s="91">
        <f>'enzyme setup and metadata'!A106</f>
        <v>131</v>
      </c>
      <c r="Q10" s="66">
        <f>'enzyme setup and metadata'!I106</f>
        <v>2.1715010302742117</v>
      </c>
      <c r="R10" s="14">
        <f t="shared" si="2"/>
        <v>3.1666666665114462</v>
      </c>
      <c r="S10" s="14">
        <f>(((M66+M67)/2)*91)/(R10*Q10*0.8)</f>
        <v>7.3007603127771825E-2</v>
      </c>
      <c r="T10" s="14">
        <f>(((M68+M69)/2)*91)/(R10*Q10*0.8)</f>
        <v>3.3700618898091818E-2</v>
      </c>
      <c r="U10" s="14">
        <f>(((M70+M71)/2)*91)/(R10*Q10*0.8)</f>
        <v>2.6172494969831928E-2</v>
      </c>
      <c r="V10" s="14">
        <f>(((M72+M73)/2)*91)/(R10*Q10*0.8)</f>
        <v>1.6678556689841272E-2</v>
      </c>
      <c r="W10" s="14">
        <f t="shared" si="3"/>
        <v>73.00760312777183</v>
      </c>
      <c r="X10" s="14">
        <f t="shared" si="1"/>
        <v>33.700618898091818</v>
      </c>
      <c r="Y10" s="14">
        <f t="shared" si="1"/>
        <v>26.172494969831927</v>
      </c>
      <c r="Z10" s="14">
        <f t="shared" si="1"/>
        <v>16.678556689841272</v>
      </c>
    </row>
    <row r="11" spans="1:26" ht="14">
      <c r="A11" s="55">
        <f t="shared" ref="A11:A17" si="4">A10</f>
        <v>122</v>
      </c>
      <c r="B11" s="55" t="s">
        <v>79</v>
      </c>
      <c r="C11" s="80">
        <v>380</v>
      </c>
      <c r="D11" s="56" t="s">
        <v>35</v>
      </c>
      <c r="E11" s="80">
        <v>59</v>
      </c>
      <c r="F11" s="80">
        <v>337</v>
      </c>
      <c r="G11" s="57">
        <v>5.0000000000000001E-4</v>
      </c>
      <c r="H11" s="58"/>
      <c r="I11" s="59">
        <f>SLOPE(G10:G16, E10:E16)</f>
        <v>1.1658968441954127E-5</v>
      </c>
      <c r="J11" s="59">
        <f>SLOPE(G10:G16, F10:F16)</f>
        <v>1.7304780356698648E-6</v>
      </c>
      <c r="K11" s="60">
        <f>I11</f>
        <v>1.1658968441954127E-5</v>
      </c>
      <c r="L11" s="60">
        <f>I13</f>
        <v>-2.0956340271696336E-4</v>
      </c>
      <c r="M11" s="60">
        <f>(C11-$O$2)*K11+L11</f>
        <v>4.2208446052256045E-3</v>
      </c>
      <c r="P11" s="91">
        <f>'enzyme setup and metadata'!A107</f>
        <v>132</v>
      </c>
      <c r="Q11" s="66">
        <f>'enzyme setup and metadata'!I107</f>
        <v>2.1659790542684862</v>
      </c>
      <c r="R11" s="14">
        <f t="shared" si="2"/>
        <v>3.1666666665114462</v>
      </c>
      <c r="S11" s="14">
        <f>(((M74+M75)/2)*91)/(R11*Q11*0.8)</f>
        <v>7.3999380113282207E-2</v>
      </c>
      <c r="T11" s="14">
        <f>(((M76+M77)/2)*91)/(R11*Q11*0.8)</f>
        <v>3.4075374453473424E-2</v>
      </c>
      <c r="U11" s="14">
        <f>(((M78+M79)/2)*91)/(R11*Q11*0.8)</f>
        <v>2.849712391934164E-2</v>
      </c>
      <c r="V11" s="14">
        <f>(((M80+M81)/2)*91)/(R11*Q11*0.8)</f>
        <v>1.8781904543466028E-2</v>
      </c>
      <c r="W11" s="14">
        <f t="shared" si="3"/>
        <v>73.9993801132822</v>
      </c>
      <c r="X11" s="14">
        <f t="shared" si="1"/>
        <v>34.075374453473422</v>
      </c>
      <c r="Y11" s="14">
        <f t="shared" si="1"/>
        <v>28.497123919341639</v>
      </c>
      <c r="Z11" s="14">
        <f t="shared" si="1"/>
        <v>18.781904543466027</v>
      </c>
    </row>
    <row r="12" spans="1:26" ht="14">
      <c r="A12" s="55">
        <f t="shared" si="4"/>
        <v>122</v>
      </c>
      <c r="B12" s="55" t="s">
        <v>80</v>
      </c>
      <c r="C12" s="80">
        <v>167</v>
      </c>
      <c r="D12" s="56" t="s">
        <v>36</v>
      </c>
      <c r="E12" s="80">
        <v>104</v>
      </c>
      <c r="F12" s="80">
        <v>592</v>
      </c>
      <c r="G12" s="57">
        <v>1E-3</v>
      </c>
      <c r="H12" s="58"/>
      <c r="I12" s="59" t="s">
        <v>71</v>
      </c>
      <c r="J12" s="59" t="s">
        <v>71</v>
      </c>
      <c r="K12" s="60">
        <f>I11</f>
        <v>1.1658968441954127E-5</v>
      </c>
      <c r="L12" s="60">
        <f>I13</f>
        <v>-2.0956340271696336E-4</v>
      </c>
      <c r="M12" s="60">
        <f>(C12-$O$3)*K12 + L12</f>
        <v>1.7374843270893758E-3</v>
      </c>
      <c r="P12" s="91">
        <f>'enzyme setup and metadata'!A108</f>
        <v>133</v>
      </c>
      <c r="Q12" s="66">
        <f>'enzyme setup and metadata'!I108</f>
        <v>2.1842732327243843</v>
      </c>
      <c r="R12" s="14">
        <f t="shared" si="2"/>
        <v>3.1666666665114462</v>
      </c>
      <c r="S12" s="14">
        <f>(((M82+M83)/2)*91)/(R12*Q12*0.8)</f>
        <v>7.4815513379914322E-2</v>
      </c>
      <c r="T12" s="14">
        <f>(((M84+M85)/2)*91)/(R12*Q12*0.8)</f>
        <v>3.4385471608924176E-2</v>
      </c>
      <c r="U12" s="14">
        <f>(((M86+M87)/2)*91)/(R12*Q12*0.8)</f>
        <v>3.1515455953879175E-2</v>
      </c>
      <c r="V12" s="14">
        <f>(((M88+M89)/2)*91)/(R12*Q12*0.8)</f>
        <v>1.9155514126259932E-2</v>
      </c>
      <c r="W12" s="14">
        <f t="shared" si="3"/>
        <v>74.815513379914321</v>
      </c>
      <c r="X12" s="14">
        <f t="shared" si="1"/>
        <v>34.385471608924178</v>
      </c>
      <c r="Y12" s="14">
        <f t="shared" si="1"/>
        <v>31.515455953879176</v>
      </c>
      <c r="Z12" s="14">
        <f t="shared" si="1"/>
        <v>19.155514126259931</v>
      </c>
    </row>
    <row r="13" spans="1:26" ht="14">
      <c r="A13" s="55">
        <f t="shared" si="4"/>
        <v>122</v>
      </c>
      <c r="B13" s="55" t="s">
        <v>81</v>
      </c>
      <c r="C13" s="80">
        <v>153</v>
      </c>
      <c r="D13" s="56" t="s">
        <v>36</v>
      </c>
      <c r="E13" s="80">
        <v>196</v>
      </c>
      <c r="F13" s="80">
        <v>1446</v>
      </c>
      <c r="G13" s="57">
        <v>2E-3</v>
      </c>
      <c r="H13" s="58"/>
      <c r="I13" s="59">
        <f>INTERCEPT(G10:G16, E10:E16)</f>
        <v>-2.0956340271696336E-4</v>
      </c>
      <c r="J13" s="59">
        <f>INTERCEPT(G10:G16, F10:F16)</f>
        <v>-2.5663579041831398E-5</v>
      </c>
      <c r="K13" s="60">
        <f>I11</f>
        <v>1.1658968441954127E-5</v>
      </c>
      <c r="L13" s="60">
        <f>I13</f>
        <v>-2.0956340271696336E-4</v>
      </c>
      <c r="M13" s="60">
        <f>(C13-$O$3)*K13+ L13</f>
        <v>1.574258768902018E-3</v>
      </c>
      <c r="P13" s="91">
        <f>'enzyme setup and metadata'!A109</f>
        <v>135</v>
      </c>
      <c r="Q13" s="66">
        <f>'enzyme setup and metadata'!I109</f>
        <v>2.157702681262891</v>
      </c>
      <c r="R13" s="14">
        <f t="shared" si="2"/>
        <v>3.1666666665114462</v>
      </c>
      <c r="S13" s="14">
        <f>(((M90+M91)/2)*91)/(R13*Q13*0.8)</f>
        <v>8.1426030760312393E-2</v>
      </c>
      <c r="T13" s="14">
        <f>(((M92+M93)/2)*91)/(R13*Q13*0.8)</f>
        <v>3.9704781163508257E-2</v>
      </c>
      <c r="U13" s="14">
        <f>(((M94+M95)/2)*91)/(R13*Q13*0.8)</f>
        <v>3.2874614608326976E-2</v>
      </c>
      <c r="V13" s="14">
        <f>(((M96+M97)/2)*91)/(R13*Q13*0.8)</f>
        <v>2.0158211470517339E-2</v>
      </c>
      <c r="W13" s="14">
        <f t="shared" si="3"/>
        <v>81.426030760312386</v>
      </c>
      <c r="X13" s="14">
        <f t="shared" si="1"/>
        <v>39.704781163508258</v>
      </c>
      <c r="Y13" s="14">
        <f t="shared" si="1"/>
        <v>32.874614608326972</v>
      </c>
      <c r="Z13" s="14">
        <f t="shared" si="1"/>
        <v>20.15821147051734</v>
      </c>
    </row>
    <row r="14" spans="1:26" ht="14">
      <c r="A14" s="55">
        <f t="shared" si="4"/>
        <v>122</v>
      </c>
      <c r="B14" s="55" t="s">
        <v>82</v>
      </c>
      <c r="C14" s="80">
        <v>1107</v>
      </c>
      <c r="D14" s="56" t="s">
        <v>37</v>
      </c>
      <c r="E14" s="80">
        <v>458</v>
      </c>
      <c r="F14" s="80">
        <v>2879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1.7304780356698648E-6</v>
      </c>
      <c r="L14" s="60">
        <f>J13</f>
        <v>-2.5663579041831398E-5</v>
      </c>
      <c r="M14" s="60">
        <f>(C14-$O$4)*K14 + L14</f>
        <v>1.3262723863252505E-3</v>
      </c>
    </row>
    <row r="15" spans="1:26" ht="14">
      <c r="A15" s="55">
        <f t="shared" si="4"/>
        <v>122</v>
      </c>
      <c r="B15" s="55" t="s">
        <v>83</v>
      </c>
      <c r="C15" s="80">
        <v>1122</v>
      </c>
      <c r="D15" s="56" t="s">
        <v>37</v>
      </c>
      <c r="E15" s="80">
        <v>857</v>
      </c>
      <c r="F15" s="80">
        <v>5315</v>
      </c>
      <c r="G15" s="57">
        <v>0.01</v>
      </c>
      <c r="H15" s="58"/>
      <c r="I15" s="61">
        <f>RSQ(G10:G16, E10:E16)</f>
        <v>0.99976111963086367</v>
      </c>
      <c r="J15" s="61">
        <f>RSQ(G10:G16, F10:F16)</f>
        <v>0.99678523121207796</v>
      </c>
      <c r="K15" s="60">
        <f>J11</f>
        <v>1.7304780356698648E-6</v>
      </c>
      <c r="L15" s="60">
        <f>J13</f>
        <v>-2.5663579041831398E-5</v>
      </c>
      <c r="M15" s="60">
        <f>(C15-$O$4)*K15 + L15</f>
        <v>1.3522295568602985E-3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122</v>
      </c>
      <c r="B16" s="55" t="s">
        <v>84</v>
      </c>
      <c r="C16" s="80">
        <v>100</v>
      </c>
      <c r="D16" s="56" t="s">
        <v>38</v>
      </c>
      <c r="E16" s="80">
        <v>1739</v>
      </c>
      <c r="F16" s="80">
        <v>11760</v>
      </c>
      <c r="G16" s="57">
        <v>0.02</v>
      </c>
      <c r="H16" s="58"/>
      <c r="I16" s="58"/>
      <c r="J16" s="58"/>
      <c r="K16" s="60">
        <f>I11</f>
        <v>1.1658968441954127E-5</v>
      </c>
      <c r="L16" s="60">
        <f>I13</f>
        <v>-2.0956340271696336E-4</v>
      </c>
      <c r="M16" s="60">
        <f>(C16-$O$5)*K16 + L16</f>
        <v>9.5633344147844925E-4</v>
      </c>
    </row>
    <row r="17" spans="1:13" ht="14">
      <c r="A17" s="55">
        <f t="shared" si="4"/>
        <v>122</v>
      </c>
      <c r="B17" s="55" t="s">
        <v>85</v>
      </c>
      <c r="C17" s="80">
        <v>94</v>
      </c>
      <c r="D17" s="56" t="s">
        <v>38</v>
      </c>
      <c r="E17" s="80">
        <v>15</v>
      </c>
      <c r="F17" s="80">
        <v>15</v>
      </c>
      <c r="G17" s="56"/>
      <c r="H17" s="58"/>
      <c r="I17" s="58"/>
      <c r="J17" s="58"/>
      <c r="K17" s="60">
        <f>I11</f>
        <v>1.1658968441954127E-5</v>
      </c>
      <c r="L17" s="60">
        <f>I13</f>
        <v>-2.0956340271696336E-4</v>
      </c>
      <c r="M17" s="60">
        <f>(C17-$O$5)*K17 + L17</f>
        <v>8.8637963082672448E-4</v>
      </c>
    </row>
    <row r="18" spans="1:13" ht="14">
      <c r="A18" s="55">
        <f>P4</f>
        <v>123</v>
      </c>
      <c r="B18" s="55" t="s">
        <v>86</v>
      </c>
      <c r="C18" s="80">
        <v>346</v>
      </c>
      <c r="D18" s="56" t="s">
        <v>35</v>
      </c>
      <c r="E18" s="80">
        <v>16</v>
      </c>
      <c r="F18" s="80">
        <v>21</v>
      </c>
      <c r="G18" s="57">
        <v>0</v>
      </c>
      <c r="H18" s="58"/>
      <c r="I18" s="59" t="s">
        <v>68</v>
      </c>
      <c r="J18" s="59" t="s">
        <v>68</v>
      </c>
      <c r="K18" s="60">
        <f>I19</f>
        <v>1.1812594955140822E-5</v>
      </c>
      <c r="L18" s="60">
        <f>I21</f>
        <v>-2.9998412297414356E-4</v>
      </c>
      <c r="M18" s="60">
        <f>(C18-$O$2)*K18+L18</f>
        <v>3.7871737315045813E-3</v>
      </c>
    </row>
    <row r="19" spans="1:13" ht="14">
      <c r="A19" s="55">
        <f t="shared" ref="A19:A25" si="5">A18</f>
        <v>123</v>
      </c>
      <c r="B19" s="55" t="s">
        <v>87</v>
      </c>
      <c r="C19" s="80">
        <v>354</v>
      </c>
      <c r="D19" s="56" t="s">
        <v>35</v>
      </c>
      <c r="E19" s="80">
        <v>59</v>
      </c>
      <c r="F19" s="80">
        <v>302</v>
      </c>
      <c r="G19" s="57">
        <v>5.0000000000000001E-4</v>
      </c>
      <c r="H19" s="58"/>
      <c r="I19" s="59">
        <f>SLOPE(G18:G24, E18:E24)</f>
        <v>1.1812594955140822E-5</v>
      </c>
      <c r="J19" s="59">
        <f>SLOPE(G18:G24, F18:F24)</f>
        <v>1.7171264032967711E-6</v>
      </c>
      <c r="K19" s="60">
        <f>I19</f>
        <v>1.1812594955140822E-5</v>
      </c>
      <c r="L19" s="60">
        <f>I21</f>
        <v>-2.9998412297414356E-4</v>
      </c>
      <c r="M19" s="60">
        <f>(C19-$O$2)*K19+L19</f>
        <v>3.8816744911457073E-3</v>
      </c>
    </row>
    <row r="20" spans="1:13" ht="14">
      <c r="A20" s="55">
        <f t="shared" si="5"/>
        <v>123</v>
      </c>
      <c r="B20" s="55" t="s">
        <v>88</v>
      </c>
      <c r="C20" s="80">
        <v>145</v>
      </c>
      <c r="D20" s="56" t="s">
        <v>36</v>
      </c>
      <c r="E20" s="80">
        <v>102</v>
      </c>
      <c r="F20" s="80">
        <v>613</v>
      </c>
      <c r="G20" s="57">
        <v>1E-3</v>
      </c>
      <c r="H20" s="58"/>
      <c r="I20" s="59" t="s">
        <v>71</v>
      </c>
      <c r="J20" s="59" t="s">
        <v>71</v>
      </c>
      <c r="K20" s="60">
        <f>I19</f>
        <v>1.1812594955140822E-5</v>
      </c>
      <c r="L20" s="60">
        <f>I21</f>
        <v>-2.9998412297414356E-4</v>
      </c>
      <c r="M20" s="60">
        <f>(C20-$O$3)*K20 + L20</f>
        <v>1.4128421455212757E-3</v>
      </c>
    </row>
    <row r="21" spans="1:13" ht="14">
      <c r="A21" s="55">
        <f t="shared" si="5"/>
        <v>123</v>
      </c>
      <c r="B21" s="55" t="s">
        <v>89</v>
      </c>
      <c r="C21" s="80">
        <v>133</v>
      </c>
      <c r="D21" s="56" t="s">
        <v>36</v>
      </c>
      <c r="E21" s="80">
        <v>190</v>
      </c>
      <c r="F21" s="80">
        <v>1237</v>
      </c>
      <c r="G21" s="57">
        <v>2E-3</v>
      </c>
      <c r="H21" s="58"/>
      <c r="I21" s="59">
        <f>INTERCEPT(G18:G24, E18:E24)</f>
        <v>-2.9998412297414356E-4</v>
      </c>
      <c r="J21" s="59">
        <f>INTERCEPT(G18:G24, F18:F24)</f>
        <v>1.4158440662647657E-4</v>
      </c>
      <c r="K21" s="60">
        <f>I19</f>
        <v>1.1812594955140822E-5</v>
      </c>
      <c r="L21" s="60">
        <f>I21</f>
        <v>-2.9998412297414356E-4</v>
      </c>
      <c r="M21" s="60">
        <f>(C21-$O$3)*K21+ L21</f>
        <v>1.2710910060595858E-3</v>
      </c>
    </row>
    <row r="22" spans="1:13" ht="14">
      <c r="A22" s="55">
        <f t="shared" si="5"/>
        <v>123</v>
      </c>
      <c r="B22" s="55" t="s">
        <v>90</v>
      </c>
      <c r="C22" s="80">
        <v>1012</v>
      </c>
      <c r="D22" s="56" t="s">
        <v>37</v>
      </c>
      <c r="E22" s="80">
        <v>495</v>
      </c>
      <c r="F22" s="80">
        <v>2749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1.7171264032967711E-6</v>
      </c>
      <c r="L22" s="60">
        <f>J21</f>
        <v>1.4158440662647657E-4</v>
      </c>
      <c r="M22" s="60">
        <f>(C22-$O$4)*K22 + L22</f>
        <v>1.3199624008888857E-3</v>
      </c>
    </row>
    <row r="23" spans="1:13" ht="14">
      <c r="A23" s="55">
        <f t="shared" si="5"/>
        <v>123</v>
      </c>
      <c r="B23" s="55" t="s">
        <v>91</v>
      </c>
      <c r="C23" s="80">
        <v>967</v>
      </c>
      <c r="D23" s="56" t="s">
        <v>37</v>
      </c>
      <c r="E23" s="80">
        <v>865</v>
      </c>
      <c r="F23" s="80">
        <v>5079</v>
      </c>
      <c r="G23" s="57">
        <v>0.01</v>
      </c>
      <c r="H23" s="58"/>
      <c r="I23" s="61">
        <f>RSQ(G18:G24, E18:E24)</f>
        <v>0.99889676586124854</v>
      </c>
      <c r="J23" s="61">
        <f>RSQ(G18:G24, F18:F24)</f>
        <v>0.99464479519819349</v>
      </c>
      <c r="K23" s="60">
        <f>J19</f>
        <v>1.7171264032967711E-6</v>
      </c>
      <c r="L23" s="60">
        <f>J21</f>
        <v>1.4158440662647657E-4</v>
      </c>
      <c r="M23" s="60">
        <f>(C23-$O$4)*K23 + L23</f>
        <v>1.2426917127405311E-3</v>
      </c>
    </row>
    <row r="24" spans="1:13" ht="14">
      <c r="A24" s="55">
        <f t="shared" si="5"/>
        <v>123</v>
      </c>
      <c r="B24" s="55" t="s">
        <v>92</v>
      </c>
      <c r="C24" s="80">
        <v>81</v>
      </c>
      <c r="D24" s="56" t="s">
        <v>38</v>
      </c>
      <c r="E24" s="80">
        <v>1710</v>
      </c>
      <c r="F24" s="80">
        <v>11843</v>
      </c>
      <c r="G24" s="57">
        <v>0.02</v>
      </c>
      <c r="H24" s="58"/>
      <c r="I24" s="58"/>
      <c r="J24" s="58"/>
      <c r="K24" s="60">
        <f>I19</f>
        <v>1.1812594955140822E-5</v>
      </c>
      <c r="L24" s="60">
        <f>I21</f>
        <v>-2.9998412297414356E-4</v>
      </c>
      <c r="M24" s="60">
        <f>(C24-$O$5)*K24 + L24</f>
        <v>6.5683606839226304E-4</v>
      </c>
    </row>
    <row r="25" spans="1:13" ht="14">
      <c r="A25" s="55">
        <f t="shared" si="5"/>
        <v>123</v>
      </c>
      <c r="B25" s="55" t="s">
        <v>93</v>
      </c>
      <c r="C25" s="80">
        <v>79</v>
      </c>
      <c r="D25" s="56" t="s">
        <v>38</v>
      </c>
      <c r="E25" s="80">
        <v>14</v>
      </c>
      <c r="F25" s="80">
        <v>15</v>
      </c>
      <c r="G25" s="56"/>
      <c r="H25" s="58"/>
      <c r="I25" s="58"/>
      <c r="J25" s="58"/>
      <c r="K25" s="60">
        <f>I19</f>
        <v>1.1812594955140822E-5</v>
      </c>
      <c r="L25" s="60">
        <f>I21</f>
        <v>-2.9998412297414356E-4</v>
      </c>
      <c r="M25" s="60">
        <f>(C25-$O$5)*K25 + L25</f>
        <v>6.3321087848198143E-4</v>
      </c>
    </row>
    <row r="26" spans="1:13" ht="14">
      <c r="A26" s="55">
        <f>P5</f>
        <v>125</v>
      </c>
      <c r="B26" s="55" t="s">
        <v>94</v>
      </c>
      <c r="C26" s="80">
        <v>397</v>
      </c>
      <c r="D26" s="56" t="s">
        <v>35</v>
      </c>
      <c r="E26" s="80">
        <v>15</v>
      </c>
      <c r="F26" s="80">
        <v>19</v>
      </c>
      <c r="G26" s="57">
        <v>0</v>
      </c>
      <c r="H26" s="58"/>
      <c r="I26" s="59" t="s">
        <v>68</v>
      </c>
      <c r="J26" s="59" t="s">
        <v>68</v>
      </c>
      <c r="K26" s="60">
        <f>I27</f>
        <v>1.1816531627692188E-5</v>
      </c>
      <c r="L26" s="60">
        <f>I29</f>
        <v>-1.8037556102631566E-4</v>
      </c>
      <c r="M26" s="60">
        <f>(C26-$O$2)*K26+L26</f>
        <v>4.510787495167483E-3</v>
      </c>
    </row>
    <row r="27" spans="1:13" ht="14">
      <c r="A27" s="55">
        <f t="shared" ref="A27:A33" si="6">A26</f>
        <v>125</v>
      </c>
      <c r="B27" s="55" t="s">
        <v>95</v>
      </c>
      <c r="C27" s="80">
        <v>386</v>
      </c>
      <c r="D27" s="56" t="s">
        <v>35</v>
      </c>
      <c r="E27" s="80">
        <v>61</v>
      </c>
      <c r="F27" s="80">
        <v>309</v>
      </c>
      <c r="G27" s="57">
        <v>5.0000000000000001E-4</v>
      </c>
      <c r="H27" s="58"/>
      <c r="I27" s="59">
        <f>SLOPE(G26:G32, E26:E32)</f>
        <v>1.1816531627692188E-5</v>
      </c>
      <c r="J27" s="59">
        <f>SLOPE(G26:G32, F26:F32)</f>
        <v>1.7339505852769953E-6</v>
      </c>
      <c r="K27" s="60">
        <f>I27</f>
        <v>1.1816531627692188E-5</v>
      </c>
      <c r="L27" s="60">
        <f>I29</f>
        <v>-1.8037556102631566E-4</v>
      </c>
      <c r="M27" s="60">
        <f>(C27-$O$2)*K27+L27</f>
        <v>4.3808056472628689E-3</v>
      </c>
    </row>
    <row r="28" spans="1:13" ht="14">
      <c r="A28" s="55">
        <f t="shared" si="6"/>
        <v>125</v>
      </c>
      <c r="B28" s="55" t="s">
        <v>96</v>
      </c>
      <c r="C28" s="80">
        <v>188</v>
      </c>
      <c r="D28" s="56" t="s">
        <v>36</v>
      </c>
      <c r="E28" s="80">
        <v>100</v>
      </c>
      <c r="F28" s="80">
        <v>580</v>
      </c>
      <c r="G28" s="57">
        <v>1E-3</v>
      </c>
      <c r="H28" s="58"/>
      <c r="I28" s="59" t="s">
        <v>71</v>
      </c>
      <c r="J28" s="59" t="s">
        <v>71</v>
      </c>
      <c r="K28" s="60">
        <f>I27</f>
        <v>1.1816531627692188E-5</v>
      </c>
      <c r="L28" s="60">
        <f>I29</f>
        <v>-1.8037556102631566E-4</v>
      </c>
      <c r="M28" s="60">
        <f>(C28-$O$3)*K28 + L28</f>
        <v>2.0411323849798156E-3</v>
      </c>
    </row>
    <row r="29" spans="1:13" ht="14">
      <c r="A29" s="55">
        <f t="shared" si="6"/>
        <v>125</v>
      </c>
      <c r="B29" s="55" t="s">
        <v>97</v>
      </c>
      <c r="C29" s="80">
        <v>167</v>
      </c>
      <c r="D29" s="56" t="s">
        <v>36</v>
      </c>
      <c r="E29" s="80">
        <v>179</v>
      </c>
      <c r="F29" s="80">
        <v>1162</v>
      </c>
      <c r="G29" s="57">
        <v>2E-3</v>
      </c>
      <c r="H29" s="58"/>
      <c r="I29" s="59">
        <f>INTERCEPT(G26:G32, E26:E32)</f>
        <v>-1.8037556102631566E-4</v>
      </c>
      <c r="J29" s="59">
        <f>INTERCEPT(G26:G32, F26:F32)</f>
        <v>6.5186518077593042E-7</v>
      </c>
      <c r="K29" s="60">
        <f>I27</f>
        <v>1.1816531627692188E-5</v>
      </c>
      <c r="L29" s="60">
        <f>I29</f>
        <v>-1.8037556102631566E-4</v>
      </c>
      <c r="M29" s="60">
        <f>(C29-$O$3)*K29+ L29</f>
        <v>1.7929852207982798E-3</v>
      </c>
    </row>
    <row r="30" spans="1:13" ht="14">
      <c r="A30" s="55">
        <f t="shared" si="6"/>
        <v>125</v>
      </c>
      <c r="B30" s="55" t="s">
        <v>98</v>
      </c>
      <c r="C30" s="80">
        <v>1111</v>
      </c>
      <c r="D30" s="56" t="s">
        <v>37</v>
      </c>
      <c r="E30" s="80">
        <v>458</v>
      </c>
      <c r="F30" s="80">
        <v>3174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1.7339505852769953E-6</v>
      </c>
      <c r="L30" s="60">
        <f>J29</f>
        <v>6.5186518077593042E-7</v>
      </c>
      <c r="M30" s="60">
        <f>(C30-$O$4)*K30 + L30</f>
        <v>1.3622365622695364E-3</v>
      </c>
    </row>
    <row r="31" spans="1:13" ht="14">
      <c r="A31" s="55">
        <f t="shared" si="6"/>
        <v>125</v>
      </c>
      <c r="B31" s="55" t="s">
        <v>99</v>
      </c>
      <c r="C31" s="80">
        <v>1135</v>
      </c>
      <c r="D31" s="56" t="s">
        <v>37</v>
      </c>
      <c r="E31" s="80">
        <v>837</v>
      </c>
      <c r="F31" s="80">
        <v>5286</v>
      </c>
      <c r="G31" s="57">
        <v>0.01</v>
      </c>
      <c r="H31" s="58"/>
      <c r="I31" s="61">
        <f>RSQ(G26:G32, E26:E32)</f>
        <v>0.99952646336469442</v>
      </c>
      <c r="J31" s="61">
        <f>RSQ(G26:G32, F26:F32)</f>
        <v>0.99683376457134609</v>
      </c>
      <c r="K31" s="60">
        <f>J27</f>
        <v>1.7339505852769953E-6</v>
      </c>
      <c r="L31" s="60">
        <f>J29</f>
        <v>6.5186518077593042E-7</v>
      </c>
      <c r="M31" s="60">
        <f>(C31-$O$4)*K31 + L31</f>
        <v>1.4038513763161844E-3</v>
      </c>
    </row>
    <row r="32" spans="1:13" ht="14">
      <c r="A32" s="55">
        <f t="shared" si="6"/>
        <v>125</v>
      </c>
      <c r="B32" s="55" t="s">
        <v>100</v>
      </c>
      <c r="C32" s="80">
        <v>94</v>
      </c>
      <c r="D32" s="56" t="s">
        <v>38</v>
      </c>
      <c r="E32" s="80">
        <v>1715</v>
      </c>
      <c r="F32" s="80">
        <v>11671</v>
      </c>
      <c r="G32" s="57">
        <v>0.02</v>
      </c>
      <c r="H32" s="58"/>
      <c r="I32" s="58"/>
      <c r="J32" s="58"/>
      <c r="K32" s="60">
        <f>I27</f>
        <v>1.1816531627692188E-5</v>
      </c>
      <c r="L32" s="60">
        <f>I29</f>
        <v>-1.8037556102631566E-4</v>
      </c>
      <c r="M32" s="60">
        <f>(C32-$O$5)*K32 + L32</f>
        <v>9.3037841197674996E-4</v>
      </c>
    </row>
    <row r="33" spans="1:26" ht="14">
      <c r="A33" s="55">
        <f t="shared" si="6"/>
        <v>125</v>
      </c>
      <c r="B33" s="55" t="s">
        <v>101</v>
      </c>
      <c r="C33" s="80">
        <v>99</v>
      </c>
      <c r="D33" s="56" t="s">
        <v>38</v>
      </c>
      <c r="E33" s="80">
        <v>15</v>
      </c>
      <c r="F33" s="80">
        <v>15</v>
      </c>
      <c r="G33" s="56"/>
      <c r="H33" s="58"/>
      <c r="I33" s="58"/>
      <c r="J33" s="58"/>
      <c r="K33" s="60">
        <f>I27</f>
        <v>1.1816531627692188E-5</v>
      </c>
      <c r="L33" s="60">
        <f>I29</f>
        <v>-1.8037556102631566E-4</v>
      </c>
      <c r="M33" s="60">
        <f>(C33-$O$5)*K33 + L33</f>
        <v>9.8946107011521102E-4</v>
      </c>
    </row>
    <row r="34" spans="1:26" ht="14">
      <c r="A34" s="55">
        <f>P6</f>
        <v>126</v>
      </c>
      <c r="B34" s="55" t="s">
        <v>102</v>
      </c>
      <c r="C34" s="80">
        <v>416</v>
      </c>
      <c r="D34" s="56" t="s">
        <v>35</v>
      </c>
      <c r="E34" s="80">
        <v>17</v>
      </c>
      <c r="F34" s="80">
        <v>20</v>
      </c>
      <c r="G34" s="57">
        <v>0</v>
      </c>
      <c r="H34" s="58"/>
      <c r="I34" s="59" t="s">
        <v>68</v>
      </c>
      <c r="J34" s="59" t="s">
        <v>68</v>
      </c>
      <c r="K34" s="60">
        <f>I35</f>
        <v>1.0857564131389581E-5</v>
      </c>
      <c r="L34" s="60">
        <f>I37</f>
        <v>-1.6919955717555925E-4</v>
      </c>
      <c r="M34" s="60">
        <f>(C34-$O$2)*K34+L34</f>
        <v>4.3475471214825066E-3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126</v>
      </c>
      <c r="B35" s="55" t="s">
        <v>103</v>
      </c>
      <c r="C35" s="80">
        <v>408</v>
      </c>
      <c r="D35" s="56" t="s">
        <v>35</v>
      </c>
      <c r="E35" s="80">
        <v>63</v>
      </c>
      <c r="F35" s="80">
        <v>290</v>
      </c>
      <c r="G35" s="57">
        <v>5.0000000000000001E-4</v>
      </c>
      <c r="H35" s="58"/>
      <c r="I35" s="59">
        <f>SLOPE(G34:G40, E34:E40)</f>
        <v>1.0857564131389581E-5</v>
      </c>
      <c r="J35" s="59">
        <f>SLOPE(G34:G40, F34:F40)</f>
        <v>1.7750755185497723E-6</v>
      </c>
      <c r="K35" s="60">
        <f>I35</f>
        <v>1.0857564131389581E-5</v>
      </c>
      <c r="L35" s="60">
        <f>I37</f>
        <v>-1.6919955717555925E-4</v>
      </c>
      <c r="M35" s="60">
        <f>(C35-$O$2)*K35+L35</f>
        <v>4.26068660843139E-3</v>
      </c>
    </row>
    <row r="36" spans="1:26" ht="14">
      <c r="A36" s="55">
        <f t="shared" si="7"/>
        <v>126</v>
      </c>
      <c r="B36" s="55" t="s">
        <v>104</v>
      </c>
      <c r="C36" s="80">
        <v>195</v>
      </c>
      <c r="D36" s="56" t="s">
        <v>36</v>
      </c>
      <c r="E36" s="80">
        <v>110</v>
      </c>
      <c r="F36" s="80">
        <v>597</v>
      </c>
      <c r="G36" s="57">
        <v>1E-3</v>
      </c>
      <c r="H36" s="58"/>
      <c r="I36" s="59" t="s">
        <v>71</v>
      </c>
      <c r="J36" s="59" t="s">
        <v>71</v>
      </c>
      <c r="K36" s="60">
        <f>I35</f>
        <v>1.0857564131389581E-5</v>
      </c>
      <c r="L36" s="60">
        <f>I37</f>
        <v>-1.6919955717555925E-4</v>
      </c>
      <c r="M36" s="60">
        <f>(C36-$O$3)*K36 + L36</f>
        <v>1.9480254484454092E-3</v>
      </c>
    </row>
    <row r="37" spans="1:26" ht="14">
      <c r="A37" s="55">
        <f t="shared" si="7"/>
        <v>126</v>
      </c>
      <c r="B37" s="55" t="s">
        <v>105</v>
      </c>
      <c r="C37" s="80">
        <v>180</v>
      </c>
      <c r="D37" s="56" t="s">
        <v>36</v>
      </c>
      <c r="E37" s="80">
        <v>192</v>
      </c>
      <c r="F37" s="80">
        <v>1224</v>
      </c>
      <c r="G37" s="57">
        <v>2E-3</v>
      </c>
      <c r="H37" s="58"/>
      <c r="I37" s="59">
        <f>INTERCEPT(G34:G40, E34:E40)</f>
        <v>-1.6919955717555925E-4</v>
      </c>
      <c r="J37" s="59">
        <f>INTERCEPT(G34:G40, F34:F40)</f>
        <v>-1.0289908319388846E-4</v>
      </c>
      <c r="K37" s="60">
        <f>I35</f>
        <v>1.0857564131389581E-5</v>
      </c>
      <c r="L37" s="60">
        <f>I37</f>
        <v>-1.6919955717555925E-4</v>
      </c>
      <c r="M37" s="60">
        <f>(C37-$O$3)*K37+ L37</f>
        <v>1.7851619864745656E-3</v>
      </c>
    </row>
    <row r="38" spans="1:26" ht="14">
      <c r="A38" s="55">
        <f t="shared" si="7"/>
        <v>126</v>
      </c>
      <c r="B38" s="55" t="s">
        <v>106</v>
      </c>
      <c r="C38" s="80">
        <v>1152</v>
      </c>
      <c r="D38" s="56" t="s">
        <v>37</v>
      </c>
      <c r="E38" s="80">
        <v>482</v>
      </c>
      <c r="F38" s="80">
        <v>2840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1.7750755185497723E-6</v>
      </c>
      <c r="L38" s="60">
        <f>J37</f>
        <v>-1.0289908319388846E-4</v>
      </c>
      <c r="M38" s="60">
        <f>(C38-$O$4)*K38 + L38</f>
        <v>1.363757064007861E-3</v>
      </c>
    </row>
    <row r="39" spans="1:26" ht="14">
      <c r="A39" s="55">
        <f t="shared" si="7"/>
        <v>126</v>
      </c>
      <c r="B39" s="55" t="s">
        <v>107</v>
      </c>
      <c r="C39" s="80">
        <v>1196</v>
      </c>
      <c r="D39" s="56" t="s">
        <v>37</v>
      </c>
      <c r="E39" s="80">
        <v>932</v>
      </c>
      <c r="F39" s="80">
        <v>5903</v>
      </c>
      <c r="G39" s="57">
        <v>0.01</v>
      </c>
      <c r="H39" s="58"/>
      <c r="I39" s="61">
        <f>RSQ(G34:G40, E34:E40)</f>
        <v>0.99995268027017481</v>
      </c>
      <c r="J39" s="61">
        <f>RSQ(G34:G40, F34:F40)</f>
        <v>0.99937866341459591</v>
      </c>
      <c r="K39" s="60">
        <f>J35</f>
        <v>1.7750755185497723E-6</v>
      </c>
      <c r="L39" s="60">
        <f>J37</f>
        <v>-1.0289908319388846E-4</v>
      </c>
      <c r="M39" s="60">
        <f>(C39-$O$4)*K39 + L39</f>
        <v>1.441860386824051E-3</v>
      </c>
    </row>
    <row r="40" spans="1:26" ht="14">
      <c r="A40" s="55">
        <f t="shared" si="7"/>
        <v>126</v>
      </c>
      <c r="B40" s="55" t="s">
        <v>108</v>
      </c>
      <c r="C40" s="80">
        <v>95</v>
      </c>
      <c r="D40" s="56" t="s">
        <v>38</v>
      </c>
      <c r="E40" s="80">
        <v>1859</v>
      </c>
      <c r="F40" s="80">
        <v>11221</v>
      </c>
      <c r="G40" s="57">
        <v>0.02</v>
      </c>
      <c r="H40" s="58"/>
      <c r="I40" s="58"/>
      <c r="J40" s="58"/>
      <c r="K40" s="60">
        <f>I35</f>
        <v>1.0857564131389581E-5</v>
      </c>
      <c r="L40" s="60">
        <f>I37</f>
        <v>-1.6919955717555925E-4</v>
      </c>
      <c r="M40" s="60">
        <f>(C40-$O$5)*K40 + L40</f>
        <v>8.6226903530645105E-4</v>
      </c>
    </row>
    <row r="41" spans="1:26" ht="14">
      <c r="A41" s="55">
        <f t="shared" si="7"/>
        <v>126</v>
      </c>
      <c r="B41" s="55" t="s">
        <v>109</v>
      </c>
      <c r="C41" s="80">
        <v>109</v>
      </c>
      <c r="D41" s="56" t="s">
        <v>38</v>
      </c>
      <c r="E41" s="80">
        <v>15</v>
      </c>
      <c r="F41" s="80">
        <v>16</v>
      </c>
      <c r="G41" s="56"/>
      <c r="H41" s="58"/>
      <c r="I41" s="58"/>
      <c r="J41" s="58"/>
      <c r="K41" s="60">
        <f>I35</f>
        <v>1.0857564131389581E-5</v>
      </c>
      <c r="L41" s="60">
        <f>I37</f>
        <v>-1.6919955717555925E-4</v>
      </c>
      <c r="M41" s="60">
        <f>(C41-$O$5)*K41 + L41</f>
        <v>1.0142749331459051E-3</v>
      </c>
    </row>
    <row r="42" spans="1:26" ht="14">
      <c r="A42" s="55">
        <f>P7</f>
        <v>127</v>
      </c>
      <c r="B42" s="55" t="s">
        <v>110</v>
      </c>
      <c r="C42" s="80">
        <v>376</v>
      </c>
      <c r="D42" s="56" t="s">
        <v>35</v>
      </c>
      <c r="E42" s="80">
        <v>18</v>
      </c>
      <c r="F42" s="80">
        <v>21</v>
      </c>
      <c r="G42" s="57">
        <v>0</v>
      </c>
      <c r="H42" s="58"/>
      <c r="I42" s="62" t="s">
        <v>68</v>
      </c>
      <c r="J42" s="62" t="s">
        <v>68</v>
      </c>
      <c r="K42" s="60">
        <f>I43</f>
        <v>1.0057603055516274E-5</v>
      </c>
      <c r="L42" s="60">
        <f>I45</f>
        <v>5.8836746965696372E-5</v>
      </c>
      <c r="M42" s="60">
        <f>(C42-$O$2)*K42+L42</f>
        <v>3.8404954958398156E-3</v>
      </c>
    </row>
    <row r="43" spans="1:26" ht="14">
      <c r="A43" s="55">
        <f t="shared" ref="A43:A49" si="8">A42</f>
        <v>127</v>
      </c>
      <c r="B43" s="55" t="s">
        <v>111</v>
      </c>
      <c r="C43" s="80">
        <v>399</v>
      </c>
      <c r="D43" s="56" t="s">
        <v>35</v>
      </c>
      <c r="E43" s="80">
        <v>62</v>
      </c>
      <c r="F43" s="80">
        <v>297</v>
      </c>
      <c r="G43" s="57">
        <v>5.0000000000000001E-4</v>
      </c>
      <c r="H43" s="58"/>
      <c r="I43" s="58">
        <f>SLOPE(G42:G48, E42:E48)</f>
        <v>1.0057603055516274E-5</v>
      </c>
      <c r="J43" s="58">
        <f>SLOPE(G42:G48, F42:F48)</f>
        <v>1.9832352465061484E-6</v>
      </c>
      <c r="K43" s="60">
        <f>I43</f>
        <v>1.0057603055516274E-5</v>
      </c>
      <c r="L43" s="60">
        <f>I45</f>
        <v>5.8836746965696372E-5</v>
      </c>
      <c r="M43" s="60">
        <f>(C43-$O$2)*K43+L43</f>
        <v>4.0718203661166893E-3</v>
      </c>
    </row>
    <row r="44" spans="1:26" ht="14">
      <c r="A44" s="55">
        <f t="shared" si="8"/>
        <v>127</v>
      </c>
      <c r="B44" s="55" t="s">
        <v>112</v>
      </c>
      <c r="C44" s="80">
        <v>176</v>
      </c>
      <c r="D44" s="56" t="s">
        <v>36</v>
      </c>
      <c r="E44" s="80">
        <v>113</v>
      </c>
      <c r="F44" s="80">
        <v>586</v>
      </c>
      <c r="G44" s="57">
        <v>1E-3</v>
      </c>
      <c r="H44" s="58"/>
      <c r="I44" s="62" t="s">
        <v>71</v>
      </c>
      <c r="J44" s="62" t="s">
        <v>71</v>
      </c>
      <c r="K44" s="60">
        <f>I43</f>
        <v>1.0057603055516274E-5</v>
      </c>
      <c r="L44" s="60">
        <f>I45</f>
        <v>5.8836746965696372E-5</v>
      </c>
      <c r="M44" s="60">
        <f>(C44-$O$3)*K44 + L44</f>
        <v>1.8289748847365606E-3</v>
      </c>
    </row>
    <row r="45" spans="1:26" ht="14">
      <c r="A45" s="55">
        <f t="shared" si="8"/>
        <v>127</v>
      </c>
      <c r="B45" s="55" t="s">
        <v>113</v>
      </c>
      <c r="C45" s="80">
        <v>165</v>
      </c>
      <c r="D45" s="56" t="s">
        <v>36</v>
      </c>
      <c r="E45" s="80">
        <v>189</v>
      </c>
      <c r="F45" s="80">
        <v>1187</v>
      </c>
      <c r="G45" s="57">
        <v>2E-3</v>
      </c>
      <c r="H45" s="58"/>
      <c r="I45" s="58">
        <f>INTERCEPT(G42:G48, E42:E48)</f>
        <v>5.8836746965696372E-5</v>
      </c>
      <c r="J45" s="58">
        <f>INTERCEPT(G42:G48, F42:F48)</f>
        <v>-2.3268313968648636E-4</v>
      </c>
      <c r="K45" s="60">
        <f>I43</f>
        <v>1.0057603055516274E-5</v>
      </c>
      <c r="L45" s="60">
        <f>I45</f>
        <v>5.8836746965696372E-5</v>
      </c>
      <c r="M45" s="60">
        <f>(C45-$O$3)*K45+ L45</f>
        <v>1.7183412511258816E-3</v>
      </c>
    </row>
    <row r="46" spans="1:26" ht="14">
      <c r="A46" s="55">
        <f t="shared" si="8"/>
        <v>127</v>
      </c>
      <c r="B46" s="55" t="s">
        <v>114</v>
      </c>
      <c r="C46" s="80">
        <v>1171</v>
      </c>
      <c r="D46" s="56" t="s">
        <v>37</v>
      </c>
      <c r="E46" s="80">
        <v>473</v>
      </c>
      <c r="F46" s="80">
        <v>2711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1.9832352465061484E-6</v>
      </c>
      <c r="L46" s="60">
        <f>J45</f>
        <v>-2.3268313968648636E-4</v>
      </c>
      <c r="M46" s="60">
        <f>(C46-$O$4)*K46 + L46</f>
        <v>1.4436464524228356E-3</v>
      </c>
    </row>
    <row r="47" spans="1:26" ht="14">
      <c r="A47" s="55">
        <f t="shared" si="8"/>
        <v>127</v>
      </c>
      <c r="B47" s="55" t="s">
        <v>115</v>
      </c>
      <c r="C47" s="80">
        <v>1131</v>
      </c>
      <c r="D47" s="56" t="s">
        <v>37</v>
      </c>
      <c r="E47" s="80">
        <v>912</v>
      </c>
      <c r="F47" s="80">
        <v>5358</v>
      </c>
      <c r="G47" s="57">
        <v>0.01</v>
      </c>
      <c r="H47" s="58"/>
      <c r="I47" s="61">
        <f>RSQ(G42:G48, E42:E48)</f>
        <v>0.99718686997997064</v>
      </c>
      <c r="J47" s="61">
        <f>RSQ(G42:G48, F42:F48)</f>
        <v>0.99900571939115801</v>
      </c>
      <c r="K47" s="60">
        <f>J43</f>
        <v>1.9832352465061484E-6</v>
      </c>
      <c r="L47" s="60">
        <f>J45</f>
        <v>-2.3268313968648636E-4</v>
      </c>
      <c r="M47" s="60">
        <f>(C47-$O$4)*K47 + L47</f>
        <v>1.3643170425625896E-3</v>
      </c>
    </row>
    <row r="48" spans="1:26" ht="14">
      <c r="A48" s="55">
        <f t="shared" si="8"/>
        <v>127</v>
      </c>
      <c r="B48" s="55" t="s">
        <v>116</v>
      </c>
      <c r="C48" s="80">
        <v>91</v>
      </c>
      <c r="D48" s="56" t="s">
        <v>38</v>
      </c>
      <c r="E48" s="80">
        <v>2020</v>
      </c>
      <c r="F48" s="80">
        <v>10074</v>
      </c>
      <c r="G48" s="57">
        <v>0.02</v>
      </c>
      <c r="H48" s="58"/>
      <c r="I48" s="58"/>
      <c r="J48" s="58"/>
      <c r="K48" s="60">
        <f>I43</f>
        <v>1.0057603055516274E-5</v>
      </c>
      <c r="L48" s="60">
        <f>I45</f>
        <v>5.8836746965696372E-5</v>
      </c>
      <c r="M48" s="60">
        <f>(C48-$O$5)*K48 + L48</f>
        <v>9.7407862501767734E-4</v>
      </c>
    </row>
    <row r="49" spans="1:13" ht="14">
      <c r="A49" s="55">
        <f t="shared" si="8"/>
        <v>127</v>
      </c>
      <c r="B49" s="55" t="s">
        <v>117</v>
      </c>
      <c r="C49" s="80">
        <v>91</v>
      </c>
      <c r="D49" s="56" t="s">
        <v>38</v>
      </c>
      <c r="E49" s="80">
        <v>16</v>
      </c>
      <c r="F49" s="80">
        <v>16</v>
      </c>
      <c r="G49" s="56"/>
      <c r="H49" s="58"/>
      <c r="I49" s="58"/>
      <c r="J49" s="58"/>
      <c r="K49" s="60">
        <f>I43</f>
        <v>1.0057603055516274E-5</v>
      </c>
      <c r="L49" s="60">
        <f>I45</f>
        <v>5.8836746965696372E-5</v>
      </c>
      <c r="M49" s="60">
        <f>(C49-$O$5)*K49 + L49</f>
        <v>9.7407862501767734E-4</v>
      </c>
    </row>
    <row r="50" spans="1:13" ht="14">
      <c r="A50" s="55">
        <f>P8</f>
        <v>128</v>
      </c>
      <c r="B50" s="55" t="s">
        <v>118</v>
      </c>
      <c r="C50" s="80">
        <v>398</v>
      </c>
      <c r="D50" s="56" t="s">
        <v>35</v>
      </c>
      <c r="E50" s="80">
        <v>17</v>
      </c>
      <c r="F50" s="80">
        <v>19</v>
      </c>
      <c r="G50" s="57">
        <v>0</v>
      </c>
      <c r="H50" s="58"/>
      <c r="I50" s="62" t="s">
        <v>68</v>
      </c>
      <c r="J50" s="62" t="s">
        <v>68</v>
      </c>
      <c r="K50" s="60">
        <f>I51</f>
        <v>1.0368311948125956E-5</v>
      </c>
      <c r="L50" s="60">
        <f>I53</f>
        <v>-2.6310268351133724E-5</v>
      </c>
      <c r="M50" s="60">
        <f>(C50-$O$2)*K50+L50</f>
        <v>4.1002778870029965E-3</v>
      </c>
    </row>
    <row r="51" spans="1:13" ht="14">
      <c r="A51" s="55">
        <f t="shared" ref="A51:A57" si="9">A50</f>
        <v>128</v>
      </c>
      <c r="B51" s="55" t="s">
        <v>119</v>
      </c>
      <c r="C51" s="80">
        <v>424</v>
      </c>
      <c r="D51" s="56" t="s">
        <v>35</v>
      </c>
      <c r="E51" s="80">
        <v>61</v>
      </c>
      <c r="F51" s="80">
        <v>289</v>
      </c>
      <c r="G51" s="57">
        <v>5.0000000000000001E-4</v>
      </c>
      <c r="H51" s="58"/>
      <c r="I51" s="58">
        <f>SLOPE(G50:G56, E50:E56)</f>
        <v>1.0368311948125956E-5</v>
      </c>
      <c r="J51" s="58">
        <f>SLOPE(G50:G56, F50:F56)</f>
        <v>1.9698598621204217E-6</v>
      </c>
      <c r="K51" s="60">
        <f>I51</f>
        <v>1.0368311948125956E-5</v>
      </c>
      <c r="L51" s="60">
        <f>I53</f>
        <v>-2.6310268351133724E-5</v>
      </c>
      <c r="M51" s="60">
        <f>(C51-$O$2)*K51+L51</f>
        <v>4.3698539976542716E-3</v>
      </c>
    </row>
    <row r="52" spans="1:13" ht="14">
      <c r="A52" s="55">
        <f t="shared" si="9"/>
        <v>128</v>
      </c>
      <c r="B52" s="55" t="s">
        <v>120</v>
      </c>
      <c r="C52" s="80">
        <v>182</v>
      </c>
      <c r="D52" s="56" t="s">
        <v>36</v>
      </c>
      <c r="E52" s="80">
        <v>107</v>
      </c>
      <c r="F52" s="80">
        <v>541</v>
      </c>
      <c r="G52" s="57">
        <v>1E-3</v>
      </c>
      <c r="H52" s="58"/>
      <c r="I52" s="62" t="s">
        <v>71</v>
      </c>
      <c r="J52" s="62" t="s">
        <v>71</v>
      </c>
      <c r="K52" s="60">
        <f>I51</f>
        <v>1.0368311948125956E-5</v>
      </c>
      <c r="L52" s="60">
        <f>I53</f>
        <v>-2.6310268351133724E-5</v>
      </c>
      <c r="M52" s="60">
        <f>(C52-$O$3)*K52 + L52</f>
        <v>1.8607225062077901E-3</v>
      </c>
    </row>
    <row r="53" spans="1:13" ht="14">
      <c r="A53" s="55">
        <f t="shared" si="9"/>
        <v>128</v>
      </c>
      <c r="B53" s="55" t="s">
        <v>121</v>
      </c>
      <c r="C53" s="80">
        <v>187</v>
      </c>
      <c r="D53" s="56" t="s">
        <v>36</v>
      </c>
      <c r="E53" s="80">
        <v>184</v>
      </c>
      <c r="F53" s="80">
        <v>1078</v>
      </c>
      <c r="G53" s="57">
        <v>2E-3</v>
      </c>
      <c r="H53" s="58"/>
      <c r="I53" s="58">
        <f>INTERCEPT(G50:G56, E50:E56)</f>
        <v>-2.6310268351133724E-5</v>
      </c>
      <c r="J53" s="58">
        <f>INTERCEPT(G50:G56, F50:F56)</f>
        <v>-5.6974671041708745E-5</v>
      </c>
      <c r="K53" s="60">
        <f>I51</f>
        <v>1.0368311948125956E-5</v>
      </c>
      <c r="L53" s="60">
        <f>I53</f>
        <v>-2.6310268351133724E-5</v>
      </c>
      <c r="M53" s="60">
        <f>(C53-$O$3)*K53+ L53</f>
        <v>1.91256406594842E-3</v>
      </c>
    </row>
    <row r="54" spans="1:13" ht="14">
      <c r="A54" s="55">
        <f t="shared" si="9"/>
        <v>128</v>
      </c>
      <c r="B54" s="55" t="s">
        <v>122</v>
      </c>
      <c r="C54" s="80">
        <v>1089</v>
      </c>
      <c r="D54" s="56" t="s">
        <v>37</v>
      </c>
      <c r="E54" s="80">
        <v>511</v>
      </c>
      <c r="F54" s="80">
        <v>2714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1.9698598621204217E-6</v>
      </c>
      <c r="L54" s="60">
        <f>J53</f>
        <v>-5.6974671041708745E-5</v>
      </c>
      <c r="M54" s="60">
        <f>(C54-$O$4)*K54 + L54</f>
        <v>1.446520868721703E-3</v>
      </c>
    </row>
    <row r="55" spans="1:13" ht="14">
      <c r="A55" s="55">
        <f t="shared" si="9"/>
        <v>128</v>
      </c>
      <c r="B55" s="55" t="s">
        <v>123</v>
      </c>
      <c r="C55" s="80">
        <v>1116</v>
      </c>
      <c r="D55" s="56" t="s">
        <v>37</v>
      </c>
      <c r="E55" s="80">
        <v>892</v>
      </c>
      <c r="F55" s="80">
        <v>4843</v>
      </c>
      <c r="G55" s="57">
        <v>0.01</v>
      </c>
      <c r="H55" s="58"/>
      <c r="I55" s="61">
        <f>RSQ(G50:G56, E50:E56)</f>
        <v>0.99744137548062572</v>
      </c>
      <c r="J55" s="61">
        <f>RSQ(G50:G56, F50:F56)</f>
        <v>0.99880244494007286</v>
      </c>
      <c r="K55" s="60">
        <f>J51</f>
        <v>1.9698598621204217E-6</v>
      </c>
      <c r="L55" s="60">
        <f>J53</f>
        <v>-5.6974671041708745E-5</v>
      </c>
      <c r="M55" s="60">
        <f>(C55-$O$4)*K55 + L55</f>
        <v>1.4997070849989546E-3</v>
      </c>
    </row>
    <row r="56" spans="1:13" ht="14">
      <c r="A56" s="55">
        <f t="shared" si="9"/>
        <v>128</v>
      </c>
      <c r="B56" s="55" t="s">
        <v>124</v>
      </c>
      <c r="C56" s="80">
        <v>93</v>
      </c>
      <c r="D56" s="56" t="s">
        <v>38</v>
      </c>
      <c r="E56" s="80">
        <v>1959</v>
      </c>
      <c r="F56" s="80">
        <v>10263</v>
      </c>
      <c r="G56" s="57">
        <v>0.02</v>
      </c>
      <c r="H56" s="58"/>
      <c r="I56" s="58"/>
      <c r="J56" s="58"/>
      <c r="K56" s="60">
        <f>I51</f>
        <v>1.0368311948125956E-5</v>
      </c>
      <c r="L56" s="60">
        <f>I53</f>
        <v>-2.6310268351133724E-5</v>
      </c>
      <c r="M56" s="60">
        <f>(C56-$O$5)*K56 + L56</f>
        <v>9.3794274282458015E-4</v>
      </c>
    </row>
    <row r="57" spans="1:13" ht="14">
      <c r="A57" s="55">
        <f t="shared" si="9"/>
        <v>128</v>
      </c>
      <c r="B57" s="55" t="s">
        <v>125</v>
      </c>
      <c r="C57" s="80">
        <v>101</v>
      </c>
      <c r="D57" s="56" t="s">
        <v>38</v>
      </c>
      <c r="E57" s="80">
        <v>22</v>
      </c>
      <c r="F57" s="80">
        <v>15</v>
      </c>
      <c r="G57" s="56"/>
      <c r="H57" s="58"/>
      <c r="I57" s="58"/>
      <c r="J57" s="58"/>
      <c r="K57" s="60">
        <f>I51</f>
        <v>1.0368311948125956E-5</v>
      </c>
      <c r="L57" s="60">
        <f>I53</f>
        <v>-2.6310268351133724E-5</v>
      </c>
      <c r="M57" s="60">
        <f>(C57-$O$5)*K57 + L57</f>
        <v>1.0208892384095877E-3</v>
      </c>
    </row>
    <row r="58" spans="1:13" ht="14">
      <c r="A58" s="55">
        <f>P9</f>
        <v>130</v>
      </c>
      <c r="B58" s="55" t="s">
        <v>126</v>
      </c>
      <c r="C58" s="80">
        <v>387</v>
      </c>
      <c r="D58" s="56" t="s">
        <v>35</v>
      </c>
      <c r="E58" s="80">
        <v>18</v>
      </c>
      <c r="F58" s="80">
        <v>18</v>
      </c>
      <c r="G58" s="57">
        <v>0</v>
      </c>
      <c r="H58" s="58"/>
      <c r="I58" s="62" t="s">
        <v>68</v>
      </c>
      <c r="J58" s="62" t="s">
        <v>68</v>
      </c>
      <c r="K58" s="60">
        <f>I59</f>
        <v>9.9774304358763843E-6</v>
      </c>
      <c r="L58" s="60">
        <f>I61</f>
        <v>2.0965343498741129E-5</v>
      </c>
      <c r="M58" s="60">
        <f>(C58-$O$2)*K58+L58</f>
        <v>3.8822309221829016E-3</v>
      </c>
    </row>
    <row r="59" spans="1:13" ht="14">
      <c r="A59" s="55">
        <f t="shared" ref="A59:A65" si="10">A58</f>
        <v>130</v>
      </c>
      <c r="B59" s="55" t="s">
        <v>127</v>
      </c>
      <c r="C59" s="80">
        <v>402</v>
      </c>
      <c r="D59" s="56" t="s">
        <v>35</v>
      </c>
      <c r="E59" s="80">
        <v>60</v>
      </c>
      <c r="F59" s="80">
        <v>287</v>
      </c>
      <c r="G59" s="57">
        <v>5.0000000000000001E-4</v>
      </c>
      <c r="H59" s="58"/>
      <c r="I59" s="58">
        <f>SLOPE(G58:G64, E58:E64)</f>
        <v>9.9774304358763843E-6</v>
      </c>
      <c r="J59" s="58">
        <f>SLOPE(G58:G64, F58:F64)</f>
        <v>1.9340274346970596E-6</v>
      </c>
      <c r="K59" s="60">
        <f>I59</f>
        <v>9.9774304358763843E-6</v>
      </c>
      <c r="L59" s="60">
        <f>I61</f>
        <v>2.0965343498741129E-5</v>
      </c>
      <c r="M59" s="60">
        <f>(C59-$O$2)*K59+L59</f>
        <v>4.031892378721048E-3</v>
      </c>
    </row>
    <row r="60" spans="1:13" ht="14">
      <c r="A60" s="55">
        <f t="shared" si="10"/>
        <v>130</v>
      </c>
      <c r="B60" s="55" t="s">
        <v>128</v>
      </c>
      <c r="C60" s="80">
        <v>180</v>
      </c>
      <c r="D60" s="56" t="s">
        <v>36</v>
      </c>
      <c r="E60" s="80">
        <v>111</v>
      </c>
      <c r="F60" s="80">
        <v>553</v>
      </c>
      <c r="G60" s="57">
        <v>1E-3</v>
      </c>
      <c r="H60" s="58"/>
      <c r="I60" s="62" t="s">
        <v>71</v>
      </c>
      <c r="J60" s="62" t="s">
        <v>71</v>
      </c>
      <c r="K60" s="60">
        <f>I59</f>
        <v>9.9774304358763843E-6</v>
      </c>
      <c r="L60" s="60">
        <f>I61</f>
        <v>2.0965343498741129E-5</v>
      </c>
      <c r="M60" s="60">
        <f>(C60-$O$3)*K60 + L60</f>
        <v>1.8169028219564903E-3</v>
      </c>
    </row>
    <row r="61" spans="1:13" ht="14">
      <c r="A61" s="55">
        <f t="shared" si="10"/>
        <v>130</v>
      </c>
      <c r="B61" s="55" t="s">
        <v>129</v>
      </c>
      <c r="C61" s="80">
        <v>174</v>
      </c>
      <c r="D61" s="56" t="s">
        <v>36</v>
      </c>
      <c r="E61" s="80">
        <v>199</v>
      </c>
      <c r="F61" s="80">
        <v>1222</v>
      </c>
      <c r="G61" s="57">
        <v>2E-3</v>
      </c>
      <c r="H61" s="58"/>
      <c r="I61" s="58">
        <f>INTERCEPT(G58:G64, E58:E64)</f>
        <v>2.0965343498741129E-5</v>
      </c>
      <c r="J61" s="58">
        <f>INTERCEPT(G58:G64, F58:F64)</f>
        <v>-2.3466763351031022E-4</v>
      </c>
      <c r="K61" s="60">
        <f>I59</f>
        <v>9.9774304358763843E-6</v>
      </c>
      <c r="L61" s="60">
        <f>I61</f>
        <v>2.0965343498741129E-5</v>
      </c>
      <c r="M61" s="60">
        <f>(C61-$O$3)*K61+ L61</f>
        <v>1.757038239341232E-3</v>
      </c>
    </row>
    <row r="62" spans="1:13" ht="14">
      <c r="A62" s="55">
        <f t="shared" si="10"/>
        <v>130</v>
      </c>
      <c r="B62" s="55" t="s">
        <v>130</v>
      </c>
      <c r="C62" s="80">
        <v>1140</v>
      </c>
      <c r="D62" s="56" t="s">
        <v>37</v>
      </c>
      <c r="E62" s="80">
        <v>497</v>
      </c>
      <c r="F62" s="80">
        <v>3134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1.9340274346970596E-6</v>
      </c>
      <c r="L62" s="60">
        <f>J61</f>
        <v>-2.3466763351031022E-4</v>
      </c>
      <c r="M62" s="60">
        <f>(C62-$O$4)*K62 + L62</f>
        <v>1.3401142051917706E-3</v>
      </c>
    </row>
    <row r="63" spans="1:13" ht="14">
      <c r="A63" s="55">
        <f t="shared" si="10"/>
        <v>130</v>
      </c>
      <c r="B63" s="55" t="s">
        <v>131</v>
      </c>
      <c r="C63" s="80">
        <v>1098</v>
      </c>
      <c r="D63" s="56" t="s">
        <v>37</v>
      </c>
      <c r="E63" s="80">
        <v>922</v>
      </c>
      <c r="F63" s="80">
        <v>5128</v>
      </c>
      <c r="G63" s="57">
        <v>0.01</v>
      </c>
      <c r="H63" s="58"/>
      <c r="I63" s="61">
        <f>RSQ(G58:G64, E58:E64)</f>
        <v>0.99749243309003399</v>
      </c>
      <c r="J63" s="61">
        <f>RSQ(G58:G64, F58:F64)</f>
        <v>0.99714750430201238</v>
      </c>
      <c r="K63" s="60">
        <f>J59</f>
        <v>1.9340274346970596E-6</v>
      </c>
      <c r="L63" s="60">
        <f>J61</f>
        <v>-2.3466763351031022E-4</v>
      </c>
      <c r="M63" s="60">
        <f>(C63-$O$4)*K63 + L63</f>
        <v>1.2588850529344942E-3</v>
      </c>
    </row>
    <row r="64" spans="1:13" ht="14">
      <c r="A64" s="55">
        <f t="shared" si="10"/>
        <v>130</v>
      </c>
      <c r="B64" s="55" t="s">
        <v>132</v>
      </c>
      <c r="C64" s="80">
        <v>93</v>
      </c>
      <c r="D64" s="56" t="s">
        <v>38</v>
      </c>
      <c r="E64" s="80">
        <v>2037</v>
      </c>
      <c r="F64" s="80">
        <v>10414</v>
      </c>
      <c r="G64" s="57">
        <v>0.02</v>
      </c>
      <c r="H64" s="58"/>
      <c r="I64" s="58"/>
      <c r="J64" s="58"/>
      <c r="K64" s="60">
        <f>I59</f>
        <v>9.9774304358763843E-6</v>
      </c>
      <c r="L64" s="60">
        <f>I61</f>
        <v>2.0965343498741129E-5</v>
      </c>
      <c r="M64" s="60">
        <f>(C64-$O$5)*K64 + L64</f>
        <v>9.4886637403524487E-4</v>
      </c>
    </row>
    <row r="65" spans="1:26" ht="14">
      <c r="A65" s="55">
        <f t="shared" si="10"/>
        <v>130</v>
      </c>
      <c r="B65" s="55" t="s">
        <v>133</v>
      </c>
      <c r="C65" s="80">
        <v>96</v>
      </c>
      <c r="D65" s="56" t="s">
        <v>38</v>
      </c>
      <c r="E65" s="80">
        <v>16</v>
      </c>
      <c r="F65" s="80">
        <v>16</v>
      </c>
      <c r="G65" s="56"/>
      <c r="H65" s="58"/>
      <c r="I65" s="58"/>
      <c r="J65" s="58"/>
      <c r="K65" s="60">
        <f>I59</f>
        <v>9.9774304358763843E-6</v>
      </c>
      <c r="L65" s="60">
        <f>I61</f>
        <v>2.0965343498741129E-5</v>
      </c>
      <c r="M65" s="60">
        <f>(C65-$O$5)*K65 + L65</f>
        <v>9.7879866534287402E-4</v>
      </c>
    </row>
    <row r="66" spans="1:26" ht="14">
      <c r="A66" s="55">
        <f>P10</f>
        <v>131</v>
      </c>
      <c r="B66" s="55" t="s">
        <v>134</v>
      </c>
      <c r="C66" s="80">
        <v>439</v>
      </c>
      <c r="D66" s="56" t="s">
        <v>35</v>
      </c>
      <c r="E66" s="80">
        <v>18</v>
      </c>
      <c r="F66" s="80">
        <v>22</v>
      </c>
      <c r="G66" s="57">
        <v>0</v>
      </c>
      <c r="H66" s="58"/>
      <c r="I66" s="62" t="s">
        <v>68</v>
      </c>
      <c r="J66" s="62" t="s">
        <v>68</v>
      </c>
      <c r="K66" s="60">
        <f>I67</f>
        <v>9.942207170924217E-6</v>
      </c>
      <c r="L66" s="60">
        <f>I69</f>
        <v>3.8887632542341025E-5</v>
      </c>
      <c r="M66" s="60">
        <f>(C66-$O$2)*K66+L66</f>
        <v>4.4035165805780723E-3</v>
      </c>
    </row>
    <row r="67" spans="1:26" ht="14">
      <c r="A67" s="55">
        <f t="shared" ref="A67:A73" si="11">A66</f>
        <v>131</v>
      </c>
      <c r="B67" s="55" t="s">
        <v>135</v>
      </c>
      <c r="C67" s="80">
        <v>441</v>
      </c>
      <c r="D67" s="56" t="s">
        <v>35</v>
      </c>
      <c r="E67" s="80">
        <v>60</v>
      </c>
      <c r="F67" s="80">
        <v>290</v>
      </c>
      <c r="G67" s="57">
        <v>5.0000000000000001E-4</v>
      </c>
      <c r="H67" s="58"/>
      <c r="I67" s="58">
        <f>SLOPE(G66:G72, E66:E72)</f>
        <v>9.942207170924217E-6</v>
      </c>
      <c r="J67" s="58">
        <f>SLOPE(G66:G72, F66:F72)</f>
        <v>1.8029837056083626E-6</v>
      </c>
      <c r="K67" s="60">
        <f>I67</f>
        <v>9.942207170924217E-6</v>
      </c>
      <c r="L67" s="60">
        <f>I69</f>
        <v>3.8887632542341025E-5</v>
      </c>
      <c r="M67" s="60">
        <f>(C67-$O$2)*K67+L67</f>
        <v>4.4234009949199208E-3</v>
      </c>
    </row>
    <row r="68" spans="1:26" ht="14">
      <c r="A68" s="55">
        <f t="shared" si="11"/>
        <v>131</v>
      </c>
      <c r="B68" s="55" t="s">
        <v>136</v>
      </c>
      <c r="C68" s="80">
        <v>210</v>
      </c>
      <c r="D68" s="56" t="s">
        <v>36</v>
      </c>
      <c r="E68" s="80">
        <v>109</v>
      </c>
      <c r="F68" s="80">
        <v>560</v>
      </c>
      <c r="G68" s="57">
        <v>1E-3</v>
      </c>
      <c r="H68" s="58"/>
      <c r="I68" s="62" t="s">
        <v>71</v>
      </c>
      <c r="J68" s="62" t="s">
        <v>71</v>
      </c>
      <c r="K68" s="60">
        <f>I67</f>
        <v>9.942207170924217E-6</v>
      </c>
      <c r="L68" s="60">
        <f>I69</f>
        <v>3.8887632542341025E-5</v>
      </c>
      <c r="M68" s="60">
        <f>(C68-$O$3)*K68 + L68</f>
        <v>2.1267511384364265E-3</v>
      </c>
    </row>
    <row r="69" spans="1:26" ht="14">
      <c r="A69" s="55">
        <f t="shared" si="11"/>
        <v>131</v>
      </c>
      <c r="B69" s="55" t="s">
        <v>137</v>
      </c>
      <c r="C69" s="80">
        <v>192</v>
      </c>
      <c r="D69" s="56" t="s">
        <v>36</v>
      </c>
      <c r="E69" s="80">
        <v>191</v>
      </c>
      <c r="F69" s="80">
        <v>1063</v>
      </c>
      <c r="G69" s="57">
        <v>2E-3</v>
      </c>
      <c r="H69" s="58"/>
      <c r="I69" s="58">
        <f>INTERCEPT(G66:G72, E66:E72)</f>
        <v>3.8887632542341025E-5</v>
      </c>
      <c r="J69" s="58">
        <f>INTERCEPT(G66:G72, F66:F72)</f>
        <v>1.312296628998991E-4</v>
      </c>
      <c r="K69" s="60">
        <f>I67</f>
        <v>9.942207170924217E-6</v>
      </c>
      <c r="L69" s="60">
        <f>I69</f>
        <v>3.8887632542341025E-5</v>
      </c>
      <c r="M69" s="60">
        <f>(C69-$O$3)*K69+ L69</f>
        <v>1.9477914093597908E-3</v>
      </c>
    </row>
    <row r="70" spans="1:26" ht="14">
      <c r="A70" s="55">
        <f t="shared" si="11"/>
        <v>131</v>
      </c>
      <c r="B70" s="55" t="s">
        <v>138</v>
      </c>
      <c r="C70" s="80">
        <v>1115</v>
      </c>
      <c r="D70" s="56" t="s">
        <v>37</v>
      </c>
      <c r="E70" s="80">
        <v>478</v>
      </c>
      <c r="F70" s="80">
        <v>2725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1.8029837056083626E-6</v>
      </c>
      <c r="L70" s="60">
        <f>J69</f>
        <v>1.312296628998991E-4</v>
      </c>
      <c r="M70" s="60">
        <f>(C70-$O$4)*K70 + L70</f>
        <v>1.5542345525512992E-3</v>
      </c>
    </row>
    <row r="71" spans="1:26" ht="14">
      <c r="A71" s="55">
        <f t="shared" si="11"/>
        <v>131</v>
      </c>
      <c r="B71" s="55" t="s">
        <v>139</v>
      </c>
      <c r="C71" s="80">
        <v>1146</v>
      </c>
      <c r="D71" s="56" t="s">
        <v>37</v>
      </c>
      <c r="E71" s="80">
        <v>955</v>
      </c>
      <c r="F71" s="80">
        <v>4947</v>
      </c>
      <c r="G71" s="57">
        <v>0.01</v>
      </c>
      <c r="H71" s="58"/>
      <c r="I71" s="61">
        <f>RSQ(G66:G72, E66:E72)</f>
        <v>0.99870017307053061</v>
      </c>
      <c r="J71" s="61">
        <f>RSQ(G66:G72, F66:F72)</f>
        <v>0.99644710767976885</v>
      </c>
      <c r="K71" s="60">
        <f>J67</f>
        <v>1.8029837056083626E-6</v>
      </c>
      <c r="L71" s="60">
        <f>J69</f>
        <v>1.312296628998991E-4</v>
      </c>
      <c r="M71" s="60">
        <f>(C71-$O$4)*K71 + L71</f>
        <v>1.6101270474251585E-3</v>
      </c>
    </row>
    <row r="72" spans="1:26" ht="14">
      <c r="A72" s="55">
        <f t="shared" si="11"/>
        <v>131</v>
      </c>
      <c r="B72" s="55" t="s">
        <v>140</v>
      </c>
      <c r="C72" s="80">
        <v>102</v>
      </c>
      <c r="D72" s="56" t="s">
        <v>38</v>
      </c>
      <c r="E72" s="80">
        <v>2034</v>
      </c>
      <c r="F72" s="80">
        <v>11237</v>
      </c>
      <c r="G72" s="57">
        <v>0.02</v>
      </c>
      <c r="H72" s="58"/>
      <c r="I72" s="58"/>
      <c r="J72" s="58"/>
      <c r="K72" s="60">
        <f>I67</f>
        <v>9.942207170924217E-6</v>
      </c>
      <c r="L72" s="60">
        <f>I69</f>
        <v>3.8887632542341025E-5</v>
      </c>
      <c r="M72" s="60">
        <f>(C72-$O$5)*K72 + L72</f>
        <v>1.0529927639766111E-3</v>
      </c>
    </row>
    <row r="73" spans="1:26" ht="14">
      <c r="A73" s="55">
        <f t="shared" si="11"/>
        <v>131</v>
      </c>
      <c r="B73" s="55" t="s">
        <v>141</v>
      </c>
      <c r="C73" s="80">
        <v>93</v>
      </c>
      <c r="D73" s="56" t="s">
        <v>38</v>
      </c>
      <c r="E73" s="80">
        <v>15</v>
      </c>
      <c r="F73" s="80">
        <v>16</v>
      </c>
      <c r="G73" s="56"/>
      <c r="H73" s="58"/>
      <c r="I73" s="58"/>
      <c r="J73" s="58"/>
      <c r="K73" s="60">
        <f>I67</f>
        <v>9.942207170924217E-6</v>
      </c>
      <c r="L73" s="60">
        <f>I69</f>
        <v>3.8887632542341025E-5</v>
      </c>
      <c r="M73" s="60">
        <f>(C73-$O$5)*K73 + L73</f>
        <v>9.6351289943829319E-4</v>
      </c>
    </row>
    <row r="74" spans="1:26" ht="14">
      <c r="A74" s="55">
        <f>P11</f>
        <v>132</v>
      </c>
      <c r="B74" s="55" t="s">
        <v>142</v>
      </c>
      <c r="C74" s="80">
        <v>443</v>
      </c>
      <c r="D74" s="56" t="s">
        <v>35</v>
      </c>
      <c r="E74" s="80">
        <v>17</v>
      </c>
      <c r="F74" s="80">
        <v>18</v>
      </c>
      <c r="G74" s="57">
        <v>0</v>
      </c>
      <c r="H74" s="58"/>
      <c r="I74" s="62" t="s">
        <v>68</v>
      </c>
      <c r="J74" s="62" t="s">
        <v>68</v>
      </c>
      <c r="K74" s="60">
        <f>I75</f>
        <v>9.7070580192051785E-6</v>
      </c>
      <c r="L74" s="60">
        <f>I77</f>
        <v>2.1520026982986638E-4</v>
      </c>
      <c r="M74" s="60">
        <f>(C74-$O$2)*K74+L74</f>
        <v>4.5154269723377601E-3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132</v>
      </c>
      <c r="B75" s="55" t="s">
        <v>143</v>
      </c>
      <c r="C75" s="80">
        <v>432</v>
      </c>
      <c r="D75" s="56" t="s">
        <v>35</v>
      </c>
      <c r="E75" s="80">
        <v>58</v>
      </c>
      <c r="F75" s="80">
        <v>267</v>
      </c>
      <c r="G75" s="57">
        <v>5.0000000000000001E-4</v>
      </c>
      <c r="H75" s="58"/>
      <c r="I75" s="58">
        <f>SLOPE(G74:G80, E74:E80)</f>
        <v>9.7070580192051785E-6</v>
      </c>
      <c r="J75" s="58">
        <f>SLOPE(G74:G80, F74:F80)</f>
        <v>2.1671912663388145E-6</v>
      </c>
      <c r="K75" s="60">
        <f>I75</f>
        <v>9.7070580192051785E-6</v>
      </c>
      <c r="L75" s="60">
        <f>I77</f>
        <v>2.1520026982986638E-4</v>
      </c>
      <c r="M75" s="60">
        <f>(C75-$O$2)*K75+L75</f>
        <v>4.4086493341265031E-3</v>
      </c>
    </row>
    <row r="76" spans="1:26" ht="14">
      <c r="A76" s="55">
        <f t="shared" si="12"/>
        <v>132</v>
      </c>
      <c r="B76" s="55" t="s">
        <v>144</v>
      </c>
      <c r="C76" s="80">
        <v>190</v>
      </c>
      <c r="D76" s="56" t="s">
        <v>36</v>
      </c>
      <c r="E76" s="80">
        <v>105</v>
      </c>
      <c r="F76" s="80">
        <v>520</v>
      </c>
      <c r="G76" s="57">
        <v>1E-3</v>
      </c>
      <c r="H76" s="58"/>
      <c r="I76" s="62" t="s">
        <v>71</v>
      </c>
      <c r="J76" s="62" t="s">
        <v>71</v>
      </c>
      <c r="K76" s="60">
        <f>I75</f>
        <v>9.7070580192051785E-6</v>
      </c>
      <c r="L76" s="60">
        <f>I77</f>
        <v>2.1520026982986638E-4</v>
      </c>
      <c r="M76" s="60">
        <f>(C76-$O$3)*K76 + L76</f>
        <v>2.0595412934788504E-3</v>
      </c>
    </row>
    <row r="77" spans="1:26" ht="14">
      <c r="A77" s="55">
        <f t="shared" si="12"/>
        <v>132</v>
      </c>
      <c r="B77" s="55" t="s">
        <v>145</v>
      </c>
      <c r="C77" s="80">
        <v>189</v>
      </c>
      <c r="D77" s="56" t="s">
        <v>36</v>
      </c>
      <c r="E77" s="80">
        <v>192</v>
      </c>
      <c r="F77" s="80">
        <v>1038</v>
      </c>
      <c r="G77" s="57">
        <v>2E-3</v>
      </c>
      <c r="H77" s="58"/>
      <c r="I77" s="58">
        <f>INTERCEPT(G74:G80, E74:E80)</f>
        <v>2.1520026982986638E-4</v>
      </c>
      <c r="J77" s="58">
        <f>INTERCEPT(G74:G80, F74:F80)</f>
        <v>-1.6008439017231504E-4</v>
      </c>
      <c r="K77" s="60">
        <f>I75</f>
        <v>9.7070580192051785E-6</v>
      </c>
      <c r="L77" s="60">
        <f>I77</f>
        <v>2.1520026982986638E-4</v>
      </c>
      <c r="M77" s="60">
        <f>(C77-$O$3)*K77+ L77</f>
        <v>2.0498342354596452E-3</v>
      </c>
    </row>
    <row r="78" spans="1:26" ht="14">
      <c r="A78" s="55">
        <f t="shared" si="12"/>
        <v>132</v>
      </c>
      <c r="B78" s="55" t="s">
        <v>146</v>
      </c>
      <c r="C78" s="80">
        <v>1213</v>
      </c>
      <c r="D78" s="56" t="s">
        <v>37</v>
      </c>
      <c r="E78" s="80">
        <v>454</v>
      </c>
      <c r="F78" s="80">
        <v>2565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2.1671912663388145E-6</v>
      </c>
      <c r="L78" s="60">
        <f>J77</f>
        <v>-1.6008439017231504E-4</v>
      </c>
      <c r="M78" s="60">
        <f>(C78-$O$4)*K78 + L78</f>
        <v>1.7627560608867981E-3</v>
      </c>
    </row>
    <row r="79" spans="1:26" ht="14">
      <c r="A79" s="55">
        <f t="shared" si="12"/>
        <v>132</v>
      </c>
      <c r="B79" s="55" t="s">
        <v>147</v>
      </c>
      <c r="C79" s="80">
        <v>1172</v>
      </c>
      <c r="D79" s="56" t="s">
        <v>37</v>
      </c>
      <c r="E79" s="80">
        <v>892</v>
      </c>
      <c r="F79" s="80">
        <v>4564</v>
      </c>
      <c r="G79" s="57">
        <v>0.01</v>
      </c>
      <c r="H79" s="58"/>
      <c r="I79" s="61">
        <f>RSQ(G74:G80, E74:E80)</f>
        <v>0.99379244697404345</v>
      </c>
      <c r="J79" s="61">
        <f>RSQ(G74:G80, F74:F80)</f>
        <v>0.99917723930494107</v>
      </c>
      <c r="K79" s="60">
        <f>J75</f>
        <v>2.1671912663388145E-6</v>
      </c>
      <c r="L79" s="60">
        <f>J77</f>
        <v>-1.6008439017231504E-4</v>
      </c>
      <c r="M79" s="60">
        <f>(C79-$O$4)*K79 + L79</f>
        <v>1.6739012189669067E-3</v>
      </c>
    </row>
    <row r="80" spans="1:26" ht="14">
      <c r="A80" s="55">
        <f t="shared" si="12"/>
        <v>132</v>
      </c>
      <c r="B80" s="55" t="s">
        <v>148</v>
      </c>
      <c r="C80" s="80">
        <v>92</v>
      </c>
      <c r="D80" s="56" t="s">
        <v>38</v>
      </c>
      <c r="E80" s="80">
        <v>2093</v>
      </c>
      <c r="F80" s="80">
        <v>9310</v>
      </c>
      <c r="G80" s="57">
        <v>0.02</v>
      </c>
      <c r="H80" s="58"/>
      <c r="I80" s="58"/>
      <c r="J80" s="58"/>
      <c r="K80" s="60">
        <f>I75</f>
        <v>9.7070580192051785E-6</v>
      </c>
      <c r="L80" s="60">
        <f>I77</f>
        <v>2.1520026982986638E-4</v>
      </c>
      <c r="M80" s="60">
        <f>(C80-$O$5)*K80 + L80</f>
        <v>1.1082496075967428E-3</v>
      </c>
    </row>
    <row r="81" spans="1:13" ht="14">
      <c r="A81" s="55">
        <f t="shared" si="12"/>
        <v>132</v>
      </c>
      <c r="B81" s="55" t="s">
        <v>149</v>
      </c>
      <c r="C81" s="80">
        <v>97</v>
      </c>
      <c r="D81" s="56" t="s">
        <v>38</v>
      </c>
      <c r="E81" s="80">
        <v>16</v>
      </c>
      <c r="F81" s="80">
        <v>16</v>
      </c>
      <c r="G81" s="56"/>
      <c r="H81" s="58"/>
      <c r="I81" s="58"/>
      <c r="J81" s="58"/>
      <c r="K81" s="60">
        <f>I75</f>
        <v>9.7070580192051785E-6</v>
      </c>
      <c r="L81" s="60">
        <f>I77</f>
        <v>2.1520026982986638E-4</v>
      </c>
      <c r="M81" s="60">
        <f>(C81-$O$5)*K81 + L81</f>
        <v>1.1567848976927688E-3</v>
      </c>
    </row>
    <row r="82" spans="1:13" ht="14">
      <c r="A82" s="55">
        <f>P12</f>
        <v>133</v>
      </c>
      <c r="B82" s="55" t="s">
        <v>150</v>
      </c>
      <c r="C82" s="80">
        <v>461</v>
      </c>
      <c r="D82" s="56" t="s">
        <v>35</v>
      </c>
      <c r="E82" s="80">
        <v>18</v>
      </c>
      <c r="F82" s="80">
        <v>20</v>
      </c>
      <c r="G82" s="57">
        <v>0</v>
      </c>
      <c r="H82" s="58"/>
      <c r="I82" s="62" t="s">
        <v>68</v>
      </c>
      <c r="J82" s="62" t="s">
        <v>68</v>
      </c>
      <c r="K82" s="60">
        <f>I83</f>
        <v>9.5473944458650886E-6</v>
      </c>
      <c r="L82" s="60">
        <f>I85</f>
        <v>1.0026648411715945E-4</v>
      </c>
      <c r="M82" s="60">
        <f>(C82-$O$2)*K82+L82</f>
        <v>4.5016153236609657E-3</v>
      </c>
    </row>
    <row r="83" spans="1:13" ht="14">
      <c r="A83" s="55">
        <f t="shared" ref="A83:A89" si="13">A82</f>
        <v>133</v>
      </c>
      <c r="B83" s="55" t="s">
        <v>151</v>
      </c>
      <c r="C83" s="80">
        <v>471</v>
      </c>
      <c r="D83" s="56" t="s">
        <v>35</v>
      </c>
      <c r="E83" s="80">
        <v>57</v>
      </c>
      <c r="F83" s="80">
        <v>277</v>
      </c>
      <c r="G83" s="57">
        <v>5.0000000000000001E-4</v>
      </c>
      <c r="H83" s="58"/>
      <c r="I83" s="58">
        <f>SLOPE(G82:G88, E82:E88)</f>
        <v>9.5473944458650886E-6</v>
      </c>
      <c r="J83" s="58">
        <f>SLOPE(G82:G88, F82:F88)</f>
        <v>2.0716708079000056E-6</v>
      </c>
      <c r="K83" s="60">
        <f>I83</f>
        <v>9.5473944458650886E-6</v>
      </c>
      <c r="L83" s="60">
        <f>I85</f>
        <v>1.0026648411715945E-4</v>
      </c>
      <c r="M83" s="60">
        <f>(C83-$O$2)*K83+L83</f>
        <v>4.5970892681196163E-3</v>
      </c>
    </row>
    <row r="84" spans="1:13" ht="14">
      <c r="A84" s="55">
        <f t="shared" si="13"/>
        <v>133</v>
      </c>
      <c r="B84" s="55" t="s">
        <v>152</v>
      </c>
      <c r="C84" s="80">
        <v>206</v>
      </c>
      <c r="D84" s="56" t="s">
        <v>36</v>
      </c>
      <c r="E84" s="80">
        <v>110</v>
      </c>
      <c r="F84" s="80">
        <v>528</v>
      </c>
      <c r="G84" s="57">
        <v>1E-3</v>
      </c>
      <c r="H84" s="58"/>
      <c r="I84" s="62" t="s">
        <v>71</v>
      </c>
      <c r="J84" s="62" t="s">
        <v>71</v>
      </c>
      <c r="K84" s="60">
        <f>I83</f>
        <v>9.5473944458650886E-6</v>
      </c>
      <c r="L84" s="60">
        <f>I85</f>
        <v>1.0026648411715945E-4</v>
      </c>
      <c r="M84" s="60">
        <f>(C84-$O$3)*K84 + L84</f>
        <v>2.0670297399653678E-3</v>
      </c>
    </row>
    <row r="85" spans="1:13" ht="14">
      <c r="A85" s="55">
        <f t="shared" si="13"/>
        <v>133</v>
      </c>
      <c r="B85" s="55" t="s">
        <v>153</v>
      </c>
      <c r="C85" s="80">
        <v>211</v>
      </c>
      <c r="D85" s="56" t="s">
        <v>36</v>
      </c>
      <c r="E85" s="80">
        <v>196</v>
      </c>
      <c r="F85" s="80">
        <v>1045</v>
      </c>
      <c r="G85" s="57">
        <v>2E-3</v>
      </c>
      <c r="H85" s="58"/>
      <c r="I85" s="58">
        <f>INTERCEPT(G82:G88, E82:E88)</f>
        <v>1.0026648411715945E-4</v>
      </c>
      <c r="J85" s="58">
        <f>INTERCEPT(G82:G88, F82:F88)</f>
        <v>-9.8838334836042971E-5</v>
      </c>
      <c r="K85" s="60">
        <f>I83</f>
        <v>9.5473944458650886E-6</v>
      </c>
      <c r="L85" s="60">
        <f>I85</f>
        <v>1.0026648411715945E-4</v>
      </c>
      <c r="M85" s="60">
        <f>(C85-$O$3)*K85+ L85</f>
        <v>2.1147667121946931E-3</v>
      </c>
    </row>
    <row r="86" spans="1:13" ht="14">
      <c r="A86" s="55">
        <f t="shared" si="13"/>
        <v>133</v>
      </c>
      <c r="B86" s="55" t="s">
        <v>154</v>
      </c>
      <c r="C86" s="80">
        <v>1271</v>
      </c>
      <c r="D86" s="56" t="s">
        <v>37</v>
      </c>
      <c r="E86" s="80">
        <v>503</v>
      </c>
      <c r="F86" s="80">
        <v>2533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2.0716708079000056E-6</v>
      </c>
      <c r="L86" s="60">
        <f>J85</f>
        <v>-9.8838334836042971E-5</v>
      </c>
      <c r="M86" s="60">
        <f>(C86-$O$4)*K86 + L86</f>
        <v>1.8594084963314372E-3</v>
      </c>
    </row>
    <row r="87" spans="1:13" ht="14">
      <c r="A87" s="55">
        <f t="shared" si="13"/>
        <v>133</v>
      </c>
      <c r="B87" s="55" t="s">
        <v>155</v>
      </c>
      <c r="C87" s="80">
        <v>1326</v>
      </c>
      <c r="D87" s="56" t="s">
        <v>37</v>
      </c>
      <c r="E87" s="80">
        <v>951</v>
      </c>
      <c r="F87" s="80">
        <v>4796</v>
      </c>
      <c r="G87" s="57">
        <v>0.01</v>
      </c>
      <c r="H87" s="58"/>
      <c r="I87" s="61">
        <f>RSQ(G82:G88, E82:E88)</f>
        <v>0.99703575090712326</v>
      </c>
      <c r="J87" s="61">
        <f>RSQ(G82:G88, F82:F88)</f>
        <v>0.9998169515206583</v>
      </c>
      <c r="K87" s="60">
        <f>J83</f>
        <v>2.0716708079000056E-6</v>
      </c>
      <c r="L87" s="60">
        <f>J85</f>
        <v>-9.8838334836042971E-5</v>
      </c>
      <c r="M87" s="60">
        <f>(C87-$O$4)*K87 + L87</f>
        <v>1.9733503907659379E-3</v>
      </c>
    </row>
    <row r="88" spans="1:13" ht="14">
      <c r="A88" s="55">
        <f t="shared" si="13"/>
        <v>133</v>
      </c>
      <c r="B88" s="55" t="s">
        <v>156</v>
      </c>
      <c r="C88" s="80">
        <v>125</v>
      </c>
      <c r="D88" s="56" t="s">
        <v>38</v>
      </c>
      <c r="E88" s="80">
        <v>2124</v>
      </c>
      <c r="F88" s="80">
        <v>9719</v>
      </c>
      <c r="G88" s="57">
        <v>0.02</v>
      </c>
      <c r="H88" s="58"/>
      <c r="I88" s="58"/>
      <c r="J88" s="58"/>
      <c r="K88" s="60">
        <f>I83</f>
        <v>9.5473944458650886E-6</v>
      </c>
      <c r="L88" s="60">
        <f>I85</f>
        <v>1.0026648411715945E-4</v>
      </c>
      <c r="M88" s="60">
        <f>(C88-$O$5)*K88 + L88</f>
        <v>1.2936907898502955E-3</v>
      </c>
    </row>
    <row r="89" spans="1:13" ht="14">
      <c r="A89" s="55">
        <f t="shared" si="13"/>
        <v>133</v>
      </c>
      <c r="B89" s="55" t="s">
        <v>157</v>
      </c>
      <c r="C89" s="80">
        <v>98</v>
      </c>
      <c r="D89" s="56" t="s">
        <v>38</v>
      </c>
      <c r="E89" s="80">
        <v>15</v>
      </c>
      <c r="F89" s="80">
        <v>16</v>
      </c>
      <c r="G89" s="56"/>
      <c r="H89" s="58"/>
      <c r="I89" s="58"/>
      <c r="J89" s="58"/>
      <c r="K89" s="60">
        <f>I83</f>
        <v>9.5473944458650886E-6</v>
      </c>
      <c r="L89" s="60">
        <f>I85</f>
        <v>1.0026648411715945E-4</v>
      </c>
      <c r="M89" s="60">
        <f>(C89-$O$5)*K89 + L89</f>
        <v>1.0359111398119381E-3</v>
      </c>
    </row>
    <row r="90" spans="1:13" ht="14">
      <c r="A90" s="55">
        <f>P13</f>
        <v>135</v>
      </c>
      <c r="B90" s="55" t="s">
        <v>158</v>
      </c>
      <c r="C90" s="80">
        <v>474</v>
      </c>
      <c r="D90" s="56" t="s">
        <v>35</v>
      </c>
      <c r="E90" s="80">
        <v>16</v>
      </c>
      <c r="F90" s="80">
        <v>18</v>
      </c>
      <c r="G90" s="57">
        <v>0</v>
      </c>
      <c r="H90" s="58"/>
      <c r="I90" s="62" t="s">
        <v>68</v>
      </c>
      <c r="J90" s="62" t="s">
        <v>68</v>
      </c>
      <c r="K90" s="60">
        <f>I91</f>
        <v>9.8665685455207519E-6</v>
      </c>
      <c r="L90" s="60">
        <f>I93</f>
        <v>1.7487200500322913E-4</v>
      </c>
      <c r="M90" s="60">
        <f>(C90-$O$2)*K90+L90</f>
        <v>4.8516254955800657E-3</v>
      </c>
    </row>
    <row r="91" spans="1:13" ht="14">
      <c r="A91" s="55">
        <f t="shared" ref="A91:A97" si="14">A90</f>
        <v>135</v>
      </c>
      <c r="B91" s="55" t="s">
        <v>159</v>
      </c>
      <c r="C91" s="80">
        <v>482</v>
      </c>
      <c r="D91" s="56" t="s">
        <v>35</v>
      </c>
      <c r="E91" s="80">
        <v>55</v>
      </c>
      <c r="F91" s="80">
        <v>259</v>
      </c>
      <c r="G91" s="57">
        <v>5.0000000000000001E-4</v>
      </c>
      <c r="H91" s="58"/>
      <c r="I91" s="58">
        <f>SLOPE(G90:G96, E90:E96)</f>
        <v>9.8665685455207519E-6</v>
      </c>
      <c r="J91" s="58">
        <f>SLOPE(G90:G96, F90:F96)</f>
        <v>2.1977630940588909E-6</v>
      </c>
      <c r="K91" s="60">
        <f>I91</f>
        <v>9.8665685455207519E-6</v>
      </c>
      <c r="L91" s="60">
        <f>I93</f>
        <v>1.7487200500322913E-4</v>
      </c>
      <c r="M91" s="60">
        <f>(C91-$O$2)*K91+L91</f>
        <v>4.9305580439442317E-3</v>
      </c>
    </row>
    <row r="92" spans="1:13" ht="14">
      <c r="A92" s="55">
        <f t="shared" si="14"/>
        <v>135</v>
      </c>
      <c r="B92" s="55" t="s">
        <v>160</v>
      </c>
      <c r="C92" s="80">
        <v>232</v>
      </c>
      <c r="D92" s="56" t="s">
        <v>36</v>
      </c>
      <c r="E92" s="80">
        <v>106</v>
      </c>
      <c r="F92" s="80">
        <v>487</v>
      </c>
      <c r="G92" s="57">
        <v>1E-3</v>
      </c>
      <c r="H92" s="58"/>
      <c r="I92" s="62" t="s">
        <v>71</v>
      </c>
      <c r="J92" s="62" t="s">
        <v>71</v>
      </c>
      <c r="K92" s="60">
        <f>I91</f>
        <v>9.8665685455207519E-6</v>
      </c>
      <c r="L92" s="60">
        <f>I93</f>
        <v>1.7487200500322913E-4</v>
      </c>
      <c r="M92" s="60">
        <f>(C92-$O$3)*K92 + L92</f>
        <v>2.4639159075640436E-3</v>
      </c>
    </row>
    <row r="93" spans="1:13" ht="14">
      <c r="A93" s="55">
        <f t="shared" si="14"/>
        <v>135</v>
      </c>
      <c r="B93" s="55" t="s">
        <v>161</v>
      </c>
      <c r="C93" s="80">
        <v>216</v>
      </c>
      <c r="D93" s="56" t="s">
        <v>36</v>
      </c>
      <c r="E93" s="80">
        <v>191</v>
      </c>
      <c r="F93" s="80">
        <v>1025</v>
      </c>
      <c r="G93" s="57">
        <v>2E-3</v>
      </c>
      <c r="H93" s="58"/>
      <c r="I93" s="58">
        <f>INTERCEPT(G90:G96, E90:E96)</f>
        <v>1.7487200500322913E-4</v>
      </c>
      <c r="J93" s="58">
        <f>INTERCEPT(G90:G96, F90:F96)</f>
        <v>-1.8184553045482062E-4</v>
      </c>
      <c r="K93" s="60">
        <f>I91</f>
        <v>9.8665685455207519E-6</v>
      </c>
      <c r="L93" s="60">
        <f>I93</f>
        <v>1.7487200500322913E-4</v>
      </c>
      <c r="M93" s="60">
        <f>(C93-$O$3)*K93+ L93</f>
        <v>2.3060508108357115E-3</v>
      </c>
    </row>
    <row r="94" spans="1:13" ht="14">
      <c r="A94" s="55">
        <f t="shared" si="14"/>
        <v>135</v>
      </c>
      <c r="B94" s="55" t="s">
        <v>162</v>
      </c>
      <c r="C94" s="80">
        <v>1289</v>
      </c>
      <c r="D94" s="56" t="s">
        <v>37</v>
      </c>
      <c r="E94" s="80">
        <v>480</v>
      </c>
      <c r="F94" s="80">
        <v>2532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2.1977630940588909E-6</v>
      </c>
      <c r="L94" s="60">
        <f>J93</f>
        <v>-1.8184553045482062E-4</v>
      </c>
      <c r="M94" s="60">
        <f>(C94-$O$4)*K94 + L94</f>
        <v>1.935149769897406E-3</v>
      </c>
    </row>
    <row r="95" spans="1:13" ht="14">
      <c r="A95" s="55">
        <f t="shared" si="14"/>
        <v>135</v>
      </c>
      <c r="B95" s="55" t="s">
        <v>163</v>
      </c>
      <c r="C95" s="80">
        <v>1325</v>
      </c>
      <c r="D95" s="56" t="s">
        <v>37</v>
      </c>
      <c r="E95" s="80">
        <v>867</v>
      </c>
      <c r="F95" s="80">
        <v>4649</v>
      </c>
      <c r="G95" s="57">
        <v>0.01</v>
      </c>
      <c r="H95" s="58"/>
      <c r="I95" s="61">
        <f>RSQ(G90:G96, E90:E96)</f>
        <v>0.99336364290405399</v>
      </c>
      <c r="J95" s="61">
        <f>RSQ(G90:G96, F90:F96)</f>
        <v>0.99933012424141565</v>
      </c>
      <c r="K95" s="60">
        <f>J91</f>
        <v>2.1977630940588909E-6</v>
      </c>
      <c r="L95" s="60">
        <f>J93</f>
        <v>-1.8184553045482062E-4</v>
      </c>
      <c r="M95" s="60">
        <f>(C95-$O$4)*K95 + L95</f>
        <v>2.0142692412835261E-3</v>
      </c>
    </row>
    <row r="96" spans="1:13" ht="14">
      <c r="A96" s="55">
        <f t="shared" si="14"/>
        <v>135</v>
      </c>
      <c r="B96" s="55" t="s">
        <v>164</v>
      </c>
      <c r="C96" s="80">
        <v>107</v>
      </c>
      <c r="D96" s="56" t="s">
        <v>38</v>
      </c>
      <c r="E96" s="80">
        <v>2063</v>
      </c>
      <c r="F96" s="80">
        <v>9127</v>
      </c>
      <c r="G96" s="57">
        <v>0.02</v>
      </c>
      <c r="I96" s="58"/>
      <c r="J96" s="58"/>
      <c r="K96" s="60">
        <f>I91</f>
        <v>9.8665685455207519E-6</v>
      </c>
      <c r="L96" s="60">
        <f>I93</f>
        <v>1.7487200500322913E-4</v>
      </c>
      <c r="M96" s="60">
        <f>(C96-$O$5)*K96 + L96</f>
        <v>1.2305948393739495E-3</v>
      </c>
    </row>
    <row r="97" spans="1:13" ht="14">
      <c r="A97" s="55">
        <f t="shared" si="14"/>
        <v>135</v>
      </c>
      <c r="B97" s="55" t="s">
        <v>165</v>
      </c>
      <c r="C97" s="80">
        <v>103</v>
      </c>
      <c r="D97" s="56" t="s">
        <v>38</v>
      </c>
      <c r="E97" s="80">
        <v>16</v>
      </c>
      <c r="F97" s="80">
        <v>18</v>
      </c>
      <c r="G97" s="56"/>
      <c r="I97" s="58"/>
      <c r="J97" s="58"/>
      <c r="K97" s="60">
        <f>I91</f>
        <v>9.8665685455207519E-6</v>
      </c>
      <c r="L97" s="60">
        <f>I93</f>
        <v>1.7487200500322913E-4</v>
      </c>
      <c r="M97" s="60">
        <f>(C97-$O$5)*K97 + L97</f>
        <v>1.1911285651918665E-3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4" si="15">AVERAGE(C2,C10,C18,C26,C34,C42,C50,C58,C66,C74,C82,C90)</f>
        <v>405.5</v>
      </c>
      <c r="D100" s="56" t="s">
        <v>35</v>
      </c>
      <c r="I100" s="58"/>
      <c r="J100" s="58"/>
    </row>
    <row r="101" spans="1:13" ht="14">
      <c r="C101" s="63">
        <f t="shared" si="15"/>
        <v>412.16666666666669</v>
      </c>
      <c r="D101" s="56" t="s">
        <v>35</v>
      </c>
      <c r="I101" s="58"/>
      <c r="J101" s="58"/>
    </row>
    <row r="102" spans="1:13" ht="14">
      <c r="C102" s="63">
        <f t="shared" si="15"/>
        <v>187.83333333333334</v>
      </c>
      <c r="D102" s="56" t="s">
        <v>36</v>
      </c>
      <c r="I102" s="58"/>
      <c r="J102" s="58"/>
    </row>
    <row r="103" spans="1:13" ht="14">
      <c r="C103" s="63">
        <f t="shared" si="15"/>
        <v>178.33333333333334</v>
      </c>
      <c r="D103" s="56" t="s">
        <v>36</v>
      </c>
      <c r="I103" s="58"/>
      <c r="J103" s="58"/>
    </row>
    <row r="104" spans="1:13" ht="14">
      <c r="C104" s="63">
        <f t="shared" si="15"/>
        <v>1144.9166666666667</v>
      </c>
      <c r="D104" s="56" t="s">
        <v>37</v>
      </c>
      <c r="I104" s="58"/>
      <c r="J104" s="58"/>
    </row>
    <row r="105" spans="1:13" ht="14">
      <c r="C105" s="63">
        <f>AVERAGE(C7,C15,C23,C31,C39,C47,C55,C63,C71,C79,C87,C95)</f>
        <v>1142.6666666666667</v>
      </c>
      <c r="D105" s="56" t="s">
        <v>37</v>
      </c>
      <c r="I105" s="58"/>
      <c r="J105" s="58"/>
    </row>
    <row r="106" spans="1:13" ht="14">
      <c r="C106" s="63">
        <f t="shared" ref="C106:C107" si="16">AVERAGE(C8,C16,C24,C32,C40,C48,C56,C64,C72,C80,C88,C96)</f>
        <v>96.666666666666671</v>
      </c>
      <c r="D106" s="56" t="s">
        <v>38</v>
      </c>
      <c r="I106" s="58"/>
      <c r="J106" s="58"/>
    </row>
    <row r="107" spans="1:13" ht="14">
      <c r="C107" s="63">
        <f t="shared" si="16"/>
        <v>95.583333333333329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5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9286-2D77-9441-A994-F4EE76E864CD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P2" sqref="P2:Q13"/>
      <selection pane="topRight" activeCell="P2" sqref="P2:Q13"/>
      <selection pane="bottomLeft" activeCell="P2" sqref="P2:Q13"/>
      <selection pane="bottomRight" activeCell="V13" sqref="V13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>
        <v>10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136</v>
      </c>
      <c r="B2" s="55" t="s">
        <v>67</v>
      </c>
      <c r="C2" s="80">
        <v>416</v>
      </c>
      <c r="D2" s="56" t="s">
        <v>35</v>
      </c>
      <c r="E2" s="80">
        <v>19</v>
      </c>
      <c r="F2" s="80">
        <v>15</v>
      </c>
      <c r="G2" s="57">
        <v>0</v>
      </c>
      <c r="H2" s="58"/>
      <c r="I2" s="59" t="s">
        <v>68</v>
      </c>
      <c r="J2" s="59" t="s">
        <v>68</v>
      </c>
      <c r="K2" s="60">
        <f>I3</f>
        <v>1.1831867346934931E-5</v>
      </c>
      <c r="L2" s="60">
        <f>I5</f>
        <v>-2.0126979445878827E-4</v>
      </c>
      <c r="M2" s="60">
        <f>(C2-$O$2)*K2+L2</f>
        <v>4.7207870218661432E-3</v>
      </c>
      <c r="N2" s="47" t="str">
        <f>'enzyme setup and metadata'!F179</f>
        <v>BG</v>
      </c>
      <c r="O2" s="47">
        <f>'enzyme setup and metadata'!G186</f>
        <v>0</v>
      </c>
      <c r="P2" s="91">
        <f>'enzyme setup and metadata'!A110</f>
        <v>136</v>
      </c>
      <c r="Q2" s="66">
        <f>'enzyme setup and metadata'!I110</f>
        <v>2.1721896305692092</v>
      </c>
      <c r="R2" s="14">
        <f>'enzyme setup and metadata'!R180</f>
        <v>3.2499999999417923</v>
      </c>
      <c r="S2" s="14">
        <f>(((M2+M3)/2)*91)/(R2*Q2*0.8)</f>
        <v>7.4921107869724807E-2</v>
      </c>
      <c r="T2" s="14">
        <f>(((M4+M5)/2)*91)/(R2*Q2*0.8)</f>
        <v>3.6125012909097323E-2</v>
      </c>
      <c r="U2" s="14">
        <f>(((M6+M7)/2)*91)/(R2*Q2*0.8)</f>
        <v>3.0995786126195409E-2</v>
      </c>
      <c r="V2" s="14">
        <f>(((M8+M9)/2)*91)/(R2*Q2*0.8)</f>
        <v>1.6965270680384489E-2</v>
      </c>
      <c r="W2" s="14">
        <f>S2*1000</f>
        <v>74.921107869724807</v>
      </c>
      <c r="X2" s="14">
        <f>T2*1000</f>
        <v>36.125012909097322</v>
      </c>
      <c r="Y2" s="14">
        <f>U2*1000</f>
        <v>30.995786126195409</v>
      </c>
      <c r="Z2" s="14">
        <f>V2*1000</f>
        <v>16.965270680384489</v>
      </c>
    </row>
    <row r="3" spans="1:26" ht="14">
      <c r="A3" s="55">
        <f t="shared" ref="A3:A9" si="0">A2</f>
        <v>136</v>
      </c>
      <c r="B3" s="55" t="s">
        <v>69</v>
      </c>
      <c r="C3" s="80">
        <v>404</v>
      </c>
      <c r="D3" s="56" t="s">
        <v>35</v>
      </c>
      <c r="E3" s="80">
        <v>57</v>
      </c>
      <c r="F3" s="80">
        <v>238</v>
      </c>
      <c r="G3" s="57">
        <v>5.0000000000000001E-4</v>
      </c>
      <c r="H3" s="58"/>
      <c r="I3" s="59">
        <f>SLOPE(G2:G8, E2:E8)</f>
        <v>1.1831867346934931E-5</v>
      </c>
      <c r="J3" s="59">
        <f>SLOPE(G2:G8, F2:F8)</f>
        <v>2.0770575144517767E-6</v>
      </c>
      <c r="K3" s="60">
        <f>I3</f>
        <v>1.1831867346934931E-5</v>
      </c>
      <c r="L3" s="60">
        <f>I5</f>
        <v>-2.0126979445878827E-4</v>
      </c>
      <c r="M3" s="60">
        <f>(C3-$O$2)*K3+L3</f>
        <v>4.5788046137029241E-3</v>
      </c>
      <c r="N3" s="47" t="str">
        <f>'enzyme setup and metadata'!F180</f>
        <v>CB</v>
      </c>
      <c r="O3" s="47">
        <f>'enzyme setup and metadata'!G187</f>
        <v>0</v>
      </c>
      <c r="P3" s="91">
        <f>'enzyme setup and metadata'!A111</f>
        <v>137</v>
      </c>
      <c r="Q3" s="66">
        <f>'enzyme setup and metadata'!I111</f>
        <v>2.198063799396921</v>
      </c>
      <c r="R3" s="14">
        <f>R2</f>
        <v>3.2499999999417923</v>
      </c>
      <c r="S3" s="14">
        <f>(((M10+M11)/2)*91)/(R3*Q3*0.8)</f>
        <v>7.3432841399980825E-2</v>
      </c>
      <c r="T3" s="14">
        <f>(((M12+M13)/2)*91)/(R3*Q3*0.8)</f>
        <v>3.5667215506350942E-2</v>
      </c>
      <c r="U3" s="14">
        <f>(((M14+M15)/2)*91)/(R3*Q3*0.8)</f>
        <v>3.5301738379391816E-2</v>
      </c>
      <c r="V3" s="14">
        <f>(((M16+M17)/2)*91)/(R3*Q3*0.8)</f>
        <v>1.7102907838156985E-2</v>
      </c>
      <c r="W3" s="14">
        <f>S3*1000</f>
        <v>73.43284139998083</v>
      </c>
      <c r="X3" s="14">
        <f t="shared" ref="X3:Z13" si="1">T3*1000</f>
        <v>35.667215506350942</v>
      </c>
      <c r="Y3" s="14">
        <f t="shared" si="1"/>
        <v>35.301738379391814</v>
      </c>
      <c r="Z3" s="14">
        <f t="shared" si="1"/>
        <v>17.102907838156984</v>
      </c>
    </row>
    <row r="4" spans="1:26" ht="14">
      <c r="A4" s="55">
        <f t="shared" si="0"/>
        <v>136</v>
      </c>
      <c r="B4" s="55" t="s">
        <v>70</v>
      </c>
      <c r="C4" s="80">
        <v>201</v>
      </c>
      <c r="D4" s="56" t="s">
        <v>36</v>
      </c>
      <c r="E4" s="80">
        <v>103</v>
      </c>
      <c r="F4" s="80">
        <v>502</v>
      </c>
      <c r="G4" s="57">
        <v>1E-3</v>
      </c>
      <c r="H4" s="58"/>
      <c r="I4" s="59" t="s">
        <v>71</v>
      </c>
      <c r="J4" s="59" t="s">
        <v>71</v>
      </c>
      <c r="K4" s="60">
        <f>I3</f>
        <v>1.1831867346934931E-5</v>
      </c>
      <c r="L4" s="60">
        <f>I5</f>
        <v>-2.0126979445878827E-4</v>
      </c>
      <c r="M4" s="60">
        <f>(C4-$O$3)*K4 + L4</f>
        <v>2.1769355422751329E-3</v>
      </c>
      <c r="N4" s="47" t="str">
        <f>'enzyme setup and metadata'!F181</f>
        <v>LAP</v>
      </c>
      <c r="O4" s="47">
        <f>'enzyme setup and metadata'!G188</f>
        <v>325.75</v>
      </c>
      <c r="P4" s="91">
        <f>'enzyme setup and metadata'!A112</f>
        <v>138</v>
      </c>
      <c r="Q4" s="66">
        <f>'enzyme setup and metadata'!I112</f>
        <v>2.1759847522236342</v>
      </c>
      <c r="R4" s="14">
        <f t="shared" ref="R4:R13" si="2">R3</f>
        <v>3.2499999999417923</v>
      </c>
      <c r="S4" s="14">
        <f>(((M18+M19)/2)*91)/(R4*Q4*0.8)</f>
        <v>6.9813533486276586E-2</v>
      </c>
      <c r="T4" s="14">
        <f>(((M20+M21)/2)*91)/(R4*Q4*0.8)</f>
        <v>3.3152826691264639E-2</v>
      </c>
      <c r="U4" s="14">
        <f>(((M22+M23)/2)*91)/(R4*Q4*0.8)</f>
        <v>3.2287341609980841E-2</v>
      </c>
      <c r="V4" s="14">
        <f>(((M24+M25)/2)*91)/(R4*Q4*0.8)</f>
        <v>1.610338955527113E-2</v>
      </c>
      <c r="W4" s="14">
        <f>S4*1000</f>
        <v>69.813533486276583</v>
      </c>
      <c r="X4" s="14">
        <f t="shared" si="1"/>
        <v>33.152826691264636</v>
      </c>
      <c r="Y4" s="14">
        <f t="shared" si="1"/>
        <v>32.287341609980842</v>
      </c>
      <c r="Z4" s="14">
        <f t="shared" si="1"/>
        <v>16.103389555271129</v>
      </c>
    </row>
    <row r="5" spans="1:26" ht="14">
      <c r="A5" s="55">
        <f t="shared" si="0"/>
        <v>136</v>
      </c>
      <c r="B5" s="55" t="s">
        <v>72</v>
      </c>
      <c r="C5" s="80">
        <v>212</v>
      </c>
      <c r="D5" s="56" t="s">
        <v>36</v>
      </c>
      <c r="E5" s="80">
        <v>185</v>
      </c>
      <c r="F5" s="80">
        <v>867</v>
      </c>
      <c r="G5" s="57">
        <v>2E-3</v>
      </c>
      <c r="H5" s="58"/>
      <c r="I5" s="59">
        <f>INTERCEPT(G2:G8, E2:E8)</f>
        <v>-2.0126979445878827E-4</v>
      </c>
      <c r="J5" s="59">
        <f>INTERCEPT(G2:G8, F2:F8)</f>
        <v>8.4186923788968915E-7</v>
      </c>
      <c r="K5" s="60">
        <f>I3</f>
        <v>1.1831867346934931E-5</v>
      </c>
      <c r="L5" s="60">
        <f>I5</f>
        <v>-2.0126979445878827E-4</v>
      </c>
      <c r="M5" s="60">
        <f>(C5-$O$3)*K5+ L5</f>
        <v>2.3070860830914173E-3</v>
      </c>
      <c r="N5" s="47" t="str">
        <f>'enzyme setup and metadata'!F182</f>
        <v>XYL</v>
      </c>
      <c r="O5" s="47">
        <f>'enzyme setup and metadata'!G189</f>
        <v>0</v>
      </c>
      <c r="P5" s="91">
        <f>'enzyme setup and metadata'!A113</f>
        <v>140</v>
      </c>
      <c r="Q5" s="66">
        <f>'enzyme setup and metadata'!I113</f>
        <v>2.1987617082076518</v>
      </c>
      <c r="R5" s="14">
        <f t="shared" si="2"/>
        <v>3.2499999999417923</v>
      </c>
      <c r="S5" s="14">
        <f>(((M26+M27)/2)*91)/(R5*Q5*0.8)</f>
        <v>6.9368305276554937E-2</v>
      </c>
      <c r="T5" s="14">
        <f>(((M28+M29)/2)*91)/(R5*Q5*0.8)</f>
        <v>3.3450399908737917E-2</v>
      </c>
      <c r="U5" s="14">
        <f>(((M30+M31)/2)*91)/(R5*Q5*0.8)</f>
        <v>3.1523579079748315E-2</v>
      </c>
      <c r="V5" s="14">
        <f>(((M32+M33)/2)*91)/(R5*Q5*0.8)</f>
        <v>1.6354858411555782E-2</v>
      </c>
      <c r="W5" s="14">
        <f t="shared" ref="W5:W13" si="3">S5*1000</f>
        <v>69.368305276554935</v>
      </c>
      <c r="X5" s="14">
        <f t="shared" si="1"/>
        <v>33.450399908737914</v>
      </c>
      <c r="Y5" s="14">
        <f t="shared" si="1"/>
        <v>31.523579079748316</v>
      </c>
      <c r="Z5" s="14">
        <f t="shared" si="1"/>
        <v>16.354858411555782</v>
      </c>
    </row>
    <row r="6" spans="1:26" ht="14">
      <c r="A6" s="55">
        <f t="shared" si="0"/>
        <v>136</v>
      </c>
      <c r="B6" s="55" t="s">
        <v>73</v>
      </c>
      <c r="C6" s="80">
        <v>1356</v>
      </c>
      <c r="D6" s="56" t="s">
        <v>37</v>
      </c>
      <c r="E6" s="80">
        <v>449</v>
      </c>
      <c r="F6" s="80">
        <v>3036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2.0770575144517767E-6</v>
      </c>
      <c r="L6" s="60">
        <f>J5</f>
        <v>8.4186923788968915E-7</v>
      </c>
      <c r="M6" s="60">
        <f>(C6-$O$4)*K6 + L6</f>
        <v>2.1407303735018327E-3</v>
      </c>
      <c r="P6" s="91">
        <f>'enzyme setup and metadata'!A114</f>
        <v>141</v>
      </c>
      <c r="Q6" s="66">
        <f>'enzyme setup and metadata'!I114</f>
        <v>2.2001588562351073</v>
      </c>
      <c r="R6" s="14">
        <f t="shared" si="2"/>
        <v>3.2499999999417923</v>
      </c>
      <c r="S6" s="14">
        <f>(((M34+M35)/2)*91)/(R6*Q6*0.8)</f>
        <v>6.5778598355145976E-2</v>
      </c>
      <c r="T6" s="14">
        <f>(((M36+M37)/2)*91)/(R6*Q6*0.8)</f>
        <v>3.1880445048594899E-2</v>
      </c>
      <c r="U6" s="14">
        <f>(((M38+M39)/2)*91)/(R6*Q6*0.8)</f>
        <v>1.9955817896331454E-2</v>
      </c>
      <c r="V6" s="14">
        <f>(((M40+M41)/2)*91)/(R6*Q6*0.8)</f>
        <v>1.5467470576566522E-2</v>
      </c>
      <c r="W6" s="14">
        <f t="shared" si="3"/>
        <v>65.778598355145974</v>
      </c>
      <c r="X6" s="14">
        <f t="shared" si="1"/>
        <v>31.8804450485949</v>
      </c>
      <c r="Y6" s="14">
        <f t="shared" si="1"/>
        <v>19.955817896331453</v>
      </c>
      <c r="Z6" s="14">
        <f t="shared" si="1"/>
        <v>15.467470576566523</v>
      </c>
    </row>
    <row r="7" spans="1:26" ht="14">
      <c r="A7" s="55">
        <f t="shared" si="0"/>
        <v>136</v>
      </c>
      <c r="B7" s="55" t="s">
        <v>75</v>
      </c>
      <c r="C7" s="80">
        <v>1147</v>
      </c>
      <c r="D7" s="56" t="s">
        <v>37</v>
      </c>
      <c r="E7" s="80">
        <v>848</v>
      </c>
      <c r="F7" s="80">
        <v>4153</v>
      </c>
      <c r="G7" s="57">
        <v>0.01</v>
      </c>
      <c r="H7" s="58"/>
      <c r="I7" s="61">
        <f>RSQ(G2:G8, E2:E8)</f>
        <v>0.99985780107614941</v>
      </c>
      <c r="J7" s="61">
        <f>RSQ(G2:G8, F2:F8)</f>
        <v>0.98846743223471389</v>
      </c>
      <c r="K7" s="60">
        <f>J3</f>
        <v>2.0770575144517767E-6</v>
      </c>
      <c r="L7" s="60">
        <f>J5</f>
        <v>8.4186923788968915E-7</v>
      </c>
      <c r="M7" s="60">
        <f>(C7-$O$4)*K7 + L7</f>
        <v>1.7066253529814113E-3</v>
      </c>
      <c r="P7" s="91">
        <f>'enzyme setup and metadata'!A115</f>
        <v>142</v>
      </c>
      <c r="Q7" s="66">
        <f>'enzyme setup and metadata'!I115</f>
        <v>2.1598101265822782</v>
      </c>
      <c r="R7" s="14">
        <f t="shared" si="2"/>
        <v>3.2499999999417923</v>
      </c>
      <c r="S7" s="14">
        <f>(((M42+M43)/2)*91)/(R7*Q7*0.8)</f>
        <v>6.4861713817177952E-2</v>
      </c>
      <c r="T7" s="14">
        <f>(((M44+M45)/2)*91)/(R7*Q7*0.8)</f>
        <v>3.219528320403095E-2</v>
      </c>
      <c r="U7" s="14">
        <f>(((M46+M47)/2)*91)/(R7*Q7*0.8)</f>
        <v>2.0986639722223376E-2</v>
      </c>
      <c r="V7" s="14">
        <f>(((M48+M49)/2)*91)/(R7*Q7*0.8)</f>
        <v>1.7838185304919419E-2</v>
      </c>
      <c r="W7" s="14">
        <f t="shared" si="3"/>
        <v>64.861713817177957</v>
      </c>
      <c r="X7" s="14">
        <f t="shared" si="1"/>
        <v>32.19528320403095</v>
      </c>
      <c r="Y7" s="14">
        <f t="shared" si="1"/>
        <v>20.986639722223376</v>
      </c>
      <c r="Z7" s="14">
        <f t="shared" si="1"/>
        <v>17.838185304919421</v>
      </c>
    </row>
    <row r="8" spans="1:26" ht="14">
      <c r="A8" s="55">
        <f t="shared" si="0"/>
        <v>136</v>
      </c>
      <c r="B8" s="55" t="s">
        <v>76</v>
      </c>
      <c r="C8" s="80">
        <v>116</v>
      </c>
      <c r="D8" s="56" t="s">
        <v>38</v>
      </c>
      <c r="E8" s="80">
        <v>1712</v>
      </c>
      <c r="F8" s="80">
        <v>9722</v>
      </c>
      <c r="G8" s="57">
        <v>0.02</v>
      </c>
      <c r="H8" s="58"/>
      <c r="I8" s="58"/>
      <c r="J8" s="58"/>
      <c r="K8" s="60">
        <f>I3</f>
        <v>1.1831867346934931E-5</v>
      </c>
      <c r="L8" s="60">
        <f>I5</f>
        <v>-2.0126979445878827E-4</v>
      </c>
      <c r="M8" s="60">
        <f>(C8-$O$5)*K8 + L8</f>
        <v>1.1712268177856639E-3</v>
      </c>
      <c r="P8" s="91">
        <f>'enzyme setup and metadata'!A116</f>
        <v>143</v>
      </c>
      <c r="Q8" s="66">
        <f>'enzyme setup and metadata'!I116</f>
        <v>2.1594684385382057</v>
      </c>
      <c r="R8" s="14">
        <f t="shared" si="2"/>
        <v>3.2499999999417923</v>
      </c>
      <c r="S8" s="14">
        <f>(((M50+M51)/2)*91)/(R8*Q8*0.8)</f>
        <v>6.5223080212024456E-2</v>
      </c>
      <c r="T8" s="14">
        <f>(((M52+M53)/2)*91)/(R8*Q8*0.8)</f>
        <v>3.4450382801159994E-2</v>
      </c>
      <c r="U8" s="14">
        <f>(((M54+M55)/2)*91)/(R8*Q8*0.8)</f>
        <v>2.2415534218542768E-2</v>
      </c>
      <c r="V8" s="14">
        <f>(((M56+M57)/2)*91)/(R8*Q8*0.8)</f>
        <v>1.8372512805595976E-2</v>
      </c>
      <c r="W8" s="14">
        <f t="shared" si="3"/>
        <v>65.223080212024456</v>
      </c>
      <c r="X8" s="14">
        <f t="shared" si="1"/>
        <v>34.450382801159996</v>
      </c>
      <c r="Y8" s="14">
        <f t="shared" si="1"/>
        <v>22.415534218542767</v>
      </c>
      <c r="Z8" s="14">
        <f t="shared" si="1"/>
        <v>18.372512805595974</v>
      </c>
    </row>
    <row r="9" spans="1:26" ht="14">
      <c r="A9" s="55">
        <f t="shared" si="0"/>
        <v>136</v>
      </c>
      <c r="B9" s="55" t="s">
        <v>77</v>
      </c>
      <c r="C9" s="80">
        <v>96</v>
      </c>
      <c r="D9" s="56" t="s">
        <v>38</v>
      </c>
      <c r="E9" s="80">
        <v>16</v>
      </c>
      <c r="F9" s="80">
        <v>15</v>
      </c>
      <c r="G9" s="56"/>
      <c r="H9" s="58"/>
      <c r="I9" s="58"/>
      <c r="J9" s="58"/>
      <c r="K9" s="60">
        <f>I3</f>
        <v>1.1831867346934931E-5</v>
      </c>
      <c r="L9" s="60">
        <f>I5</f>
        <v>-2.0126979445878827E-4</v>
      </c>
      <c r="M9" s="60">
        <f>(C9-$O$5)*K9 + L9</f>
        <v>9.3458947084696514E-4</v>
      </c>
      <c r="P9" s="91">
        <f>'enzyme setup and metadata'!A117</f>
        <v>145</v>
      </c>
      <c r="Q9" s="66">
        <f>'enzyme setup and metadata'!I117</f>
        <v>2.2071854357982925</v>
      </c>
      <c r="R9" s="14">
        <f t="shared" si="2"/>
        <v>3.2499999999417923</v>
      </c>
      <c r="S9" s="14">
        <f>(((M58+M59)/2)*91)/(R9*Q9*0.8)</f>
        <v>5.9288656454769918E-2</v>
      </c>
      <c r="T9" s="14">
        <f>(((M60+M61)/2)*91)/(R9*Q9*0.8)</f>
        <v>3.173227702481024E-2</v>
      </c>
      <c r="U9" s="14">
        <f>(((M62+M63)/2)*91)/(R9*Q9*0.8)</f>
        <v>1.7450546433471905E-2</v>
      </c>
      <c r="V9" s="14">
        <f>(((M64+M65)/2)*91)/(R9*Q9*0.8)</f>
        <v>1.6109144527482678E-2</v>
      </c>
      <c r="W9" s="14">
        <f t="shared" si="3"/>
        <v>59.288656454769921</v>
      </c>
      <c r="X9" s="14">
        <f t="shared" si="1"/>
        <v>31.732277024810241</v>
      </c>
      <c r="Y9" s="14">
        <f t="shared" si="1"/>
        <v>17.450546433471906</v>
      </c>
      <c r="Z9" s="14">
        <f t="shared" si="1"/>
        <v>16.109144527482677</v>
      </c>
    </row>
    <row r="10" spans="1:26" ht="14">
      <c r="A10" s="55">
        <f>P3</f>
        <v>137</v>
      </c>
      <c r="B10" s="55" t="s">
        <v>78</v>
      </c>
      <c r="C10" s="80">
        <v>422</v>
      </c>
      <c r="D10" s="56" t="s">
        <v>35</v>
      </c>
      <c r="E10" s="80">
        <v>17</v>
      </c>
      <c r="F10" s="80">
        <v>17</v>
      </c>
      <c r="G10" s="57">
        <v>0</v>
      </c>
      <c r="H10" s="58"/>
      <c r="I10" s="59" t="s">
        <v>68</v>
      </c>
      <c r="J10" s="59" t="s">
        <v>68</v>
      </c>
      <c r="K10" s="60">
        <f>I11</f>
        <v>1.1430121189241734E-5</v>
      </c>
      <c r="L10" s="60">
        <f>I13</f>
        <v>-2.2322496689889618E-4</v>
      </c>
      <c r="M10" s="60">
        <f>(C10-$O$2)*K10+L10</f>
        <v>4.6002861749611153E-3</v>
      </c>
      <c r="P10" s="91">
        <f>'enzyme setup and metadata'!A118</f>
        <v>146</v>
      </c>
      <c r="Q10" s="66">
        <f>'enzyme setup and metadata'!I118</f>
        <v>2.1914556962025316</v>
      </c>
      <c r="R10" s="14">
        <f t="shared" si="2"/>
        <v>3.2499999999417923</v>
      </c>
      <c r="S10" s="14">
        <f>(((M66+M67)/2)*91)/(R10*Q10*0.8)</f>
        <v>6.4437708148465209E-2</v>
      </c>
      <c r="T10" s="14">
        <f>(((M68+M69)/2)*91)/(R10*Q10*0.8)</f>
        <v>3.5514480194821625E-2</v>
      </c>
      <c r="U10" s="14">
        <f>(((M70+M71)/2)*91)/(R10*Q10*0.8)</f>
        <v>2.2790790822712143E-2</v>
      </c>
      <c r="V10" s="14">
        <f>(((M72+M73)/2)*91)/(R10*Q10*0.8)</f>
        <v>1.9272975267006387E-2</v>
      </c>
      <c r="W10" s="14">
        <f t="shared" si="3"/>
        <v>64.437708148465205</v>
      </c>
      <c r="X10" s="14">
        <f t="shared" si="1"/>
        <v>35.514480194821623</v>
      </c>
      <c r="Y10" s="14">
        <f t="shared" si="1"/>
        <v>22.790790822712143</v>
      </c>
      <c r="Z10" s="14">
        <f t="shared" si="1"/>
        <v>19.272975267006387</v>
      </c>
    </row>
    <row r="11" spans="1:26" ht="14">
      <c r="A11" s="55">
        <f t="shared" ref="A11:A17" si="4">A10</f>
        <v>137</v>
      </c>
      <c r="B11" s="55" t="s">
        <v>79</v>
      </c>
      <c r="C11" s="80">
        <v>424</v>
      </c>
      <c r="D11" s="56" t="s">
        <v>35</v>
      </c>
      <c r="E11" s="80">
        <v>59</v>
      </c>
      <c r="F11" s="80">
        <v>237</v>
      </c>
      <c r="G11" s="57">
        <v>5.0000000000000001E-4</v>
      </c>
      <c r="H11" s="58"/>
      <c r="I11" s="59">
        <f>SLOPE(G10:G16, E10:E16)</f>
        <v>1.1430121189241734E-5</v>
      </c>
      <c r="J11" s="59">
        <f>SLOPE(G10:G16, F10:F16)</f>
        <v>2.023100588751329E-6</v>
      </c>
      <c r="K11" s="60">
        <f>I11</f>
        <v>1.1430121189241734E-5</v>
      </c>
      <c r="L11" s="60">
        <f>I13</f>
        <v>-2.2322496689889618E-4</v>
      </c>
      <c r="M11" s="60">
        <f>(C11-$O$2)*K11+L11</f>
        <v>4.6231464173395994E-3</v>
      </c>
      <c r="P11" s="91">
        <f>'enzyme setup and metadata'!A119</f>
        <v>147</v>
      </c>
      <c r="Q11" s="66">
        <f>'enzyme setup and metadata'!I119</f>
        <v>2.1587853866835363</v>
      </c>
      <c r="R11" s="14">
        <f t="shared" si="2"/>
        <v>3.2499999999417923</v>
      </c>
      <c r="S11" s="14">
        <f>(((M74+M75)/2)*91)/(R11*Q11*0.8)</f>
        <v>6.1649836754617292E-2</v>
      </c>
      <c r="T11" s="14">
        <f>(((M76+M77)/2)*91)/(R11*Q11*0.8)</f>
        <v>3.0205926393235015E-2</v>
      </c>
      <c r="U11" s="14">
        <f>(((M78+M79)/2)*91)/(R11*Q11*0.8)</f>
        <v>2.1756381541194535E-2</v>
      </c>
      <c r="V11" s="14">
        <f>(((M80+M81)/2)*91)/(R11*Q11*0.8)</f>
        <v>1.5824603049657077E-2</v>
      </c>
      <c r="W11" s="14">
        <f t="shared" si="3"/>
        <v>61.64983675461729</v>
      </c>
      <c r="X11" s="14">
        <f t="shared" si="1"/>
        <v>30.205926393235014</v>
      </c>
      <c r="Y11" s="14">
        <f t="shared" si="1"/>
        <v>21.756381541194536</v>
      </c>
      <c r="Z11" s="14">
        <f t="shared" si="1"/>
        <v>15.824603049657076</v>
      </c>
    </row>
    <row r="12" spans="1:26" ht="14">
      <c r="A12" s="55">
        <f t="shared" si="4"/>
        <v>137</v>
      </c>
      <c r="B12" s="55" t="s">
        <v>80</v>
      </c>
      <c r="C12" s="80">
        <v>212</v>
      </c>
      <c r="D12" s="56" t="s">
        <v>36</v>
      </c>
      <c r="E12" s="80">
        <v>107</v>
      </c>
      <c r="F12" s="80">
        <v>484</v>
      </c>
      <c r="G12" s="57">
        <v>1E-3</v>
      </c>
      <c r="H12" s="58"/>
      <c r="I12" s="59" t="s">
        <v>71</v>
      </c>
      <c r="J12" s="59" t="s">
        <v>71</v>
      </c>
      <c r="K12" s="60">
        <f>I11</f>
        <v>1.1430121189241734E-5</v>
      </c>
      <c r="L12" s="60">
        <f>I13</f>
        <v>-2.2322496689889618E-4</v>
      </c>
      <c r="M12" s="60">
        <f>(C12-$O$3)*K12 + L12</f>
        <v>2.1999607252203516E-3</v>
      </c>
      <c r="P12" s="91">
        <f>'enzyme setup and metadata'!A120</f>
        <v>148</v>
      </c>
      <c r="Q12" s="66">
        <f>'enzyme setup and metadata'!I120</f>
        <v>2.191109001740231</v>
      </c>
      <c r="R12" s="14">
        <f t="shared" si="2"/>
        <v>3.2499999999417923</v>
      </c>
      <c r="S12" s="14">
        <f>(((M82+M83)/2)*91)/(R12*Q12*0.8)</f>
        <v>6.1527450843447483E-2</v>
      </c>
      <c r="T12" s="14">
        <f>(((M84+M85)/2)*91)/(R12*Q12*0.8)</f>
        <v>3.2696069697322958E-2</v>
      </c>
      <c r="U12" s="14">
        <f>(((M86+M87)/2)*91)/(R12*Q12*0.8)</f>
        <v>2.3985835137516866E-2</v>
      </c>
      <c r="V12" s="14">
        <f>(((M88+M89)/2)*91)/(R12*Q12*0.8)</f>
        <v>1.6990554178249861E-2</v>
      </c>
      <c r="W12" s="14">
        <f t="shared" si="3"/>
        <v>61.527450843447482</v>
      </c>
      <c r="X12" s="14">
        <f t="shared" si="1"/>
        <v>32.696069697322955</v>
      </c>
      <c r="Y12" s="14">
        <f t="shared" si="1"/>
        <v>23.985835137516865</v>
      </c>
      <c r="Z12" s="14">
        <f t="shared" si="1"/>
        <v>16.990554178249862</v>
      </c>
    </row>
    <row r="13" spans="1:26" ht="14">
      <c r="A13" s="55">
        <f t="shared" si="4"/>
        <v>137</v>
      </c>
      <c r="B13" s="55" t="s">
        <v>81</v>
      </c>
      <c r="C13" s="80">
        <v>219</v>
      </c>
      <c r="D13" s="56" t="s">
        <v>36</v>
      </c>
      <c r="E13" s="80">
        <v>195</v>
      </c>
      <c r="F13" s="80">
        <v>1087</v>
      </c>
      <c r="G13" s="57">
        <v>2E-3</v>
      </c>
      <c r="H13" s="58"/>
      <c r="I13" s="59">
        <f>INTERCEPT(G10:G16, E10:E16)</f>
        <v>-2.2322496689889618E-4</v>
      </c>
      <c r="J13" s="59">
        <f>INTERCEPT(G10:G16, F10:F16)</f>
        <v>6.9998019791433184E-5</v>
      </c>
      <c r="K13" s="60">
        <f>I11</f>
        <v>1.1430121189241734E-5</v>
      </c>
      <c r="L13" s="60">
        <f>I13</f>
        <v>-2.2322496689889618E-4</v>
      </c>
      <c r="M13" s="60">
        <f>(C13-$O$3)*K13+ L13</f>
        <v>2.2799715735450435E-3</v>
      </c>
      <c r="P13" s="91">
        <f>'enzyme setup and metadata'!A121</f>
        <v>150</v>
      </c>
      <c r="Q13" s="66">
        <f>'enzyme setup and metadata'!I121</f>
        <v>2.2209659182684542</v>
      </c>
      <c r="R13" s="14">
        <f t="shared" si="2"/>
        <v>3.2499999999417923</v>
      </c>
      <c r="S13" s="14">
        <f>(((M90+M91)/2)*91)/(R13*Q13*0.8)</f>
        <v>6.3235033441373864E-2</v>
      </c>
      <c r="T13" s="14">
        <f>(((M92+M93)/2)*91)/(R13*Q13*0.8)</f>
        <v>2.9766319020720324E-2</v>
      </c>
      <c r="U13" s="14">
        <f>(((M94+M95)/2)*91)/(R13*Q13*0.8)</f>
        <v>2.7549989000019613E-2</v>
      </c>
      <c r="V13" s="14">
        <f>(((M96+M97)/2)*91)/(R13*Q13*0.8)</f>
        <v>9.9132861484690152E-3</v>
      </c>
      <c r="W13" s="14">
        <f t="shared" si="3"/>
        <v>63.235033441373865</v>
      </c>
      <c r="X13" s="14">
        <f t="shared" si="1"/>
        <v>29.766319020720324</v>
      </c>
      <c r="Y13" s="14">
        <f t="shared" si="1"/>
        <v>27.549989000019615</v>
      </c>
      <c r="Z13" s="14">
        <f t="shared" si="1"/>
        <v>9.913286148469016</v>
      </c>
    </row>
    <row r="14" spans="1:26" ht="14">
      <c r="A14" s="55">
        <f t="shared" si="4"/>
        <v>137</v>
      </c>
      <c r="B14" s="55" t="s">
        <v>82</v>
      </c>
      <c r="C14" s="80">
        <v>1368</v>
      </c>
      <c r="D14" s="56" t="s">
        <v>37</v>
      </c>
      <c r="E14" s="80">
        <v>463</v>
      </c>
      <c r="F14" s="80">
        <v>2619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2.023100588751329E-6</v>
      </c>
      <c r="L14" s="60">
        <f>J13</f>
        <v>6.9998019791433184E-5</v>
      </c>
      <c r="M14" s="60">
        <f>(C14-$O$4)*K14 + L14</f>
        <v>2.178574608417506E-3</v>
      </c>
    </row>
    <row r="15" spans="1:26" ht="14">
      <c r="A15" s="55">
        <f t="shared" si="4"/>
        <v>137</v>
      </c>
      <c r="B15" s="55" t="s">
        <v>83</v>
      </c>
      <c r="C15" s="80">
        <v>1406</v>
      </c>
      <c r="D15" s="56" t="s">
        <v>37</v>
      </c>
      <c r="E15" s="80">
        <v>898</v>
      </c>
      <c r="F15" s="80">
        <v>4294</v>
      </c>
      <c r="G15" s="57">
        <v>0.01</v>
      </c>
      <c r="H15" s="58"/>
      <c r="I15" s="61">
        <f>RSQ(G10:G16, E10:E16)</f>
        <v>0.99996513914295626</v>
      </c>
      <c r="J15" s="61">
        <f>RSQ(G10:G16, F10:F16)</f>
        <v>0.99393947370906155</v>
      </c>
      <c r="K15" s="60">
        <f>J11</f>
        <v>2.023100588751329E-6</v>
      </c>
      <c r="L15" s="60">
        <f>J13</f>
        <v>6.9998019791433184E-5</v>
      </c>
      <c r="M15" s="60">
        <f>(C15-$O$4)*K15 + L15</f>
        <v>2.2554524307900562E-3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137</v>
      </c>
      <c r="B16" s="55" t="s">
        <v>84</v>
      </c>
      <c r="C16" s="80">
        <v>129</v>
      </c>
      <c r="D16" s="56" t="s">
        <v>38</v>
      </c>
      <c r="E16" s="80">
        <v>1766</v>
      </c>
      <c r="F16" s="80">
        <v>10050</v>
      </c>
      <c r="G16" s="57">
        <v>0.02</v>
      </c>
      <c r="H16" s="58"/>
      <c r="I16" s="58"/>
      <c r="J16" s="58"/>
      <c r="K16" s="60">
        <f>I11</f>
        <v>1.1430121189241734E-5</v>
      </c>
      <c r="L16" s="60">
        <f>I13</f>
        <v>-2.2322496689889618E-4</v>
      </c>
      <c r="M16" s="60">
        <f>(C16-$O$5)*K16 + L16</f>
        <v>1.2512606665132876E-3</v>
      </c>
    </row>
    <row r="17" spans="1:13" ht="14">
      <c r="A17" s="55">
        <f t="shared" si="4"/>
        <v>137</v>
      </c>
      <c r="B17" s="55" t="s">
        <v>85</v>
      </c>
      <c r="C17" s="80">
        <v>98</v>
      </c>
      <c r="D17" s="56" t="s">
        <v>38</v>
      </c>
      <c r="E17" s="80">
        <v>15</v>
      </c>
      <c r="F17" s="80">
        <v>15</v>
      </c>
      <c r="G17" s="56"/>
      <c r="H17" s="58"/>
      <c r="I17" s="58"/>
      <c r="J17" s="58"/>
      <c r="K17" s="60">
        <f>I11</f>
        <v>1.1430121189241734E-5</v>
      </c>
      <c r="L17" s="60">
        <f>I13</f>
        <v>-2.2322496689889618E-4</v>
      </c>
      <c r="M17" s="60">
        <f>(C17-$O$5)*K17 + L17</f>
        <v>8.969269096467938E-4</v>
      </c>
    </row>
    <row r="18" spans="1:13" ht="14">
      <c r="A18" s="55">
        <f>P4</f>
        <v>138</v>
      </c>
      <c r="B18" s="55" t="s">
        <v>86</v>
      </c>
      <c r="C18" s="80">
        <v>420</v>
      </c>
      <c r="D18" s="56" t="s">
        <v>35</v>
      </c>
      <c r="E18" s="80">
        <v>17</v>
      </c>
      <c r="F18" s="80">
        <v>17</v>
      </c>
      <c r="G18" s="57">
        <v>0</v>
      </c>
      <c r="H18" s="58"/>
      <c r="I18" s="59" t="s">
        <v>68</v>
      </c>
      <c r="J18" s="59" t="s">
        <v>68</v>
      </c>
      <c r="K18" s="60">
        <f>I19</f>
        <v>1.0984253217247318E-5</v>
      </c>
      <c r="L18" s="60">
        <f>I21</f>
        <v>-1.6316712300650914E-4</v>
      </c>
      <c r="M18" s="60">
        <f>(C18-$O$2)*K18+L18</f>
        <v>4.450219228237364E-3</v>
      </c>
    </row>
    <row r="19" spans="1:13" ht="14">
      <c r="A19" s="55">
        <f t="shared" ref="A19:A25" si="5">A18</f>
        <v>138</v>
      </c>
      <c r="B19" s="55" t="s">
        <v>87</v>
      </c>
      <c r="C19" s="80">
        <v>400</v>
      </c>
      <c r="D19" s="56" t="s">
        <v>35</v>
      </c>
      <c r="E19" s="80">
        <v>63</v>
      </c>
      <c r="F19" s="80">
        <v>228</v>
      </c>
      <c r="G19" s="57">
        <v>5.0000000000000001E-4</v>
      </c>
      <c r="H19" s="58"/>
      <c r="I19" s="59">
        <f>SLOPE(G18:G24, E18:E24)</f>
        <v>1.0984253217247318E-5</v>
      </c>
      <c r="J19" s="59">
        <f>SLOPE(G18:G24, F18:F24)</f>
        <v>2.0562793493236497E-6</v>
      </c>
      <c r="K19" s="60">
        <f>I19</f>
        <v>1.0984253217247318E-5</v>
      </c>
      <c r="L19" s="60">
        <f>I21</f>
        <v>-1.6316712300650914E-4</v>
      </c>
      <c r="M19" s="60">
        <f>(C19-$O$2)*K19+L19</f>
        <v>4.2305341638924181E-3</v>
      </c>
    </row>
    <row r="20" spans="1:13" ht="14">
      <c r="A20" s="55">
        <f t="shared" si="5"/>
        <v>138</v>
      </c>
      <c r="B20" s="55" t="s">
        <v>88</v>
      </c>
      <c r="C20" s="80">
        <v>203</v>
      </c>
      <c r="D20" s="56" t="s">
        <v>36</v>
      </c>
      <c r="E20" s="80">
        <v>109</v>
      </c>
      <c r="F20" s="80">
        <v>464</v>
      </c>
      <c r="G20" s="57">
        <v>1E-3</v>
      </c>
      <c r="H20" s="58"/>
      <c r="I20" s="59" t="s">
        <v>71</v>
      </c>
      <c r="J20" s="59" t="s">
        <v>71</v>
      </c>
      <c r="K20" s="60">
        <f>I19</f>
        <v>1.0984253217247318E-5</v>
      </c>
      <c r="L20" s="60">
        <f>I21</f>
        <v>-1.6316712300650914E-4</v>
      </c>
      <c r="M20" s="60">
        <f>(C20-$O$3)*K20 + L20</f>
        <v>2.0666362800946963E-3</v>
      </c>
    </row>
    <row r="21" spans="1:13" ht="14">
      <c r="A21" s="55">
        <f t="shared" si="5"/>
        <v>138</v>
      </c>
      <c r="B21" s="55" t="s">
        <v>89</v>
      </c>
      <c r="C21" s="80">
        <v>202</v>
      </c>
      <c r="D21" s="56" t="s">
        <v>36</v>
      </c>
      <c r="E21" s="80">
        <v>205</v>
      </c>
      <c r="F21" s="80">
        <v>947</v>
      </c>
      <c r="G21" s="57">
        <v>2E-3</v>
      </c>
      <c r="H21" s="58"/>
      <c r="I21" s="59">
        <f>INTERCEPT(G18:G24, E18:E24)</f>
        <v>-1.6316712300650914E-4</v>
      </c>
      <c r="J21" s="59">
        <f>INTERCEPT(G18:G24, F18:F24)</f>
        <v>-6.6935707004640334E-5</v>
      </c>
      <c r="K21" s="60">
        <f>I19</f>
        <v>1.0984253217247318E-5</v>
      </c>
      <c r="L21" s="60">
        <f>I21</f>
        <v>-1.6316712300650914E-4</v>
      </c>
      <c r="M21" s="60">
        <f>(C21-$O$3)*K21+ L21</f>
        <v>2.0556520268774489E-3</v>
      </c>
    </row>
    <row r="22" spans="1:13" ht="14">
      <c r="A22" s="55">
        <f t="shared" si="5"/>
        <v>138</v>
      </c>
      <c r="B22" s="55" t="s">
        <v>90</v>
      </c>
      <c r="C22" s="80">
        <v>1372</v>
      </c>
      <c r="D22" s="56" t="s">
        <v>37</v>
      </c>
      <c r="E22" s="80">
        <v>460</v>
      </c>
      <c r="F22" s="80">
        <v>2620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2.0562793493236497E-6</v>
      </c>
      <c r="L22" s="60">
        <f>J21</f>
        <v>-6.6935707004640334E-5</v>
      </c>
      <c r="M22" s="60">
        <f>(C22-$O$4)*K22 + L22</f>
        <v>2.084446562225228E-3</v>
      </c>
    </row>
    <row r="23" spans="1:13" ht="14">
      <c r="A23" s="55">
        <f t="shared" si="5"/>
        <v>138</v>
      </c>
      <c r="B23" s="55" t="s">
        <v>91</v>
      </c>
      <c r="C23" s="80">
        <v>1297</v>
      </c>
      <c r="D23" s="56" t="s">
        <v>37</v>
      </c>
      <c r="E23" s="80">
        <v>911</v>
      </c>
      <c r="F23" s="80">
        <v>5006</v>
      </c>
      <c r="G23" s="57">
        <v>0.01</v>
      </c>
      <c r="H23" s="58"/>
      <c r="I23" s="61">
        <f>RSQ(G18:G24, E18:E24)</f>
        <v>0.99982569865374227</v>
      </c>
      <c r="J23" s="61">
        <f>RSQ(G18:G24, F18:F24)</f>
        <v>0.99929043047829957</v>
      </c>
      <c r="K23" s="60">
        <f>J19</f>
        <v>2.0562793493236497E-6</v>
      </c>
      <c r="L23" s="60">
        <f>J21</f>
        <v>-6.6935707004640334E-5</v>
      </c>
      <c r="M23" s="60">
        <f>(C23-$O$4)*K23 + L23</f>
        <v>1.9302256110259545E-3</v>
      </c>
    </row>
    <row r="24" spans="1:13" ht="14">
      <c r="A24" s="55">
        <f t="shared" si="5"/>
        <v>138</v>
      </c>
      <c r="B24" s="55" t="s">
        <v>92</v>
      </c>
      <c r="C24" s="80">
        <v>120</v>
      </c>
      <c r="D24" s="56" t="s">
        <v>38</v>
      </c>
      <c r="E24" s="80">
        <v>1844</v>
      </c>
      <c r="F24" s="80">
        <v>9669</v>
      </c>
      <c r="G24" s="57">
        <v>0.02</v>
      </c>
      <c r="H24" s="58"/>
      <c r="I24" s="58"/>
      <c r="J24" s="58"/>
      <c r="K24" s="60">
        <f>I19</f>
        <v>1.0984253217247318E-5</v>
      </c>
      <c r="L24" s="60">
        <f>I21</f>
        <v>-1.6316712300650914E-4</v>
      </c>
      <c r="M24" s="60">
        <f>(C24-$O$5)*K24 + L24</f>
        <v>1.154943263063169E-3</v>
      </c>
    </row>
    <row r="25" spans="1:13" ht="14">
      <c r="A25" s="55">
        <f t="shared" si="5"/>
        <v>138</v>
      </c>
      <c r="B25" s="55" t="s">
        <v>93</v>
      </c>
      <c r="C25" s="80">
        <v>92</v>
      </c>
      <c r="D25" s="56" t="s">
        <v>38</v>
      </c>
      <c r="E25" s="80">
        <v>14</v>
      </c>
      <c r="F25" s="80">
        <v>16</v>
      </c>
      <c r="G25" s="56"/>
      <c r="H25" s="58"/>
      <c r="I25" s="58"/>
      <c r="J25" s="58"/>
      <c r="K25" s="60">
        <f>I19</f>
        <v>1.0984253217247318E-5</v>
      </c>
      <c r="L25" s="60">
        <f>I21</f>
        <v>-1.6316712300650914E-4</v>
      </c>
      <c r="M25" s="60">
        <f>(C25-$O$5)*K25 + L25</f>
        <v>8.4738417298024413E-4</v>
      </c>
    </row>
    <row r="26" spans="1:13" ht="14">
      <c r="A26" s="55">
        <f>P5</f>
        <v>140</v>
      </c>
      <c r="B26" s="55" t="s">
        <v>94</v>
      </c>
      <c r="C26" s="80">
        <v>426</v>
      </c>
      <c r="D26" s="56" t="s">
        <v>35</v>
      </c>
      <c r="E26" s="80">
        <v>18</v>
      </c>
      <c r="F26" s="80">
        <v>17</v>
      </c>
      <c r="G26" s="57">
        <v>0</v>
      </c>
      <c r="H26" s="58"/>
      <c r="I26" s="59" t="s">
        <v>68</v>
      </c>
      <c r="J26" s="59" t="s">
        <v>68</v>
      </c>
      <c r="K26" s="60">
        <f>I27</f>
        <v>1.0848202604446111E-5</v>
      </c>
      <c r="L26" s="60">
        <f>I29</f>
        <v>-1.9840585379262126E-4</v>
      </c>
      <c r="M26" s="60">
        <f>(C26-$O$2)*K26+L26</f>
        <v>4.4229284557014215E-3</v>
      </c>
    </row>
    <row r="27" spans="1:13" ht="14">
      <c r="A27" s="55">
        <f t="shared" ref="A27:A33" si="6">A26</f>
        <v>140</v>
      </c>
      <c r="B27" s="55" t="s">
        <v>95</v>
      </c>
      <c r="C27" s="80">
        <v>414</v>
      </c>
      <c r="D27" s="56" t="s">
        <v>35</v>
      </c>
      <c r="E27" s="80">
        <v>64</v>
      </c>
      <c r="F27" s="80">
        <v>227</v>
      </c>
      <c r="G27" s="57">
        <v>5.0000000000000001E-4</v>
      </c>
      <c r="H27" s="58"/>
      <c r="I27" s="59">
        <f>SLOPE(G26:G32, E26:E32)</f>
        <v>1.0848202604446111E-5</v>
      </c>
      <c r="J27" s="59">
        <f>SLOPE(G26:G32, F26:F32)</f>
        <v>2.2989649178162226E-6</v>
      </c>
      <c r="K27" s="60">
        <f>I27</f>
        <v>1.0848202604446111E-5</v>
      </c>
      <c r="L27" s="60">
        <f>I29</f>
        <v>-1.9840585379262126E-4</v>
      </c>
      <c r="M27" s="60">
        <f>(C27-$O$2)*K27+L27</f>
        <v>4.2927500244480683E-3</v>
      </c>
    </row>
    <row r="28" spans="1:13" ht="14">
      <c r="A28" s="55">
        <f t="shared" si="6"/>
        <v>140</v>
      </c>
      <c r="B28" s="55" t="s">
        <v>96</v>
      </c>
      <c r="C28" s="80">
        <v>205</v>
      </c>
      <c r="D28" s="56" t="s">
        <v>36</v>
      </c>
      <c r="E28" s="80">
        <v>102</v>
      </c>
      <c r="F28" s="80">
        <v>541</v>
      </c>
      <c r="G28" s="57">
        <v>1E-3</v>
      </c>
      <c r="H28" s="58"/>
      <c r="I28" s="59" t="s">
        <v>71</v>
      </c>
      <c r="J28" s="59" t="s">
        <v>71</v>
      </c>
      <c r="K28" s="60">
        <f>I27</f>
        <v>1.0848202604446111E-5</v>
      </c>
      <c r="L28" s="60">
        <f>I29</f>
        <v>-1.9840585379262126E-4</v>
      </c>
      <c r="M28" s="60">
        <f>(C28-$O$3)*K28 + L28</f>
        <v>2.0254756801188316E-3</v>
      </c>
    </row>
    <row r="29" spans="1:13" ht="14">
      <c r="A29" s="55">
        <f t="shared" si="6"/>
        <v>140</v>
      </c>
      <c r="B29" s="55" t="s">
        <v>97</v>
      </c>
      <c r="C29" s="80">
        <v>219</v>
      </c>
      <c r="D29" s="56" t="s">
        <v>36</v>
      </c>
      <c r="E29" s="80">
        <v>196</v>
      </c>
      <c r="F29" s="80">
        <v>1015</v>
      </c>
      <c r="G29" s="57">
        <v>2E-3</v>
      </c>
      <c r="H29" s="58"/>
      <c r="I29" s="59">
        <f>INTERCEPT(G26:G32, E26:E32)</f>
        <v>-1.9840585379262126E-4</v>
      </c>
      <c r="J29" s="59">
        <f>INTERCEPT(G26:G32, F26:F32)</f>
        <v>-2.9043578085968802E-4</v>
      </c>
      <c r="K29" s="60">
        <f>I27</f>
        <v>1.0848202604446111E-5</v>
      </c>
      <c r="L29" s="60">
        <f>I29</f>
        <v>-1.9840585379262126E-4</v>
      </c>
      <c r="M29" s="60">
        <f>(C29-$O$3)*K29+ L29</f>
        <v>2.1773505165810767E-3</v>
      </c>
    </row>
    <row r="30" spans="1:13" ht="14">
      <c r="A30" s="55">
        <f t="shared" si="6"/>
        <v>140</v>
      </c>
      <c r="B30" s="55" t="s">
        <v>98</v>
      </c>
      <c r="C30" s="80">
        <v>1361</v>
      </c>
      <c r="D30" s="56" t="s">
        <v>37</v>
      </c>
      <c r="E30" s="80">
        <v>527</v>
      </c>
      <c r="F30" s="80">
        <v>2651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2.2989649178162226E-6</v>
      </c>
      <c r="L30" s="60">
        <f>J29</f>
        <v>-2.9043578085968802E-4</v>
      </c>
      <c r="M30" s="60">
        <f>(C30-$O$4)*K30 + L30</f>
        <v>2.0895676503095563E-3</v>
      </c>
    </row>
    <row r="31" spans="1:13" ht="14">
      <c r="A31" s="55">
        <f t="shared" si="6"/>
        <v>140</v>
      </c>
      <c r="B31" s="55" t="s">
        <v>99</v>
      </c>
      <c r="C31" s="80">
        <v>1266</v>
      </c>
      <c r="D31" s="56" t="s">
        <v>37</v>
      </c>
      <c r="E31" s="80">
        <v>902</v>
      </c>
      <c r="F31" s="80">
        <v>4439</v>
      </c>
      <c r="G31" s="57">
        <v>0.01</v>
      </c>
      <c r="H31" s="58"/>
      <c r="I31" s="61">
        <f>RSQ(G26:G32, E26:E32)</f>
        <v>0.99856257411569527</v>
      </c>
      <c r="J31" s="61">
        <f>RSQ(G26:G32, F26:F32)</f>
        <v>0.99738986932159424</v>
      </c>
      <c r="K31" s="60">
        <f>J27</f>
        <v>2.2989649178162226E-6</v>
      </c>
      <c r="L31" s="60">
        <f>J29</f>
        <v>-2.9043578085968802E-4</v>
      </c>
      <c r="M31" s="60">
        <f>(C31-$O$4)*K31 + L31</f>
        <v>1.8711659831170155E-3</v>
      </c>
    </row>
    <row r="32" spans="1:13" ht="14">
      <c r="A32" s="55">
        <f t="shared" si="6"/>
        <v>140</v>
      </c>
      <c r="B32" s="55" t="s">
        <v>100</v>
      </c>
      <c r="C32" s="80">
        <v>120</v>
      </c>
      <c r="D32" s="56" t="s">
        <v>38</v>
      </c>
      <c r="E32" s="80">
        <v>1868</v>
      </c>
      <c r="F32" s="80">
        <v>8741</v>
      </c>
      <c r="G32" s="57">
        <v>0.02</v>
      </c>
      <c r="H32" s="58"/>
      <c r="I32" s="58"/>
      <c r="J32" s="58"/>
      <c r="K32" s="60">
        <f>I27</f>
        <v>1.0848202604446111E-5</v>
      </c>
      <c r="L32" s="60">
        <f>I29</f>
        <v>-1.9840585379262126E-4</v>
      </c>
      <c r="M32" s="60">
        <f>(C32-$O$5)*K32 + L32</f>
        <v>1.1033784587409119E-3</v>
      </c>
    </row>
    <row r="33" spans="1:26" ht="14">
      <c r="A33" s="55">
        <f t="shared" si="6"/>
        <v>140</v>
      </c>
      <c r="B33" s="55" t="s">
        <v>101</v>
      </c>
      <c r="C33" s="80">
        <v>106</v>
      </c>
      <c r="D33" s="56" t="s">
        <v>38</v>
      </c>
      <c r="E33" s="80">
        <v>14</v>
      </c>
      <c r="F33" s="80">
        <v>28</v>
      </c>
      <c r="G33" s="56"/>
      <c r="H33" s="58"/>
      <c r="I33" s="58"/>
      <c r="J33" s="58"/>
      <c r="K33" s="60">
        <f>I27</f>
        <v>1.0848202604446111E-5</v>
      </c>
      <c r="L33" s="60">
        <f>I29</f>
        <v>-1.9840585379262126E-4</v>
      </c>
      <c r="M33" s="60">
        <f>(C33-$O$5)*K33 + L33</f>
        <v>9.5150362227866656E-4</v>
      </c>
    </row>
    <row r="34" spans="1:26" ht="14">
      <c r="A34" s="55">
        <f>P6</f>
        <v>141</v>
      </c>
      <c r="B34" s="55" t="s">
        <v>102</v>
      </c>
      <c r="C34" s="80">
        <v>423</v>
      </c>
      <c r="D34" s="56" t="s">
        <v>35</v>
      </c>
      <c r="E34" s="80">
        <v>19</v>
      </c>
      <c r="F34" s="80">
        <v>18</v>
      </c>
      <c r="G34" s="57">
        <v>0</v>
      </c>
      <c r="H34" s="58"/>
      <c r="I34" s="59" t="s">
        <v>68</v>
      </c>
      <c r="J34" s="59" t="s">
        <v>68</v>
      </c>
      <c r="K34" s="60">
        <f>I35</f>
        <v>1.0369318346345214E-5</v>
      </c>
      <c r="L34" s="60">
        <f>I37</f>
        <v>-1.6312914829682158E-4</v>
      </c>
      <c r="M34" s="60">
        <f>(C34-$O$2)*K34+L34</f>
        <v>4.2230925122072041E-3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141</v>
      </c>
      <c r="B35" s="55" t="s">
        <v>103</v>
      </c>
      <c r="C35" s="80">
        <v>406</v>
      </c>
      <c r="D35" s="56" t="s">
        <v>35</v>
      </c>
      <c r="E35" s="80">
        <v>65</v>
      </c>
      <c r="F35" s="80">
        <v>251</v>
      </c>
      <c r="G35" s="57">
        <v>5.0000000000000001E-4</v>
      </c>
      <c r="H35" s="58"/>
      <c r="I35" s="59">
        <f>SLOPE(G34:G40, E34:E40)</f>
        <v>1.0369318346345214E-5</v>
      </c>
      <c r="J35" s="59">
        <f>SLOPE(G34:G40, F34:F40)</f>
        <v>2.0542125216991158E-6</v>
      </c>
      <c r="K35" s="60">
        <f>I35</f>
        <v>1.0369318346345214E-5</v>
      </c>
      <c r="L35" s="60">
        <f>I37</f>
        <v>-1.6312914829682158E-4</v>
      </c>
      <c r="M35" s="60">
        <f>(C35-$O$2)*K35+L35</f>
        <v>4.0468141003193354E-3</v>
      </c>
    </row>
    <row r="36" spans="1:26" ht="14">
      <c r="A36" s="55">
        <f t="shared" si="7"/>
        <v>141</v>
      </c>
      <c r="B36" s="55" t="s">
        <v>104</v>
      </c>
      <c r="C36" s="80">
        <v>206</v>
      </c>
      <c r="D36" s="56" t="s">
        <v>36</v>
      </c>
      <c r="E36" s="80">
        <v>108</v>
      </c>
      <c r="F36" s="80">
        <v>500</v>
      </c>
      <c r="G36" s="57">
        <v>1E-3</v>
      </c>
      <c r="H36" s="58"/>
      <c r="I36" s="59" t="s">
        <v>71</v>
      </c>
      <c r="J36" s="59" t="s">
        <v>71</v>
      </c>
      <c r="K36" s="60">
        <f>I35</f>
        <v>1.0369318346345214E-5</v>
      </c>
      <c r="L36" s="60">
        <f>I37</f>
        <v>-1.6312914829682158E-4</v>
      </c>
      <c r="M36" s="60">
        <f>(C36-$O$3)*K36 + L36</f>
        <v>1.9729504310502925E-3</v>
      </c>
    </row>
    <row r="37" spans="1:26" ht="14">
      <c r="A37" s="55">
        <f t="shared" si="7"/>
        <v>141</v>
      </c>
      <c r="B37" s="55" t="s">
        <v>105</v>
      </c>
      <c r="C37" s="80">
        <v>212</v>
      </c>
      <c r="D37" s="56" t="s">
        <v>36</v>
      </c>
      <c r="E37" s="80">
        <v>205</v>
      </c>
      <c r="F37" s="80">
        <v>993</v>
      </c>
      <c r="G37" s="57">
        <v>2E-3</v>
      </c>
      <c r="H37" s="58"/>
      <c r="I37" s="59">
        <f>INTERCEPT(G34:G40, E34:E40)</f>
        <v>-1.6312914829682158E-4</v>
      </c>
      <c r="J37" s="59">
        <f>INTERCEPT(G34:G40, F34:F40)</f>
        <v>-3.1994320935718572E-5</v>
      </c>
      <c r="K37" s="60">
        <f>I35</f>
        <v>1.0369318346345214E-5</v>
      </c>
      <c r="L37" s="60">
        <f>I37</f>
        <v>-1.6312914829682158E-4</v>
      </c>
      <c r="M37" s="60">
        <f>(C37-$O$3)*K37+ L37</f>
        <v>2.035166341128364E-3</v>
      </c>
    </row>
    <row r="38" spans="1:26" ht="14">
      <c r="A38" s="55">
        <f t="shared" si="7"/>
        <v>141</v>
      </c>
      <c r="B38" s="55" t="s">
        <v>106</v>
      </c>
      <c r="C38" s="80">
        <v>976</v>
      </c>
      <c r="D38" s="56" t="s">
        <v>37</v>
      </c>
      <c r="E38" s="80">
        <v>526</v>
      </c>
      <c r="F38" s="80">
        <v>2401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2.0542125216991158E-6</v>
      </c>
      <c r="L38" s="60">
        <f>J37</f>
        <v>-3.1994320935718572E-5</v>
      </c>
      <c r="M38" s="60">
        <f>(C38-$O$4)*K38 + L38</f>
        <v>1.3037573712991314E-3</v>
      </c>
    </row>
    <row r="39" spans="1:26" ht="14">
      <c r="A39" s="55">
        <f t="shared" si="7"/>
        <v>141</v>
      </c>
      <c r="B39" s="55" t="s">
        <v>107</v>
      </c>
      <c r="C39" s="80">
        <v>928</v>
      </c>
      <c r="D39" s="56" t="s">
        <v>37</v>
      </c>
      <c r="E39" s="80">
        <v>946</v>
      </c>
      <c r="F39" s="80">
        <v>4967</v>
      </c>
      <c r="G39" s="57">
        <v>0.01</v>
      </c>
      <c r="H39" s="58"/>
      <c r="I39" s="61">
        <f>RSQ(G34:G40, E34:E40)</f>
        <v>0.99929625533036093</v>
      </c>
      <c r="J39" s="61">
        <f>RSQ(G34:G40, F34:F40)</f>
        <v>0.99986295255550106</v>
      </c>
      <c r="K39" s="60">
        <f>J35</f>
        <v>2.0542125216991158E-6</v>
      </c>
      <c r="L39" s="60">
        <f>J37</f>
        <v>-3.1994320935718572E-5</v>
      </c>
      <c r="M39" s="60">
        <f>(C39-$O$4)*K39 + L39</f>
        <v>1.205155170257574E-3</v>
      </c>
    </row>
    <row r="40" spans="1:26" ht="14">
      <c r="A40" s="55">
        <f t="shared" si="7"/>
        <v>141</v>
      </c>
      <c r="B40" s="55" t="s">
        <v>108</v>
      </c>
      <c r="C40" s="80">
        <v>113</v>
      </c>
      <c r="D40" s="56" t="s">
        <v>38</v>
      </c>
      <c r="E40" s="80">
        <v>1954</v>
      </c>
      <c r="F40" s="80">
        <v>9721</v>
      </c>
      <c r="G40" s="57">
        <v>0.02</v>
      </c>
      <c r="H40" s="58"/>
      <c r="I40" s="58"/>
      <c r="J40" s="58"/>
      <c r="K40" s="60">
        <f>I35</f>
        <v>1.0369318346345214E-5</v>
      </c>
      <c r="L40" s="60">
        <f>I37</f>
        <v>-1.6312914829682158E-4</v>
      </c>
      <c r="M40" s="60">
        <f>(C40-$O$5)*K40 + L40</f>
        <v>1.0086038248401877E-3</v>
      </c>
    </row>
    <row r="41" spans="1:26" ht="14">
      <c r="A41" s="55">
        <f t="shared" si="7"/>
        <v>141</v>
      </c>
      <c r="B41" s="55" t="s">
        <v>109</v>
      </c>
      <c r="C41" s="80">
        <v>106</v>
      </c>
      <c r="D41" s="56" t="s">
        <v>38</v>
      </c>
      <c r="E41" s="80">
        <v>15</v>
      </c>
      <c r="F41" s="80">
        <v>15</v>
      </c>
      <c r="G41" s="56"/>
      <c r="H41" s="58"/>
      <c r="I41" s="58"/>
      <c r="J41" s="58"/>
      <c r="K41" s="60">
        <f>I35</f>
        <v>1.0369318346345214E-5</v>
      </c>
      <c r="L41" s="60">
        <f>I37</f>
        <v>-1.6312914829682158E-4</v>
      </c>
      <c r="M41" s="60">
        <f>(C41-$O$5)*K41 + L41</f>
        <v>9.360185964157712E-4</v>
      </c>
    </row>
    <row r="42" spans="1:26" ht="14">
      <c r="A42" s="55">
        <f>P7</f>
        <v>142</v>
      </c>
      <c r="B42" s="55" t="s">
        <v>110</v>
      </c>
      <c r="C42" s="80">
        <v>436</v>
      </c>
      <c r="D42" s="56" t="s">
        <v>35</v>
      </c>
      <c r="E42" s="80">
        <v>20</v>
      </c>
      <c r="F42" s="80">
        <v>17</v>
      </c>
      <c r="G42" s="57">
        <v>0</v>
      </c>
      <c r="H42" s="58"/>
      <c r="I42" s="62" t="s">
        <v>68</v>
      </c>
      <c r="J42" s="62" t="s">
        <v>68</v>
      </c>
      <c r="K42" s="60">
        <f>I43</f>
        <v>9.9546084848407236E-6</v>
      </c>
      <c r="L42" s="60">
        <f>I45</f>
        <v>-3.902857835065901E-5</v>
      </c>
      <c r="M42" s="60">
        <f>(C42-$O$2)*K42+L42</f>
        <v>4.3011807210398961E-3</v>
      </c>
    </row>
    <row r="43" spans="1:26" ht="14">
      <c r="A43" s="55">
        <f t="shared" ref="A43:A49" si="8">A42</f>
        <v>142</v>
      </c>
      <c r="B43" s="55" t="s">
        <v>111</v>
      </c>
      <c r="C43" s="80">
        <v>376</v>
      </c>
      <c r="D43" s="56" t="s">
        <v>35</v>
      </c>
      <c r="E43" s="80">
        <v>62</v>
      </c>
      <c r="F43" s="80">
        <v>245</v>
      </c>
      <c r="G43" s="57">
        <v>5.0000000000000001E-4</v>
      </c>
      <c r="H43" s="58"/>
      <c r="I43" s="58">
        <f>SLOPE(G42:G48, E42:E48)</f>
        <v>9.9546084848407236E-6</v>
      </c>
      <c r="J43" s="58">
        <f>SLOPE(G42:G48, F42:F48)</f>
        <v>2.2686039115330913E-6</v>
      </c>
      <c r="K43" s="60">
        <f>I43</f>
        <v>9.9546084848407236E-6</v>
      </c>
      <c r="L43" s="60">
        <f>I45</f>
        <v>-3.902857835065901E-5</v>
      </c>
      <c r="M43" s="60">
        <f>(C43-$O$2)*K43+L43</f>
        <v>3.7039042119494533E-3</v>
      </c>
    </row>
    <row r="44" spans="1:26" ht="14">
      <c r="A44" s="55">
        <f t="shared" si="8"/>
        <v>142</v>
      </c>
      <c r="B44" s="55" t="s">
        <v>112</v>
      </c>
      <c r="C44" s="80">
        <v>193</v>
      </c>
      <c r="D44" s="56" t="s">
        <v>36</v>
      </c>
      <c r="E44" s="80">
        <v>110</v>
      </c>
      <c r="F44" s="80">
        <v>527</v>
      </c>
      <c r="G44" s="57">
        <v>1E-3</v>
      </c>
      <c r="H44" s="58"/>
      <c r="I44" s="62" t="s">
        <v>71</v>
      </c>
      <c r="J44" s="62" t="s">
        <v>71</v>
      </c>
      <c r="K44" s="60">
        <f>I43</f>
        <v>9.9546084848407236E-6</v>
      </c>
      <c r="L44" s="60">
        <f>I45</f>
        <v>-3.902857835065901E-5</v>
      </c>
      <c r="M44" s="60">
        <f>(C44-$O$3)*K44 + L44</f>
        <v>1.8822108592236007E-3</v>
      </c>
    </row>
    <row r="45" spans="1:26" ht="14">
      <c r="A45" s="55">
        <f t="shared" si="8"/>
        <v>142</v>
      </c>
      <c r="B45" s="55" t="s">
        <v>113</v>
      </c>
      <c r="C45" s="80">
        <v>214</v>
      </c>
      <c r="D45" s="56" t="s">
        <v>36</v>
      </c>
      <c r="E45" s="80">
        <v>200</v>
      </c>
      <c r="F45" s="80">
        <v>995</v>
      </c>
      <c r="G45" s="57">
        <v>2E-3</v>
      </c>
      <c r="H45" s="58"/>
      <c r="I45" s="58">
        <f>INTERCEPT(G42:G48, E42:E48)</f>
        <v>-3.902857835065901E-5</v>
      </c>
      <c r="J45" s="58">
        <f>INTERCEPT(G42:G48, F42:F48)</f>
        <v>-1.9484399049421106E-4</v>
      </c>
      <c r="K45" s="60">
        <f>I43</f>
        <v>9.9546084848407236E-6</v>
      </c>
      <c r="L45" s="60">
        <f>I45</f>
        <v>-3.902857835065901E-5</v>
      </c>
      <c r="M45" s="60">
        <f>(C45-$O$3)*K45+ L45</f>
        <v>2.0912576374052558E-3</v>
      </c>
    </row>
    <row r="46" spans="1:26" ht="14">
      <c r="A46" s="55">
        <f t="shared" si="8"/>
        <v>142</v>
      </c>
      <c r="B46" s="55" t="s">
        <v>114</v>
      </c>
      <c r="C46" s="80">
        <v>987</v>
      </c>
      <c r="D46" s="56" t="s">
        <v>37</v>
      </c>
      <c r="E46" s="80">
        <v>494</v>
      </c>
      <c r="F46" s="80">
        <v>2441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2.2686039115330913E-6</v>
      </c>
      <c r="L46" s="60">
        <f>J45</f>
        <v>-1.9484399049421106E-4</v>
      </c>
      <c r="M46" s="60">
        <f>(C46-$O$4)*K46 + L46</f>
        <v>1.3052703460070456E-3</v>
      </c>
    </row>
    <row r="47" spans="1:26" ht="14">
      <c r="A47" s="55">
        <f t="shared" si="8"/>
        <v>142</v>
      </c>
      <c r="B47" s="55" t="s">
        <v>115</v>
      </c>
      <c r="C47" s="80">
        <v>978</v>
      </c>
      <c r="D47" s="56" t="s">
        <v>37</v>
      </c>
      <c r="E47" s="80">
        <v>979</v>
      </c>
      <c r="F47" s="80">
        <v>4482</v>
      </c>
      <c r="G47" s="57">
        <v>0.01</v>
      </c>
      <c r="H47" s="58"/>
      <c r="I47" s="61">
        <f>RSQ(G42:G48, E42:E48)</f>
        <v>0.99947707200150404</v>
      </c>
      <c r="J47" s="61">
        <f>RSQ(G42:G48, F42:F48)</f>
        <v>0.99945713645355105</v>
      </c>
      <c r="K47" s="60">
        <f>J43</f>
        <v>2.2686039115330913E-6</v>
      </c>
      <c r="L47" s="60">
        <f>J45</f>
        <v>-1.9484399049421106E-4</v>
      </c>
      <c r="M47" s="60">
        <f>(C47-$O$4)*K47 + L47</f>
        <v>1.2848529108032477E-3</v>
      </c>
    </row>
    <row r="48" spans="1:26" ht="14">
      <c r="A48" s="55">
        <f t="shared" si="8"/>
        <v>142</v>
      </c>
      <c r="B48" s="55" t="s">
        <v>116</v>
      </c>
      <c r="C48" s="80">
        <v>114</v>
      </c>
      <c r="D48" s="56" t="s">
        <v>38</v>
      </c>
      <c r="E48" s="80">
        <v>2030</v>
      </c>
      <c r="F48" s="80">
        <v>8865</v>
      </c>
      <c r="G48" s="57">
        <v>0.02</v>
      </c>
      <c r="H48" s="58"/>
      <c r="I48" s="58"/>
      <c r="J48" s="58"/>
      <c r="K48" s="60">
        <f>I43</f>
        <v>9.9546084848407236E-6</v>
      </c>
      <c r="L48" s="60">
        <f>I45</f>
        <v>-3.902857835065901E-5</v>
      </c>
      <c r="M48" s="60">
        <f>(C48-$O$5)*K48 + L48</f>
        <v>1.0957967889211834E-3</v>
      </c>
    </row>
    <row r="49" spans="1:13" ht="14">
      <c r="A49" s="55">
        <f t="shared" si="8"/>
        <v>142</v>
      </c>
      <c r="B49" s="55" t="s">
        <v>117</v>
      </c>
      <c r="C49" s="80">
        <v>115</v>
      </c>
      <c r="D49" s="56" t="s">
        <v>38</v>
      </c>
      <c r="E49" s="80">
        <v>15</v>
      </c>
      <c r="F49" s="80">
        <v>15</v>
      </c>
      <c r="G49" s="56"/>
      <c r="H49" s="58"/>
      <c r="I49" s="58"/>
      <c r="J49" s="58"/>
      <c r="K49" s="60">
        <f>I43</f>
        <v>9.9546084848407236E-6</v>
      </c>
      <c r="L49" s="60">
        <f>I45</f>
        <v>-3.902857835065901E-5</v>
      </c>
      <c r="M49" s="60">
        <f>(C49-$O$5)*K49 + L49</f>
        <v>1.1057513974060242E-3</v>
      </c>
    </row>
    <row r="50" spans="1:13" ht="14">
      <c r="A50" s="55">
        <f>P8</f>
        <v>143</v>
      </c>
      <c r="B50" s="55" t="s">
        <v>118</v>
      </c>
      <c r="C50" s="80">
        <v>389</v>
      </c>
      <c r="D50" s="56" t="s">
        <v>35</v>
      </c>
      <c r="E50" s="80">
        <v>17</v>
      </c>
      <c r="F50" s="80">
        <v>19</v>
      </c>
      <c r="G50" s="57">
        <v>0</v>
      </c>
      <c r="H50" s="58"/>
      <c r="I50" s="62" t="s">
        <v>68</v>
      </c>
      <c r="J50" s="62" t="s">
        <v>68</v>
      </c>
      <c r="K50" s="60">
        <f>I51</f>
        <v>1.0666560004214766E-5</v>
      </c>
      <c r="L50" s="60">
        <f>I53</f>
        <v>-1.517530079475091E-4</v>
      </c>
      <c r="M50" s="60">
        <f>(C50-$O$2)*K50+L50</f>
        <v>3.9975388336920348E-3</v>
      </c>
    </row>
    <row r="51" spans="1:13" ht="14">
      <c r="A51" s="55">
        <f t="shared" ref="A51:A57" si="9">A50</f>
        <v>143</v>
      </c>
      <c r="B51" s="55" t="s">
        <v>119</v>
      </c>
      <c r="C51" s="80">
        <v>394</v>
      </c>
      <c r="D51" s="56" t="s">
        <v>35</v>
      </c>
      <c r="E51" s="80">
        <v>66</v>
      </c>
      <c r="F51" s="80">
        <v>244</v>
      </c>
      <c r="G51" s="57">
        <v>5.0000000000000001E-4</v>
      </c>
      <c r="H51" s="58"/>
      <c r="I51" s="58">
        <f>SLOPE(G50:G56, E50:E56)</f>
        <v>1.0666560004214766E-5</v>
      </c>
      <c r="J51" s="58">
        <f>SLOPE(G50:G56, F50:F56)</f>
        <v>2.3486784918473655E-6</v>
      </c>
      <c r="K51" s="60">
        <f>I51</f>
        <v>1.0666560004214766E-5</v>
      </c>
      <c r="L51" s="60">
        <f>I53</f>
        <v>-1.517530079475091E-4</v>
      </c>
      <c r="M51" s="60">
        <f>(C51-$O$2)*K51+L51</f>
        <v>4.0508716337131091E-3</v>
      </c>
    </row>
    <row r="52" spans="1:13" ht="14">
      <c r="A52" s="55">
        <f t="shared" si="9"/>
        <v>143</v>
      </c>
      <c r="B52" s="55" t="s">
        <v>120</v>
      </c>
      <c r="C52" s="80">
        <v>203</v>
      </c>
      <c r="D52" s="56" t="s">
        <v>36</v>
      </c>
      <c r="E52" s="80">
        <v>109</v>
      </c>
      <c r="F52" s="80">
        <v>504</v>
      </c>
      <c r="G52" s="57">
        <v>1E-3</v>
      </c>
      <c r="H52" s="58"/>
      <c r="I52" s="62" t="s">
        <v>71</v>
      </c>
      <c r="J52" s="62" t="s">
        <v>71</v>
      </c>
      <c r="K52" s="60">
        <f>I51</f>
        <v>1.0666560004214766E-5</v>
      </c>
      <c r="L52" s="60">
        <f>I53</f>
        <v>-1.517530079475091E-4</v>
      </c>
      <c r="M52" s="60">
        <f>(C52-$O$3)*K52 + L52</f>
        <v>2.0135586729080886E-3</v>
      </c>
    </row>
    <row r="53" spans="1:13" ht="14">
      <c r="A53" s="55">
        <f t="shared" si="9"/>
        <v>143</v>
      </c>
      <c r="B53" s="55" t="s">
        <v>121</v>
      </c>
      <c r="C53" s="80">
        <v>224</v>
      </c>
      <c r="D53" s="56" t="s">
        <v>36</v>
      </c>
      <c r="E53" s="80">
        <v>203</v>
      </c>
      <c r="F53" s="80">
        <v>934</v>
      </c>
      <c r="G53" s="57">
        <v>2E-3</v>
      </c>
      <c r="H53" s="58"/>
      <c r="I53" s="58">
        <f>INTERCEPT(G50:G56, E50:E56)</f>
        <v>-1.517530079475091E-4</v>
      </c>
      <c r="J53" s="58">
        <f>INTERCEPT(G50:G56, F50:F56)</f>
        <v>-2.3111104560640666E-4</v>
      </c>
      <c r="K53" s="60">
        <f>I51</f>
        <v>1.0666560004214766E-5</v>
      </c>
      <c r="L53" s="60">
        <f>I53</f>
        <v>-1.517530079475091E-4</v>
      </c>
      <c r="M53" s="60">
        <f>(C53-$O$3)*K53+ L53</f>
        <v>2.2375564329965986E-3</v>
      </c>
    </row>
    <row r="54" spans="1:13" ht="14">
      <c r="A54" s="55">
        <f t="shared" si="9"/>
        <v>143</v>
      </c>
      <c r="B54" s="55" t="s">
        <v>122</v>
      </c>
      <c r="C54" s="80">
        <v>998</v>
      </c>
      <c r="D54" s="56" t="s">
        <v>37</v>
      </c>
      <c r="E54" s="80">
        <v>490</v>
      </c>
      <c r="F54" s="80">
        <v>2482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2.3486784918473655E-6</v>
      </c>
      <c r="L54" s="60">
        <f>J53</f>
        <v>-2.3111104560640666E-4</v>
      </c>
      <c r="M54" s="60">
        <f>(C54-$O$4)*K54 + L54</f>
        <v>1.3477880705379847E-3</v>
      </c>
    </row>
    <row r="55" spans="1:13" ht="14">
      <c r="A55" s="55">
        <f t="shared" si="9"/>
        <v>143</v>
      </c>
      <c r="B55" s="55" t="s">
        <v>123</v>
      </c>
      <c r="C55" s="80">
        <v>1028</v>
      </c>
      <c r="D55" s="56" t="s">
        <v>37</v>
      </c>
      <c r="E55" s="80">
        <v>923</v>
      </c>
      <c r="F55" s="80">
        <v>4350</v>
      </c>
      <c r="G55" s="57">
        <v>0.01</v>
      </c>
      <c r="H55" s="58"/>
      <c r="I55" s="61">
        <f>RSQ(G50:G56, E50:E56)</f>
        <v>0.99962579681571229</v>
      </c>
      <c r="J55" s="61">
        <f>RSQ(G50:G56, F50:F56)</f>
        <v>0.99860131349523518</v>
      </c>
      <c r="K55" s="60">
        <f>J51</f>
        <v>2.3486784918473655E-6</v>
      </c>
      <c r="L55" s="60">
        <f>J53</f>
        <v>-2.3111104560640666E-4</v>
      </c>
      <c r="M55" s="60">
        <f>(C55-$O$4)*K55 + L55</f>
        <v>1.4182484252934057E-3</v>
      </c>
    </row>
    <row r="56" spans="1:13" ht="14">
      <c r="A56" s="55">
        <f t="shared" si="9"/>
        <v>143</v>
      </c>
      <c r="B56" s="55" t="s">
        <v>124</v>
      </c>
      <c r="C56" s="80">
        <v>124</v>
      </c>
      <c r="D56" s="56" t="s">
        <v>38</v>
      </c>
      <c r="E56" s="80">
        <v>1901</v>
      </c>
      <c r="F56" s="80">
        <v>8548</v>
      </c>
      <c r="G56" s="57">
        <v>0.02</v>
      </c>
      <c r="H56" s="58"/>
      <c r="I56" s="58"/>
      <c r="J56" s="58"/>
      <c r="K56" s="60">
        <f>I51</f>
        <v>1.0666560004214766E-5</v>
      </c>
      <c r="L56" s="60">
        <f>I53</f>
        <v>-1.517530079475091E-4</v>
      </c>
      <c r="M56" s="60">
        <f>(C56-$O$5)*K56 + L56</f>
        <v>1.1709004325751219E-3</v>
      </c>
    </row>
    <row r="57" spans="1:13" ht="14">
      <c r="A57" s="55">
        <f t="shared" si="9"/>
        <v>143</v>
      </c>
      <c r="B57" s="55" t="s">
        <v>125</v>
      </c>
      <c r="C57" s="80">
        <v>117</v>
      </c>
      <c r="D57" s="56" t="s">
        <v>38</v>
      </c>
      <c r="E57" s="80">
        <v>16</v>
      </c>
      <c r="F57" s="80">
        <v>16</v>
      </c>
      <c r="G57" s="56"/>
      <c r="H57" s="58"/>
      <c r="I57" s="58"/>
      <c r="J57" s="58"/>
      <c r="K57" s="60">
        <f>I51</f>
        <v>1.0666560004214766E-5</v>
      </c>
      <c r="L57" s="60">
        <f>I53</f>
        <v>-1.517530079475091E-4</v>
      </c>
      <c r="M57" s="60">
        <f>(C57-$O$5)*K57 + L57</f>
        <v>1.0962345125456185E-3</v>
      </c>
    </row>
    <row r="58" spans="1:13" ht="14">
      <c r="A58" s="55">
        <f>P9</f>
        <v>145</v>
      </c>
      <c r="B58" s="55" t="s">
        <v>126</v>
      </c>
      <c r="C58" s="80">
        <v>392</v>
      </c>
      <c r="D58" s="56" t="s">
        <v>35</v>
      </c>
      <c r="E58" s="80">
        <v>19</v>
      </c>
      <c r="F58" s="80">
        <v>21</v>
      </c>
      <c r="G58" s="57">
        <v>0</v>
      </c>
      <c r="H58" s="58"/>
      <c r="I58" s="62" t="s">
        <v>68</v>
      </c>
      <c r="J58" s="62" t="s">
        <v>68</v>
      </c>
      <c r="K58" s="60">
        <f>I59</f>
        <v>9.9018379063979359E-6</v>
      </c>
      <c r="L58" s="60">
        <f>I61</f>
        <v>-1.5253489628087868E-4</v>
      </c>
      <c r="M58" s="60">
        <f>(C58-$O$2)*K58+L58</f>
        <v>3.7289855630271121E-3</v>
      </c>
    </row>
    <row r="59" spans="1:13" ht="14">
      <c r="A59" s="55">
        <f t="shared" ref="A59:A65" si="10">A58</f>
        <v>145</v>
      </c>
      <c r="B59" s="55" t="s">
        <v>127</v>
      </c>
      <c r="C59" s="80">
        <v>394</v>
      </c>
      <c r="D59" s="56" t="s">
        <v>35</v>
      </c>
      <c r="E59" s="80">
        <v>66</v>
      </c>
      <c r="F59" s="80">
        <v>252</v>
      </c>
      <c r="G59" s="57">
        <v>5.0000000000000001E-4</v>
      </c>
      <c r="H59" s="58"/>
      <c r="I59" s="58">
        <f>SLOPE(G58:G64, E58:E64)</f>
        <v>9.9018379063979359E-6</v>
      </c>
      <c r="J59" s="58">
        <f>SLOPE(G58:G64, F58:F64)</f>
        <v>2.2453516295646799E-6</v>
      </c>
      <c r="K59" s="60">
        <f>I59</f>
        <v>9.9018379063979359E-6</v>
      </c>
      <c r="L59" s="60">
        <f>I61</f>
        <v>-1.5253489628087868E-4</v>
      </c>
      <c r="M59" s="60">
        <f>(C59-$O$2)*K59+L59</f>
        <v>3.7487892388399081E-3</v>
      </c>
    </row>
    <row r="60" spans="1:13" ht="14">
      <c r="A60" s="55">
        <f t="shared" si="10"/>
        <v>145</v>
      </c>
      <c r="B60" s="55" t="s">
        <v>128</v>
      </c>
      <c r="C60" s="80">
        <v>207</v>
      </c>
      <c r="D60" s="56" t="s">
        <v>36</v>
      </c>
      <c r="E60" s="80">
        <v>112</v>
      </c>
      <c r="F60" s="80">
        <v>554</v>
      </c>
      <c r="G60" s="57">
        <v>1E-3</v>
      </c>
      <c r="H60" s="58"/>
      <c r="I60" s="62" t="s">
        <v>71</v>
      </c>
      <c r="J60" s="62" t="s">
        <v>71</v>
      </c>
      <c r="K60" s="60">
        <f>I59</f>
        <v>9.9018379063979359E-6</v>
      </c>
      <c r="L60" s="60">
        <f>I61</f>
        <v>-1.5253489628087868E-4</v>
      </c>
      <c r="M60" s="60">
        <f>(C60-$O$3)*K60 + L60</f>
        <v>1.8971455503434941E-3</v>
      </c>
    </row>
    <row r="61" spans="1:13" ht="14">
      <c r="A61" s="55">
        <f t="shared" si="10"/>
        <v>145</v>
      </c>
      <c r="B61" s="55" t="s">
        <v>129</v>
      </c>
      <c r="C61" s="80">
        <v>228</v>
      </c>
      <c r="D61" s="56" t="s">
        <v>36</v>
      </c>
      <c r="E61" s="80">
        <v>213</v>
      </c>
      <c r="F61" s="80">
        <v>974</v>
      </c>
      <c r="G61" s="57">
        <v>2E-3</v>
      </c>
      <c r="H61" s="58"/>
      <c r="I61" s="58">
        <f>INTERCEPT(G58:G64, E58:E64)</f>
        <v>-1.5253489628087868E-4</v>
      </c>
      <c r="J61" s="58">
        <f>INTERCEPT(G58:G64, F58:F64)</f>
        <v>-1.8555109057627906E-4</v>
      </c>
      <c r="K61" s="60">
        <f>I59</f>
        <v>9.9018379063979359E-6</v>
      </c>
      <c r="L61" s="60">
        <f>I61</f>
        <v>-1.5253489628087868E-4</v>
      </c>
      <c r="M61" s="60">
        <f>(C61-$O$3)*K61+ L61</f>
        <v>2.1050841463778505E-3</v>
      </c>
    </row>
    <row r="62" spans="1:13" ht="14">
      <c r="A62" s="55">
        <f t="shared" si="10"/>
        <v>145</v>
      </c>
      <c r="B62" s="55" t="s">
        <v>130</v>
      </c>
      <c r="C62" s="80">
        <v>899</v>
      </c>
      <c r="D62" s="56" t="s">
        <v>37</v>
      </c>
      <c r="E62" s="80">
        <v>589</v>
      </c>
      <c r="F62" s="80">
        <v>2492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2.2453516295646799E-6</v>
      </c>
      <c r="L62" s="60">
        <f>J61</f>
        <v>-1.8555109057627906E-4</v>
      </c>
      <c r="M62" s="60">
        <f>(C62-$O$4)*K62 + L62</f>
        <v>1.1015967310716737E-3</v>
      </c>
    </row>
    <row r="63" spans="1:13" ht="14">
      <c r="A63" s="55">
        <f t="shared" si="10"/>
        <v>145</v>
      </c>
      <c r="B63" s="55" t="s">
        <v>131</v>
      </c>
      <c r="C63" s="80">
        <v>898</v>
      </c>
      <c r="D63" s="56" t="s">
        <v>37</v>
      </c>
      <c r="E63" s="80">
        <v>943</v>
      </c>
      <c r="F63" s="80">
        <v>4450</v>
      </c>
      <c r="G63" s="57">
        <v>0.01</v>
      </c>
      <c r="H63" s="58"/>
      <c r="I63" s="61">
        <f>RSQ(G58:G64, E58:E64)</f>
        <v>0.99633940729746007</v>
      </c>
      <c r="J63" s="61">
        <f>RSQ(G58:G64, F58:F64)</f>
        <v>0.9992378733133831</v>
      </c>
      <c r="K63" s="60">
        <f>J59</f>
        <v>2.2453516295646799E-6</v>
      </c>
      <c r="L63" s="60">
        <f>J61</f>
        <v>-1.8555109057627906E-4</v>
      </c>
      <c r="M63" s="60">
        <f>(C63-$O$4)*K63 + L63</f>
        <v>1.099351379442109E-3</v>
      </c>
    </row>
    <row r="64" spans="1:13" ht="14">
      <c r="A64" s="55">
        <f t="shared" si="10"/>
        <v>145</v>
      </c>
      <c r="B64" s="55" t="s">
        <v>132</v>
      </c>
      <c r="C64" s="80">
        <v>128</v>
      </c>
      <c r="D64" s="56" t="s">
        <v>38</v>
      </c>
      <c r="E64" s="80">
        <v>2054</v>
      </c>
      <c r="F64" s="80">
        <v>8982</v>
      </c>
      <c r="G64" s="57">
        <v>0.02</v>
      </c>
      <c r="H64" s="58"/>
      <c r="I64" s="58"/>
      <c r="J64" s="58"/>
      <c r="K64" s="60">
        <f>I59</f>
        <v>9.9018379063979359E-6</v>
      </c>
      <c r="L64" s="60">
        <f>I61</f>
        <v>-1.5253489628087868E-4</v>
      </c>
      <c r="M64" s="60">
        <f>(C64-$O$5)*K64 + L64</f>
        <v>1.1149003557380571E-3</v>
      </c>
    </row>
    <row r="65" spans="1:26" ht="14">
      <c r="A65" s="55">
        <f t="shared" si="10"/>
        <v>145</v>
      </c>
      <c r="B65" s="55" t="s">
        <v>133</v>
      </c>
      <c r="C65" s="80">
        <v>108</v>
      </c>
      <c r="D65" s="56" t="s">
        <v>38</v>
      </c>
      <c r="E65" s="80">
        <v>15</v>
      </c>
      <c r="F65" s="80">
        <v>16</v>
      </c>
      <c r="G65" s="56"/>
      <c r="H65" s="58"/>
      <c r="I65" s="58"/>
      <c r="J65" s="58"/>
      <c r="K65" s="60">
        <f>I59</f>
        <v>9.9018379063979359E-6</v>
      </c>
      <c r="L65" s="60">
        <f>I61</f>
        <v>-1.5253489628087868E-4</v>
      </c>
      <c r="M65" s="60">
        <f>(C65-$O$5)*K65 + L65</f>
        <v>9.1686359761009831E-4</v>
      </c>
    </row>
    <row r="66" spans="1:26" ht="14">
      <c r="A66" s="55">
        <f>P10</f>
        <v>146</v>
      </c>
      <c r="B66" s="55" t="s">
        <v>134</v>
      </c>
      <c r="C66" s="80">
        <v>420</v>
      </c>
      <c r="D66" s="56" t="s">
        <v>35</v>
      </c>
      <c r="E66" s="80">
        <v>20</v>
      </c>
      <c r="F66" s="80">
        <v>19</v>
      </c>
      <c r="G66" s="57">
        <v>0</v>
      </c>
      <c r="H66" s="58"/>
      <c r="I66" s="62" t="s">
        <v>68</v>
      </c>
      <c r="J66" s="62" t="s">
        <v>68</v>
      </c>
      <c r="K66" s="60">
        <f>I67</f>
        <v>9.287028959771619E-6</v>
      </c>
      <c r="L66" s="60">
        <f>I69</f>
        <v>1.7587896920521345E-4</v>
      </c>
      <c r="M66" s="60">
        <f>(C66-$O$2)*K66+L66</f>
        <v>4.0764311323092939E-3</v>
      </c>
    </row>
    <row r="67" spans="1:26" ht="14">
      <c r="A67" s="55">
        <f t="shared" ref="A67:A73" si="11">A66</f>
        <v>146</v>
      </c>
      <c r="B67" s="55" t="s">
        <v>135</v>
      </c>
      <c r="C67" s="80">
        <v>411</v>
      </c>
      <c r="D67" s="56" t="s">
        <v>35</v>
      </c>
      <c r="E67" s="80">
        <v>62</v>
      </c>
      <c r="F67" s="80">
        <v>269</v>
      </c>
      <c r="G67" s="57">
        <v>5.0000000000000001E-4</v>
      </c>
      <c r="H67" s="58"/>
      <c r="I67" s="58">
        <f>SLOPE(G66:G72, E66:E72)</f>
        <v>9.287028959771619E-6</v>
      </c>
      <c r="J67" s="58">
        <f>SLOPE(G66:G72, F66:F72)</f>
        <v>2.2420916800393455E-6</v>
      </c>
      <c r="K67" s="60">
        <f>I67</f>
        <v>9.287028959771619E-6</v>
      </c>
      <c r="L67" s="60">
        <f>I69</f>
        <v>1.7587896920521345E-4</v>
      </c>
      <c r="M67" s="60">
        <f>(C67-$O$2)*K67+L67</f>
        <v>3.9928478716713487E-3</v>
      </c>
    </row>
    <row r="68" spans="1:26" ht="14">
      <c r="A68" s="55">
        <f t="shared" si="11"/>
        <v>146</v>
      </c>
      <c r="B68" s="55" t="s">
        <v>136</v>
      </c>
      <c r="C68" s="80">
        <v>223</v>
      </c>
      <c r="D68" s="56" t="s">
        <v>36</v>
      </c>
      <c r="E68" s="80">
        <v>110</v>
      </c>
      <c r="F68" s="80">
        <v>540</v>
      </c>
      <c r="G68" s="57">
        <v>1E-3</v>
      </c>
      <c r="H68" s="58"/>
      <c r="I68" s="62" t="s">
        <v>71</v>
      </c>
      <c r="J68" s="62" t="s">
        <v>71</v>
      </c>
      <c r="K68" s="60">
        <f>I67</f>
        <v>9.287028959771619E-6</v>
      </c>
      <c r="L68" s="60">
        <f>I69</f>
        <v>1.7587896920521345E-4</v>
      </c>
      <c r="M68" s="60">
        <f>(C68-$O$3)*K68 + L68</f>
        <v>2.2468864272342844E-3</v>
      </c>
    </row>
    <row r="69" spans="1:26" ht="14">
      <c r="A69" s="55">
        <f t="shared" si="11"/>
        <v>146</v>
      </c>
      <c r="B69" s="55" t="s">
        <v>137</v>
      </c>
      <c r="C69" s="80">
        <v>218</v>
      </c>
      <c r="D69" s="56" t="s">
        <v>36</v>
      </c>
      <c r="E69" s="80">
        <v>206</v>
      </c>
      <c r="F69" s="80">
        <v>938</v>
      </c>
      <c r="G69" s="57">
        <v>2E-3</v>
      </c>
      <c r="H69" s="58"/>
      <c r="I69" s="58">
        <f>INTERCEPT(G66:G72, E66:E72)</f>
        <v>1.7587896920521345E-4</v>
      </c>
      <c r="J69" s="58">
        <f>INTERCEPT(G66:G72, F66:F72)</f>
        <v>-1.0490890128692868E-4</v>
      </c>
      <c r="K69" s="60">
        <f>I67</f>
        <v>9.287028959771619E-6</v>
      </c>
      <c r="L69" s="60">
        <f>I69</f>
        <v>1.7587896920521345E-4</v>
      </c>
      <c r="M69" s="60">
        <f>(C69-$O$3)*K69+ L69</f>
        <v>2.2004512824354266E-3</v>
      </c>
    </row>
    <row r="70" spans="1:26" ht="14">
      <c r="A70" s="55">
        <f t="shared" si="11"/>
        <v>146</v>
      </c>
      <c r="B70" s="55" t="s">
        <v>138</v>
      </c>
      <c r="C70" s="80">
        <v>1046</v>
      </c>
      <c r="D70" s="56" t="s">
        <v>37</v>
      </c>
      <c r="E70" s="80">
        <v>495</v>
      </c>
      <c r="F70" s="80">
        <v>2445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2.2420916800393455E-6</v>
      </c>
      <c r="L70" s="60">
        <f>J69</f>
        <v>-1.0490890128692868E-4</v>
      </c>
      <c r="M70" s="60">
        <f>(C70-$O$4)*K70 + L70</f>
        <v>1.5099576312614098E-3</v>
      </c>
    </row>
    <row r="71" spans="1:26" ht="14">
      <c r="A71" s="55">
        <f t="shared" si="11"/>
        <v>146</v>
      </c>
      <c r="B71" s="55" t="s">
        <v>139</v>
      </c>
      <c r="C71" s="80">
        <v>972</v>
      </c>
      <c r="D71" s="56" t="s">
        <v>37</v>
      </c>
      <c r="E71" s="80">
        <v>928</v>
      </c>
      <c r="F71" s="80">
        <v>4247</v>
      </c>
      <c r="G71" s="57">
        <v>0.01</v>
      </c>
      <c r="H71" s="58"/>
      <c r="I71" s="61">
        <f>RSQ(G66:G72, E66:E72)</f>
        <v>0.99362462275559693</v>
      </c>
      <c r="J71" s="61">
        <f>RSQ(G66:G72, F66:F72)</f>
        <v>0.99835379640458399</v>
      </c>
      <c r="K71" s="60">
        <f>J67</f>
        <v>2.2420916800393455E-6</v>
      </c>
      <c r="L71" s="60">
        <f>J69</f>
        <v>-1.0490890128692868E-4</v>
      </c>
      <c r="M71" s="60">
        <f>(C71-$O$4)*K71 + L71</f>
        <v>1.3440428469384984E-3</v>
      </c>
    </row>
    <row r="72" spans="1:26" ht="14">
      <c r="A72" s="55">
        <f t="shared" si="11"/>
        <v>146</v>
      </c>
      <c r="B72" s="55" t="s">
        <v>140</v>
      </c>
      <c r="C72" s="80">
        <v>117</v>
      </c>
      <c r="D72" s="56" t="s">
        <v>38</v>
      </c>
      <c r="E72" s="80">
        <v>2192</v>
      </c>
      <c r="F72" s="80">
        <v>9041</v>
      </c>
      <c r="G72" s="57">
        <v>0.02</v>
      </c>
      <c r="H72" s="58"/>
      <c r="I72" s="58"/>
      <c r="J72" s="58"/>
      <c r="K72" s="60">
        <f>I67</f>
        <v>9.287028959771619E-6</v>
      </c>
      <c r="L72" s="60">
        <f>I69</f>
        <v>1.7587896920521345E-4</v>
      </c>
      <c r="M72" s="60">
        <f>(C72-$O$5)*K72 + L72</f>
        <v>1.2624613574984929E-3</v>
      </c>
    </row>
    <row r="73" spans="1:26" ht="14">
      <c r="A73" s="55">
        <f t="shared" si="11"/>
        <v>146</v>
      </c>
      <c r="B73" s="55" t="s">
        <v>141</v>
      </c>
      <c r="C73" s="80">
        <v>105</v>
      </c>
      <c r="D73" s="56" t="s">
        <v>38</v>
      </c>
      <c r="E73" s="80">
        <v>15</v>
      </c>
      <c r="F73" s="80">
        <v>16</v>
      </c>
      <c r="G73" s="56"/>
      <c r="H73" s="58"/>
      <c r="I73" s="58"/>
      <c r="J73" s="58"/>
      <c r="K73" s="60">
        <f>I67</f>
        <v>9.287028959771619E-6</v>
      </c>
      <c r="L73" s="60">
        <f>I69</f>
        <v>1.7587896920521345E-4</v>
      </c>
      <c r="M73" s="60">
        <f>(C73-$O$5)*K73 + L73</f>
        <v>1.1510170099812336E-3</v>
      </c>
    </row>
    <row r="74" spans="1:26" ht="14">
      <c r="A74" s="55">
        <f>P11</f>
        <v>147</v>
      </c>
      <c r="B74" s="55" t="s">
        <v>142</v>
      </c>
      <c r="C74" s="80">
        <v>393</v>
      </c>
      <c r="D74" s="56" t="s">
        <v>35</v>
      </c>
      <c r="E74" s="80">
        <v>18</v>
      </c>
      <c r="F74" s="80">
        <v>18</v>
      </c>
      <c r="G74" s="57">
        <v>0</v>
      </c>
      <c r="H74" s="58"/>
      <c r="I74" s="62" t="s">
        <v>68</v>
      </c>
      <c r="J74" s="62" t="s">
        <v>68</v>
      </c>
      <c r="K74" s="60">
        <f>I75</f>
        <v>1.0022983268678235E-5</v>
      </c>
      <c r="L74" s="60">
        <f>I77</f>
        <v>-9.1392809169786766E-5</v>
      </c>
      <c r="M74" s="60">
        <f>(C74-$O$2)*K74+L74</f>
        <v>3.8476396154207594E-3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147</v>
      </c>
      <c r="B75" s="55" t="s">
        <v>143</v>
      </c>
      <c r="C75" s="80">
        <v>384</v>
      </c>
      <c r="D75" s="56" t="s">
        <v>35</v>
      </c>
      <c r="E75" s="80">
        <v>61</v>
      </c>
      <c r="F75" s="80">
        <v>255</v>
      </c>
      <c r="G75" s="57">
        <v>5.0000000000000001E-4</v>
      </c>
      <c r="H75" s="58"/>
      <c r="I75" s="58">
        <f>SLOPE(G74:G80, E74:E80)</f>
        <v>1.0022983268678235E-5</v>
      </c>
      <c r="J75" s="58">
        <f>SLOPE(G74:G80, F74:F80)</f>
        <v>2.3449840514427118E-6</v>
      </c>
      <c r="K75" s="60">
        <f>I75</f>
        <v>1.0022983268678235E-5</v>
      </c>
      <c r="L75" s="60">
        <f>I77</f>
        <v>-9.1392809169786766E-5</v>
      </c>
      <c r="M75" s="60">
        <f>(C75-$O$2)*K75+L75</f>
        <v>3.7574327660026552E-3</v>
      </c>
    </row>
    <row r="76" spans="1:26" ht="14">
      <c r="A76" s="55">
        <f t="shared" si="12"/>
        <v>147</v>
      </c>
      <c r="B76" s="55" t="s">
        <v>144</v>
      </c>
      <c r="C76" s="80">
        <v>192</v>
      </c>
      <c r="D76" s="56" t="s">
        <v>36</v>
      </c>
      <c r="E76" s="80">
        <v>115</v>
      </c>
      <c r="F76" s="80">
        <v>482</v>
      </c>
      <c r="G76" s="57">
        <v>1E-3</v>
      </c>
      <c r="H76" s="58"/>
      <c r="I76" s="62" t="s">
        <v>71</v>
      </c>
      <c r="J76" s="62" t="s">
        <v>71</v>
      </c>
      <c r="K76" s="60">
        <f>I75</f>
        <v>1.0022983268678235E-5</v>
      </c>
      <c r="L76" s="60">
        <f>I77</f>
        <v>-9.1392809169786766E-5</v>
      </c>
      <c r="M76" s="60">
        <f>(C76-$O$3)*K76 + L76</f>
        <v>1.8330199784164342E-3</v>
      </c>
    </row>
    <row r="77" spans="1:26" ht="14">
      <c r="A77" s="55">
        <f t="shared" si="12"/>
        <v>147</v>
      </c>
      <c r="B77" s="55" t="s">
        <v>145</v>
      </c>
      <c r="C77" s="80">
        <v>198</v>
      </c>
      <c r="D77" s="56" t="s">
        <v>36</v>
      </c>
      <c r="E77" s="80">
        <v>200</v>
      </c>
      <c r="F77" s="80">
        <v>974</v>
      </c>
      <c r="G77" s="57">
        <v>2E-3</v>
      </c>
      <c r="H77" s="58"/>
      <c r="I77" s="58">
        <f>INTERCEPT(G74:G80, E74:E80)</f>
        <v>-9.1392809169786766E-5</v>
      </c>
      <c r="J77" s="58">
        <f>INTERCEPT(G74:G80, F74:F80)</f>
        <v>-1.4303662093606822E-4</v>
      </c>
      <c r="K77" s="60">
        <f>I75</f>
        <v>1.0022983268678235E-5</v>
      </c>
      <c r="L77" s="60">
        <f>I77</f>
        <v>-9.1392809169786766E-5</v>
      </c>
      <c r="M77" s="60">
        <f>(C77-$O$3)*K77+ L77</f>
        <v>1.8931578780285035E-3</v>
      </c>
    </row>
    <row r="78" spans="1:26" ht="14">
      <c r="A78" s="55">
        <f t="shared" si="12"/>
        <v>147</v>
      </c>
      <c r="B78" s="55" t="s">
        <v>146</v>
      </c>
      <c r="C78" s="80">
        <v>950</v>
      </c>
      <c r="D78" s="56" t="s">
        <v>37</v>
      </c>
      <c r="E78" s="80">
        <v>525</v>
      </c>
      <c r="F78" s="80">
        <v>2428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2.3449840514427118E-6</v>
      </c>
      <c r="L78" s="60">
        <f>J77</f>
        <v>-1.4303662093606822E-4</v>
      </c>
      <c r="M78" s="60">
        <f>(C78-$O$4)*K78 + L78</f>
        <v>1.3208196731770447E-3</v>
      </c>
    </row>
    <row r="79" spans="1:26" ht="14">
      <c r="A79" s="55">
        <f t="shared" si="12"/>
        <v>147</v>
      </c>
      <c r="B79" s="55" t="s">
        <v>147</v>
      </c>
      <c r="C79" s="80">
        <v>968</v>
      </c>
      <c r="D79" s="56" t="s">
        <v>37</v>
      </c>
      <c r="E79" s="80">
        <v>966</v>
      </c>
      <c r="F79" s="80">
        <v>4034</v>
      </c>
      <c r="G79" s="57">
        <v>0.01</v>
      </c>
      <c r="H79" s="58"/>
      <c r="I79" s="61">
        <f>RSQ(G74:G80, E74:E80)</f>
        <v>0.99924580135114616</v>
      </c>
      <c r="J79" s="61">
        <f>RSQ(G74:G80, F74:F80)</f>
        <v>0.99740969999668494</v>
      </c>
      <c r="K79" s="60">
        <f>J75</f>
        <v>2.3449840514427118E-6</v>
      </c>
      <c r="L79" s="60">
        <f>J77</f>
        <v>-1.4303662093606822E-4</v>
      </c>
      <c r="M79" s="60">
        <f>(C79-$O$4)*K79 + L79</f>
        <v>1.3630293861030135E-3</v>
      </c>
    </row>
    <row r="80" spans="1:26" ht="14">
      <c r="A80" s="55">
        <f t="shared" si="12"/>
        <v>147</v>
      </c>
      <c r="B80" s="55" t="s">
        <v>148</v>
      </c>
      <c r="C80" s="80">
        <v>114</v>
      </c>
      <c r="D80" s="56" t="s">
        <v>38</v>
      </c>
      <c r="E80" s="80">
        <v>2020</v>
      </c>
      <c r="F80" s="80">
        <v>8654</v>
      </c>
      <c r="G80" s="57">
        <v>0.02</v>
      </c>
      <c r="H80" s="58"/>
      <c r="I80" s="58"/>
      <c r="J80" s="58"/>
      <c r="K80" s="60">
        <f>I75</f>
        <v>1.0022983268678235E-5</v>
      </c>
      <c r="L80" s="60">
        <f>I77</f>
        <v>-9.1392809169786766E-5</v>
      </c>
      <c r="M80" s="60">
        <f>(C80-$O$5)*K80 + L80</f>
        <v>1.051227283459532E-3</v>
      </c>
    </row>
    <row r="81" spans="1:13" ht="14">
      <c r="A81" s="55">
        <f t="shared" si="12"/>
        <v>147</v>
      </c>
      <c r="B81" s="55" t="s">
        <v>149</v>
      </c>
      <c r="C81" s="80">
        <v>99</v>
      </c>
      <c r="D81" s="56" t="s">
        <v>38</v>
      </c>
      <c r="E81" s="80">
        <v>16</v>
      </c>
      <c r="F81" s="80">
        <v>16</v>
      </c>
      <c r="G81" s="56"/>
      <c r="H81" s="58"/>
      <c r="I81" s="58"/>
      <c r="J81" s="58"/>
      <c r="K81" s="60">
        <f>I75</f>
        <v>1.0022983268678235E-5</v>
      </c>
      <c r="L81" s="60">
        <f>I77</f>
        <v>-9.1392809169786766E-5</v>
      </c>
      <c r="M81" s="60">
        <f>(C81-$O$5)*K81 + L81</f>
        <v>9.0088253442935839E-4</v>
      </c>
    </row>
    <row r="82" spans="1:13" ht="14">
      <c r="A82" s="55">
        <f>P12</f>
        <v>148</v>
      </c>
      <c r="B82" s="55" t="s">
        <v>150</v>
      </c>
      <c r="C82" s="80">
        <v>422</v>
      </c>
      <c r="D82" s="56" t="s">
        <v>35</v>
      </c>
      <c r="E82" s="80">
        <v>20</v>
      </c>
      <c r="F82" s="80">
        <v>16</v>
      </c>
      <c r="G82" s="57">
        <v>0</v>
      </c>
      <c r="H82" s="58"/>
      <c r="I82" s="62" t="s">
        <v>68</v>
      </c>
      <c r="J82" s="62" t="s">
        <v>68</v>
      </c>
      <c r="K82" s="60">
        <f>I83</f>
        <v>9.4996539489843007E-6</v>
      </c>
      <c r="L82" s="60">
        <f>I85</f>
        <v>-4.7797906206831393E-5</v>
      </c>
      <c r="M82" s="60">
        <f>(C82-$O$2)*K82+L82</f>
        <v>3.9610560602645435E-3</v>
      </c>
    </row>
    <row r="83" spans="1:13" ht="14">
      <c r="A83" s="55">
        <f t="shared" ref="A83:A89" si="13">A82</f>
        <v>148</v>
      </c>
      <c r="B83" s="55" t="s">
        <v>151</v>
      </c>
      <c r="C83" s="80">
        <v>399</v>
      </c>
      <c r="D83" s="56" t="s">
        <v>35</v>
      </c>
      <c r="E83" s="80">
        <v>63</v>
      </c>
      <c r="F83" s="80">
        <v>242</v>
      </c>
      <c r="G83" s="57">
        <v>5.0000000000000001E-4</v>
      </c>
      <c r="H83" s="58"/>
      <c r="I83" s="58">
        <f>SLOPE(G82:G88, E82:E88)</f>
        <v>9.4996539489843007E-6</v>
      </c>
      <c r="J83" s="58">
        <f>SLOPE(G82:G88, F82:F88)</f>
        <v>2.1943890819791995E-6</v>
      </c>
      <c r="K83" s="60">
        <f>I83</f>
        <v>9.4996539489843007E-6</v>
      </c>
      <c r="L83" s="60">
        <f>I85</f>
        <v>-4.7797906206831393E-5</v>
      </c>
      <c r="M83" s="60">
        <f>(C83-$O$2)*K83+L83</f>
        <v>3.7425640194379047E-3</v>
      </c>
    </row>
    <row r="84" spans="1:13" ht="14">
      <c r="A84" s="55">
        <f t="shared" si="13"/>
        <v>148</v>
      </c>
      <c r="B84" s="55" t="s">
        <v>152</v>
      </c>
      <c r="C84" s="80">
        <v>226</v>
      </c>
      <c r="D84" s="56" t="s">
        <v>36</v>
      </c>
      <c r="E84" s="80">
        <v>114</v>
      </c>
      <c r="F84" s="80">
        <v>721</v>
      </c>
      <c r="G84" s="57">
        <v>1E-3</v>
      </c>
      <c r="H84" s="58"/>
      <c r="I84" s="62" t="s">
        <v>71</v>
      </c>
      <c r="J84" s="62" t="s">
        <v>71</v>
      </c>
      <c r="K84" s="60">
        <f>I83</f>
        <v>9.4996539489843007E-6</v>
      </c>
      <c r="L84" s="60">
        <f>I85</f>
        <v>-4.7797906206831393E-5</v>
      </c>
      <c r="M84" s="60">
        <f>(C84-$O$3)*K84 + L84</f>
        <v>2.0991238862636207E-3</v>
      </c>
    </row>
    <row r="85" spans="1:13" ht="14">
      <c r="A85" s="55">
        <f t="shared" si="13"/>
        <v>148</v>
      </c>
      <c r="B85" s="55" t="s">
        <v>153</v>
      </c>
      <c r="C85" s="80">
        <v>215</v>
      </c>
      <c r="D85" s="56" t="s">
        <v>36</v>
      </c>
      <c r="E85" s="80">
        <v>216</v>
      </c>
      <c r="F85" s="80">
        <v>910</v>
      </c>
      <c r="G85" s="57">
        <v>2E-3</v>
      </c>
      <c r="H85" s="58"/>
      <c r="I85" s="58">
        <f>INTERCEPT(G82:G88, E82:E88)</f>
        <v>-4.7797906206831393E-5</v>
      </c>
      <c r="J85" s="58">
        <f>INTERCEPT(G82:G88, F82:F88)</f>
        <v>-6.904600590863872E-5</v>
      </c>
      <c r="K85" s="60">
        <f>I83</f>
        <v>9.4996539489843007E-6</v>
      </c>
      <c r="L85" s="60">
        <f>I85</f>
        <v>-4.7797906206831393E-5</v>
      </c>
      <c r="M85" s="60">
        <f>(C85-$O$3)*K85+ L85</f>
        <v>1.9946276928247933E-3</v>
      </c>
    </row>
    <row r="86" spans="1:13" ht="14">
      <c r="A86" s="55">
        <f t="shared" si="13"/>
        <v>148</v>
      </c>
      <c r="B86" s="55" t="s">
        <v>154</v>
      </c>
      <c r="C86" s="80">
        <v>1040</v>
      </c>
      <c r="D86" s="56" t="s">
        <v>37</v>
      </c>
      <c r="E86" s="80">
        <v>552</v>
      </c>
      <c r="F86" s="80">
        <v>2239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2.1943890819791995E-6</v>
      </c>
      <c r="L86" s="60">
        <f>J85</f>
        <v>-6.904600590863872E-5</v>
      </c>
      <c r="M86" s="60">
        <f>(C86-$O$4)*K86 + L86</f>
        <v>1.4982963958950046E-3</v>
      </c>
    </row>
    <row r="87" spans="1:13" ht="14">
      <c r="A87" s="55">
        <f t="shared" si="13"/>
        <v>148</v>
      </c>
      <c r="B87" s="55" t="s">
        <v>155</v>
      </c>
      <c r="C87" s="80">
        <v>1043</v>
      </c>
      <c r="D87" s="56" t="s">
        <v>37</v>
      </c>
      <c r="E87" s="80">
        <v>985</v>
      </c>
      <c r="F87" s="80">
        <v>4398</v>
      </c>
      <c r="G87" s="57">
        <v>0.01</v>
      </c>
      <c r="H87" s="58"/>
      <c r="I87" s="61">
        <f>RSQ(G82:G88, E82:E88)</f>
        <v>0.99809001545317477</v>
      </c>
      <c r="J87" s="61">
        <f>RSQ(G82:G88, F82:F88)</f>
        <v>0.99839191420742468</v>
      </c>
      <c r="K87" s="60">
        <f>J83</f>
        <v>2.1943890819791995E-6</v>
      </c>
      <c r="L87" s="60">
        <f>J85</f>
        <v>-6.904600590863872E-5</v>
      </c>
      <c r="M87" s="60">
        <f>(C87-$O$4)*K87 + L87</f>
        <v>1.5048795631409421E-3</v>
      </c>
    </row>
    <row r="88" spans="1:13" ht="14">
      <c r="A88" s="55">
        <f t="shared" si="13"/>
        <v>148</v>
      </c>
      <c r="B88" s="55" t="s">
        <v>156</v>
      </c>
      <c r="C88" s="80">
        <v>132</v>
      </c>
      <c r="D88" s="56" t="s">
        <v>38</v>
      </c>
      <c r="E88" s="80">
        <v>2138</v>
      </c>
      <c r="F88" s="80">
        <v>9239</v>
      </c>
      <c r="G88" s="57">
        <v>0.02</v>
      </c>
      <c r="H88" s="58"/>
      <c r="I88" s="58"/>
      <c r="J88" s="58"/>
      <c r="K88" s="60">
        <f>I83</f>
        <v>9.4996539489843007E-6</v>
      </c>
      <c r="L88" s="60">
        <f>I85</f>
        <v>-4.7797906206831393E-5</v>
      </c>
      <c r="M88" s="60">
        <f>(C88-$O$5)*K88 + L88</f>
        <v>1.2061564150590964E-3</v>
      </c>
    </row>
    <row r="89" spans="1:13" ht="14">
      <c r="A89" s="55">
        <f t="shared" si="13"/>
        <v>148</v>
      </c>
      <c r="B89" s="55" t="s">
        <v>157</v>
      </c>
      <c r="C89" s="80">
        <v>102</v>
      </c>
      <c r="D89" s="56" t="s">
        <v>38</v>
      </c>
      <c r="E89" s="80">
        <v>16</v>
      </c>
      <c r="F89" s="80">
        <v>16</v>
      </c>
      <c r="G89" s="56"/>
      <c r="H89" s="58"/>
      <c r="I89" s="58"/>
      <c r="J89" s="58"/>
      <c r="K89" s="60">
        <f>I83</f>
        <v>9.4996539489843007E-6</v>
      </c>
      <c r="L89" s="60">
        <f>I85</f>
        <v>-4.7797906206831393E-5</v>
      </c>
      <c r="M89" s="60">
        <f>(C89-$O$5)*K89 + L89</f>
        <v>9.2116679658956727E-4</v>
      </c>
    </row>
    <row r="90" spans="1:13" ht="14">
      <c r="A90" s="55">
        <f>P13</f>
        <v>150</v>
      </c>
      <c r="B90" s="55" t="s">
        <v>158</v>
      </c>
      <c r="C90" s="80">
        <v>440</v>
      </c>
      <c r="D90" s="56" t="s">
        <v>35</v>
      </c>
      <c r="E90" s="80">
        <v>22</v>
      </c>
      <c r="F90" s="80">
        <v>19</v>
      </c>
      <c r="G90" s="57">
        <v>0</v>
      </c>
      <c r="H90" s="58"/>
      <c r="I90" s="62" t="s">
        <v>68</v>
      </c>
      <c r="J90" s="62" t="s">
        <v>68</v>
      </c>
      <c r="K90" s="60">
        <f>I91</f>
        <v>9.6536200071688514E-6</v>
      </c>
      <c r="L90" s="60">
        <f>I93</f>
        <v>-1.2392319846208158E-4</v>
      </c>
      <c r="M90" s="60">
        <f>(C90-$O$2)*K90+L90</f>
        <v>4.1236696046922129E-3</v>
      </c>
    </row>
    <row r="91" spans="1:13" ht="14">
      <c r="A91" s="55">
        <f t="shared" ref="A91:A97" si="14">A90</f>
        <v>150</v>
      </c>
      <c r="B91" s="55" t="s">
        <v>159</v>
      </c>
      <c r="C91" s="80">
        <v>417</v>
      </c>
      <c r="D91" s="56" t="s">
        <v>35</v>
      </c>
      <c r="E91" s="80">
        <v>62</v>
      </c>
      <c r="F91" s="80">
        <v>242</v>
      </c>
      <c r="G91" s="57">
        <v>5.0000000000000001E-4</v>
      </c>
      <c r="H91" s="58"/>
      <c r="I91" s="58">
        <f>SLOPE(G90:G96, E90:E96)</f>
        <v>9.6536200071688514E-6</v>
      </c>
      <c r="J91" s="58">
        <f>SLOPE(G90:G96, F90:F96)</f>
        <v>2.2270968370477482E-6</v>
      </c>
      <c r="K91" s="60">
        <f>I91</f>
        <v>9.6536200071688514E-6</v>
      </c>
      <c r="L91" s="60">
        <f>I93</f>
        <v>-1.2392319846208158E-4</v>
      </c>
      <c r="M91" s="60">
        <f>(C91-$O$2)*K91+L91</f>
        <v>3.9016363445273294E-3</v>
      </c>
    </row>
    <row r="92" spans="1:13" ht="14">
      <c r="A92" s="55">
        <f t="shared" si="14"/>
        <v>150</v>
      </c>
      <c r="B92" s="55" t="s">
        <v>160</v>
      </c>
      <c r="C92" s="80">
        <v>205</v>
      </c>
      <c r="D92" s="56" t="s">
        <v>36</v>
      </c>
      <c r="E92" s="80">
        <v>127</v>
      </c>
      <c r="F92" s="80">
        <v>476</v>
      </c>
      <c r="G92" s="57">
        <v>1E-3</v>
      </c>
      <c r="H92" s="58"/>
      <c r="I92" s="62" t="s">
        <v>71</v>
      </c>
      <c r="J92" s="62" t="s">
        <v>71</v>
      </c>
      <c r="K92" s="60">
        <f>I91</f>
        <v>9.6536200071688514E-6</v>
      </c>
      <c r="L92" s="60">
        <f>I93</f>
        <v>-1.2392319846208158E-4</v>
      </c>
      <c r="M92" s="60">
        <f>(C92-$O$3)*K92 + L92</f>
        <v>1.855068903007533E-3</v>
      </c>
    </row>
    <row r="93" spans="1:13" ht="14">
      <c r="A93" s="55">
        <f t="shared" si="14"/>
        <v>150</v>
      </c>
      <c r="B93" s="55" t="s">
        <v>161</v>
      </c>
      <c r="C93" s="80">
        <v>212</v>
      </c>
      <c r="D93" s="56" t="s">
        <v>36</v>
      </c>
      <c r="E93" s="80">
        <v>212</v>
      </c>
      <c r="F93" s="80">
        <v>988</v>
      </c>
      <c r="G93" s="57">
        <v>2E-3</v>
      </c>
      <c r="H93" s="58"/>
      <c r="I93" s="58">
        <f>INTERCEPT(G90:G96, E90:E96)</f>
        <v>-1.2392319846208158E-4</v>
      </c>
      <c r="J93" s="58">
        <f>INTERCEPT(G90:G96, F90:F96)</f>
        <v>1.7205743879452132E-5</v>
      </c>
      <c r="K93" s="60">
        <f>I91</f>
        <v>9.6536200071688514E-6</v>
      </c>
      <c r="L93" s="60">
        <f>I93</f>
        <v>-1.2392319846208158E-4</v>
      </c>
      <c r="M93" s="60">
        <f>(C93-$O$3)*K93+ L93</f>
        <v>1.9226442430577148E-3</v>
      </c>
    </row>
    <row r="94" spans="1:13" ht="14">
      <c r="A94" s="55">
        <f t="shared" si="14"/>
        <v>150</v>
      </c>
      <c r="B94" s="55" t="s">
        <v>162</v>
      </c>
      <c r="C94" s="80">
        <v>1100</v>
      </c>
      <c r="D94" s="56" t="s">
        <v>37</v>
      </c>
      <c r="E94" s="80">
        <v>527</v>
      </c>
      <c r="F94" s="80">
        <v>2262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2.2270968370477482E-6</v>
      </c>
      <c r="L94" s="60">
        <f>J93</f>
        <v>1.7205743879452132E-5</v>
      </c>
      <c r="M94" s="60">
        <f>(C94-$O$4)*K94 + L94</f>
        <v>1.7415354699636711E-3</v>
      </c>
    </row>
    <row r="95" spans="1:13" ht="14">
      <c r="A95" s="55">
        <f t="shared" si="14"/>
        <v>150</v>
      </c>
      <c r="B95" s="55" t="s">
        <v>163</v>
      </c>
      <c r="C95" s="80">
        <v>1106</v>
      </c>
      <c r="D95" s="56" t="s">
        <v>37</v>
      </c>
      <c r="E95" s="80">
        <v>1036</v>
      </c>
      <c r="F95" s="80">
        <v>4135</v>
      </c>
      <c r="G95" s="57">
        <v>0.01</v>
      </c>
      <c r="H95" s="58"/>
      <c r="I95" s="61">
        <f>RSQ(G90:G96, E90:E96)</f>
        <v>0.99985436984767984</v>
      </c>
      <c r="J95" s="61">
        <f>RSQ(G90:G96, F90:F96)</f>
        <v>0.99762400749405877</v>
      </c>
      <c r="K95" s="60">
        <f>J91</f>
        <v>2.2270968370477482E-6</v>
      </c>
      <c r="L95" s="60">
        <f>J93</f>
        <v>1.7205743879452132E-5</v>
      </c>
      <c r="M95" s="60">
        <f>(C95-$O$4)*K95 + L95</f>
        <v>1.7548980509859576E-3</v>
      </c>
    </row>
    <row r="96" spans="1:13" ht="14">
      <c r="A96" s="55">
        <f t="shared" si="14"/>
        <v>150</v>
      </c>
      <c r="B96" s="55" t="s">
        <v>164</v>
      </c>
      <c r="C96" s="80">
        <v>51</v>
      </c>
      <c r="D96" s="56" t="s">
        <v>38</v>
      </c>
      <c r="E96" s="80">
        <v>2092</v>
      </c>
      <c r="F96" s="80">
        <v>9111</v>
      </c>
      <c r="G96" s="57">
        <v>0.02</v>
      </c>
      <c r="I96" s="58"/>
      <c r="J96" s="58"/>
      <c r="K96" s="60">
        <f>I91</f>
        <v>9.6536200071688514E-6</v>
      </c>
      <c r="L96" s="60">
        <f>I93</f>
        <v>-1.2392319846208158E-4</v>
      </c>
      <c r="M96" s="60">
        <f>(C96-$O$5)*K96 + L96</f>
        <v>3.6841142190352982E-4</v>
      </c>
    </row>
    <row r="97" spans="1:13" ht="14">
      <c r="A97" s="55">
        <f t="shared" si="14"/>
        <v>150</v>
      </c>
      <c r="B97" s="55" t="s">
        <v>165</v>
      </c>
      <c r="C97" s="80">
        <v>105</v>
      </c>
      <c r="D97" s="56" t="s">
        <v>38</v>
      </c>
      <c r="E97" s="80">
        <v>16</v>
      </c>
      <c r="F97" s="80">
        <v>16</v>
      </c>
      <c r="G97" s="56"/>
      <c r="I97" s="58"/>
      <c r="J97" s="58"/>
      <c r="K97" s="60">
        <f>I91</f>
        <v>9.6536200071688514E-6</v>
      </c>
      <c r="L97" s="60">
        <f>I93</f>
        <v>-1.2392319846208158E-4</v>
      </c>
      <c r="M97" s="60">
        <f>(C97-$O$5)*K97 + L97</f>
        <v>8.8970690229064789E-4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416.58333333333331</v>
      </c>
      <c r="D100" s="56" t="s">
        <v>35</v>
      </c>
      <c r="I100" s="58"/>
      <c r="J100" s="58"/>
    </row>
    <row r="101" spans="1:13" ht="14">
      <c r="C101" s="63">
        <f t="shared" si="15"/>
        <v>401.91666666666669</v>
      </c>
      <c r="D101" s="56" t="s">
        <v>35</v>
      </c>
      <c r="I101" s="58"/>
      <c r="J101" s="58"/>
    </row>
    <row r="102" spans="1:13" ht="14">
      <c r="C102" s="63">
        <f t="shared" si="15"/>
        <v>206.33333333333334</v>
      </c>
      <c r="D102" s="56" t="s">
        <v>36</v>
      </c>
      <c r="I102" s="58"/>
      <c r="J102" s="58"/>
    </row>
    <row r="103" spans="1:13" ht="14">
      <c r="C103" s="63">
        <f t="shared" si="15"/>
        <v>214.41666666666666</v>
      </c>
      <c r="D103" s="56" t="s">
        <v>36</v>
      </c>
      <c r="I103" s="58"/>
      <c r="J103" s="58"/>
    </row>
    <row r="104" spans="1:13" ht="14">
      <c r="C104" s="63">
        <f t="shared" si="15"/>
        <v>1121.0833333333333</v>
      </c>
      <c r="D104" s="56" t="s">
        <v>37</v>
      </c>
      <c r="I104" s="58"/>
      <c r="J104" s="58"/>
    </row>
    <row r="105" spans="1:13" ht="14">
      <c r="C105" s="63">
        <f t="shared" si="15"/>
        <v>1086.4166666666667</v>
      </c>
      <c r="D105" s="56" t="s">
        <v>37</v>
      </c>
      <c r="I105" s="58"/>
      <c r="J105" s="58"/>
    </row>
    <row r="106" spans="1:13" ht="14">
      <c r="C106" s="63">
        <f t="shared" si="15"/>
        <v>114.83333333333333</v>
      </c>
      <c r="D106" s="56" t="s">
        <v>38</v>
      </c>
      <c r="I106" s="58"/>
      <c r="J106" s="58"/>
    </row>
    <row r="107" spans="1:13" ht="14">
      <c r="C107" s="63">
        <f t="shared" si="15"/>
        <v>104.08333333333333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4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DDC1-48DA-2648-AD45-BDE904F05C35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P2" sqref="P2:Q13"/>
      <selection pane="topRight" activeCell="P2" sqref="P2:Q13"/>
      <selection pane="bottomLeft" activeCell="P2" sqref="P2:Q13"/>
      <selection pane="bottomRight" activeCell="E8" sqref="E8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151</v>
      </c>
      <c r="B2" s="55" t="s">
        <v>67</v>
      </c>
      <c r="C2" s="79">
        <v>461</v>
      </c>
      <c r="D2" s="56" t="s">
        <v>35</v>
      </c>
      <c r="E2" s="80">
        <v>21</v>
      </c>
      <c r="F2" s="80">
        <v>22</v>
      </c>
      <c r="G2" s="57">
        <v>0</v>
      </c>
      <c r="H2" s="58"/>
      <c r="I2" s="59" t="s">
        <v>68</v>
      </c>
      <c r="J2" s="59" t="s">
        <v>68</v>
      </c>
      <c r="K2" s="60">
        <f>I3</f>
        <v>1.0132051734201396E-5</v>
      </c>
      <c r="L2" s="60">
        <f>I5</f>
        <v>-3.1145538754551432E-4</v>
      </c>
      <c r="M2" s="60">
        <f>(C2-$O$2)*K2+L2</f>
        <v>4.3594204619213294E-3</v>
      </c>
      <c r="N2" s="47" t="str">
        <f>'enzyme setup and metadata'!F179</f>
        <v>BG</v>
      </c>
      <c r="O2" s="47">
        <f>'enzyme setup and metadata'!G193</f>
        <v>0</v>
      </c>
      <c r="P2" s="91">
        <f>'enzyme setup and metadata'!A122</f>
        <v>151</v>
      </c>
      <c r="Q2" s="66">
        <f>'enzyme setup and metadata'!I122</f>
        <v>2.214988885360432</v>
      </c>
      <c r="R2" s="14">
        <f>'enzyme setup and metadata'!R186</f>
        <v>3.1333333332440816</v>
      </c>
      <c r="S2" s="14">
        <f>(((M2+M3)/2)*91)/(R2*Q2*0.8)</f>
        <v>7.0785715267179319E-2</v>
      </c>
      <c r="T2" s="14">
        <f>(((M4+M5)/2)*91)/(R2*Q2*0.8)</f>
        <v>3.3670824967370248E-2</v>
      </c>
      <c r="U2" s="14">
        <f>(((M6+M7)/2)*91)/(R2*Q2*0.8)</f>
        <v>2.6037264280057235E-2</v>
      </c>
      <c r="V2" s="14">
        <f>(((M8+M9)/2)*91)/(R2*Q2*0.8)</f>
        <v>1.1667590225872713E-2</v>
      </c>
      <c r="W2" s="14">
        <f>S2*1000</f>
        <v>70.785715267179313</v>
      </c>
      <c r="X2" s="14">
        <f>T2*1000</f>
        <v>33.670824967370251</v>
      </c>
      <c r="Y2" s="14">
        <f>U2*1000</f>
        <v>26.037264280057236</v>
      </c>
      <c r="Z2" s="14">
        <f>V2*1000</f>
        <v>11.667590225872713</v>
      </c>
    </row>
    <row r="3" spans="1:26" ht="14">
      <c r="A3" s="55">
        <f t="shared" ref="A3:A9" si="0">A2</f>
        <v>151</v>
      </c>
      <c r="B3" s="55" t="s">
        <v>69</v>
      </c>
      <c r="C3" s="79">
        <v>453</v>
      </c>
      <c r="D3" s="56" t="s">
        <v>35</v>
      </c>
      <c r="E3" s="80">
        <v>80</v>
      </c>
      <c r="F3" s="80">
        <v>262</v>
      </c>
      <c r="G3" s="57">
        <v>5.0000000000000001E-4</v>
      </c>
      <c r="H3" s="58"/>
      <c r="I3" s="59">
        <f>SLOPE(G2:G8, E2:E8)</f>
        <v>1.0132051734201396E-5</v>
      </c>
      <c r="J3" s="59">
        <f>SLOPE(G2:G8, F2:F8)</f>
        <v>2.4982817897713757E-6</v>
      </c>
      <c r="K3" s="60">
        <f>I3</f>
        <v>1.0132051734201396E-5</v>
      </c>
      <c r="L3" s="60">
        <f>I5</f>
        <v>-3.1145538754551432E-4</v>
      </c>
      <c r="M3" s="60">
        <f>(C3-$O$2)*K3+L3</f>
        <v>4.2783640480477184E-3</v>
      </c>
      <c r="N3" s="47" t="str">
        <f>'enzyme setup and metadata'!F180</f>
        <v>CB</v>
      </c>
      <c r="O3" s="47">
        <f>'enzyme setup and metadata'!G194</f>
        <v>0</v>
      </c>
      <c r="P3" s="91">
        <f>'enzyme setup and metadata'!A123</f>
        <v>152</v>
      </c>
      <c r="Q3" s="66">
        <f>'enzyme setup and metadata'!I123</f>
        <v>2.1986713065485604</v>
      </c>
      <c r="R3" s="14">
        <f>R2</f>
        <v>3.1333333332440816</v>
      </c>
      <c r="S3" s="14">
        <f>(((M10+M11)/2)*91)/(R3*Q3*0.8)</f>
        <v>6.7700822730446059E-2</v>
      </c>
      <c r="T3" s="14">
        <f>(((M12+M13)/2)*91)/(R3*Q3*0.8)</f>
        <v>2.8855001265222675E-2</v>
      </c>
      <c r="U3" s="14">
        <f>(((M14+M15)/2)*91)/(R3*Q3*0.8)</f>
        <v>2.7272130374406844E-2</v>
      </c>
      <c r="V3" s="14">
        <f>(((M16+M17)/2)*91)/(R3*Q3*0.8)</f>
        <v>1.053566500605483E-2</v>
      </c>
      <c r="W3" s="14">
        <f>S3*1000</f>
        <v>67.700822730446063</v>
      </c>
      <c r="X3" s="14">
        <f t="shared" ref="X3:Z13" si="1">T3*1000</f>
        <v>28.855001265222675</v>
      </c>
      <c r="Y3" s="14">
        <f t="shared" si="1"/>
        <v>27.272130374406846</v>
      </c>
      <c r="Z3" s="14">
        <f t="shared" si="1"/>
        <v>10.535665006054829</v>
      </c>
    </row>
    <row r="4" spans="1:26" ht="14">
      <c r="A4" s="55">
        <f t="shared" si="0"/>
        <v>151</v>
      </c>
      <c r="B4" s="55" t="s">
        <v>70</v>
      </c>
      <c r="C4" s="79">
        <v>239</v>
      </c>
      <c r="D4" s="56" t="s">
        <v>36</v>
      </c>
      <c r="E4" s="80">
        <v>132</v>
      </c>
      <c r="F4" s="80">
        <v>483</v>
      </c>
      <c r="G4" s="57">
        <v>1E-3</v>
      </c>
      <c r="H4" s="58"/>
      <c r="I4" s="59" t="s">
        <v>71</v>
      </c>
      <c r="J4" s="59" t="s">
        <v>71</v>
      </c>
      <c r="K4" s="60">
        <f>I3</f>
        <v>1.0132051734201396E-5</v>
      </c>
      <c r="L4" s="60">
        <f>I5</f>
        <v>-3.1145538754551432E-4</v>
      </c>
      <c r="M4" s="60">
        <f>(C4-$O$3)*K4 + L4</f>
        <v>2.1101049769286194E-3</v>
      </c>
      <c r="N4" s="47" t="str">
        <f>'enzyme setup and metadata'!F181</f>
        <v>LAP</v>
      </c>
      <c r="O4" s="47">
        <f>'enzyme setup and metadata'!G195</f>
        <v>350.125</v>
      </c>
      <c r="P4" s="91">
        <f>'enzyme setup and metadata'!A124</f>
        <v>153</v>
      </c>
      <c r="Q4" s="66">
        <f>'enzyme setup and metadata'!I124</f>
        <v>2.176666138990027</v>
      </c>
      <c r="R4" s="14">
        <f t="shared" ref="R4:R13" si="2">R3</f>
        <v>3.1333333332440816</v>
      </c>
      <c r="S4" s="14">
        <f>(((M18+M19)/2)*91)/(R4*Q4*0.8)</f>
        <v>6.7210952309661467E-2</v>
      </c>
      <c r="T4" s="14">
        <f>(((M20+M21)/2)*91)/(R4*Q4*0.8)</f>
        <v>3.016129473734723E-2</v>
      </c>
      <c r="U4" s="14">
        <f>(((M22+M23)/2)*91)/(R4*Q4*0.8)</f>
        <v>2.6234999463424436E-2</v>
      </c>
      <c r="V4" s="14">
        <f>(((M24+M25)/2)*91)/(R4*Q4*0.8)</f>
        <v>1.0353977804456153E-2</v>
      </c>
      <c r="W4" s="14">
        <f>S4*1000</f>
        <v>67.210952309661465</v>
      </c>
      <c r="X4" s="14">
        <f t="shared" si="1"/>
        <v>30.16129473734723</v>
      </c>
      <c r="Y4" s="14">
        <f t="shared" si="1"/>
        <v>26.234999463424437</v>
      </c>
      <c r="Z4" s="14">
        <f t="shared" si="1"/>
        <v>10.353977804456154</v>
      </c>
    </row>
    <row r="5" spans="1:26" ht="14">
      <c r="A5" s="55">
        <f t="shared" si="0"/>
        <v>151</v>
      </c>
      <c r="B5" s="55" t="s">
        <v>72</v>
      </c>
      <c r="C5" s="79">
        <v>228</v>
      </c>
      <c r="D5" s="56" t="s">
        <v>36</v>
      </c>
      <c r="E5" s="80">
        <v>230</v>
      </c>
      <c r="F5" s="80">
        <v>895</v>
      </c>
      <c r="G5" s="57">
        <v>2E-3</v>
      </c>
      <c r="H5" s="58"/>
      <c r="I5" s="59">
        <f>INTERCEPT(G2:G8, E2:E8)</f>
        <v>-3.1145538754551432E-4</v>
      </c>
      <c r="J5" s="59">
        <f>INTERCEPT(G2:G8, F2:F8)</f>
        <v>-2.3355670752530679E-4</v>
      </c>
      <c r="K5" s="60">
        <f>I3</f>
        <v>1.0132051734201396E-5</v>
      </c>
      <c r="L5" s="60">
        <f>I5</f>
        <v>-3.1145538754551432E-4</v>
      </c>
      <c r="M5" s="60">
        <f>(C5-$O$3)*K5+ L5</f>
        <v>1.9986524078524038E-3</v>
      </c>
      <c r="N5" s="47" t="str">
        <f>'enzyme setup and metadata'!F182</f>
        <v>XYL</v>
      </c>
      <c r="O5" s="47">
        <f>'enzyme setup and metadata'!G196</f>
        <v>0</v>
      </c>
      <c r="P5" s="91">
        <f>'enzyme setup and metadata'!A125</f>
        <v>155</v>
      </c>
      <c r="Q5" s="66">
        <f>'enzyme setup and metadata'!I125</f>
        <v>2.1700973352481254</v>
      </c>
      <c r="R5" s="14">
        <f t="shared" si="2"/>
        <v>3.1333333332440816</v>
      </c>
      <c r="S5" s="14">
        <f>(((M26+M27)/2)*91)/(R5*Q5*0.8)</f>
        <v>6.5361469554723162E-2</v>
      </c>
      <c r="T5" s="14">
        <f>(((M28+M29)/2)*91)/(R5*Q5*0.8)</f>
        <v>2.976870713722107E-2</v>
      </c>
      <c r="U5" s="14">
        <f>(((M30+M31)/2)*91)/(R5*Q5*0.8)</f>
        <v>2.5460231301123872E-2</v>
      </c>
      <c r="V5" s="14">
        <f>(((M32+M33)/2)*91)/(R5*Q5*0.8)</f>
        <v>1.2046169833900524E-2</v>
      </c>
      <c r="W5" s="14">
        <f t="shared" ref="W5:W13" si="3">S5*1000</f>
        <v>65.361469554723158</v>
      </c>
      <c r="X5" s="14">
        <f t="shared" si="1"/>
        <v>29.768707137221071</v>
      </c>
      <c r="Y5" s="14">
        <f t="shared" si="1"/>
        <v>25.460231301123873</v>
      </c>
      <c r="Z5" s="14">
        <f t="shared" si="1"/>
        <v>12.046169833900525</v>
      </c>
    </row>
    <row r="6" spans="1:26" ht="14">
      <c r="A6" s="55">
        <f t="shared" si="0"/>
        <v>151</v>
      </c>
      <c r="B6" s="55" t="s">
        <v>73</v>
      </c>
      <c r="C6" s="79">
        <v>1078</v>
      </c>
      <c r="D6" s="56" t="s">
        <v>37</v>
      </c>
      <c r="E6" s="80">
        <v>520</v>
      </c>
      <c r="F6" s="80">
        <v>2217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2.4982817897713757E-6</v>
      </c>
      <c r="L6" s="60">
        <f>J5</f>
        <v>-2.3355670752530679E-4</v>
      </c>
      <c r="M6" s="60">
        <f>(C6-$O$4)*K6 + L6</f>
        <v>1.5848801502045334E-3</v>
      </c>
      <c r="P6" s="91">
        <f>'enzyme setup and metadata'!A126</f>
        <v>156</v>
      </c>
      <c r="Q6" s="66">
        <f>'enzyme setup and metadata'!I126</f>
        <v>2.1987617082076523</v>
      </c>
      <c r="R6" s="14">
        <f t="shared" si="2"/>
        <v>3.1333333332440816</v>
      </c>
      <c r="S6" s="14">
        <f>(((M34+M35)/2)*91)/(R6*Q6*0.8)</f>
        <v>6.6595878496803707E-2</v>
      </c>
      <c r="T6" s="14">
        <f>(((M36+M37)/2)*91)/(R6*Q6*0.8)</f>
        <v>3.0482421569016153E-2</v>
      </c>
      <c r="U6" s="14">
        <f>(((M38+M39)/2)*91)/(R6*Q6*0.8)</f>
        <v>2.5393896163888582E-2</v>
      </c>
      <c r="V6" s="14">
        <f>(((M40+M41)/2)*91)/(R6*Q6*0.8)</f>
        <v>1.3354324854694061E-2</v>
      </c>
      <c r="W6" s="14">
        <f t="shared" si="3"/>
        <v>66.595878496803707</v>
      </c>
      <c r="X6" s="14">
        <f t="shared" si="1"/>
        <v>30.482421569016154</v>
      </c>
      <c r="Y6" s="14">
        <f t="shared" si="1"/>
        <v>25.393896163888581</v>
      </c>
      <c r="Z6" s="14">
        <f t="shared" si="1"/>
        <v>13.354324854694061</v>
      </c>
    </row>
    <row r="7" spans="1:26" ht="14">
      <c r="A7" s="55">
        <f t="shared" si="0"/>
        <v>151</v>
      </c>
      <c r="B7" s="55" t="s">
        <v>75</v>
      </c>
      <c r="C7" s="79">
        <v>1081</v>
      </c>
      <c r="D7" s="56" t="s">
        <v>37</v>
      </c>
      <c r="E7" s="80">
        <v>1036</v>
      </c>
      <c r="F7" s="80">
        <v>4143</v>
      </c>
      <c r="G7" s="57">
        <v>0.01</v>
      </c>
      <c r="H7" s="58"/>
      <c r="I7" s="61">
        <f>RSQ(G2:G8, E2:E8)</f>
        <v>0.99982832018864309</v>
      </c>
      <c r="J7" s="61">
        <f>RSQ(G2:G8, F2:F8)</f>
        <v>0.99948135973423335</v>
      </c>
      <c r="K7" s="60">
        <f>J3</f>
        <v>2.4982817897713757E-6</v>
      </c>
      <c r="L7" s="60">
        <f>J5</f>
        <v>-2.3355670752530679E-4</v>
      </c>
      <c r="M7" s="60">
        <f>(C7-$O$4)*K7 + L7</f>
        <v>1.5923749955738475E-3</v>
      </c>
      <c r="P7" s="91">
        <f>'enzyme setup and metadata'!A127</f>
        <v>157</v>
      </c>
      <c r="Q7" s="66">
        <f>'enzyme setup and metadata'!I127</f>
        <v>2.1684077239632797</v>
      </c>
      <c r="R7" s="14">
        <f t="shared" si="2"/>
        <v>3.1333333332440816</v>
      </c>
      <c r="S7" s="14">
        <f>(((M42+M43)/2)*91)/(R7*Q7*0.8)</f>
        <v>6.6078604278540357E-2</v>
      </c>
      <c r="T7" s="14">
        <f>(((M44+M45)/2)*91)/(R7*Q7*0.8)</f>
        <v>2.8826801920052859E-2</v>
      </c>
      <c r="U7" s="14">
        <f>(((M46+M47)/2)*91)/(R7*Q7*0.8)</f>
        <v>2.5701938746618268E-2</v>
      </c>
      <c r="V7" s="14">
        <f>(((M48+M49)/2)*91)/(R7*Q7*0.8)</f>
        <v>1.2672749308521834E-2</v>
      </c>
      <c r="W7" s="14">
        <f t="shared" si="3"/>
        <v>66.078604278540354</v>
      </c>
      <c r="X7" s="14">
        <f t="shared" si="1"/>
        <v>28.826801920052858</v>
      </c>
      <c r="Y7" s="14">
        <f t="shared" si="1"/>
        <v>25.701938746618268</v>
      </c>
      <c r="Z7" s="14">
        <f t="shared" si="1"/>
        <v>12.672749308521833</v>
      </c>
    </row>
    <row r="8" spans="1:26" ht="14">
      <c r="A8" s="55">
        <f t="shared" si="0"/>
        <v>151</v>
      </c>
      <c r="B8" s="55" t="s">
        <v>76</v>
      </c>
      <c r="C8" s="79">
        <v>98</v>
      </c>
      <c r="D8" s="56" t="s">
        <v>38</v>
      </c>
      <c r="E8" s="80">
        <v>1996</v>
      </c>
      <c r="F8" s="80">
        <v>8043</v>
      </c>
      <c r="G8" s="57">
        <v>0.02</v>
      </c>
      <c r="H8" s="58"/>
      <c r="I8" s="58"/>
      <c r="J8" s="58"/>
      <c r="K8" s="60">
        <f>I3</f>
        <v>1.0132051734201396E-5</v>
      </c>
      <c r="L8" s="60">
        <f>I5</f>
        <v>-3.1145538754551432E-4</v>
      </c>
      <c r="M8" s="60">
        <f>(C8-$O$5)*K8 + L8</f>
        <v>6.8148568240622258E-4</v>
      </c>
      <c r="P8" s="91">
        <f>'enzyme setup and metadata'!A128</f>
        <v>158</v>
      </c>
      <c r="Q8" s="66">
        <f>'enzyme setup and metadata'!I128</f>
        <v>2.1670357481809557</v>
      </c>
      <c r="R8" s="14">
        <f t="shared" si="2"/>
        <v>3.1333333332440816</v>
      </c>
      <c r="S8" s="14">
        <f>(((M50+M51)/2)*91)/(R8*Q8*0.8)</f>
        <v>6.4393854445672943E-2</v>
      </c>
      <c r="T8" s="14">
        <f>(((M52+M53)/2)*91)/(R8*Q8*0.8)</f>
        <v>3.0819999609654154E-2</v>
      </c>
      <c r="U8" s="14">
        <f>(((M54+M55)/2)*91)/(R8*Q8*0.8)</f>
        <v>2.5610509521720906E-2</v>
      </c>
      <c r="V8" s="14">
        <f>(((M56+M57)/2)*91)/(R8*Q8*0.8)</f>
        <v>1.3209832680740245E-2</v>
      </c>
      <c r="W8" s="14">
        <f t="shared" si="3"/>
        <v>64.393854445672943</v>
      </c>
      <c r="X8" s="14">
        <f t="shared" si="1"/>
        <v>30.819999609654154</v>
      </c>
      <c r="Y8" s="14">
        <f t="shared" si="1"/>
        <v>25.610509521720907</v>
      </c>
      <c r="Z8" s="14">
        <f t="shared" si="1"/>
        <v>13.209832680740245</v>
      </c>
    </row>
    <row r="9" spans="1:26" ht="14">
      <c r="A9" s="55">
        <f t="shared" si="0"/>
        <v>151</v>
      </c>
      <c r="B9" s="55" t="s">
        <v>77</v>
      </c>
      <c r="C9" s="79">
        <v>104</v>
      </c>
      <c r="D9" s="56" t="s">
        <v>38</v>
      </c>
      <c r="E9" s="80">
        <v>14</v>
      </c>
      <c r="F9" s="80">
        <v>17</v>
      </c>
      <c r="G9" s="56"/>
      <c r="H9" s="58"/>
      <c r="I9" s="58"/>
      <c r="J9" s="58"/>
      <c r="K9" s="60">
        <f>I3</f>
        <v>1.0132051734201396E-5</v>
      </c>
      <c r="L9" s="60">
        <f>I5</f>
        <v>-3.1145538754551432E-4</v>
      </c>
      <c r="M9" s="60">
        <f>(C9-$O$5)*K9 + L9</f>
        <v>7.4227799281143089E-4</v>
      </c>
      <c r="P9" s="91">
        <f>'enzyme setup and metadata'!A129</f>
        <v>160</v>
      </c>
      <c r="Q9" s="66">
        <f>'enzyme setup and metadata'!I129</f>
        <v>2.1590728687093192</v>
      </c>
      <c r="R9" s="14">
        <f t="shared" si="2"/>
        <v>3.1333333332440816</v>
      </c>
      <c r="S9" s="14">
        <f>(((M58+M59)/2)*91)/(R9*Q9*0.8)</f>
        <v>6.6359027460397707E-2</v>
      </c>
      <c r="T9" s="14">
        <f>(((M60+M61)/2)*91)/(R9*Q9*0.8)</f>
        <v>3.0794158493771363E-2</v>
      </c>
      <c r="U9" s="14">
        <f>(((M62+M63)/2)*91)/(R9*Q9*0.8)</f>
        <v>2.6305260972554433E-2</v>
      </c>
      <c r="V9" s="14">
        <f>(((M64+M65)/2)*91)/(R9*Q9*0.8)</f>
        <v>1.2907326156348712E-2</v>
      </c>
      <c r="W9" s="14">
        <f t="shared" si="3"/>
        <v>66.359027460397712</v>
      </c>
      <c r="X9" s="14">
        <f t="shared" si="1"/>
        <v>30.794158493771363</v>
      </c>
      <c r="Y9" s="14">
        <f t="shared" si="1"/>
        <v>26.305260972554432</v>
      </c>
      <c r="Z9" s="14">
        <f t="shared" si="1"/>
        <v>12.907326156348711</v>
      </c>
    </row>
    <row r="10" spans="1:26" ht="14">
      <c r="A10" s="55">
        <f>P3</f>
        <v>152</v>
      </c>
      <c r="B10" s="55" t="s">
        <v>78</v>
      </c>
      <c r="C10" s="79">
        <v>505</v>
      </c>
      <c r="D10" s="56" t="s">
        <v>35</v>
      </c>
      <c r="E10" s="80">
        <v>22</v>
      </c>
      <c r="F10" s="80">
        <v>20</v>
      </c>
      <c r="G10" s="57">
        <v>0</v>
      </c>
      <c r="H10" s="58"/>
      <c r="I10" s="59" t="s">
        <v>68</v>
      </c>
      <c r="J10" s="59" t="s">
        <v>68</v>
      </c>
      <c r="K10" s="60">
        <f>I11</f>
        <v>8.9116041126111944E-6</v>
      </c>
      <c r="L10" s="60">
        <f>I13</f>
        <v>-3.4219303896753771E-4</v>
      </c>
      <c r="M10" s="60">
        <f>(C10-$O$2)*K10+L10</f>
        <v>4.1581670379011153E-3</v>
      </c>
      <c r="P10" s="91">
        <f>'enzyme setup and metadata'!A130</f>
        <v>161</v>
      </c>
      <c r="Q10" s="66">
        <f>'enzyme setup and metadata'!I130</f>
        <v>2.3137979999999998</v>
      </c>
      <c r="R10" s="14">
        <f t="shared" si="2"/>
        <v>3.1333333332440816</v>
      </c>
      <c r="S10" s="14">
        <f>(((M66+M67)/2)*91)/(R10*Q10*0.8)</f>
        <v>5.9846920602478218E-2</v>
      </c>
      <c r="T10" s="14">
        <f>(((M68+M69)/2)*91)/(R10*Q10*0.8)</f>
        <v>2.6851902802554763E-2</v>
      </c>
      <c r="U10" s="14">
        <f>(((M70+M71)/2)*91)/(R10*Q10*0.8)</f>
        <v>3.8531724380164042E-2</v>
      </c>
      <c r="V10" s="14">
        <f>(((M72+M73)/2)*91)/(R10*Q10*0.8)</f>
        <v>1.6902043349270451E-2</v>
      </c>
      <c r="W10" s="14">
        <f t="shared" si="3"/>
        <v>59.846920602478221</v>
      </c>
      <c r="X10" s="14">
        <f t="shared" si="1"/>
        <v>26.851902802554761</v>
      </c>
      <c r="Y10" s="14">
        <f t="shared" si="1"/>
        <v>38.531724380164043</v>
      </c>
      <c r="Z10" s="14">
        <f t="shared" si="1"/>
        <v>16.90204334927045</v>
      </c>
    </row>
    <row r="11" spans="1:26" ht="14">
      <c r="A11" s="55">
        <f t="shared" ref="A11:A17" si="4">A10</f>
        <v>152</v>
      </c>
      <c r="B11" s="55" t="s">
        <v>79</v>
      </c>
      <c r="C11" s="79">
        <v>492</v>
      </c>
      <c r="D11" s="56" t="s">
        <v>35</v>
      </c>
      <c r="E11" s="80">
        <v>88</v>
      </c>
      <c r="F11" s="80">
        <v>336</v>
      </c>
      <c r="G11" s="57">
        <v>5.0000000000000001E-4</v>
      </c>
      <c r="H11" s="58"/>
      <c r="I11" s="59">
        <f>SLOPE(G10:G16, E10:E16)</f>
        <v>8.9116041126111944E-6</v>
      </c>
      <c r="J11" s="59">
        <f>SLOPE(G10:G16, F10:F16)</f>
        <v>2.19402865239917E-6</v>
      </c>
      <c r="K11" s="60">
        <f>I11</f>
        <v>8.9116041126111944E-6</v>
      </c>
      <c r="L11" s="60">
        <f>I13</f>
        <v>-3.4219303896753771E-4</v>
      </c>
      <c r="M11" s="60">
        <f>(C11-$O$2)*K11+L11</f>
        <v>4.0423161844371702E-3</v>
      </c>
      <c r="P11" s="91">
        <f>'enzyme setup and metadata'!A131</f>
        <v>162</v>
      </c>
      <c r="Q11" s="66">
        <f>'enzyme setup and metadata'!I131</f>
        <v>2.34795</v>
      </c>
      <c r="R11" s="14">
        <f t="shared" si="2"/>
        <v>3.1333333332440816</v>
      </c>
      <c r="S11" s="14">
        <f>(((M74+M75)/2)*91)/(R11*Q11*0.8)</f>
        <v>6.2713278852130544E-2</v>
      </c>
      <c r="T11" s="14">
        <f>(((M76+M77)/2)*91)/(R11*Q11*0.8)</f>
        <v>3.1759786596375253E-2</v>
      </c>
      <c r="U11" s="14">
        <f>(((M78+M79)/2)*91)/(R11*Q11*0.8)</f>
        <v>3.5446199088571252E-2</v>
      </c>
      <c r="V11" s="14">
        <f>(((M80+M81)/2)*91)/(R11*Q11*0.8)</f>
        <v>1.5732756161728624E-2</v>
      </c>
      <c r="W11" s="14">
        <f t="shared" si="3"/>
        <v>62.713278852130543</v>
      </c>
      <c r="X11" s="14">
        <f t="shared" si="1"/>
        <v>31.759786596375253</v>
      </c>
      <c r="Y11" s="14">
        <f t="shared" si="1"/>
        <v>35.446199088571255</v>
      </c>
      <c r="Z11" s="14">
        <f t="shared" si="1"/>
        <v>15.732756161728624</v>
      </c>
    </row>
    <row r="12" spans="1:26" ht="14">
      <c r="A12" s="55">
        <f t="shared" si="4"/>
        <v>152</v>
      </c>
      <c r="B12" s="55" t="s">
        <v>80</v>
      </c>
      <c r="C12" s="79">
        <v>228</v>
      </c>
      <c r="D12" s="56" t="s">
        <v>36</v>
      </c>
      <c r="E12" s="80">
        <v>150</v>
      </c>
      <c r="F12" s="80">
        <v>526</v>
      </c>
      <c r="G12" s="57">
        <v>1E-3</v>
      </c>
      <c r="H12" s="58"/>
      <c r="I12" s="59" t="s">
        <v>71</v>
      </c>
      <c r="J12" s="59" t="s">
        <v>71</v>
      </c>
      <c r="K12" s="60">
        <f>I11</f>
        <v>8.9116041126111944E-6</v>
      </c>
      <c r="L12" s="60">
        <f>I13</f>
        <v>-3.4219303896753771E-4</v>
      </c>
      <c r="M12" s="60">
        <f>(C12-$O$3)*K12 + L12</f>
        <v>1.6896526987078145E-3</v>
      </c>
      <c r="P12" s="91">
        <f>'enzyme setup and metadata'!A132</f>
        <v>163</v>
      </c>
      <c r="Q12" s="66">
        <f>'enzyme setup and metadata'!I132</f>
        <v>2.3394120000000003</v>
      </c>
      <c r="R12" s="14">
        <f t="shared" si="2"/>
        <v>3.1333333332440816</v>
      </c>
      <c r="S12" s="14">
        <f>(((M82+M83)/2)*91)/(R12*Q12*0.8)</f>
        <v>6.6272730328188117E-2</v>
      </c>
      <c r="T12" s="14">
        <f>(((M84+M85)/2)*91)/(R12*Q12*0.8)</f>
        <v>3.1642015461752188E-2</v>
      </c>
      <c r="U12" s="14">
        <f>(((M86+M87)/2)*91)/(R12*Q12*0.8)</f>
        <v>3.7613631717988094E-2</v>
      </c>
      <c r="V12" s="14">
        <f>(((M88+M89)/2)*91)/(R12*Q12*0.8)</f>
        <v>1.5269907071588894E-2</v>
      </c>
      <c r="W12" s="14">
        <f t="shared" si="3"/>
        <v>66.272730328188118</v>
      </c>
      <c r="X12" s="14">
        <f t="shared" si="1"/>
        <v>31.642015461752187</v>
      </c>
      <c r="Y12" s="14">
        <f t="shared" si="1"/>
        <v>37.613631717988092</v>
      </c>
      <c r="Z12" s="14">
        <f t="shared" si="1"/>
        <v>15.269907071588893</v>
      </c>
    </row>
    <row r="13" spans="1:26" ht="14">
      <c r="A13" s="55">
        <f t="shared" si="4"/>
        <v>152</v>
      </c>
      <c r="B13" s="55" t="s">
        <v>81</v>
      </c>
      <c r="C13" s="79">
        <v>241</v>
      </c>
      <c r="D13" s="56" t="s">
        <v>36</v>
      </c>
      <c r="E13" s="80">
        <v>274</v>
      </c>
      <c r="F13" s="80">
        <v>1002</v>
      </c>
      <c r="G13" s="57">
        <v>2E-3</v>
      </c>
      <c r="H13" s="58"/>
      <c r="I13" s="59">
        <f>INTERCEPT(G10:G16, E10:E16)</f>
        <v>-3.4219303896753771E-4</v>
      </c>
      <c r="J13" s="59">
        <f>INTERCEPT(G10:G16, F10:F16)</f>
        <v>-2.1951926414000723E-4</v>
      </c>
      <c r="K13" s="60">
        <f>I11</f>
        <v>8.9116041126111944E-6</v>
      </c>
      <c r="L13" s="60">
        <f>I13</f>
        <v>-3.4219303896753771E-4</v>
      </c>
      <c r="M13" s="60">
        <f>(C13-$O$3)*K13+ L13</f>
        <v>1.8055035521717601E-3</v>
      </c>
      <c r="P13" s="91">
        <f>'enzyme setup and metadata'!A133</f>
        <v>164</v>
      </c>
      <c r="Q13" s="66">
        <f>'enzyme setup and metadata'!I133</f>
        <v>2.3564879999999997</v>
      </c>
      <c r="R13" s="14">
        <f t="shared" si="2"/>
        <v>3.1333333332440816</v>
      </c>
      <c r="S13" s="14">
        <f>(((M90+M91)/2)*91)/(R13*Q13*0.8)</f>
        <v>7.2686304006823174E-2</v>
      </c>
      <c r="T13" s="14">
        <f>(((M92+M93)/2)*91)/(R13*Q13*0.8)</f>
        <v>2.9208179889028924E-2</v>
      </c>
      <c r="U13" s="14">
        <f>(((M94+M95)/2)*91)/(R13*Q13*0.8)</f>
        <v>3.9431335874003035E-2</v>
      </c>
      <c r="V13" s="14">
        <f>(((M96+M97)/2)*91)/(R13*Q13*0.8)</f>
        <v>1.6408220148750301E-2</v>
      </c>
      <c r="W13" s="14">
        <f t="shared" si="3"/>
        <v>72.686304006823178</v>
      </c>
      <c r="X13" s="14">
        <f t="shared" si="1"/>
        <v>29.208179889028923</v>
      </c>
      <c r="Y13" s="14">
        <f t="shared" si="1"/>
        <v>39.431335874003032</v>
      </c>
      <c r="Z13" s="14">
        <f t="shared" si="1"/>
        <v>16.408220148750303</v>
      </c>
    </row>
    <row r="14" spans="1:26" ht="14">
      <c r="A14" s="55">
        <f t="shared" si="4"/>
        <v>152</v>
      </c>
      <c r="B14" s="55" t="s">
        <v>82</v>
      </c>
      <c r="C14" s="79">
        <v>1244</v>
      </c>
      <c r="D14" s="56" t="s">
        <v>37</v>
      </c>
      <c r="E14" s="80">
        <v>608</v>
      </c>
      <c r="F14" s="80">
        <v>2516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2.19402865239917E-6</v>
      </c>
      <c r="L14" s="60">
        <f>J13</f>
        <v>-2.1951926414000723E-4</v>
      </c>
      <c r="M14" s="60">
        <f>(C14-$O$4)*K14 + L14</f>
        <v>1.7416680975233011E-3</v>
      </c>
    </row>
    <row r="15" spans="1:26" ht="14">
      <c r="A15" s="55">
        <f t="shared" si="4"/>
        <v>152</v>
      </c>
      <c r="B15" s="55" t="s">
        <v>83</v>
      </c>
      <c r="C15" s="79">
        <v>1162</v>
      </c>
      <c r="D15" s="56" t="s">
        <v>37</v>
      </c>
      <c r="E15" s="80">
        <v>1175</v>
      </c>
      <c r="F15" s="80">
        <v>4677</v>
      </c>
      <c r="G15" s="57">
        <v>0.01</v>
      </c>
      <c r="H15" s="58"/>
      <c r="I15" s="61">
        <f>RSQ(G10:G16, E10:E16)</f>
        <v>0.99979244569506953</v>
      </c>
      <c r="J15" s="61">
        <f>RSQ(G10:G16, F10:F16)</f>
        <v>0.99956776633509936</v>
      </c>
      <c r="K15" s="60">
        <f>J11</f>
        <v>2.19402865239917E-6</v>
      </c>
      <c r="L15" s="60">
        <f>J13</f>
        <v>-2.1951926414000723E-4</v>
      </c>
      <c r="M15" s="60">
        <f>(C15-$O$4)*K15 + L15</f>
        <v>1.5617577480265688E-3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152</v>
      </c>
      <c r="B16" s="55" t="s">
        <v>84</v>
      </c>
      <c r="C16" s="79">
        <v>100</v>
      </c>
      <c r="D16" s="56" t="s">
        <v>38</v>
      </c>
      <c r="E16" s="80">
        <v>2272</v>
      </c>
      <c r="F16" s="80">
        <v>9171</v>
      </c>
      <c r="G16" s="57">
        <v>0.02</v>
      </c>
      <c r="H16" s="58"/>
      <c r="I16" s="58"/>
      <c r="J16" s="58"/>
      <c r="K16" s="60">
        <f>I11</f>
        <v>8.9116041126111944E-6</v>
      </c>
      <c r="L16" s="60">
        <f>I13</f>
        <v>-3.4219303896753771E-4</v>
      </c>
      <c r="M16" s="60">
        <f>(C16-$O$5)*K16 + L16</f>
        <v>5.4896737229358174E-4</v>
      </c>
    </row>
    <row r="17" spans="1:13" ht="14">
      <c r="A17" s="55">
        <f t="shared" si="4"/>
        <v>152</v>
      </c>
      <c r="B17" s="55" t="s">
        <v>85</v>
      </c>
      <c r="C17" s="79">
        <v>120</v>
      </c>
      <c r="D17" s="56" t="s">
        <v>38</v>
      </c>
      <c r="E17" s="80">
        <v>16</v>
      </c>
      <c r="F17" s="80">
        <v>16</v>
      </c>
      <c r="G17" s="56"/>
      <c r="H17" s="58"/>
      <c r="I17" s="58"/>
      <c r="J17" s="58"/>
      <c r="K17" s="60">
        <f>I11</f>
        <v>8.9116041126111944E-6</v>
      </c>
      <c r="L17" s="60">
        <f>I13</f>
        <v>-3.4219303896753771E-4</v>
      </c>
      <c r="M17" s="60">
        <f>(C17-$O$5)*K17 + L17</f>
        <v>7.2719945454580571E-4</v>
      </c>
    </row>
    <row r="18" spans="1:13" ht="14">
      <c r="A18" s="55">
        <f>P4</f>
        <v>153</v>
      </c>
      <c r="B18" s="55" t="s">
        <v>86</v>
      </c>
      <c r="C18" s="79">
        <v>521</v>
      </c>
      <c r="D18" s="56" t="s">
        <v>35</v>
      </c>
      <c r="E18" s="80">
        <v>26</v>
      </c>
      <c r="F18" s="80">
        <v>21</v>
      </c>
      <c r="G18" s="57">
        <v>0</v>
      </c>
      <c r="H18" s="58"/>
      <c r="I18" s="59" t="s">
        <v>68</v>
      </c>
      <c r="J18" s="59" t="s">
        <v>68</v>
      </c>
      <c r="K18" s="60">
        <f>I19</f>
        <v>8.5439336140594691E-6</v>
      </c>
      <c r="L18" s="60">
        <f>I21</f>
        <v>-2.7203743726960349E-4</v>
      </c>
      <c r="M18" s="60">
        <f>(C18-$O$2)*K18+L18</f>
        <v>4.1793519756553798E-3</v>
      </c>
    </row>
    <row r="19" spans="1:13" ht="14">
      <c r="A19" s="55">
        <f t="shared" ref="A19:A25" si="5">A18</f>
        <v>153</v>
      </c>
      <c r="B19" s="55" t="s">
        <v>87</v>
      </c>
      <c r="C19" s="79">
        <v>486</v>
      </c>
      <c r="D19" s="56" t="s">
        <v>35</v>
      </c>
      <c r="E19" s="80">
        <v>86</v>
      </c>
      <c r="F19" s="80">
        <v>283</v>
      </c>
      <c r="G19" s="57">
        <v>5.0000000000000001E-4</v>
      </c>
      <c r="H19" s="58"/>
      <c r="I19" s="59">
        <f>SLOPE(G18:G24, E18:E24)</f>
        <v>8.5439336140594691E-6</v>
      </c>
      <c r="J19" s="59">
        <f>SLOPE(G18:G24, F18:F24)</f>
        <v>2.0939425789252645E-6</v>
      </c>
      <c r="K19" s="60">
        <f>I19</f>
        <v>8.5439336140594691E-6</v>
      </c>
      <c r="L19" s="60">
        <f>I21</f>
        <v>-2.7203743726960349E-4</v>
      </c>
      <c r="M19" s="60">
        <f>(C19-$O$2)*K19+L19</f>
        <v>3.8803142991632985E-3</v>
      </c>
    </row>
    <row r="20" spans="1:13" ht="14">
      <c r="A20" s="55">
        <f t="shared" si="5"/>
        <v>153</v>
      </c>
      <c r="B20" s="55" t="s">
        <v>88</v>
      </c>
      <c r="C20" s="79">
        <v>253</v>
      </c>
      <c r="D20" s="56" t="s">
        <v>36</v>
      </c>
      <c r="E20" s="80">
        <v>155</v>
      </c>
      <c r="F20" s="80">
        <v>528</v>
      </c>
      <c r="G20" s="57">
        <v>1E-3</v>
      </c>
      <c r="H20" s="58"/>
      <c r="I20" s="59" t="s">
        <v>71</v>
      </c>
      <c r="J20" s="59" t="s">
        <v>71</v>
      </c>
      <c r="K20" s="60">
        <f>I19</f>
        <v>8.5439336140594691E-6</v>
      </c>
      <c r="L20" s="60">
        <f>I21</f>
        <v>-2.7203743726960349E-4</v>
      </c>
      <c r="M20" s="60">
        <f>(C20-$O$3)*K20 + L20</f>
        <v>1.8895777670874421E-3</v>
      </c>
    </row>
    <row r="21" spans="1:13" ht="14">
      <c r="A21" s="55">
        <f t="shared" si="5"/>
        <v>153</v>
      </c>
      <c r="B21" s="55" t="s">
        <v>89</v>
      </c>
      <c r="C21" s="79">
        <v>234</v>
      </c>
      <c r="D21" s="56" t="s">
        <v>36</v>
      </c>
      <c r="E21" s="80">
        <v>269</v>
      </c>
      <c r="F21" s="80">
        <v>1052</v>
      </c>
      <c r="G21" s="57">
        <v>2E-3</v>
      </c>
      <c r="H21" s="58"/>
      <c r="I21" s="59">
        <f>INTERCEPT(G18:G24, E18:E24)</f>
        <v>-2.7203743726960349E-4</v>
      </c>
      <c r="J21" s="59">
        <f>INTERCEPT(G18:G24, F18:F24)</f>
        <v>-1.60525060143254E-4</v>
      </c>
      <c r="K21" s="60">
        <f>I19</f>
        <v>8.5439336140594691E-6</v>
      </c>
      <c r="L21" s="60">
        <f>I21</f>
        <v>-2.7203743726960349E-4</v>
      </c>
      <c r="M21" s="60">
        <f>(C21-$O$3)*K21+ L21</f>
        <v>1.7272430284203124E-3</v>
      </c>
    </row>
    <row r="22" spans="1:13" ht="14">
      <c r="A22" s="55">
        <f t="shared" si="5"/>
        <v>153</v>
      </c>
      <c r="B22" s="55" t="s">
        <v>90</v>
      </c>
      <c r="C22" s="79">
        <v>1210</v>
      </c>
      <c r="D22" s="56" t="s">
        <v>37</v>
      </c>
      <c r="E22" s="80">
        <v>638</v>
      </c>
      <c r="F22" s="80">
        <v>2581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2.0939425789252645E-6</v>
      </c>
      <c r="L22" s="60">
        <f>J21</f>
        <v>-1.60525060143254E-4</v>
      </c>
      <c r="M22" s="60">
        <f>(C22-$O$4)*K22 + L22</f>
        <v>1.6400038149101078E-3</v>
      </c>
    </row>
    <row r="23" spans="1:13" ht="14">
      <c r="A23" s="55">
        <f t="shared" si="5"/>
        <v>153</v>
      </c>
      <c r="B23" s="55" t="s">
        <v>91</v>
      </c>
      <c r="C23" s="79">
        <v>1146</v>
      </c>
      <c r="D23" s="56" t="s">
        <v>37</v>
      </c>
      <c r="E23" s="80">
        <v>1175</v>
      </c>
      <c r="F23" s="80">
        <v>4870</v>
      </c>
      <c r="G23" s="57">
        <v>0.01</v>
      </c>
      <c r="H23" s="58"/>
      <c r="I23" s="61">
        <f>RSQ(G18:G24, E18:E24)</f>
        <v>0.99969388391945724</v>
      </c>
      <c r="J23" s="61">
        <f>RSQ(G18:G24, F18:F24)</f>
        <v>0.99971458849775052</v>
      </c>
      <c r="K23" s="60">
        <f>J19</f>
        <v>2.0939425789252645E-6</v>
      </c>
      <c r="L23" s="60">
        <f>J21</f>
        <v>-1.60525060143254E-4</v>
      </c>
      <c r="M23" s="60">
        <f>(C23-$O$4)*K23 + L23</f>
        <v>1.505991489858891E-3</v>
      </c>
    </row>
    <row r="24" spans="1:13" ht="14">
      <c r="A24" s="55">
        <f t="shared" si="5"/>
        <v>153</v>
      </c>
      <c r="B24" s="55" t="s">
        <v>92</v>
      </c>
      <c r="C24" s="79">
        <v>105</v>
      </c>
      <c r="D24" s="56" t="s">
        <v>38</v>
      </c>
      <c r="E24" s="80">
        <v>2380</v>
      </c>
      <c r="F24" s="80">
        <v>9588</v>
      </c>
      <c r="G24" s="57">
        <v>0.02</v>
      </c>
      <c r="H24" s="58"/>
      <c r="I24" s="58"/>
      <c r="J24" s="58"/>
      <c r="K24" s="60">
        <f>I19</f>
        <v>8.5439336140594691E-6</v>
      </c>
      <c r="L24" s="60">
        <f>I21</f>
        <v>-2.7203743726960349E-4</v>
      </c>
      <c r="M24" s="60">
        <f>(C24-$O$5)*K24 + L24</f>
        <v>6.2507559220664082E-4</v>
      </c>
    </row>
    <row r="25" spans="1:13" ht="14">
      <c r="A25" s="55">
        <f t="shared" si="5"/>
        <v>153</v>
      </c>
      <c r="B25" s="55" t="s">
        <v>93</v>
      </c>
      <c r="C25" s="79">
        <v>104</v>
      </c>
      <c r="D25" s="56" t="s">
        <v>38</v>
      </c>
      <c r="E25" s="80">
        <v>15</v>
      </c>
      <c r="F25" s="80">
        <v>17</v>
      </c>
      <c r="G25" s="56"/>
      <c r="H25" s="58"/>
      <c r="I25" s="58"/>
      <c r="J25" s="58"/>
      <c r="K25" s="60">
        <f>I19</f>
        <v>8.5439336140594691E-6</v>
      </c>
      <c r="L25" s="60">
        <f>I21</f>
        <v>-2.7203743726960349E-4</v>
      </c>
      <c r="M25" s="60">
        <f>(C25-$O$5)*K25 + L25</f>
        <v>6.1653165859258132E-4</v>
      </c>
    </row>
    <row r="26" spans="1:13" ht="14">
      <c r="A26" s="55">
        <f>P5</f>
        <v>155</v>
      </c>
      <c r="B26" s="55" t="s">
        <v>94</v>
      </c>
      <c r="C26" s="79">
        <v>479</v>
      </c>
      <c r="D26" s="56" t="s">
        <v>35</v>
      </c>
      <c r="E26" s="80">
        <v>23</v>
      </c>
      <c r="F26" s="80">
        <v>19</v>
      </c>
      <c r="G26" s="57">
        <v>0</v>
      </c>
      <c r="H26" s="58"/>
      <c r="I26" s="59" t="s">
        <v>68</v>
      </c>
      <c r="J26" s="59" t="s">
        <v>68</v>
      </c>
      <c r="K26" s="60">
        <f>I27</f>
        <v>8.8283401993151052E-6</v>
      </c>
      <c r="L26" s="60">
        <f>I29</f>
        <v>-2.6868972452389825E-4</v>
      </c>
      <c r="M26" s="60">
        <f>(C26-$O$2)*K26+L26</f>
        <v>3.9600852309480371E-3</v>
      </c>
    </row>
    <row r="27" spans="1:13" ht="14">
      <c r="A27" s="55">
        <f t="shared" ref="A27:A33" si="6">A26</f>
        <v>155</v>
      </c>
      <c r="B27" s="55" t="s">
        <v>95</v>
      </c>
      <c r="C27" s="79">
        <v>467</v>
      </c>
      <c r="D27" s="56" t="s">
        <v>35</v>
      </c>
      <c r="E27" s="80">
        <v>86</v>
      </c>
      <c r="F27" s="80">
        <v>277</v>
      </c>
      <c r="G27" s="57">
        <v>5.0000000000000001E-4</v>
      </c>
      <c r="H27" s="58"/>
      <c r="I27" s="59">
        <f>SLOPE(G26:G32, E26:E32)</f>
        <v>8.8283401993151052E-6</v>
      </c>
      <c r="J27" s="59">
        <f>SLOPE(G26:G32, F26:F32)</f>
        <v>2.1861133916935769E-6</v>
      </c>
      <c r="K27" s="60">
        <f>I27</f>
        <v>8.8283401993151052E-6</v>
      </c>
      <c r="L27" s="60">
        <f>I29</f>
        <v>-2.6868972452389825E-4</v>
      </c>
      <c r="M27" s="60">
        <f>(C27-$O$2)*K27+L27</f>
        <v>3.8541451485562556E-3</v>
      </c>
    </row>
    <row r="28" spans="1:13" ht="14">
      <c r="A28" s="55">
        <f t="shared" si="6"/>
        <v>155</v>
      </c>
      <c r="B28" s="55" t="s">
        <v>96</v>
      </c>
      <c r="C28" s="79">
        <v>236</v>
      </c>
      <c r="D28" s="56" t="s">
        <v>36</v>
      </c>
      <c r="E28" s="80">
        <v>145</v>
      </c>
      <c r="F28" s="80">
        <v>527</v>
      </c>
      <c r="G28" s="57">
        <v>1E-3</v>
      </c>
      <c r="H28" s="58"/>
      <c r="I28" s="59" t="s">
        <v>71</v>
      </c>
      <c r="J28" s="59" t="s">
        <v>71</v>
      </c>
      <c r="K28" s="60">
        <f>I27</f>
        <v>8.8283401993151052E-6</v>
      </c>
      <c r="L28" s="60">
        <f>I29</f>
        <v>-2.6868972452389825E-4</v>
      </c>
      <c r="M28" s="60">
        <f>(C28-$O$3)*K28 + L28</f>
        <v>1.8147985625144667E-3</v>
      </c>
    </row>
    <row r="29" spans="1:13" ht="14">
      <c r="A29" s="55">
        <f t="shared" si="6"/>
        <v>155</v>
      </c>
      <c r="B29" s="55" t="s">
        <v>97</v>
      </c>
      <c r="C29" s="79">
        <v>228</v>
      </c>
      <c r="D29" s="56" t="s">
        <v>36</v>
      </c>
      <c r="E29" s="80">
        <v>267</v>
      </c>
      <c r="F29" s="80">
        <v>1004</v>
      </c>
      <c r="G29" s="57">
        <v>2E-3</v>
      </c>
      <c r="H29" s="58"/>
      <c r="I29" s="59">
        <f>INTERCEPT(G26:G32, E26:E32)</f>
        <v>-2.6868972452389825E-4</v>
      </c>
      <c r="J29" s="59">
        <f>INTERCEPT(G26:G32, F26:F32)</f>
        <v>-1.5235232518029211E-4</v>
      </c>
      <c r="K29" s="60">
        <f>I27</f>
        <v>8.8283401993151052E-6</v>
      </c>
      <c r="L29" s="60">
        <f>I29</f>
        <v>-2.6868972452389825E-4</v>
      </c>
      <c r="M29" s="60">
        <f>(C29-$O$3)*K29+ L29</f>
        <v>1.7441718409199457E-3</v>
      </c>
    </row>
    <row r="30" spans="1:13" ht="14">
      <c r="A30" s="55">
        <f t="shared" si="6"/>
        <v>155</v>
      </c>
      <c r="B30" s="55" t="s">
        <v>98</v>
      </c>
      <c r="C30" s="79">
        <v>1090</v>
      </c>
      <c r="D30" s="56" t="s">
        <v>37</v>
      </c>
      <c r="E30" s="80">
        <v>609</v>
      </c>
      <c r="F30" s="80">
        <v>2403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2.1861133916935769E-6</v>
      </c>
      <c r="L30" s="60">
        <f>J29</f>
        <v>-1.5235232518029211E-4</v>
      </c>
      <c r="M30" s="60">
        <f>(C30-$O$4)*K30 + L30</f>
        <v>1.4650983204989932E-3</v>
      </c>
    </row>
    <row r="31" spans="1:13" ht="14">
      <c r="A31" s="55">
        <f t="shared" si="6"/>
        <v>155</v>
      </c>
      <c r="B31" s="55" t="s">
        <v>99</v>
      </c>
      <c r="C31" s="79">
        <v>1142</v>
      </c>
      <c r="D31" s="56" t="s">
        <v>37</v>
      </c>
      <c r="E31" s="80">
        <v>1142</v>
      </c>
      <c r="F31" s="80">
        <v>4685</v>
      </c>
      <c r="G31" s="57">
        <v>0.01</v>
      </c>
      <c r="H31" s="58"/>
      <c r="I31" s="61">
        <f>RSQ(G26:G32, E26:E32)</f>
        <v>0.99980606276074035</v>
      </c>
      <c r="J31" s="61">
        <f>RSQ(G26:G32, F26:F32)</f>
        <v>0.99987404151199399</v>
      </c>
      <c r="K31" s="60">
        <f>J27</f>
        <v>2.1861133916935769E-6</v>
      </c>
      <c r="L31" s="60">
        <f>J29</f>
        <v>-1.5235232518029211E-4</v>
      </c>
      <c r="M31" s="60">
        <f>(C31-$O$4)*K31 + L31</f>
        <v>1.5787762168670591E-3</v>
      </c>
    </row>
    <row r="32" spans="1:13" ht="14">
      <c r="A32" s="55">
        <f t="shared" si="6"/>
        <v>155</v>
      </c>
      <c r="B32" s="55" t="s">
        <v>100</v>
      </c>
      <c r="C32" s="79">
        <v>100</v>
      </c>
      <c r="D32" s="56" t="s">
        <v>38</v>
      </c>
      <c r="E32" s="80">
        <v>2302</v>
      </c>
      <c r="F32" s="80">
        <v>9184</v>
      </c>
      <c r="G32" s="57">
        <v>0.02</v>
      </c>
      <c r="H32" s="58"/>
      <c r="I32" s="58"/>
      <c r="J32" s="58"/>
      <c r="K32" s="60">
        <f>I27</f>
        <v>8.8283401993151052E-6</v>
      </c>
      <c r="L32" s="60">
        <f>I29</f>
        <v>-2.6868972452389825E-4</v>
      </c>
      <c r="M32" s="60">
        <f>(C32-$O$5)*K32 + L32</f>
        <v>6.1414429540761228E-4</v>
      </c>
    </row>
    <row r="33" spans="1:26" ht="14">
      <c r="A33" s="55">
        <f t="shared" si="6"/>
        <v>155</v>
      </c>
      <c r="B33" s="55" t="s">
        <v>101</v>
      </c>
      <c r="C33" s="79">
        <v>124</v>
      </c>
      <c r="D33" s="56" t="s">
        <v>38</v>
      </c>
      <c r="E33" s="80">
        <v>16</v>
      </c>
      <c r="F33" s="80">
        <v>17</v>
      </c>
      <c r="G33" s="56"/>
      <c r="H33" s="58"/>
      <c r="I33" s="58"/>
      <c r="J33" s="58"/>
      <c r="K33" s="60">
        <f>I27</f>
        <v>8.8283401993151052E-6</v>
      </c>
      <c r="L33" s="60">
        <f>I29</f>
        <v>-2.6868972452389825E-4</v>
      </c>
      <c r="M33" s="60">
        <f>(C33-$O$5)*K33 + L33</f>
        <v>8.2602446019117474E-4</v>
      </c>
    </row>
    <row r="34" spans="1:26" ht="14">
      <c r="A34" s="55">
        <f>P6</f>
        <v>156</v>
      </c>
      <c r="B34" s="55" t="s">
        <v>102</v>
      </c>
      <c r="C34" s="79">
        <v>539</v>
      </c>
      <c r="D34" s="56" t="s">
        <v>35</v>
      </c>
      <c r="E34" s="80">
        <v>23</v>
      </c>
      <c r="F34" s="80">
        <v>22</v>
      </c>
      <c r="G34" s="57">
        <v>0</v>
      </c>
      <c r="H34" s="58"/>
      <c r="I34" s="59" t="s">
        <v>68</v>
      </c>
      <c r="J34" s="59" t="s">
        <v>68</v>
      </c>
      <c r="K34" s="60">
        <f>I35</f>
        <v>8.3324576247906475E-6</v>
      </c>
      <c r="L34" s="60">
        <f>I37</f>
        <v>-2.4106330348075584E-4</v>
      </c>
      <c r="M34" s="60">
        <f>(C34-$O$2)*K34+L34</f>
        <v>4.2501313562814036E-3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156</v>
      </c>
      <c r="B35" s="55" t="s">
        <v>103</v>
      </c>
      <c r="C35" s="79">
        <v>487</v>
      </c>
      <c r="D35" s="56" t="s">
        <v>35</v>
      </c>
      <c r="E35" s="80">
        <v>87</v>
      </c>
      <c r="F35" s="80">
        <v>301</v>
      </c>
      <c r="G35" s="57">
        <v>5.0000000000000001E-4</v>
      </c>
      <c r="H35" s="58"/>
      <c r="I35" s="59">
        <f>SLOPE(G34:G40, E34:E40)</f>
        <v>8.3324576247906475E-6</v>
      </c>
      <c r="J35" s="59">
        <f>SLOPE(G34:G40, F34:F40)</f>
        <v>2.1228602419755572E-6</v>
      </c>
      <c r="K35" s="60">
        <f>I35</f>
        <v>8.3324576247906475E-6</v>
      </c>
      <c r="L35" s="60">
        <f>I37</f>
        <v>-2.4106330348075584E-4</v>
      </c>
      <c r="M35" s="60">
        <f>(C35-$O$2)*K35+L35</f>
        <v>3.8168435597922892E-3</v>
      </c>
    </row>
    <row r="36" spans="1:26" ht="14">
      <c r="A36" s="55">
        <f t="shared" si="7"/>
        <v>156</v>
      </c>
      <c r="B36" s="55" t="s">
        <v>104</v>
      </c>
      <c r="C36" s="79">
        <v>254</v>
      </c>
      <c r="D36" s="56" t="s">
        <v>36</v>
      </c>
      <c r="E36" s="80">
        <v>153</v>
      </c>
      <c r="F36" s="80">
        <v>540</v>
      </c>
      <c r="G36" s="57">
        <v>1E-3</v>
      </c>
      <c r="H36" s="58"/>
      <c r="I36" s="59" t="s">
        <v>71</v>
      </c>
      <c r="J36" s="59" t="s">
        <v>71</v>
      </c>
      <c r="K36" s="60">
        <f>I35</f>
        <v>8.3324576247906475E-6</v>
      </c>
      <c r="L36" s="60">
        <f>I37</f>
        <v>-2.4106330348075584E-4</v>
      </c>
      <c r="M36" s="60">
        <f>(C36-$O$3)*K36 + L36</f>
        <v>1.8753809332160685E-3</v>
      </c>
    </row>
    <row r="37" spans="1:26" ht="14">
      <c r="A37" s="55">
        <f t="shared" si="7"/>
        <v>156</v>
      </c>
      <c r="B37" s="55" t="s">
        <v>105</v>
      </c>
      <c r="C37" s="79">
        <v>247</v>
      </c>
      <c r="D37" s="56" t="s">
        <v>36</v>
      </c>
      <c r="E37" s="80">
        <v>282</v>
      </c>
      <c r="F37" s="80">
        <v>1056</v>
      </c>
      <c r="G37" s="57">
        <v>2E-3</v>
      </c>
      <c r="H37" s="58"/>
      <c r="I37" s="59">
        <f>INTERCEPT(G34:G40, E34:E40)</f>
        <v>-2.4106330348075584E-4</v>
      </c>
      <c r="J37" s="59">
        <f>INTERCEPT(G34:G40, F34:F40)</f>
        <v>-2.26870401352346E-4</v>
      </c>
      <c r="K37" s="60">
        <f>I35</f>
        <v>8.3324576247906475E-6</v>
      </c>
      <c r="L37" s="60">
        <f>I37</f>
        <v>-2.4106330348075584E-4</v>
      </c>
      <c r="M37" s="60">
        <f>(C37-$O$3)*K37+ L37</f>
        <v>1.817053729842534E-3</v>
      </c>
    </row>
    <row r="38" spans="1:26" ht="14">
      <c r="A38" s="55">
        <f t="shared" si="7"/>
        <v>156</v>
      </c>
      <c r="B38" s="55" t="s">
        <v>106</v>
      </c>
      <c r="C38" s="79">
        <v>1176</v>
      </c>
      <c r="D38" s="56" t="s">
        <v>37</v>
      </c>
      <c r="E38" s="80">
        <v>631</v>
      </c>
      <c r="F38" s="80">
        <v>2548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2.1228602419755572E-6</v>
      </c>
      <c r="L38" s="60">
        <f>J37</f>
        <v>-2.26870401352346E-4</v>
      </c>
      <c r="M38" s="60">
        <f>(C38-$O$4)*K38 + L38</f>
        <v>1.5263468009892173E-3</v>
      </c>
    </row>
    <row r="39" spans="1:26" ht="14">
      <c r="A39" s="55">
        <f t="shared" si="7"/>
        <v>156</v>
      </c>
      <c r="B39" s="55" t="s">
        <v>107</v>
      </c>
      <c r="C39" s="79">
        <v>1187</v>
      </c>
      <c r="D39" s="56" t="s">
        <v>37</v>
      </c>
      <c r="E39" s="80">
        <v>1211</v>
      </c>
      <c r="F39" s="80">
        <v>5014</v>
      </c>
      <c r="G39" s="57">
        <v>0.01</v>
      </c>
      <c r="H39" s="58"/>
      <c r="I39" s="61">
        <f>RSQ(G34:G40, E34:E40)</f>
        <v>0.9998687534124765</v>
      </c>
      <c r="J39" s="61">
        <f>RSQ(G34:G40, F34:F40)</f>
        <v>0.99898070485845325</v>
      </c>
      <c r="K39" s="60">
        <f>J35</f>
        <v>2.1228602419755572E-6</v>
      </c>
      <c r="L39" s="60">
        <f>J37</f>
        <v>-2.26870401352346E-4</v>
      </c>
      <c r="M39" s="60">
        <f>(C39-$O$4)*K39 + L39</f>
        <v>1.5496982636509485E-3</v>
      </c>
    </row>
    <row r="40" spans="1:26" ht="14">
      <c r="A40" s="55">
        <f t="shared" si="7"/>
        <v>156</v>
      </c>
      <c r="B40" s="55" t="s">
        <v>108</v>
      </c>
      <c r="C40" s="79">
        <v>131</v>
      </c>
      <c r="D40" s="56" t="s">
        <v>38</v>
      </c>
      <c r="E40" s="80">
        <v>2436</v>
      </c>
      <c r="F40" s="80">
        <v>9403</v>
      </c>
      <c r="G40" s="57">
        <v>0.02</v>
      </c>
      <c r="H40" s="58"/>
      <c r="I40" s="58"/>
      <c r="J40" s="58"/>
      <c r="K40" s="60">
        <f>I35</f>
        <v>8.3324576247906475E-6</v>
      </c>
      <c r="L40" s="60">
        <f>I37</f>
        <v>-2.4106330348075584E-4</v>
      </c>
      <c r="M40" s="60">
        <f>(C40-$O$5)*K40 + L40</f>
        <v>8.5048864536681895E-4</v>
      </c>
    </row>
    <row r="41" spans="1:26" ht="14">
      <c r="A41" s="55">
        <f t="shared" si="7"/>
        <v>156</v>
      </c>
      <c r="B41" s="55" t="s">
        <v>109</v>
      </c>
      <c r="C41" s="79">
        <v>121</v>
      </c>
      <c r="D41" s="56" t="s">
        <v>38</v>
      </c>
      <c r="E41" s="80">
        <v>15</v>
      </c>
      <c r="F41" s="80">
        <v>16</v>
      </c>
      <c r="G41" s="56"/>
      <c r="H41" s="58"/>
      <c r="I41" s="58"/>
      <c r="J41" s="58"/>
      <c r="K41" s="60">
        <f>I35</f>
        <v>8.3324576247906475E-6</v>
      </c>
      <c r="L41" s="60">
        <f>I37</f>
        <v>-2.4106330348075584E-4</v>
      </c>
      <c r="M41" s="60">
        <f>(C41-$O$5)*K41 + L41</f>
        <v>7.671640691189125E-4</v>
      </c>
    </row>
    <row r="42" spans="1:26" ht="14">
      <c r="A42" s="55">
        <f>P7</f>
        <v>157</v>
      </c>
      <c r="B42" s="55" t="s">
        <v>110</v>
      </c>
      <c r="C42" s="79">
        <v>520</v>
      </c>
      <c r="D42" s="56" t="s">
        <v>35</v>
      </c>
      <c r="E42" s="80">
        <v>28</v>
      </c>
      <c r="F42" s="80">
        <v>23</v>
      </c>
      <c r="G42" s="57">
        <v>0</v>
      </c>
      <c r="H42" s="58"/>
      <c r="I42" s="62" t="s">
        <v>68</v>
      </c>
      <c r="J42" s="62" t="s">
        <v>68</v>
      </c>
      <c r="K42" s="60">
        <f>I43</f>
        <v>8.3180139213959767E-6</v>
      </c>
      <c r="L42" s="60">
        <f>I45</f>
        <v>-2.8696111388548575E-4</v>
      </c>
      <c r="M42" s="60">
        <f>(C42-$O$2)*K42+L42</f>
        <v>4.0384061252404218E-3</v>
      </c>
    </row>
    <row r="43" spans="1:26" ht="14">
      <c r="A43" s="55">
        <f t="shared" ref="A43:A49" si="8">A42</f>
        <v>157</v>
      </c>
      <c r="B43" s="55" t="s">
        <v>111</v>
      </c>
      <c r="C43" s="79">
        <v>498</v>
      </c>
      <c r="D43" s="56" t="s">
        <v>35</v>
      </c>
      <c r="E43" s="80">
        <v>88</v>
      </c>
      <c r="F43" s="80">
        <v>284</v>
      </c>
      <c r="G43" s="57">
        <v>5.0000000000000001E-4</v>
      </c>
      <c r="H43" s="58"/>
      <c r="I43" s="58">
        <f>SLOPE(G42:G48, E42:E48)</f>
        <v>8.3180139213959767E-6</v>
      </c>
      <c r="J43" s="58">
        <f>SLOPE(G42:G48, F42:F48)</f>
        <v>2.0734325865499918E-6</v>
      </c>
      <c r="K43" s="60">
        <f>I43</f>
        <v>8.3180139213959767E-6</v>
      </c>
      <c r="L43" s="60">
        <f>I45</f>
        <v>-2.8696111388548575E-4</v>
      </c>
      <c r="M43" s="60">
        <f>(C43-$O$2)*K43+L43</f>
        <v>3.8554098189697104E-3</v>
      </c>
    </row>
    <row r="44" spans="1:26" ht="14">
      <c r="A44" s="55">
        <f t="shared" si="8"/>
        <v>157</v>
      </c>
      <c r="B44" s="55" t="s">
        <v>112</v>
      </c>
      <c r="C44" s="79">
        <v>257</v>
      </c>
      <c r="D44" s="56" t="s">
        <v>36</v>
      </c>
      <c r="E44" s="80">
        <v>152</v>
      </c>
      <c r="F44" s="80">
        <v>545</v>
      </c>
      <c r="G44" s="57">
        <v>1E-3</v>
      </c>
      <c r="H44" s="58"/>
      <c r="I44" s="62" t="s">
        <v>71</v>
      </c>
      <c r="J44" s="62" t="s">
        <v>71</v>
      </c>
      <c r="K44" s="60">
        <f>I43</f>
        <v>8.3180139213959767E-6</v>
      </c>
      <c r="L44" s="60">
        <f>I45</f>
        <v>-2.8696111388548575E-4</v>
      </c>
      <c r="M44" s="60">
        <f>(C44-$O$3)*K44 + L44</f>
        <v>1.8507684639132802E-3</v>
      </c>
    </row>
    <row r="45" spans="1:26" ht="14">
      <c r="A45" s="55">
        <f t="shared" si="8"/>
        <v>157</v>
      </c>
      <c r="B45" s="55" t="s">
        <v>113</v>
      </c>
      <c r="C45" s="79">
        <v>226</v>
      </c>
      <c r="D45" s="56" t="s">
        <v>36</v>
      </c>
      <c r="E45" s="80">
        <v>280</v>
      </c>
      <c r="F45" s="80">
        <v>1089</v>
      </c>
      <c r="G45" s="57">
        <v>2E-3</v>
      </c>
      <c r="H45" s="58"/>
      <c r="I45" s="58">
        <f>INTERCEPT(G42:G48, E42:E48)</f>
        <v>-2.8696111388548575E-4</v>
      </c>
      <c r="J45" s="58">
        <f>INTERCEPT(G42:G48, F42:F48)</f>
        <v>-2.9435546544156165E-4</v>
      </c>
      <c r="K45" s="60">
        <f>I43</f>
        <v>8.3180139213959767E-6</v>
      </c>
      <c r="L45" s="60">
        <f>I45</f>
        <v>-2.8696111388548575E-4</v>
      </c>
      <c r="M45" s="60">
        <f>(C45-$O$3)*K45+ L45</f>
        <v>1.592910032350005E-3</v>
      </c>
    </row>
    <row r="46" spans="1:26" ht="14">
      <c r="A46" s="55">
        <f t="shared" si="8"/>
        <v>157</v>
      </c>
      <c r="B46" s="55" t="s">
        <v>114</v>
      </c>
      <c r="C46" s="79">
        <v>1289</v>
      </c>
      <c r="D46" s="56" t="s">
        <v>37</v>
      </c>
      <c r="E46" s="80">
        <v>639</v>
      </c>
      <c r="F46" s="80">
        <v>2622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2.0734325865499918E-6</v>
      </c>
      <c r="L46" s="60">
        <f>J45</f>
        <v>-2.9435546544156165E-4</v>
      </c>
      <c r="M46" s="60">
        <f>(C46-$O$4)*K46 + L46</f>
        <v>1.652338554255562E-3</v>
      </c>
    </row>
    <row r="47" spans="1:26" ht="14">
      <c r="A47" s="55">
        <f t="shared" si="8"/>
        <v>157</v>
      </c>
      <c r="B47" s="55" t="s">
        <v>115</v>
      </c>
      <c r="C47" s="79">
        <v>1176</v>
      </c>
      <c r="D47" s="56" t="s">
        <v>37</v>
      </c>
      <c r="E47" s="80">
        <v>1254</v>
      </c>
      <c r="F47" s="80">
        <v>5596</v>
      </c>
      <c r="G47" s="57">
        <v>0.01</v>
      </c>
      <c r="H47" s="58"/>
      <c r="I47" s="61">
        <f>RSQ(G42:G48, E42:E48)</f>
        <v>0.99988534064228074</v>
      </c>
      <c r="J47" s="61">
        <f>RSQ(G42:G48, F42:F48)</f>
        <v>0.99214888515091038</v>
      </c>
      <c r="K47" s="60">
        <f>J43</f>
        <v>2.0734325865499918E-6</v>
      </c>
      <c r="L47" s="60">
        <f>J45</f>
        <v>-2.9435546544156165E-4</v>
      </c>
      <c r="M47" s="60">
        <f>(C47-$O$4)*K47 + L47</f>
        <v>1.4180406719754128E-3</v>
      </c>
    </row>
    <row r="48" spans="1:26" ht="14">
      <c r="A48" s="55">
        <f t="shared" si="8"/>
        <v>157</v>
      </c>
      <c r="B48" s="55" t="s">
        <v>116</v>
      </c>
      <c r="C48" s="79">
        <v>123</v>
      </c>
      <c r="D48" s="56" t="s">
        <v>38</v>
      </c>
      <c r="E48" s="80">
        <v>2429</v>
      </c>
      <c r="F48" s="80">
        <v>9403</v>
      </c>
      <c r="G48" s="57">
        <v>0.02</v>
      </c>
      <c r="H48" s="58"/>
      <c r="I48" s="58"/>
      <c r="J48" s="58"/>
      <c r="K48" s="60">
        <f>I43</f>
        <v>8.3180139213959767E-6</v>
      </c>
      <c r="L48" s="60">
        <f>I45</f>
        <v>-2.8696111388548575E-4</v>
      </c>
      <c r="M48" s="60">
        <f>(C48-$O$5)*K48 + L48</f>
        <v>7.3615459844621938E-4</v>
      </c>
    </row>
    <row r="49" spans="1:13" ht="14">
      <c r="A49" s="55">
        <f t="shared" si="8"/>
        <v>157</v>
      </c>
      <c r="B49" s="55" t="s">
        <v>117</v>
      </c>
      <c r="C49" s="79">
        <v>128</v>
      </c>
      <c r="D49" s="56" t="s">
        <v>38</v>
      </c>
      <c r="E49" s="80">
        <v>14</v>
      </c>
      <c r="F49" s="80">
        <v>17</v>
      </c>
      <c r="G49" s="56"/>
      <c r="H49" s="58"/>
      <c r="I49" s="58"/>
      <c r="J49" s="58"/>
      <c r="K49" s="60">
        <f>I43</f>
        <v>8.3180139213959767E-6</v>
      </c>
      <c r="L49" s="60">
        <f>I45</f>
        <v>-2.8696111388548575E-4</v>
      </c>
      <c r="M49" s="60">
        <f>(C49-$O$5)*K49 + L49</f>
        <v>7.7774466805319927E-4</v>
      </c>
    </row>
    <row r="50" spans="1:13" ht="14">
      <c r="A50" s="55">
        <f>P8</f>
        <v>158</v>
      </c>
      <c r="B50" s="55" t="s">
        <v>118</v>
      </c>
      <c r="C50" s="79">
        <v>488</v>
      </c>
      <c r="D50" s="56" t="s">
        <v>35</v>
      </c>
      <c r="E50" s="80">
        <v>23</v>
      </c>
      <c r="F50" s="80">
        <v>20</v>
      </c>
      <c r="G50" s="57">
        <v>0</v>
      </c>
      <c r="H50" s="58"/>
      <c r="I50" s="62" t="s">
        <v>68</v>
      </c>
      <c r="J50" s="62" t="s">
        <v>68</v>
      </c>
      <c r="K50" s="60">
        <f>I51</f>
        <v>8.5463294533810401E-6</v>
      </c>
      <c r="L50" s="60">
        <f>I53</f>
        <v>-2.7121418944745391E-4</v>
      </c>
      <c r="M50" s="60">
        <f>(C50-$O$2)*K50+L50</f>
        <v>3.8993945838024938E-3</v>
      </c>
    </row>
    <row r="51" spans="1:13" ht="14">
      <c r="A51" s="55">
        <f t="shared" ref="A51:A57" si="9">A50</f>
        <v>158</v>
      </c>
      <c r="B51" s="55" t="s">
        <v>119</v>
      </c>
      <c r="C51" s="79">
        <v>475</v>
      </c>
      <c r="D51" s="56" t="s">
        <v>35</v>
      </c>
      <c r="E51" s="80">
        <v>85</v>
      </c>
      <c r="F51" s="80">
        <v>271</v>
      </c>
      <c r="G51" s="57">
        <v>5.0000000000000001E-4</v>
      </c>
      <c r="H51" s="58"/>
      <c r="I51" s="58">
        <f>SLOPE(G50:G56, E50:E56)</f>
        <v>8.5463294533810401E-6</v>
      </c>
      <c r="J51" s="58">
        <f>SLOPE(G50:G56, F50:F56)</f>
        <v>2.0604775743446719E-6</v>
      </c>
      <c r="K51" s="60">
        <f>I51</f>
        <v>8.5463294533810401E-6</v>
      </c>
      <c r="L51" s="60">
        <f>I53</f>
        <v>-2.7121418944745391E-4</v>
      </c>
      <c r="M51" s="60">
        <f>(C51-$O$2)*K51+L51</f>
        <v>3.7882923009085398E-3</v>
      </c>
    </row>
    <row r="52" spans="1:13" ht="14">
      <c r="A52" s="55">
        <f t="shared" si="9"/>
        <v>158</v>
      </c>
      <c r="B52" s="55" t="s">
        <v>120</v>
      </c>
      <c r="C52" s="79">
        <v>261</v>
      </c>
      <c r="D52" s="56" t="s">
        <v>36</v>
      </c>
      <c r="E52" s="80">
        <v>150</v>
      </c>
      <c r="F52" s="80">
        <v>531</v>
      </c>
      <c r="G52" s="57">
        <v>1E-3</v>
      </c>
      <c r="H52" s="58"/>
      <c r="I52" s="62" t="s">
        <v>71</v>
      </c>
      <c r="J52" s="62" t="s">
        <v>71</v>
      </c>
      <c r="K52" s="60">
        <f>I51</f>
        <v>8.5463294533810401E-6</v>
      </c>
      <c r="L52" s="60">
        <f>I53</f>
        <v>-2.7121418944745391E-4</v>
      </c>
      <c r="M52" s="60">
        <f>(C52-$O$3)*K52 + L52</f>
        <v>1.9593777978849976E-3</v>
      </c>
    </row>
    <row r="53" spans="1:13" ht="14">
      <c r="A53" s="55">
        <f t="shared" si="9"/>
        <v>158</v>
      </c>
      <c r="B53" s="55" t="s">
        <v>121</v>
      </c>
      <c r="C53" s="79">
        <v>233</v>
      </c>
      <c r="D53" s="56" t="s">
        <v>36</v>
      </c>
      <c r="E53" s="80">
        <v>272</v>
      </c>
      <c r="F53" s="80">
        <v>1047</v>
      </c>
      <c r="G53" s="57">
        <v>2E-3</v>
      </c>
      <c r="H53" s="58"/>
      <c r="I53" s="58">
        <f>INTERCEPT(G50:G56, E50:E56)</f>
        <v>-2.7121418944745391E-4</v>
      </c>
      <c r="J53" s="58">
        <f>INTERCEPT(G50:G56, F50:F56)</f>
        <v>-1.0597077191346754E-4</v>
      </c>
      <c r="K53" s="60">
        <f>I51</f>
        <v>8.5463294533810401E-6</v>
      </c>
      <c r="L53" s="60">
        <f>I53</f>
        <v>-2.7121418944745391E-4</v>
      </c>
      <c r="M53" s="60">
        <f>(C53-$O$3)*K53+ L53</f>
        <v>1.7200805731903282E-3</v>
      </c>
    </row>
    <row r="54" spans="1:13" ht="14">
      <c r="A54" s="55">
        <f t="shared" si="9"/>
        <v>158</v>
      </c>
      <c r="B54" s="55" t="s">
        <v>122</v>
      </c>
      <c r="C54" s="79">
        <v>1122</v>
      </c>
      <c r="D54" s="56" t="s">
        <v>37</v>
      </c>
      <c r="E54" s="80">
        <v>615</v>
      </c>
      <c r="F54" s="80">
        <v>2551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2.0604775743446719E-6</v>
      </c>
      <c r="L54" s="60">
        <f>J53</f>
        <v>-1.0597077191346754E-4</v>
      </c>
      <c r="M54" s="60">
        <f>(C54-$O$4)*K54 + L54</f>
        <v>1.484460355783826E-3</v>
      </c>
    </row>
    <row r="55" spans="1:13" ht="14">
      <c r="A55" s="55">
        <f t="shared" si="9"/>
        <v>158</v>
      </c>
      <c r="B55" s="55" t="s">
        <v>123</v>
      </c>
      <c r="C55" s="79">
        <v>1165</v>
      </c>
      <c r="D55" s="56" t="s">
        <v>37</v>
      </c>
      <c r="E55" s="80">
        <v>1219</v>
      </c>
      <c r="F55" s="80">
        <v>4871</v>
      </c>
      <c r="G55" s="57">
        <v>0.01</v>
      </c>
      <c r="H55" s="58"/>
      <c r="I55" s="61">
        <f>RSQ(G50:G56, E50:E56)</f>
        <v>0.99988029645631915</v>
      </c>
      <c r="J55" s="61">
        <f>RSQ(G50:G56, F50:F56)</f>
        <v>0.99988475019015277</v>
      </c>
      <c r="K55" s="60">
        <f>J51</f>
        <v>2.0604775743446719E-6</v>
      </c>
      <c r="L55" s="60">
        <f>J53</f>
        <v>-1.0597077191346754E-4</v>
      </c>
      <c r="M55" s="60">
        <f>(C55-$O$4)*K55 + L55</f>
        <v>1.5730608914806469E-3</v>
      </c>
    </row>
    <row r="56" spans="1:13" ht="14">
      <c r="A56" s="55">
        <f t="shared" si="9"/>
        <v>158</v>
      </c>
      <c r="B56" s="55" t="s">
        <v>124</v>
      </c>
      <c r="C56" s="79">
        <v>118</v>
      </c>
      <c r="D56" s="56" t="s">
        <v>38</v>
      </c>
      <c r="E56" s="80">
        <v>2363</v>
      </c>
      <c r="F56" s="80">
        <v>9754</v>
      </c>
      <c r="G56" s="57">
        <v>0.02</v>
      </c>
      <c r="H56" s="58"/>
      <c r="I56" s="58"/>
      <c r="J56" s="58"/>
      <c r="K56" s="60">
        <f>I51</f>
        <v>8.5463294533810401E-6</v>
      </c>
      <c r="L56" s="60">
        <f>I53</f>
        <v>-2.7121418944745391E-4</v>
      </c>
      <c r="M56" s="60">
        <f>(C56-$O$5)*K56 + L56</f>
        <v>7.3725268605150888E-4</v>
      </c>
    </row>
    <row r="57" spans="1:13" ht="14">
      <c r="A57" s="55">
        <f t="shared" si="9"/>
        <v>158</v>
      </c>
      <c r="B57" s="55" t="s">
        <v>125</v>
      </c>
      <c r="C57" s="79">
        <v>130</v>
      </c>
      <c r="D57" s="56" t="s">
        <v>38</v>
      </c>
      <c r="E57" s="80">
        <v>15</v>
      </c>
      <c r="F57" s="80">
        <v>16</v>
      </c>
      <c r="G57" s="56"/>
      <c r="H57" s="58"/>
      <c r="I57" s="58"/>
      <c r="J57" s="58"/>
      <c r="K57" s="60">
        <f>I51</f>
        <v>8.5463294533810401E-6</v>
      </c>
      <c r="L57" s="60">
        <f>I53</f>
        <v>-2.7121418944745391E-4</v>
      </c>
      <c r="M57" s="60">
        <f>(C57-$O$5)*K57 + L57</f>
        <v>8.398086394920813E-4</v>
      </c>
    </row>
    <row r="58" spans="1:13" ht="14">
      <c r="A58" s="55">
        <f>P9</f>
        <v>160</v>
      </c>
      <c r="B58" s="55" t="s">
        <v>126</v>
      </c>
      <c r="C58" s="79">
        <v>510</v>
      </c>
      <c r="D58" s="56" t="s">
        <v>35</v>
      </c>
      <c r="E58" s="80">
        <v>25</v>
      </c>
      <c r="F58" s="80">
        <v>25</v>
      </c>
      <c r="G58" s="57">
        <v>0</v>
      </c>
      <c r="H58" s="58"/>
      <c r="I58" s="62" t="s">
        <v>68</v>
      </c>
      <c r="J58" s="62" t="s">
        <v>68</v>
      </c>
      <c r="K58" s="60">
        <f>I59</f>
        <v>8.2785219005281647E-6</v>
      </c>
      <c r="L58" s="60">
        <f>I61</f>
        <v>-2.299198011512793E-4</v>
      </c>
      <c r="M58" s="60">
        <f>(C58-$O$2)*K58+L58</f>
        <v>3.992126368118085E-3</v>
      </c>
    </row>
    <row r="59" spans="1:13" ht="14">
      <c r="A59" s="55">
        <f t="shared" ref="A59:A65" si="10">A58</f>
        <v>160</v>
      </c>
      <c r="B59" s="55" t="s">
        <v>127</v>
      </c>
      <c r="C59" s="79">
        <v>499</v>
      </c>
      <c r="D59" s="56" t="s">
        <v>35</v>
      </c>
      <c r="E59" s="80">
        <v>86</v>
      </c>
      <c r="F59" s="80">
        <v>285</v>
      </c>
      <c r="G59" s="57">
        <v>5.0000000000000001E-4</v>
      </c>
      <c r="H59" s="58"/>
      <c r="I59" s="58">
        <f>SLOPE(G58:G64, E58:E64)</f>
        <v>8.2785219005281647E-6</v>
      </c>
      <c r="J59" s="58">
        <f>SLOPE(G58:G64, F58:F64)</f>
        <v>1.9763979333404791E-6</v>
      </c>
      <c r="K59" s="60">
        <f>I59</f>
        <v>8.2785219005281647E-6</v>
      </c>
      <c r="L59" s="60">
        <f>I61</f>
        <v>-2.299198011512793E-4</v>
      </c>
      <c r="M59" s="60">
        <f>(C59-$O$2)*K59+L59</f>
        <v>3.9010626272122746E-3</v>
      </c>
    </row>
    <row r="60" spans="1:13" ht="14">
      <c r="A60" s="55">
        <f t="shared" si="10"/>
        <v>160</v>
      </c>
      <c r="B60" s="55" t="s">
        <v>128</v>
      </c>
      <c r="C60" s="79">
        <v>258</v>
      </c>
      <c r="D60" s="56" t="s">
        <v>36</v>
      </c>
      <c r="E60" s="80">
        <v>146</v>
      </c>
      <c r="F60" s="80">
        <v>574</v>
      </c>
      <c r="G60" s="57">
        <v>1E-3</v>
      </c>
      <c r="H60" s="58"/>
      <c r="I60" s="62" t="s">
        <v>71</v>
      </c>
      <c r="J60" s="62" t="s">
        <v>71</v>
      </c>
      <c r="K60" s="60">
        <f>I59</f>
        <v>8.2785219005281647E-6</v>
      </c>
      <c r="L60" s="60">
        <f>I61</f>
        <v>-2.299198011512793E-4</v>
      </c>
      <c r="M60" s="60">
        <f>(C60-$O$3)*K60 + L60</f>
        <v>1.9059388491849873E-3</v>
      </c>
    </row>
    <row r="61" spans="1:13" ht="14">
      <c r="A61" s="55">
        <f t="shared" si="10"/>
        <v>160</v>
      </c>
      <c r="B61" s="55" t="s">
        <v>129</v>
      </c>
      <c r="C61" s="79">
        <v>240</v>
      </c>
      <c r="D61" s="56" t="s">
        <v>36</v>
      </c>
      <c r="E61" s="80">
        <v>273</v>
      </c>
      <c r="F61" s="80">
        <v>1141</v>
      </c>
      <c r="G61" s="57">
        <v>2E-3</v>
      </c>
      <c r="H61" s="58"/>
      <c r="I61" s="58">
        <f>INTERCEPT(G58:G64, E58:E64)</f>
        <v>-2.299198011512793E-4</v>
      </c>
      <c r="J61" s="58">
        <f>INTERCEPT(G58:G64, F58:F64)</f>
        <v>-1.8637919678246399E-4</v>
      </c>
      <c r="K61" s="60">
        <f>I59</f>
        <v>8.2785219005281647E-6</v>
      </c>
      <c r="L61" s="60">
        <f>I61</f>
        <v>-2.299198011512793E-4</v>
      </c>
      <c r="M61" s="60">
        <f>(C61-$O$3)*K61+ L61</f>
        <v>1.7569254549754804E-3</v>
      </c>
    </row>
    <row r="62" spans="1:13" ht="14">
      <c r="A62" s="55">
        <f t="shared" si="10"/>
        <v>160</v>
      </c>
      <c r="B62" s="55" t="s">
        <v>130</v>
      </c>
      <c r="C62" s="79">
        <v>1229</v>
      </c>
      <c r="D62" s="56" t="s">
        <v>37</v>
      </c>
      <c r="E62" s="80">
        <v>655</v>
      </c>
      <c r="F62" s="80">
        <v>2710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1.9763979333404791E-6</v>
      </c>
      <c r="L62" s="60">
        <f>J61</f>
        <v>-1.8637919678246399E-4</v>
      </c>
      <c r="M62" s="60">
        <f>(C62-$O$4)*K62 + L62</f>
        <v>1.5506275368821496E-3</v>
      </c>
    </row>
    <row r="63" spans="1:13" ht="14">
      <c r="A63" s="55">
        <f t="shared" si="10"/>
        <v>160</v>
      </c>
      <c r="B63" s="55" t="s">
        <v>131</v>
      </c>
      <c r="C63" s="79">
        <v>1243</v>
      </c>
      <c r="D63" s="56" t="s">
        <v>37</v>
      </c>
      <c r="E63" s="80">
        <v>1210</v>
      </c>
      <c r="F63" s="80">
        <v>5281</v>
      </c>
      <c r="G63" s="57">
        <v>0.01</v>
      </c>
      <c r="H63" s="58"/>
      <c r="I63" s="61">
        <f>RSQ(G58:G64, E58:E64)</f>
        <v>0.9997257412843471</v>
      </c>
      <c r="J63" s="61">
        <f>RSQ(G58:G64, F58:F64)</f>
        <v>0.9994833611499242</v>
      </c>
      <c r="K63" s="60">
        <f>J59</f>
        <v>1.9763979333404791E-6</v>
      </c>
      <c r="L63" s="60">
        <f>J61</f>
        <v>-1.8637919678246399E-4</v>
      </c>
      <c r="M63" s="60">
        <f>(C63-$O$4)*K63 + L63</f>
        <v>1.5782971079489163E-3</v>
      </c>
    </row>
    <row r="64" spans="1:13" ht="14">
      <c r="A64" s="55">
        <f t="shared" si="10"/>
        <v>160</v>
      </c>
      <c r="B64" s="55" t="s">
        <v>132</v>
      </c>
      <c r="C64" s="79">
        <v>121</v>
      </c>
      <c r="D64" s="56" t="s">
        <v>38</v>
      </c>
      <c r="E64" s="80">
        <v>2450</v>
      </c>
      <c r="F64" s="80">
        <v>10124</v>
      </c>
      <c r="G64" s="57">
        <v>0.02</v>
      </c>
      <c r="H64" s="58"/>
      <c r="I64" s="58"/>
      <c r="J64" s="58"/>
      <c r="K64" s="60">
        <f>I59</f>
        <v>8.2785219005281647E-6</v>
      </c>
      <c r="L64" s="60">
        <f>I61</f>
        <v>-2.299198011512793E-4</v>
      </c>
      <c r="M64" s="60">
        <f>(C64-$O$5)*K64 + L64</f>
        <v>7.7178134881262855E-4</v>
      </c>
    </row>
    <row r="65" spans="1:26" ht="14">
      <c r="A65" s="55">
        <f t="shared" si="10"/>
        <v>160</v>
      </c>
      <c r="B65" s="55" t="s">
        <v>133</v>
      </c>
      <c r="C65" s="79">
        <v>120</v>
      </c>
      <c r="D65" s="56" t="s">
        <v>38</v>
      </c>
      <c r="E65" s="80">
        <v>17</v>
      </c>
      <c r="F65" s="80">
        <v>18</v>
      </c>
      <c r="G65" s="56"/>
      <c r="H65" s="58"/>
      <c r="I65" s="58"/>
      <c r="J65" s="58"/>
      <c r="K65" s="60">
        <f>I59</f>
        <v>8.2785219005281647E-6</v>
      </c>
      <c r="L65" s="60">
        <f>I61</f>
        <v>-2.299198011512793E-4</v>
      </c>
      <c r="M65" s="60">
        <f>(C65-$O$5)*K65 + L65</f>
        <v>7.6350282691210053E-4</v>
      </c>
    </row>
    <row r="66" spans="1:26" ht="14">
      <c r="A66" s="55">
        <f>P10</f>
        <v>161</v>
      </c>
      <c r="B66" s="55" t="s">
        <v>134</v>
      </c>
      <c r="C66" s="79">
        <v>501</v>
      </c>
      <c r="D66" s="56" t="s">
        <v>35</v>
      </c>
      <c r="E66" s="80">
        <v>26</v>
      </c>
      <c r="F66" s="80">
        <v>24</v>
      </c>
      <c r="G66" s="57">
        <v>0</v>
      </c>
      <c r="H66" s="58"/>
      <c r="I66" s="62" t="s">
        <v>68</v>
      </c>
      <c r="J66" s="62" t="s">
        <v>68</v>
      </c>
      <c r="K66" s="60">
        <f>I67</f>
        <v>8.1826858592845024E-6</v>
      </c>
      <c r="L66" s="60">
        <f>I69</f>
        <v>-2.2788010149915085E-4</v>
      </c>
      <c r="M66" s="60">
        <f>(C66-$O$2)*K66+L66</f>
        <v>3.8716455140023849E-3</v>
      </c>
    </row>
    <row r="67" spans="1:26" ht="14">
      <c r="A67" s="55">
        <f t="shared" ref="A67:A73" si="11">A66</f>
        <v>161</v>
      </c>
      <c r="B67" s="55" t="s">
        <v>135</v>
      </c>
      <c r="C67" s="79">
        <v>487</v>
      </c>
      <c r="D67" s="56" t="s">
        <v>35</v>
      </c>
      <c r="E67" s="80">
        <v>85</v>
      </c>
      <c r="F67" s="80">
        <v>277</v>
      </c>
      <c r="G67" s="57">
        <v>5.0000000000000001E-4</v>
      </c>
      <c r="H67" s="58"/>
      <c r="I67" s="58">
        <f>SLOPE(G66:G72, E66:E72)</f>
        <v>8.1826858592845024E-6</v>
      </c>
      <c r="J67" s="58">
        <f>SLOPE(G66:G72, F66:F72)</f>
        <v>1.8890470519969622E-6</v>
      </c>
      <c r="K67" s="60">
        <f>I67</f>
        <v>8.1826858592845024E-6</v>
      </c>
      <c r="L67" s="60">
        <f>I69</f>
        <v>-2.2788010149915085E-4</v>
      </c>
      <c r="M67" s="60">
        <f>(C67-$O$2)*K67+L67</f>
        <v>3.7570879119724022E-3</v>
      </c>
    </row>
    <row r="68" spans="1:26" ht="14">
      <c r="A68" s="55">
        <f t="shared" si="11"/>
        <v>161</v>
      </c>
      <c r="B68" s="55" t="s">
        <v>136</v>
      </c>
      <c r="C68" s="79">
        <v>249</v>
      </c>
      <c r="D68" s="56" t="s">
        <v>36</v>
      </c>
      <c r="E68" s="80">
        <v>150</v>
      </c>
      <c r="F68" s="80">
        <v>594</v>
      </c>
      <c r="G68" s="57">
        <v>1E-3</v>
      </c>
      <c r="H68" s="58"/>
      <c r="I68" s="62" t="s">
        <v>71</v>
      </c>
      <c r="J68" s="62" t="s">
        <v>71</v>
      </c>
      <c r="K68" s="60">
        <f>I67</f>
        <v>8.1826858592845024E-6</v>
      </c>
      <c r="L68" s="60">
        <f>I69</f>
        <v>-2.2788010149915085E-4</v>
      </c>
      <c r="M68" s="60">
        <f>(C68-$O$3)*K68 + L68</f>
        <v>1.8096086774626904E-3</v>
      </c>
    </row>
    <row r="69" spans="1:26" ht="14">
      <c r="A69" s="55">
        <f t="shared" si="11"/>
        <v>161</v>
      </c>
      <c r="B69" s="55" t="s">
        <v>137</v>
      </c>
      <c r="C69" s="79">
        <v>225</v>
      </c>
      <c r="D69" s="56" t="s">
        <v>36</v>
      </c>
      <c r="E69" s="80">
        <v>280</v>
      </c>
      <c r="F69" s="80">
        <v>1130</v>
      </c>
      <c r="G69" s="57">
        <v>2E-3</v>
      </c>
      <c r="H69" s="58"/>
      <c r="I69" s="58">
        <f>INTERCEPT(G66:G72, E66:E72)</f>
        <v>-2.2788010149915085E-4</v>
      </c>
      <c r="J69" s="58">
        <f>INTERCEPT(G66:G72, F66:F72)</f>
        <v>2.7700554229372759E-5</v>
      </c>
      <c r="K69" s="60">
        <f>I67</f>
        <v>8.1826858592845024E-6</v>
      </c>
      <c r="L69" s="60">
        <f>I69</f>
        <v>-2.2788010149915085E-4</v>
      </c>
      <c r="M69" s="60">
        <f>(C69-$O$3)*K69+ L69</f>
        <v>1.6132242168398622E-3</v>
      </c>
    </row>
    <row r="70" spans="1:26" ht="14">
      <c r="A70" s="55">
        <f t="shared" si="11"/>
        <v>161</v>
      </c>
      <c r="B70" s="55" t="s">
        <v>138</v>
      </c>
      <c r="C70" s="79">
        <v>1572</v>
      </c>
      <c r="D70" s="56" t="s">
        <v>37</v>
      </c>
      <c r="E70" s="80">
        <v>642</v>
      </c>
      <c r="F70" s="80">
        <v>2639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1.8890470519969622E-6</v>
      </c>
      <c r="L70" s="60">
        <f>J69</f>
        <v>2.7700554229372759E-5</v>
      </c>
      <c r="M70" s="60">
        <f>(C70-$O$4)*K70 + L70</f>
        <v>2.3358799208881608E-3</v>
      </c>
    </row>
    <row r="71" spans="1:26" ht="14">
      <c r="A71" s="55">
        <f t="shared" si="11"/>
        <v>161</v>
      </c>
      <c r="B71" s="55" t="s">
        <v>139</v>
      </c>
      <c r="C71" s="79">
        <v>1699</v>
      </c>
      <c r="D71" s="56" t="s">
        <v>37</v>
      </c>
      <c r="E71" s="80">
        <v>1243</v>
      </c>
      <c r="F71" s="80">
        <v>4873</v>
      </c>
      <c r="G71" s="57">
        <v>0.01</v>
      </c>
      <c r="H71" s="58"/>
      <c r="I71" s="61">
        <f>RSQ(G66:G72, E66:E72)</f>
        <v>0.99997045638304882</v>
      </c>
      <c r="J71" s="61">
        <f>RSQ(G66:G72, F66:F72)</f>
        <v>0.99765705194923382</v>
      </c>
      <c r="K71" s="60">
        <f>J67</f>
        <v>1.8890470519969622E-6</v>
      </c>
      <c r="L71" s="60">
        <f>J69</f>
        <v>2.7700554229372759E-5</v>
      </c>
      <c r="M71" s="60">
        <f>(C71-$O$4)*K71 + L71</f>
        <v>2.5757888964917752E-3</v>
      </c>
    </row>
    <row r="72" spans="1:26" ht="14">
      <c r="A72" s="55">
        <f t="shared" si="11"/>
        <v>161</v>
      </c>
      <c r="B72" s="55" t="s">
        <v>140</v>
      </c>
      <c r="C72" s="79">
        <v>176</v>
      </c>
      <c r="D72" s="56" t="s">
        <v>38</v>
      </c>
      <c r="E72" s="80">
        <v>2474</v>
      </c>
      <c r="F72" s="80">
        <v>10741</v>
      </c>
      <c r="G72" s="57">
        <v>0.02</v>
      </c>
      <c r="H72" s="58"/>
      <c r="I72" s="58"/>
      <c r="J72" s="58"/>
      <c r="K72" s="60">
        <f>I67</f>
        <v>8.1826858592845024E-6</v>
      </c>
      <c r="L72" s="60">
        <f>I69</f>
        <v>-2.2788010149915085E-4</v>
      </c>
      <c r="M72" s="60">
        <f>(C72-$O$5)*K72 + L72</f>
        <v>1.2122726097349215E-3</v>
      </c>
    </row>
    <row r="73" spans="1:26" ht="14">
      <c r="A73" s="55">
        <f t="shared" si="11"/>
        <v>161</v>
      </c>
      <c r="B73" s="55" t="s">
        <v>141</v>
      </c>
      <c r="C73" s="79">
        <v>143</v>
      </c>
      <c r="D73" s="56" t="s">
        <v>38</v>
      </c>
      <c r="E73" s="80">
        <v>16</v>
      </c>
      <c r="F73" s="80">
        <v>17</v>
      </c>
      <c r="G73" s="56"/>
      <c r="H73" s="58"/>
      <c r="I73" s="58"/>
      <c r="J73" s="58"/>
      <c r="K73" s="60">
        <f>I67</f>
        <v>8.1826858592845024E-6</v>
      </c>
      <c r="L73" s="60">
        <f>I69</f>
        <v>-2.2788010149915085E-4</v>
      </c>
      <c r="M73" s="60">
        <f>(C73-$O$5)*K73 + L73</f>
        <v>9.4224397637853309E-4</v>
      </c>
    </row>
    <row r="74" spans="1:26" ht="14">
      <c r="A74" s="55">
        <f>P11</f>
        <v>162</v>
      </c>
      <c r="B74" s="55" t="s">
        <v>142</v>
      </c>
      <c r="C74" s="79">
        <v>483</v>
      </c>
      <c r="D74" s="56" t="s">
        <v>35</v>
      </c>
      <c r="E74" s="80">
        <v>26</v>
      </c>
      <c r="F74" s="80">
        <v>22</v>
      </c>
      <c r="G74" s="57">
        <v>0</v>
      </c>
      <c r="H74" s="58"/>
      <c r="I74" s="62" t="s">
        <v>68</v>
      </c>
      <c r="J74" s="62" t="s">
        <v>68</v>
      </c>
      <c r="K74" s="60">
        <f>I75</f>
        <v>8.8975650971351247E-6</v>
      </c>
      <c r="L74" s="60">
        <f>I77</f>
        <v>-2.0588138871993882E-4</v>
      </c>
      <c r="M74" s="60">
        <f>(C74-$O$2)*K74+L74</f>
        <v>4.0916425531963268E-3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162</v>
      </c>
      <c r="B75" s="55" t="s">
        <v>143</v>
      </c>
      <c r="C75" s="79">
        <v>475</v>
      </c>
      <c r="D75" s="56" t="s">
        <v>35</v>
      </c>
      <c r="E75" s="80">
        <v>78</v>
      </c>
      <c r="F75" s="80">
        <v>260</v>
      </c>
      <c r="G75" s="57">
        <v>5.0000000000000001E-4</v>
      </c>
      <c r="H75" s="58"/>
      <c r="I75" s="58">
        <f>SLOPE(G74:G80, E74:E80)</f>
        <v>8.8975650971351247E-6</v>
      </c>
      <c r="J75" s="58">
        <f>SLOPE(G74:G80, F74:F80)</f>
        <v>1.8692563237032966E-6</v>
      </c>
      <c r="K75" s="60">
        <f>I75</f>
        <v>8.8975650971351247E-6</v>
      </c>
      <c r="L75" s="60">
        <f>I77</f>
        <v>-2.0588138871993882E-4</v>
      </c>
      <c r="M75" s="60">
        <f>(C75-$O$2)*K75+L75</f>
        <v>4.0204620324192451E-3</v>
      </c>
    </row>
    <row r="76" spans="1:26" ht="14">
      <c r="A76" s="55">
        <f t="shared" si="12"/>
        <v>162</v>
      </c>
      <c r="B76" s="55" t="s">
        <v>144</v>
      </c>
      <c r="C76" s="79">
        <v>244</v>
      </c>
      <c r="D76" s="56" t="s">
        <v>36</v>
      </c>
      <c r="E76" s="80">
        <v>138</v>
      </c>
      <c r="F76" s="80">
        <v>1030</v>
      </c>
      <c r="G76" s="57">
        <v>1E-3</v>
      </c>
      <c r="H76" s="58"/>
      <c r="I76" s="62" t="s">
        <v>71</v>
      </c>
      <c r="J76" s="62" t="s">
        <v>71</v>
      </c>
      <c r="K76" s="60">
        <f>I75</f>
        <v>8.8975650971351247E-6</v>
      </c>
      <c r="L76" s="60">
        <f>I77</f>
        <v>-2.0588138871993882E-4</v>
      </c>
      <c r="M76" s="60">
        <f>(C76-$O$3)*K76 + L76</f>
        <v>1.9651244949810318E-3</v>
      </c>
    </row>
    <row r="77" spans="1:26" ht="14">
      <c r="A77" s="55">
        <f t="shared" si="12"/>
        <v>162</v>
      </c>
      <c r="B77" s="55" t="s">
        <v>145</v>
      </c>
      <c r="C77" s="79">
        <v>264</v>
      </c>
      <c r="D77" s="56" t="s">
        <v>36</v>
      </c>
      <c r="E77" s="80">
        <v>257</v>
      </c>
      <c r="F77" s="80">
        <v>1007</v>
      </c>
      <c r="G77" s="57">
        <v>2E-3</v>
      </c>
      <c r="H77" s="58"/>
      <c r="I77" s="58">
        <f>INTERCEPT(G74:G80, E74:E80)</f>
        <v>-2.0588138871993882E-4</v>
      </c>
      <c r="J77" s="58">
        <f>INTERCEPT(G74:G80, F74:F80)</f>
        <v>2.254489831399805E-5</v>
      </c>
      <c r="K77" s="60">
        <f>I75</f>
        <v>8.8975650971351247E-6</v>
      </c>
      <c r="L77" s="60">
        <f>I77</f>
        <v>-2.0588138871993882E-4</v>
      </c>
      <c r="M77" s="60">
        <f>(C77-$O$3)*K77+ L77</f>
        <v>2.143075796923734E-3</v>
      </c>
    </row>
    <row r="78" spans="1:26" ht="14">
      <c r="A78" s="55">
        <f t="shared" si="12"/>
        <v>162</v>
      </c>
      <c r="B78" s="55" t="s">
        <v>146</v>
      </c>
      <c r="C78" s="79">
        <v>1597</v>
      </c>
      <c r="D78" s="56" t="s">
        <v>37</v>
      </c>
      <c r="E78" s="80">
        <v>589</v>
      </c>
      <c r="F78" s="80">
        <v>2432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1.8692563237032966E-6</v>
      </c>
      <c r="L78" s="60">
        <f>J77</f>
        <v>2.254489831399805E-5</v>
      </c>
      <c r="M78" s="60">
        <f>(C78-$O$4)*K78 + L78</f>
        <v>2.353273876931546E-3</v>
      </c>
    </row>
    <row r="79" spans="1:26" ht="14">
      <c r="A79" s="55">
        <f t="shared" si="12"/>
        <v>162</v>
      </c>
      <c r="B79" s="55" t="s">
        <v>147</v>
      </c>
      <c r="C79" s="79">
        <v>1532</v>
      </c>
      <c r="D79" s="56" t="s">
        <v>37</v>
      </c>
      <c r="E79" s="80">
        <v>1118</v>
      </c>
      <c r="F79" s="80">
        <v>4848</v>
      </c>
      <c r="G79" s="57">
        <v>0.01</v>
      </c>
      <c r="H79" s="58"/>
      <c r="I79" s="61">
        <f>RSQ(G74:G80, E74:E80)</f>
        <v>0.99972594457967423</v>
      </c>
      <c r="J79" s="61">
        <f>RSQ(G74:G80, F74:F80)</f>
        <v>0.99336447986616183</v>
      </c>
      <c r="K79" s="60">
        <f>J75</f>
        <v>1.8692563237032966E-6</v>
      </c>
      <c r="L79" s="60">
        <f>J77</f>
        <v>2.254489831399805E-5</v>
      </c>
      <c r="M79" s="60">
        <f>(C79-$O$4)*K79 + L79</f>
        <v>2.2317722158908316E-3</v>
      </c>
    </row>
    <row r="80" spans="1:26" ht="14">
      <c r="A80" s="55">
        <f t="shared" si="12"/>
        <v>162</v>
      </c>
      <c r="B80" s="55" t="s">
        <v>148</v>
      </c>
      <c r="C80" s="79">
        <v>135</v>
      </c>
      <c r="D80" s="56" t="s">
        <v>38</v>
      </c>
      <c r="E80" s="80">
        <v>2283</v>
      </c>
      <c r="F80" s="80">
        <v>10913</v>
      </c>
      <c r="G80" s="57">
        <v>0.02</v>
      </c>
      <c r="H80" s="58"/>
      <c r="I80" s="58"/>
      <c r="J80" s="58"/>
      <c r="K80" s="60">
        <f>I75</f>
        <v>8.8975650971351247E-6</v>
      </c>
      <c r="L80" s="60">
        <f>I77</f>
        <v>-2.0588138871993882E-4</v>
      </c>
      <c r="M80" s="60">
        <f>(C80-$O$5)*K80 + L80</f>
        <v>9.95289899393303E-4</v>
      </c>
    </row>
    <row r="81" spans="1:13" ht="14">
      <c r="A81" s="55">
        <f t="shared" si="12"/>
        <v>162</v>
      </c>
      <c r="B81" s="55" t="s">
        <v>149</v>
      </c>
      <c r="C81" s="79">
        <v>140</v>
      </c>
      <c r="D81" s="56" t="s">
        <v>38</v>
      </c>
      <c r="E81" s="80">
        <v>17</v>
      </c>
      <c r="F81" s="80">
        <v>17</v>
      </c>
      <c r="G81" s="56"/>
      <c r="H81" s="58"/>
      <c r="I81" s="58"/>
      <c r="J81" s="58"/>
      <c r="K81" s="60">
        <f>I75</f>
        <v>8.8975650971351247E-6</v>
      </c>
      <c r="L81" s="60">
        <f>I77</f>
        <v>-2.0588138871993882E-4</v>
      </c>
      <c r="M81" s="60">
        <f>(C81-$O$5)*K81 + L81</f>
        <v>1.0397777248789786E-3</v>
      </c>
    </row>
    <row r="82" spans="1:13" ht="14">
      <c r="A82" s="55">
        <f>P12</f>
        <v>163</v>
      </c>
      <c r="B82" s="55" t="s">
        <v>150</v>
      </c>
      <c r="C82" s="79">
        <v>554</v>
      </c>
      <c r="D82" s="56" t="s">
        <v>35</v>
      </c>
      <c r="E82" s="80">
        <v>26</v>
      </c>
      <c r="F82" s="80">
        <v>23</v>
      </c>
      <c r="G82" s="57">
        <v>0</v>
      </c>
      <c r="H82" s="58"/>
      <c r="I82" s="62" t="s">
        <v>68</v>
      </c>
      <c r="J82" s="62" t="s">
        <v>68</v>
      </c>
      <c r="K82" s="60">
        <f>I83</f>
        <v>8.6834086548734816E-6</v>
      </c>
      <c r="L82" s="60">
        <f>I85</f>
        <v>-2.360116600192818E-4</v>
      </c>
      <c r="M82" s="60">
        <f>(C82-$O$2)*K82+L82</f>
        <v>4.5745967347806272E-3</v>
      </c>
    </row>
    <row r="83" spans="1:13" ht="14">
      <c r="A83" s="55">
        <f t="shared" ref="A83:A89" si="13">A82</f>
        <v>163</v>
      </c>
      <c r="B83" s="55" t="s">
        <v>151</v>
      </c>
      <c r="C83" s="79">
        <v>484</v>
      </c>
      <c r="D83" s="56" t="s">
        <v>35</v>
      </c>
      <c r="E83" s="80">
        <v>83</v>
      </c>
      <c r="F83" s="80">
        <v>269</v>
      </c>
      <c r="G83" s="57">
        <v>5.0000000000000001E-4</v>
      </c>
      <c r="H83" s="58"/>
      <c r="I83" s="58">
        <f>SLOPE(G82:G88, E82:E88)</f>
        <v>8.6834086548734816E-6</v>
      </c>
      <c r="J83" s="58">
        <f>SLOPE(G82:G88, F82:F88)</f>
        <v>1.8923658046181305E-6</v>
      </c>
      <c r="K83" s="60">
        <f>I83</f>
        <v>8.6834086548734816E-6</v>
      </c>
      <c r="L83" s="60">
        <f>I85</f>
        <v>-2.360116600192818E-4</v>
      </c>
      <c r="M83" s="60">
        <f>(C83-$O$2)*K83+L83</f>
        <v>3.9667581289394831E-3</v>
      </c>
    </row>
    <row r="84" spans="1:13" ht="14">
      <c r="A84" s="55">
        <f t="shared" si="13"/>
        <v>163</v>
      </c>
      <c r="B84" s="55" t="s">
        <v>152</v>
      </c>
      <c r="C84" s="79">
        <v>274</v>
      </c>
      <c r="D84" s="56" t="s">
        <v>36</v>
      </c>
      <c r="E84" s="80">
        <v>142</v>
      </c>
      <c r="F84" s="80">
        <v>548</v>
      </c>
      <c r="G84" s="57">
        <v>1E-3</v>
      </c>
      <c r="H84" s="58"/>
      <c r="I84" s="62" t="s">
        <v>71</v>
      </c>
      <c r="J84" s="62" t="s">
        <v>71</v>
      </c>
      <c r="K84" s="60">
        <f>I83</f>
        <v>8.6834086548734816E-6</v>
      </c>
      <c r="L84" s="60">
        <f>I85</f>
        <v>-2.360116600192818E-4</v>
      </c>
      <c r="M84" s="60">
        <f>(C84-$O$3)*K84 + L84</f>
        <v>2.1432423114160523E-3</v>
      </c>
    </row>
    <row r="85" spans="1:13" ht="14">
      <c r="A85" s="55">
        <f t="shared" si="13"/>
        <v>163</v>
      </c>
      <c r="B85" s="55" t="s">
        <v>153</v>
      </c>
      <c r="C85" s="79">
        <v>250</v>
      </c>
      <c r="D85" s="56" t="s">
        <v>36</v>
      </c>
      <c r="E85" s="80">
        <v>263</v>
      </c>
      <c r="F85" s="80">
        <v>1112</v>
      </c>
      <c r="G85" s="57">
        <v>2E-3</v>
      </c>
      <c r="H85" s="58"/>
      <c r="I85" s="58">
        <f>INTERCEPT(G82:G88, E82:E88)</f>
        <v>-2.360116600192818E-4</v>
      </c>
      <c r="J85" s="58">
        <f>INTERCEPT(G82:G88, F82:F88)</f>
        <v>-8.7074869148985774E-5</v>
      </c>
      <c r="K85" s="60">
        <f>I83</f>
        <v>8.6834086548734816E-6</v>
      </c>
      <c r="L85" s="60">
        <f>I85</f>
        <v>-2.360116600192818E-4</v>
      </c>
      <c r="M85" s="60">
        <f>(C85-$O$3)*K85+ L85</f>
        <v>1.9348405036990887E-3</v>
      </c>
    </row>
    <row r="86" spans="1:13" ht="14">
      <c r="A86" s="55">
        <f t="shared" si="13"/>
        <v>163</v>
      </c>
      <c r="B86" s="55" t="s">
        <v>154</v>
      </c>
      <c r="C86" s="79">
        <v>1657</v>
      </c>
      <c r="D86" s="56" t="s">
        <v>37</v>
      </c>
      <c r="E86" s="80">
        <v>608</v>
      </c>
      <c r="F86" s="80">
        <v>2777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1.8923658046181305E-6</v>
      </c>
      <c r="L86" s="60">
        <f>J85</f>
        <v>-8.7074869148985774E-5</v>
      </c>
      <c r="M86" s="60">
        <f>(C86-$O$4)*K86 + L86</f>
        <v>2.3860106917613336E-3</v>
      </c>
    </row>
    <row r="87" spans="1:13" ht="14">
      <c r="A87" s="55">
        <f t="shared" si="13"/>
        <v>163</v>
      </c>
      <c r="B87" s="55" t="s">
        <v>155</v>
      </c>
      <c r="C87" s="79">
        <v>1697</v>
      </c>
      <c r="D87" s="56" t="s">
        <v>37</v>
      </c>
      <c r="E87" s="80">
        <v>1168</v>
      </c>
      <c r="F87" s="80">
        <v>5360</v>
      </c>
      <c r="G87" s="57">
        <v>0.01</v>
      </c>
      <c r="H87" s="58"/>
      <c r="I87" s="61">
        <f>RSQ(G82:G88, E82:E88)</f>
        <v>0.99995516778374283</v>
      </c>
      <c r="J87" s="61">
        <f>RSQ(G82:G88, F82:F88)</f>
        <v>0.99985241663595881</v>
      </c>
      <c r="K87" s="60">
        <f>J83</f>
        <v>1.8923658046181305E-6</v>
      </c>
      <c r="L87" s="60">
        <f>J85</f>
        <v>-8.7074869148985774E-5</v>
      </c>
      <c r="M87" s="60">
        <f>(C87-$O$4)*K87 + L87</f>
        <v>2.4617053239460586E-3</v>
      </c>
    </row>
    <row r="88" spans="1:13" ht="14">
      <c r="A88" s="55">
        <f t="shared" si="13"/>
        <v>163</v>
      </c>
      <c r="B88" s="55" t="s">
        <v>156</v>
      </c>
      <c r="C88" s="79">
        <v>141</v>
      </c>
      <c r="D88" s="56" t="s">
        <v>38</v>
      </c>
      <c r="E88" s="80">
        <v>2334</v>
      </c>
      <c r="F88" s="80">
        <v>10578</v>
      </c>
      <c r="G88" s="57">
        <v>0.02</v>
      </c>
      <c r="H88" s="58"/>
      <c r="I88" s="58"/>
      <c r="J88" s="58"/>
      <c r="K88" s="60">
        <f>I83</f>
        <v>8.6834086548734816E-6</v>
      </c>
      <c r="L88" s="60">
        <f>I85</f>
        <v>-2.360116600192818E-4</v>
      </c>
      <c r="M88" s="60">
        <f>(C88-$O$5)*K88 + L88</f>
        <v>9.8834896031787904E-4</v>
      </c>
    </row>
    <row r="89" spans="1:13" ht="14">
      <c r="A89" s="55">
        <f t="shared" si="13"/>
        <v>163</v>
      </c>
      <c r="B89" s="55" t="s">
        <v>157</v>
      </c>
      <c r="C89" s="79">
        <v>140</v>
      </c>
      <c r="D89" s="56" t="s">
        <v>38</v>
      </c>
      <c r="E89" s="80">
        <v>16</v>
      </c>
      <c r="F89" s="80">
        <v>17</v>
      </c>
      <c r="G89" s="56"/>
      <c r="H89" s="58"/>
      <c r="I89" s="58"/>
      <c r="J89" s="58"/>
      <c r="K89" s="60">
        <f>I83</f>
        <v>8.6834086548734816E-6</v>
      </c>
      <c r="L89" s="60">
        <f>I85</f>
        <v>-2.360116600192818E-4</v>
      </c>
      <c r="M89" s="60">
        <f>(C89-$O$5)*K89 + L89</f>
        <v>9.7966555166300565E-4</v>
      </c>
    </row>
    <row r="90" spans="1:13" ht="14">
      <c r="A90" s="55">
        <f>P13</f>
        <v>164</v>
      </c>
      <c r="B90" s="55" t="s">
        <v>158</v>
      </c>
      <c r="C90" s="79">
        <v>545</v>
      </c>
      <c r="D90" s="56" t="s">
        <v>35</v>
      </c>
      <c r="E90" s="80">
        <v>31</v>
      </c>
      <c r="F90" s="80">
        <v>30</v>
      </c>
      <c r="G90" s="57">
        <v>0</v>
      </c>
      <c r="H90" s="58"/>
      <c r="I90" s="62" t="s">
        <v>68</v>
      </c>
      <c r="J90" s="62" t="s">
        <v>68</v>
      </c>
      <c r="K90" s="60">
        <f>I91</f>
        <v>9.0311114623140901E-6</v>
      </c>
      <c r="L90" s="60">
        <f>I93</f>
        <v>-2.8507197100233889E-4</v>
      </c>
      <c r="M90" s="60">
        <f>(C90-$O$2)*K90+L90</f>
        <v>4.6368837759588402E-3</v>
      </c>
    </row>
    <row r="91" spans="1:13" ht="14">
      <c r="A91" s="55">
        <f t="shared" ref="A91:A97" si="14">A90</f>
        <v>164</v>
      </c>
      <c r="B91" s="55" t="s">
        <v>159</v>
      </c>
      <c r="C91" s="79">
        <v>563</v>
      </c>
      <c r="D91" s="56" t="s">
        <v>35</v>
      </c>
      <c r="E91" s="80">
        <v>82</v>
      </c>
      <c r="F91" s="80">
        <v>288</v>
      </c>
      <c r="G91" s="57">
        <v>5.0000000000000001E-4</v>
      </c>
      <c r="H91" s="58"/>
      <c r="I91" s="58">
        <f>SLOPE(G90:G96, E90:E96)</f>
        <v>9.0311114623140901E-6</v>
      </c>
      <c r="J91" s="58">
        <f>SLOPE(G90:G96, F90:F96)</f>
        <v>2.0023805124856388E-6</v>
      </c>
      <c r="K91" s="60">
        <f>I91</f>
        <v>9.0311114623140901E-6</v>
      </c>
      <c r="L91" s="60">
        <f>I93</f>
        <v>-2.8507197100233889E-4</v>
      </c>
      <c r="M91" s="60">
        <f>(C91-$O$2)*K91+L91</f>
        <v>4.7994437822804934E-3</v>
      </c>
    </row>
    <row r="92" spans="1:13" ht="14">
      <c r="A92" s="55">
        <f t="shared" si="14"/>
        <v>164</v>
      </c>
      <c r="B92" s="55" t="s">
        <v>160</v>
      </c>
      <c r="C92" s="79">
        <v>259</v>
      </c>
      <c r="D92" s="56" t="s">
        <v>36</v>
      </c>
      <c r="E92" s="80">
        <v>139</v>
      </c>
      <c r="F92" s="80">
        <v>559</v>
      </c>
      <c r="G92" s="57">
        <v>1E-3</v>
      </c>
      <c r="H92" s="58"/>
      <c r="I92" s="62" t="s">
        <v>71</v>
      </c>
      <c r="J92" s="62" t="s">
        <v>71</v>
      </c>
      <c r="K92" s="60">
        <f>I91</f>
        <v>9.0311114623140901E-6</v>
      </c>
      <c r="L92" s="60">
        <f>I93</f>
        <v>-2.8507197100233889E-4</v>
      </c>
      <c r="M92" s="60">
        <f>(C92-$O$3)*K92 + L92</f>
        <v>2.0539858977370105E-3</v>
      </c>
    </row>
    <row r="93" spans="1:13" ht="14">
      <c r="A93" s="55">
        <f t="shared" si="14"/>
        <v>164</v>
      </c>
      <c r="B93" s="55" t="s">
        <v>161</v>
      </c>
      <c r="C93" s="79">
        <v>224</v>
      </c>
      <c r="D93" s="56" t="s">
        <v>36</v>
      </c>
      <c r="E93" s="80">
        <v>259</v>
      </c>
      <c r="F93" s="80">
        <v>1101</v>
      </c>
      <c r="G93" s="57">
        <v>2E-3</v>
      </c>
      <c r="H93" s="58"/>
      <c r="I93" s="58">
        <f>INTERCEPT(G90:G96, E90:E96)</f>
        <v>-2.8507197100233889E-4</v>
      </c>
      <c r="J93" s="58">
        <f>INTERCEPT(G90:G96, F90:F96)</f>
        <v>-8.4353194963518972E-5</v>
      </c>
      <c r="K93" s="60">
        <f>I91</f>
        <v>9.0311114623140901E-6</v>
      </c>
      <c r="L93" s="60">
        <f>I93</f>
        <v>-2.8507197100233889E-4</v>
      </c>
      <c r="M93" s="60">
        <f>(C93-$O$3)*K93+ L93</f>
        <v>1.7378969965560175E-3</v>
      </c>
    </row>
    <row r="94" spans="1:13" ht="14">
      <c r="A94" s="55">
        <f t="shared" si="14"/>
        <v>164</v>
      </c>
      <c r="B94" s="55" t="s">
        <v>162</v>
      </c>
      <c r="C94" s="79">
        <v>1636</v>
      </c>
      <c r="D94" s="56" t="s">
        <v>37</v>
      </c>
      <c r="E94" s="80">
        <v>586</v>
      </c>
      <c r="F94" s="80">
        <v>2542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2.0023805124856388E-6</v>
      </c>
      <c r="L94" s="60">
        <f>J93</f>
        <v>-8.4353194963518972E-5</v>
      </c>
      <c r="M94" s="60">
        <f>(C94-$O$4)*K94 + L94</f>
        <v>2.4904578465289517E-3</v>
      </c>
    </row>
    <row r="95" spans="1:13" ht="14">
      <c r="A95" s="55">
        <f t="shared" si="14"/>
        <v>164</v>
      </c>
      <c r="B95" s="55" t="s">
        <v>163</v>
      </c>
      <c r="C95" s="79">
        <v>1705</v>
      </c>
      <c r="D95" s="56" t="s">
        <v>37</v>
      </c>
      <c r="E95" s="80">
        <v>1144</v>
      </c>
      <c r="F95" s="80">
        <v>4926</v>
      </c>
      <c r="G95" s="57">
        <v>0.01</v>
      </c>
      <c r="H95" s="58"/>
      <c r="I95" s="61">
        <f>RSQ(G90:G96, E90:E96)</f>
        <v>0.99997229773930496</v>
      </c>
      <c r="J95" s="61">
        <f>RSQ(G90:G96, F90:F96)</f>
        <v>0.99976941481166792</v>
      </c>
      <c r="K95" s="60">
        <f>J91</f>
        <v>2.0023805124856388E-6</v>
      </c>
      <c r="L95" s="60">
        <f>J93</f>
        <v>-8.4353194963518972E-5</v>
      </c>
      <c r="M95" s="60">
        <f>(C95-$O$4)*K95 + L95</f>
        <v>2.6286221018904611E-3</v>
      </c>
    </row>
    <row r="96" spans="1:13" ht="14">
      <c r="A96" s="55">
        <f t="shared" si="14"/>
        <v>164</v>
      </c>
      <c r="B96" s="55" t="s">
        <v>164</v>
      </c>
      <c r="C96" s="79">
        <v>146</v>
      </c>
      <c r="D96" s="56" t="s">
        <v>38</v>
      </c>
      <c r="E96" s="80">
        <v>2243</v>
      </c>
      <c r="F96" s="80">
        <v>10076</v>
      </c>
      <c r="G96" s="57">
        <v>0.02</v>
      </c>
      <c r="I96" s="58"/>
      <c r="J96" s="58"/>
      <c r="K96" s="60">
        <f>I91</f>
        <v>9.0311114623140901E-6</v>
      </c>
      <c r="L96" s="60">
        <f>I93</f>
        <v>-2.8507197100233889E-4</v>
      </c>
      <c r="M96" s="60">
        <f>(C96-$O$5)*K96 + L96</f>
        <v>1.0334703024955183E-3</v>
      </c>
    </row>
    <row r="97" spans="1:13" ht="14">
      <c r="A97" s="55">
        <f t="shared" si="14"/>
        <v>164</v>
      </c>
      <c r="B97" s="55" t="s">
        <v>165</v>
      </c>
      <c r="C97" s="79">
        <v>153</v>
      </c>
      <c r="D97" s="56" t="s">
        <v>38</v>
      </c>
      <c r="E97" s="80">
        <v>17</v>
      </c>
      <c r="F97" s="80">
        <v>15</v>
      </c>
      <c r="G97" s="56"/>
      <c r="I97" s="58"/>
      <c r="J97" s="58"/>
      <c r="K97" s="60">
        <f>I91</f>
        <v>9.0311114623140901E-6</v>
      </c>
      <c r="L97" s="60">
        <f>I93</f>
        <v>-2.8507197100233889E-4</v>
      </c>
      <c r="M97" s="60">
        <f>(C97-$O$5)*K97 + L97</f>
        <v>1.0966880827317168E-3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508.83333333333331</v>
      </c>
      <c r="D100" s="56" t="s">
        <v>35</v>
      </c>
      <c r="I100" s="58"/>
      <c r="J100" s="58"/>
    </row>
    <row r="101" spans="1:13" ht="14">
      <c r="C101" s="63">
        <f t="shared" si="15"/>
        <v>488.83333333333331</v>
      </c>
      <c r="D101" s="56" t="s">
        <v>35</v>
      </c>
      <c r="I101" s="58"/>
      <c r="J101" s="58"/>
    </row>
    <row r="102" spans="1:13" ht="14">
      <c r="C102" s="63">
        <f t="shared" si="15"/>
        <v>251</v>
      </c>
      <c r="D102" s="56" t="s">
        <v>36</v>
      </c>
      <c r="I102" s="58"/>
      <c r="J102" s="58"/>
    </row>
    <row r="103" spans="1:13" ht="14">
      <c r="C103" s="63">
        <f t="shared" si="15"/>
        <v>236.66666666666666</v>
      </c>
      <c r="D103" s="56" t="s">
        <v>36</v>
      </c>
      <c r="I103" s="58"/>
      <c r="J103" s="58"/>
    </row>
    <row r="104" spans="1:13" ht="14">
      <c r="C104" s="63">
        <f t="shared" si="15"/>
        <v>1325</v>
      </c>
      <c r="D104" s="56" t="s">
        <v>37</v>
      </c>
      <c r="I104" s="58"/>
      <c r="J104" s="58"/>
    </row>
    <row r="105" spans="1:13" ht="14">
      <c r="C105" s="63">
        <f t="shared" si="15"/>
        <v>1327.9166666666667</v>
      </c>
      <c r="D105" s="56" t="s">
        <v>37</v>
      </c>
      <c r="I105" s="58"/>
      <c r="J105" s="58"/>
    </row>
    <row r="106" spans="1:13" ht="14">
      <c r="C106" s="63">
        <f t="shared" si="15"/>
        <v>124.5</v>
      </c>
      <c r="D106" s="56" t="s">
        <v>38</v>
      </c>
      <c r="I106" s="58"/>
      <c r="J106" s="58"/>
    </row>
    <row r="107" spans="1:13" ht="14">
      <c r="C107" s="63">
        <f t="shared" si="15"/>
        <v>127.25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3" priority="4" operator="lessThan">
      <formula>0.98</formula>
    </cfRule>
  </conditionalFormatting>
  <conditionalFormatting sqref="W2:W13">
    <cfRule type="colorScale" priority="1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2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3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DFAE-BAD1-E541-B814-B019BA734DF4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P2" sqref="P2:Q13"/>
      <selection pane="topRight" activeCell="P2" sqref="P2:Q13"/>
      <selection pane="bottomLeft" activeCell="P2" sqref="P2:Q13"/>
      <selection pane="bottomRight" activeCell="V13" sqref="V13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4</v>
      </c>
      <c r="B2" s="55" t="s">
        <v>67</v>
      </c>
      <c r="C2" s="80">
        <v>799</v>
      </c>
      <c r="D2" s="56" t="s">
        <v>35</v>
      </c>
      <c r="E2" s="80">
        <v>27</v>
      </c>
      <c r="F2" s="80">
        <v>23</v>
      </c>
      <c r="G2" s="57">
        <v>0</v>
      </c>
      <c r="H2" s="58"/>
      <c r="I2" s="59" t="s">
        <v>68</v>
      </c>
      <c r="J2" s="59" t="s">
        <v>68</v>
      </c>
      <c r="K2" s="60">
        <f>I3</f>
        <v>4.4624747881632263E-6</v>
      </c>
      <c r="L2" s="60">
        <f>I5</f>
        <v>-1.4311811783155378E-4</v>
      </c>
      <c r="M2" s="60">
        <f>(C2-$O$2)*K2+L2</f>
        <v>3.4223992379108642E-3</v>
      </c>
      <c r="N2" s="47" t="str">
        <f>'enzyme setup and metadata'!F179</f>
        <v>BG</v>
      </c>
      <c r="O2" s="47">
        <f>'enzyme setup and metadata'!G193</f>
        <v>0</v>
      </c>
      <c r="P2" s="91">
        <f>'enzyme setup and metadata'!A134</f>
        <v>4</v>
      </c>
      <c r="Q2" s="66">
        <f>'enzyme setup and metadata'!I134</f>
        <v>2.141157811260904</v>
      </c>
      <c r="R2" s="14">
        <f>'enzyme setup and metadata'!R187</f>
        <v>3.1499999997904524</v>
      </c>
      <c r="S2" s="14">
        <f>(((M2+M3)/2)*91)/(R2*Q2*0.8)</f>
        <v>5.7644277120985327E-2</v>
      </c>
      <c r="T2" s="14">
        <f>(((M4+M5)/2)*91)/(R2*Q2*0.8)</f>
        <v>2.7126084627641493E-2</v>
      </c>
      <c r="U2" s="14">
        <f>(((M6+M7)/2)*91)/(R2*Q2*0.8)</f>
        <v>0.12891459576875069</v>
      </c>
      <c r="V2" s="14">
        <f>(((M8+M9)/2)*91)/(R2*Q2*0.8)</f>
        <v>1.564883590942957E-2</v>
      </c>
      <c r="W2" s="14">
        <f>S2*1000</f>
        <v>57.644277120985329</v>
      </c>
      <c r="X2" s="14">
        <f>T2*1000</f>
        <v>27.126084627641493</v>
      </c>
      <c r="Y2" s="14">
        <f>U2*1000</f>
        <v>128.9145957687507</v>
      </c>
      <c r="Z2" s="14">
        <f>V2*1000</f>
        <v>15.64883590942957</v>
      </c>
    </row>
    <row r="3" spans="1:26" ht="14">
      <c r="A3" s="55">
        <f t="shared" ref="A3:A9" si="0">A2</f>
        <v>4</v>
      </c>
      <c r="B3" s="55" t="s">
        <v>69</v>
      </c>
      <c r="C3" s="80">
        <v>797</v>
      </c>
      <c r="D3" s="56" t="s">
        <v>35</v>
      </c>
      <c r="E3" s="80">
        <v>143</v>
      </c>
      <c r="F3" s="80">
        <v>252</v>
      </c>
      <c r="G3" s="57">
        <v>5.0000000000000001E-4</v>
      </c>
      <c r="H3" s="58"/>
      <c r="I3" s="59">
        <f>SLOPE(G2:G8, E2:E8)</f>
        <v>4.4624747881632263E-6</v>
      </c>
      <c r="J3" s="59">
        <f>SLOPE(G2:G8, F2:F8)</f>
        <v>2.2788746095007227E-6</v>
      </c>
      <c r="K3" s="60">
        <f>I3</f>
        <v>4.4624747881632263E-6</v>
      </c>
      <c r="L3" s="60">
        <f>I5</f>
        <v>-1.4311811783155378E-4</v>
      </c>
      <c r="M3" s="60">
        <f>(C3-$O$2)*K3+L3</f>
        <v>3.4134742883345378E-3</v>
      </c>
      <c r="N3" s="47" t="str">
        <f>'enzyme setup and metadata'!F180</f>
        <v>CB</v>
      </c>
      <c r="O3" s="47">
        <f>'enzyme setup and metadata'!G194</f>
        <v>0</v>
      </c>
      <c r="P3" s="91">
        <f>'enzyme setup and metadata'!A135</f>
        <v>9</v>
      </c>
      <c r="Q3" s="66">
        <f>'enzyme setup and metadata'!I135</f>
        <v>2.1559923906150917</v>
      </c>
      <c r="R3" s="14">
        <f>R2</f>
        <v>3.1499999997904524</v>
      </c>
      <c r="S3" s="14">
        <f>(((M10+M11)/2)*91)/(R3*Q3*0.8)</f>
        <v>6.5000517928698542E-2</v>
      </c>
      <c r="T3" s="14">
        <f>(((M12+M13)/2)*91)/(R3*Q3*0.8)</f>
        <v>2.8039287387566836E-2</v>
      </c>
      <c r="U3" s="14">
        <f>(((M14+M15)/2)*91)/(R3*Q3*0.8)</f>
        <v>0.14246333754076107</v>
      </c>
      <c r="V3" s="14">
        <f>(((M16+M17)/2)*91)/(R3*Q3*0.8)</f>
        <v>1.4205226813600395E-2</v>
      </c>
      <c r="W3" s="14">
        <f>S3*1000</f>
        <v>65.000517928698542</v>
      </c>
      <c r="X3" s="14">
        <f t="shared" ref="X3:Z13" si="1">T3*1000</f>
        <v>28.039287387566837</v>
      </c>
      <c r="Y3" s="14">
        <f t="shared" si="1"/>
        <v>142.46333754076107</v>
      </c>
      <c r="Z3" s="14">
        <f t="shared" si="1"/>
        <v>14.205226813600396</v>
      </c>
    </row>
    <row r="4" spans="1:26" ht="14">
      <c r="A4" s="55">
        <f t="shared" si="0"/>
        <v>4</v>
      </c>
      <c r="B4" s="55" t="s">
        <v>70</v>
      </c>
      <c r="C4" s="80">
        <v>395</v>
      </c>
      <c r="D4" s="56" t="s">
        <v>36</v>
      </c>
      <c r="E4" s="80">
        <v>254</v>
      </c>
      <c r="F4" s="80">
        <v>490</v>
      </c>
      <c r="G4" s="57">
        <v>1E-3</v>
      </c>
      <c r="H4" s="58"/>
      <c r="I4" s="59" t="s">
        <v>71</v>
      </c>
      <c r="J4" s="59" t="s">
        <v>71</v>
      </c>
      <c r="K4" s="60">
        <f>I3</f>
        <v>4.4624747881632263E-6</v>
      </c>
      <c r="L4" s="60">
        <f>I5</f>
        <v>-1.4311811783155378E-4</v>
      </c>
      <c r="M4" s="60">
        <f>(C4-$O$3)*K4 + L4</f>
        <v>1.6195594234929207E-3</v>
      </c>
      <c r="N4" s="47" t="str">
        <f>'enzyme setup and metadata'!F181</f>
        <v>LAP</v>
      </c>
      <c r="O4" s="47">
        <f>'enzyme setup and metadata'!G195</f>
        <v>350.125</v>
      </c>
      <c r="P4" s="91">
        <f>'enzyme setup and metadata'!A136</f>
        <v>14</v>
      </c>
      <c r="Q4" s="66">
        <f>'enzyme setup and metadata'!I136</f>
        <v>2.2135829895271342</v>
      </c>
      <c r="R4" s="14">
        <f t="shared" ref="R4:R13" si="2">R3</f>
        <v>3.1499999997904524</v>
      </c>
      <c r="S4" s="14">
        <f>(((M18+M19)/2)*91)/(R4*Q4*0.8)</f>
        <v>6.3986623021720104E-2</v>
      </c>
      <c r="T4" s="14">
        <f>(((M20+M21)/2)*91)/(R4*Q4*0.8)</f>
        <v>2.7536271219889698E-2</v>
      </c>
      <c r="U4" s="14">
        <f>(((M22+M23)/2)*91)/(R4*Q4*0.8)</f>
        <v>0.13296851668298493</v>
      </c>
      <c r="V4" s="14">
        <f>(((M24+M25)/2)*91)/(R4*Q4*0.8)</f>
        <v>1.4556227909766127E-2</v>
      </c>
      <c r="W4" s="14">
        <f>S4*1000</f>
        <v>63.986623021720106</v>
      </c>
      <c r="X4" s="14">
        <f t="shared" si="1"/>
        <v>27.536271219889699</v>
      </c>
      <c r="Y4" s="14">
        <f t="shared" si="1"/>
        <v>132.96851668298493</v>
      </c>
      <c r="Z4" s="14">
        <f t="shared" si="1"/>
        <v>14.556227909766127</v>
      </c>
    </row>
    <row r="5" spans="1:26" ht="14">
      <c r="A5" s="55">
        <f t="shared" si="0"/>
        <v>4</v>
      </c>
      <c r="B5" s="55" t="s">
        <v>72</v>
      </c>
      <c r="C5" s="80">
        <v>390</v>
      </c>
      <c r="D5" s="56" t="s">
        <v>36</v>
      </c>
      <c r="E5" s="80">
        <v>483</v>
      </c>
      <c r="F5" s="80">
        <v>922</v>
      </c>
      <c r="G5" s="57">
        <v>2E-3</v>
      </c>
      <c r="H5" s="58"/>
      <c r="I5" s="59">
        <f>INTERCEPT(G2:G8, E2:E8)</f>
        <v>-1.4311811783155378E-4</v>
      </c>
      <c r="J5" s="59">
        <f>INTERCEPT(G2:G8, F2:F8)</f>
        <v>-1.2458808976342686E-4</v>
      </c>
      <c r="K5" s="60">
        <f>I3</f>
        <v>4.4624747881632263E-6</v>
      </c>
      <c r="L5" s="60">
        <f>I5</f>
        <v>-1.4311811783155378E-4</v>
      </c>
      <c r="M5" s="60">
        <f>(C5-$O$3)*K5+ L5</f>
        <v>1.5972470495521044E-3</v>
      </c>
      <c r="N5" s="47" t="str">
        <f>'enzyme setup and metadata'!F182</f>
        <v>XYL</v>
      </c>
      <c r="O5" s="47">
        <f>'enzyme setup and metadata'!G196</f>
        <v>0</v>
      </c>
      <c r="P5" s="91">
        <f>'enzyme setup and metadata'!A137</f>
        <v>19</v>
      </c>
      <c r="Q5" s="66">
        <f>'enzyme setup and metadata'!I137</f>
        <v>2.1463646443846032</v>
      </c>
      <c r="R5" s="14">
        <f t="shared" si="2"/>
        <v>3.1499999997904524</v>
      </c>
      <c r="S5" s="14">
        <f>(((M26+M27)/2)*91)/(R5*Q5*0.8)</f>
        <v>6.352419936876523E-2</v>
      </c>
      <c r="T5" s="14">
        <f>(((M28+M29)/2)*91)/(R5*Q5*0.8)</f>
        <v>2.5735104147175662E-2</v>
      </c>
      <c r="U5" s="14">
        <f>(((M30+M31)/2)*91)/(R5*Q5*0.8)</f>
        <v>0.13175164237570583</v>
      </c>
      <c r="V5" s="14">
        <f>(((M32+M33)/2)*91)/(R5*Q5*0.8)</f>
        <v>1.4530968897265774E-2</v>
      </c>
      <c r="W5" s="14">
        <f t="shared" ref="W5:W13" si="3">S5*1000</f>
        <v>63.524199368765231</v>
      </c>
      <c r="X5" s="14">
        <f t="shared" si="1"/>
        <v>25.735104147175662</v>
      </c>
      <c r="Y5" s="14">
        <f t="shared" si="1"/>
        <v>131.75164237570584</v>
      </c>
      <c r="Z5" s="14">
        <f t="shared" si="1"/>
        <v>14.530968897265774</v>
      </c>
    </row>
    <row r="6" spans="1:26" ht="14">
      <c r="A6" s="55">
        <f t="shared" si="0"/>
        <v>4</v>
      </c>
      <c r="B6" s="55" t="s">
        <v>73</v>
      </c>
      <c r="C6" s="80">
        <v>3756</v>
      </c>
      <c r="D6" s="56" t="s">
        <v>37</v>
      </c>
      <c r="E6" s="80">
        <v>1147</v>
      </c>
      <c r="F6" s="80">
        <v>2301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2.2788746095007227E-6</v>
      </c>
      <c r="L6" s="60">
        <f>J5</f>
        <v>-1.2458808976342686E-4</v>
      </c>
      <c r="M6" s="60">
        <f>(C6-$O$4)*K6 + L6</f>
        <v>7.6369739708698472E-3</v>
      </c>
      <c r="P6" s="91">
        <f>'enzyme setup and metadata'!A138</f>
        <v>24</v>
      </c>
      <c r="Q6" s="66">
        <f>'enzyme setup and metadata'!I138</f>
        <v>2.1556506577904582</v>
      </c>
      <c r="R6" s="14">
        <f t="shared" si="2"/>
        <v>3.1499999997904524</v>
      </c>
      <c r="S6" s="14">
        <f>(((M34+M35)/2)*91)/(R6*Q6*0.8)</f>
        <v>6.2655278716123378E-2</v>
      </c>
      <c r="T6" s="14">
        <f>(((M36+M37)/2)*91)/(R6*Q6*0.8)</f>
        <v>2.561478282464048E-2</v>
      </c>
      <c r="U6" s="14">
        <f>(((M38+M39)/2)*91)/(R6*Q6*0.8)</f>
        <v>0.12413171208219868</v>
      </c>
      <c r="V6" s="14">
        <f>(((M40+M41)/2)*91)/(R6*Q6*0.8)</f>
        <v>1.3380604437125144E-2</v>
      </c>
      <c r="W6" s="14">
        <f t="shared" si="3"/>
        <v>62.655278716123377</v>
      </c>
      <c r="X6" s="14">
        <f t="shared" si="1"/>
        <v>25.614782824640479</v>
      </c>
      <c r="Y6" s="14">
        <f t="shared" si="1"/>
        <v>124.13171208219869</v>
      </c>
      <c r="Z6" s="14">
        <f t="shared" si="1"/>
        <v>13.380604437125145</v>
      </c>
    </row>
    <row r="7" spans="1:26" ht="14">
      <c r="A7" s="55">
        <f t="shared" si="0"/>
        <v>4</v>
      </c>
      <c r="B7" s="55" t="s">
        <v>75</v>
      </c>
      <c r="C7" s="80">
        <v>3762</v>
      </c>
      <c r="D7" s="56" t="s">
        <v>37</v>
      </c>
      <c r="E7" s="80">
        <v>2293</v>
      </c>
      <c r="F7" s="80">
        <v>4498</v>
      </c>
      <c r="G7" s="57">
        <v>0.01</v>
      </c>
      <c r="H7" s="58"/>
      <c r="I7" s="61">
        <f>RSQ(G2:G8, E2:E8)</f>
        <v>0.99996564165966573</v>
      </c>
      <c r="J7" s="61">
        <f>RSQ(G2:G8, F2:F8)</f>
        <v>0.9998535517850714</v>
      </c>
      <c r="K7" s="60">
        <f>J3</f>
        <v>2.2788746095007227E-6</v>
      </c>
      <c r="L7" s="60">
        <f>J5</f>
        <v>-1.2458808976342686E-4</v>
      </c>
      <c r="M7" s="60">
        <f>(C7-$O$4)*K7 + L7</f>
        <v>7.6506472185268511E-3</v>
      </c>
      <c r="P7" s="91">
        <f>'enzyme setup and metadata'!A139</f>
        <v>29</v>
      </c>
      <c r="Q7" s="66">
        <f>'enzyme setup and metadata'!I139</f>
        <v>2.1501110758489368</v>
      </c>
      <c r="R7" s="14">
        <f t="shared" si="2"/>
        <v>3.1499999997904524</v>
      </c>
      <c r="S7" s="14">
        <f>(((M42+M43)/2)*91)/(R7*Q7*0.8)</f>
        <v>6.4737740089761492E-2</v>
      </c>
      <c r="T7" s="14">
        <f>(((M44+M45)/2)*91)/(R7*Q7*0.8)</f>
        <v>2.6240046010445106E-2</v>
      </c>
      <c r="U7" s="14">
        <f>(((M46+M47)/2)*91)/(R7*Q7*0.8)</f>
        <v>0.1224818966030356</v>
      </c>
      <c r="V7" s="14">
        <f>(((M48+M49)/2)*91)/(R7*Q7*0.8)</f>
        <v>1.3009660445542743E-2</v>
      </c>
      <c r="W7" s="14">
        <f t="shared" si="3"/>
        <v>64.737740089761488</v>
      </c>
      <c r="X7" s="14">
        <f t="shared" si="1"/>
        <v>26.240046010445106</v>
      </c>
      <c r="Y7" s="14">
        <f t="shared" si="1"/>
        <v>122.48189660303559</v>
      </c>
      <c r="Z7" s="14">
        <f t="shared" si="1"/>
        <v>13.009660445542742</v>
      </c>
    </row>
    <row r="8" spans="1:26" ht="14">
      <c r="A8" s="55">
        <f t="shared" si="0"/>
        <v>4</v>
      </c>
      <c r="B8" s="55" t="s">
        <v>76</v>
      </c>
      <c r="C8" s="80">
        <v>233</v>
      </c>
      <c r="D8" s="56" t="s">
        <v>38</v>
      </c>
      <c r="E8" s="80">
        <v>4505</v>
      </c>
      <c r="F8" s="80">
        <v>8791</v>
      </c>
      <c r="G8" s="57">
        <v>0.02</v>
      </c>
      <c r="H8" s="58"/>
      <c r="I8" s="58"/>
      <c r="J8" s="58"/>
      <c r="K8" s="60">
        <f>I3</f>
        <v>4.4624747881632263E-6</v>
      </c>
      <c r="L8" s="60">
        <f>I5</f>
        <v>-1.4311811783155378E-4</v>
      </c>
      <c r="M8" s="60">
        <f>(C8-$O$5)*K8 + L8</f>
        <v>8.9663850781047786E-4</v>
      </c>
      <c r="P8" s="91">
        <f>'enzyme setup and metadata'!A140</f>
        <v>34</v>
      </c>
      <c r="Q8" s="66">
        <f>'enzyme setup and metadata'!I140</f>
        <v>2.2204599524187154</v>
      </c>
      <c r="R8" s="14">
        <f t="shared" si="2"/>
        <v>3.1499999997904524</v>
      </c>
      <c r="S8" s="14">
        <f>(((M50+M51)/2)*91)/(R8*Q8*0.8)</f>
        <v>6.0825250189296076E-2</v>
      </c>
      <c r="T8" s="14">
        <f>(((M52+M53)/2)*91)/(R8*Q8*0.8)</f>
        <v>2.7174495946248583E-2</v>
      </c>
      <c r="U8" s="14">
        <f>(((M54+M55)/2)*91)/(R8*Q8*0.8)</f>
        <v>0.11876715176998046</v>
      </c>
      <c r="V8" s="14">
        <f>(((M56+M57)/2)*91)/(R8*Q8*0.8)</f>
        <v>1.4895621123834801E-2</v>
      </c>
      <c r="W8" s="14">
        <f t="shared" si="3"/>
        <v>60.825250189296078</v>
      </c>
      <c r="X8" s="14">
        <f t="shared" si="1"/>
        <v>27.174495946248584</v>
      </c>
      <c r="Y8" s="14">
        <f t="shared" si="1"/>
        <v>118.76715176998046</v>
      </c>
      <c r="Z8" s="14">
        <f t="shared" si="1"/>
        <v>14.8956211238348</v>
      </c>
    </row>
    <row r="9" spans="1:26" ht="14">
      <c r="A9" s="55">
        <f t="shared" si="0"/>
        <v>4</v>
      </c>
      <c r="B9" s="55" t="s">
        <v>77</v>
      </c>
      <c r="C9" s="80">
        <v>247</v>
      </c>
      <c r="D9" s="56" t="s">
        <v>38</v>
      </c>
      <c r="E9" s="80">
        <v>9</v>
      </c>
      <c r="F9" s="80">
        <v>16</v>
      </c>
      <c r="G9" s="56"/>
      <c r="H9" s="58"/>
      <c r="I9" s="58"/>
      <c r="J9" s="58"/>
      <c r="K9" s="60">
        <f>I3</f>
        <v>4.4624747881632263E-6</v>
      </c>
      <c r="L9" s="60">
        <f>I5</f>
        <v>-1.4311811783155378E-4</v>
      </c>
      <c r="M9" s="60">
        <f>(C9-$O$5)*K9 + L9</f>
        <v>9.5911315484476303E-4</v>
      </c>
      <c r="P9" s="91">
        <f>'enzyme setup and metadata'!A141</f>
        <v>39</v>
      </c>
      <c r="Q9" s="66">
        <f>'enzyme setup and metadata'!I141</f>
        <v>2.1683469355096814</v>
      </c>
      <c r="R9" s="14">
        <f t="shared" si="2"/>
        <v>3.1499999997904524</v>
      </c>
      <c r="S9" s="14">
        <f>(((M58+M59)/2)*91)/(R9*Q9*0.8)</f>
        <v>6.6439299895459658E-2</v>
      </c>
      <c r="T9" s="14">
        <f>(((M60+M61)/2)*91)/(R9*Q9*0.8)</f>
        <v>2.8369547320768476E-2</v>
      </c>
      <c r="U9" s="14">
        <f>(((M62+M63)/2)*91)/(R9*Q9*0.8)</f>
        <v>0.1108026843158065</v>
      </c>
      <c r="V9" s="14">
        <f>(((M64+M65)/2)*91)/(R9*Q9*0.8)</f>
        <v>1.453232218403141E-2</v>
      </c>
      <c r="W9" s="14">
        <f t="shared" si="3"/>
        <v>66.439299895459655</v>
      </c>
      <c r="X9" s="14">
        <f t="shared" si="1"/>
        <v>28.369547320768476</v>
      </c>
      <c r="Y9" s="14">
        <f t="shared" si="1"/>
        <v>110.8026843158065</v>
      </c>
      <c r="Z9" s="14">
        <f t="shared" si="1"/>
        <v>14.532322184031409</v>
      </c>
    </row>
    <row r="10" spans="1:26" ht="14">
      <c r="A10" s="55">
        <f>P3</f>
        <v>9</v>
      </c>
      <c r="B10" s="55" t="s">
        <v>78</v>
      </c>
      <c r="C10" s="80">
        <v>978</v>
      </c>
      <c r="D10" s="56" t="s">
        <v>35</v>
      </c>
      <c r="E10" s="80">
        <v>26</v>
      </c>
      <c r="F10" s="80">
        <v>26</v>
      </c>
      <c r="G10" s="57">
        <v>0</v>
      </c>
      <c r="H10" s="58"/>
      <c r="I10" s="59" t="s">
        <v>68</v>
      </c>
      <c r="J10" s="59" t="s">
        <v>68</v>
      </c>
      <c r="K10" s="60">
        <f>I11</f>
        <v>4.2033300284386285E-6</v>
      </c>
      <c r="L10" s="60">
        <f>I13</f>
        <v>-2.3634453738203068E-4</v>
      </c>
      <c r="M10" s="60">
        <f>(C10-$O$2)*K10+L10</f>
        <v>3.8745122304309479E-3</v>
      </c>
      <c r="P10" s="91">
        <f>'enzyme setup and metadata'!A142</f>
        <v>44</v>
      </c>
      <c r="Q10" s="66">
        <f>'enzyme setup and metadata'!I142</f>
        <v>2.1701112877583464</v>
      </c>
      <c r="R10" s="14">
        <f t="shared" si="2"/>
        <v>3.1499999997904524</v>
      </c>
      <c r="S10" s="14">
        <f>(((M66+M67)/2)*91)/(R10*Q10*0.8)</f>
        <v>6.1546717325478818E-2</v>
      </c>
      <c r="T10" s="14">
        <f>(((M68+M69)/2)*91)/(R10*Q10*0.8)</f>
        <v>2.5269521309868592E-2</v>
      </c>
      <c r="U10" s="14">
        <f>(((M70+M71)/2)*91)/(R10*Q10*0.8)</f>
        <v>0.12509984386954309</v>
      </c>
      <c r="V10" s="14">
        <f>(((M72+M73)/2)*91)/(R10*Q10*0.8)</f>
        <v>1.455617065674796E-2</v>
      </c>
      <c r="W10" s="14">
        <f t="shared" si="3"/>
        <v>61.546717325478816</v>
      </c>
      <c r="X10" s="14">
        <f t="shared" si="1"/>
        <v>25.269521309868594</v>
      </c>
      <c r="Y10" s="14">
        <f t="shared" si="1"/>
        <v>125.09984386954309</v>
      </c>
      <c r="Z10" s="14">
        <f t="shared" si="1"/>
        <v>14.556170656747961</v>
      </c>
    </row>
    <row r="11" spans="1:26" ht="14">
      <c r="A11" s="55">
        <f t="shared" ref="A11:A17" si="4">A10</f>
        <v>9</v>
      </c>
      <c r="B11" s="55" t="s">
        <v>79</v>
      </c>
      <c r="C11" s="80">
        <v>981</v>
      </c>
      <c r="D11" s="56" t="s">
        <v>35</v>
      </c>
      <c r="E11" s="80">
        <v>153</v>
      </c>
      <c r="F11" s="80">
        <v>269</v>
      </c>
      <c r="G11" s="57">
        <v>5.0000000000000001E-4</v>
      </c>
      <c r="H11" s="58"/>
      <c r="I11" s="59">
        <f>SLOPE(G10:G16, E10:E16)</f>
        <v>4.2033300284386285E-6</v>
      </c>
      <c r="J11" s="59">
        <f>SLOPE(G10:G16, F10:F16)</f>
        <v>2.1581240650265512E-6</v>
      </c>
      <c r="K11" s="60">
        <f>I11</f>
        <v>4.2033300284386285E-6</v>
      </c>
      <c r="L11" s="60">
        <f>I13</f>
        <v>-2.3634453738203068E-4</v>
      </c>
      <c r="M11" s="60">
        <f>(C11-$O$2)*K11+L11</f>
        <v>3.8871222205162639E-3</v>
      </c>
      <c r="P11" s="91">
        <f>'enzyme setup and metadata'!A143</f>
        <v>49</v>
      </c>
      <c r="Q11" s="66">
        <f>'enzyme setup and metadata'!I143</f>
        <v>2.1607880521131237</v>
      </c>
      <c r="R11" s="14">
        <f t="shared" si="2"/>
        <v>3.1499999997904524</v>
      </c>
      <c r="S11" s="14">
        <f>(((M74+M75)/2)*91)/(R11*Q11*0.8)</f>
        <v>6.6463647708014745E-2</v>
      </c>
      <c r="T11" s="14">
        <f>(((M76+M77)/2)*91)/(R11*Q11*0.8)</f>
        <v>2.7988866594068906E-2</v>
      </c>
      <c r="U11" s="14">
        <f>(((M78+M79)/2)*91)/(R11*Q11*0.8)</f>
        <v>0.13595438482245614</v>
      </c>
      <c r="V11" s="14">
        <f>(((M80+M81)/2)*91)/(R11*Q11*0.8)</f>
        <v>1.5099654207525643E-2</v>
      </c>
      <c r="W11" s="14">
        <f t="shared" si="3"/>
        <v>66.463647708014747</v>
      </c>
      <c r="X11" s="14">
        <f t="shared" si="1"/>
        <v>27.988866594068906</v>
      </c>
      <c r="Y11" s="14">
        <f t="shared" si="1"/>
        <v>135.95438482245615</v>
      </c>
      <c r="Z11" s="14">
        <f t="shared" si="1"/>
        <v>15.099654207525644</v>
      </c>
    </row>
    <row r="12" spans="1:26" ht="14">
      <c r="A12" s="55">
        <f t="shared" si="4"/>
        <v>9</v>
      </c>
      <c r="B12" s="55" t="s">
        <v>80</v>
      </c>
      <c r="C12" s="80">
        <v>448</v>
      </c>
      <c r="D12" s="56" t="s">
        <v>36</v>
      </c>
      <c r="E12" s="80">
        <v>282</v>
      </c>
      <c r="F12" s="80">
        <v>524</v>
      </c>
      <c r="G12" s="57">
        <v>1E-3</v>
      </c>
      <c r="H12" s="58"/>
      <c r="I12" s="59" t="s">
        <v>71</v>
      </c>
      <c r="J12" s="59" t="s">
        <v>71</v>
      </c>
      <c r="K12" s="60">
        <f>I11</f>
        <v>4.2033300284386285E-6</v>
      </c>
      <c r="L12" s="60">
        <f>I13</f>
        <v>-2.3634453738203068E-4</v>
      </c>
      <c r="M12" s="60">
        <f>(C12-$O$3)*K12 + L12</f>
        <v>1.6467473153584748E-3</v>
      </c>
      <c r="P12" s="91">
        <f>'enzyme setup and metadata'!A144</f>
        <v>54</v>
      </c>
      <c r="Q12" s="66">
        <f>'enzyme setup and metadata'!I144</f>
        <v>2.1535282898919261</v>
      </c>
      <c r="R12" s="14">
        <f t="shared" si="2"/>
        <v>3.1499999997904524</v>
      </c>
      <c r="S12" s="14">
        <f>(((M82+M83)/2)*91)/(R12*Q12*0.8)</f>
        <v>7.0082075885873216E-2</v>
      </c>
      <c r="T12" s="14">
        <f>(((M84+M85)/2)*91)/(R12*Q12*0.8)</f>
        <v>2.9599296683254357E-2</v>
      </c>
      <c r="U12" s="14">
        <f>(((M86+M87)/2)*91)/(R12*Q12*0.8)</f>
        <v>0.13534304435634262</v>
      </c>
      <c r="V12" s="14">
        <f>(((M88+M89)/2)*91)/(R12*Q12*0.8)</f>
        <v>1.5815184114661776E-2</v>
      </c>
      <c r="W12" s="14">
        <f t="shared" si="3"/>
        <v>70.082075885873209</v>
      </c>
      <c r="X12" s="14">
        <f t="shared" si="1"/>
        <v>29.599296683254355</v>
      </c>
      <c r="Y12" s="14">
        <f t="shared" si="1"/>
        <v>135.34304435634263</v>
      </c>
      <c r="Z12" s="14">
        <f t="shared" si="1"/>
        <v>15.815184114661776</v>
      </c>
    </row>
    <row r="13" spans="1:26" ht="14">
      <c r="A13" s="55">
        <f t="shared" si="4"/>
        <v>9</v>
      </c>
      <c r="B13" s="55" t="s">
        <v>81</v>
      </c>
      <c r="C13" s="80">
        <v>461</v>
      </c>
      <c r="D13" s="56" t="s">
        <v>36</v>
      </c>
      <c r="E13" s="80">
        <v>540</v>
      </c>
      <c r="F13" s="80">
        <v>955</v>
      </c>
      <c r="G13" s="57">
        <v>2E-3</v>
      </c>
      <c r="H13" s="58"/>
      <c r="I13" s="59">
        <f>INTERCEPT(G10:G16, E10:E16)</f>
        <v>-2.3634453738203068E-4</v>
      </c>
      <c r="J13" s="59">
        <f>INTERCEPT(G10:G16, F10:F16)</f>
        <v>9.424075134593056E-6</v>
      </c>
      <c r="K13" s="60">
        <f>I11</f>
        <v>4.2033300284386285E-6</v>
      </c>
      <c r="L13" s="60">
        <f>I13</f>
        <v>-2.3634453738203068E-4</v>
      </c>
      <c r="M13" s="60">
        <f>(C13-$O$3)*K13+ L13</f>
        <v>1.7013906057281771E-3</v>
      </c>
      <c r="P13" s="91">
        <f>'enzyme setup and metadata'!A145</f>
        <v>59</v>
      </c>
      <c r="Q13" s="66">
        <f>'enzyme setup and metadata'!I145</f>
        <v>2.1518183261870734</v>
      </c>
      <c r="R13" s="14">
        <f t="shared" si="2"/>
        <v>3.1499999997904524</v>
      </c>
      <c r="S13" s="14">
        <f>(((M90+M91)/2)*91)/(R13*Q13*0.8)</f>
        <v>6.8210486314283877E-2</v>
      </c>
      <c r="T13" s="14">
        <f>(((M92+M93)/2)*91)/(R13*Q13*0.8)</f>
        <v>3.1013226670510093E-2</v>
      </c>
      <c r="U13" s="14">
        <f>(((M94+M95)/2)*91)/(R13*Q13*0.8)</f>
        <v>0.13913575627282174</v>
      </c>
      <c r="V13" s="14">
        <f>(((M96+M97)/2)*91)/(R13*Q13*0.8)</f>
        <v>1.7134143054530843E-2</v>
      </c>
      <c r="W13" s="14">
        <f t="shared" si="3"/>
        <v>68.210486314283884</v>
      </c>
      <c r="X13" s="14">
        <f t="shared" si="1"/>
        <v>31.013226670510093</v>
      </c>
      <c r="Y13" s="14">
        <f t="shared" si="1"/>
        <v>139.13575627282174</v>
      </c>
      <c r="Z13" s="14">
        <f t="shared" si="1"/>
        <v>17.134143054530842</v>
      </c>
    </row>
    <row r="14" spans="1:26" ht="14">
      <c r="A14" s="55">
        <f t="shared" si="4"/>
        <v>9</v>
      </c>
      <c r="B14" s="55" t="s">
        <v>82</v>
      </c>
      <c r="C14" s="80">
        <v>4283</v>
      </c>
      <c r="D14" s="56" t="s">
        <v>37</v>
      </c>
      <c r="E14" s="80">
        <v>1275</v>
      </c>
      <c r="F14" s="80">
        <v>2347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2.1581240650265512E-6</v>
      </c>
      <c r="L14" s="60">
        <f>J13</f>
        <v>9.424075134593056E-6</v>
      </c>
      <c r="M14" s="60">
        <f>(C14-$O$4)*K14 + L14</f>
        <v>8.4970562573758908E-3</v>
      </c>
    </row>
    <row r="15" spans="1:26" ht="14">
      <c r="A15" s="55">
        <f t="shared" si="4"/>
        <v>9</v>
      </c>
      <c r="B15" s="55" t="s">
        <v>83</v>
      </c>
      <c r="C15" s="80">
        <v>4291</v>
      </c>
      <c r="D15" s="56" t="s">
        <v>37</v>
      </c>
      <c r="E15" s="80">
        <v>2508</v>
      </c>
      <c r="F15" s="80">
        <v>4285</v>
      </c>
      <c r="G15" s="57">
        <v>0.01</v>
      </c>
      <c r="H15" s="58"/>
      <c r="I15" s="61">
        <f>RSQ(G10:G16, E10:E16)</f>
        <v>0.99945554070239928</v>
      </c>
      <c r="J15" s="61">
        <f>RSQ(G10:G16, F10:F16)</f>
        <v>0.99784609831105175</v>
      </c>
      <c r="K15" s="60">
        <f>J11</f>
        <v>2.1581240650265512E-6</v>
      </c>
      <c r="L15" s="60">
        <f>J13</f>
        <v>9.424075134593056E-6</v>
      </c>
      <c r="M15" s="60">
        <f>(C15-$O$4)*K15 + L15</f>
        <v>8.5143212498961021E-3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9</v>
      </c>
      <c r="B16" s="55" t="s">
        <v>84</v>
      </c>
      <c r="C16" s="80">
        <v>252</v>
      </c>
      <c r="D16" s="56" t="s">
        <v>38</v>
      </c>
      <c r="E16" s="80">
        <v>4769</v>
      </c>
      <c r="F16" s="80">
        <v>9403</v>
      </c>
      <c r="G16" s="57">
        <v>0.02</v>
      </c>
      <c r="H16" s="58"/>
      <c r="I16" s="58"/>
      <c r="J16" s="58"/>
      <c r="K16" s="60">
        <f>I11</f>
        <v>4.2033300284386285E-6</v>
      </c>
      <c r="L16" s="60">
        <f>I13</f>
        <v>-2.3634453738203068E-4</v>
      </c>
      <c r="M16" s="60">
        <f>(C16-$O$5)*K16 + L16</f>
        <v>8.2289462978450364E-4</v>
      </c>
    </row>
    <row r="17" spans="1:13" ht="14">
      <c r="A17" s="55">
        <f t="shared" si="4"/>
        <v>9</v>
      </c>
      <c r="B17" s="55" t="s">
        <v>85</v>
      </c>
      <c r="C17" s="80">
        <v>264</v>
      </c>
      <c r="D17" s="56" t="s">
        <v>38</v>
      </c>
      <c r="E17" s="80">
        <v>9</v>
      </c>
      <c r="F17" s="80">
        <v>15</v>
      </c>
      <c r="G17" s="56"/>
      <c r="H17" s="58"/>
      <c r="I17" s="58"/>
      <c r="J17" s="58"/>
      <c r="K17" s="60">
        <f>I11</f>
        <v>4.2033300284386285E-6</v>
      </c>
      <c r="L17" s="60">
        <f>I13</f>
        <v>-2.3634453738203068E-4</v>
      </c>
      <c r="M17" s="60">
        <f>(C17-$O$5)*K17 + L17</f>
        <v>8.7333459012576718E-4</v>
      </c>
    </row>
    <row r="18" spans="1:13" ht="14">
      <c r="A18" s="55">
        <f>P4</f>
        <v>14</v>
      </c>
      <c r="B18" s="55" t="s">
        <v>86</v>
      </c>
      <c r="C18" s="80">
        <v>973</v>
      </c>
      <c r="D18" s="56" t="s">
        <v>35</v>
      </c>
      <c r="E18" s="80">
        <v>32</v>
      </c>
      <c r="F18" s="80">
        <v>23</v>
      </c>
      <c r="G18" s="57">
        <v>0</v>
      </c>
      <c r="H18" s="58"/>
      <c r="I18" s="59" t="s">
        <v>68</v>
      </c>
      <c r="J18" s="59" t="s">
        <v>68</v>
      </c>
      <c r="K18" s="60">
        <f>I19</f>
        <v>4.069905609354048E-6</v>
      </c>
      <c r="L18" s="60">
        <f>I21</f>
        <v>-2.1065898501077939E-4</v>
      </c>
      <c r="M18" s="60">
        <f>(C18-$O$2)*K18+L18</f>
        <v>3.7493591728907094E-3</v>
      </c>
    </row>
    <row r="19" spans="1:13" ht="14">
      <c r="A19" s="55">
        <f t="shared" ref="A19:A25" si="5">A18</f>
        <v>14</v>
      </c>
      <c r="B19" s="55" t="s">
        <v>87</v>
      </c>
      <c r="C19" s="80">
        <v>1058</v>
      </c>
      <c r="D19" s="56" t="s">
        <v>35</v>
      </c>
      <c r="E19" s="80">
        <v>161</v>
      </c>
      <c r="F19" s="80">
        <v>275</v>
      </c>
      <c r="G19" s="57">
        <v>5.0000000000000001E-4</v>
      </c>
      <c r="H19" s="58"/>
      <c r="I19" s="59">
        <f>SLOPE(G18:G24, E18:E24)</f>
        <v>4.069905609354048E-6</v>
      </c>
      <c r="J19" s="59">
        <f>SLOPE(G18:G24, F18:F24)</f>
        <v>2.1489052745383726E-6</v>
      </c>
      <c r="K19" s="60">
        <f>I19</f>
        <v>4.069905609354048E-6</v>
      </c>
      <c r="L19" s="60">
        <f>I21</f>
        <v>-2.1065898501077939E-4</v>
      </c>
      <c r="M19" s="60">
        <f>(C19-$O$2)*K19+L19</f>
        <v>4.0953011496858037E-3</v>
      </c>
    </row>
    <row r="20" spans="1:13" ht="14">
      <c r="A20" s="55">
        <f t="shared" si="5"/>
        <v>14</v>
      </c>
      <c r="B20" s="55" t="s">
        <v>88</v>
      </c>
      <c r="C20" s="80">
        <v>463</v>
      </c>
      <c r="D20" s="56" t="s">
        <v>36</v>
      </c>
      <c r="E20" s="80">
        <v>294</v>
      </c>
      <c r="F20" s="80">
        <v>528</v>
      </c>
      <c r="G20" s="57">
        <v>1E-3</v>
      </c>
      <c r="H20" s="58"/>
      <c r="I20" s="59" t="s">
        <v>71</v>
      </c>
      <c r="J20" s="59" t="s">
        <v>71</v>
      </c>
      <c r="K20" s="60">
        <f>I19</f>
        <v>4.069905609354048E-6</v>
      </c>
      <c r="L20" s="60">
        <f>I21</f>
        <v>-2.1065898501077939E-4</v>
      </c>
      <c r="M20" s="60">
        <f>(C20-$O$3)*K20 + L20</f>
        <v>1.6737073121201448E-3</v>
      </c>
    </row>
    <row r="21" spans="1:13" ht="14">
      <c r="A21" s="55">
        <f t="shared" si="5"/>
        <v>14</v>
      </c>
      <c r="B21" s="55" t="s">
        <v>89</v>
      </c>
      <c r="C21" s="80">
        <v>470</v>
      </c>
      <c r="D21" s="56" t="s">
        <v>36</v>
      </c>
      <c r="E21" s="80">
        <v>536</v>
      </c>
      <c r="F21" s="80">
        <v>1012</v>
      </c>
      <c r="G21" s="57">
        <v>2E-3</v>
      </c>
      <c r="H21" s="58"/>
      <c r="I21" s="59">
        <f>INTERCEPT(G18:G24, E18:E24)</f>
        <v>-2.1065898501077939E-4</v>
      </c>
      <c r="J21" s="59">
        <f>INTERCEPT(G18:G24, F18:F24)</f>
        <v>-6.412972871542872E-5</v>
      </c>
      <c r="K21" s="60">
        <f>I19</f>
        <v>4.069905609354048E-6</v>
      </c>
      <c r="L21" s="60">
        <f>I21</f>
        <v>-2.1065898501077939E-4</v>
      </c>
      <c r="M21" s="60">
        <f>(C21-$O$3)*K21+ L21</f>
        <v>1.7021966513856232E-3</v>
      </c>
    </row>
    <row r="22" spans="1:13" ht="14">
      <c r="A22" s="55">
        <f t="shared" si="5"/>
        <v>14</v>
      </c>
      <c r="B22" s="55" t="s">
        <v>90</v>
      </c>
      <c r="C22" s="80">
        <v>4332</v>
      </c>
      <c r="D22" s="56" t="s">
        <v>37</v>
      </c>
      <c r="E22" s="80">
        <v>1295</v>
      </c>
      <c r="F22" s="80">
        <v>2460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2.1489052745383726E-6</v>
      </c>
      <c r="L22" s="60">
        <f>J21</f>
        <v>-6.412972871542872E-5</v>
      </c>
      <c r="M22" s="60">
        <f>(C22-$O$4)*K22 + L22</f>
        <v>8.4925424613370541E-3</v>
      </c>
    </row>
    <row r="23" spans="1:13" ht="14">
      <c r="A23" s="55">
        <f t="shared" si="5"/>
        <v>14</v>
      </c>
      <c r="B23" s="55" t="s">
        <v>91</v>
      </c>
      <c r="C23" s="80">
        <v>4014</v>
      </c>
      <c r="D23" s="56" t="s">
        <v>37</v>
      </c>
      <c r="E23" s="80">
        <v>2575</v>
      </c>
      <c r="F23" s="80">
        <v>4387</v>
      </c>
      <c r="G23" s="57">
        <v>0.01</v>
      </c>
      <c r="H23" s="58"/>
      <c r="I23" s="61">
        <f>RSQ(G18:G24, E18:E24)</f>
        <v>0.99965698829692873</v>
      </c>
      <c r="J23" s="61">
        <f>RSQ(G18:G24, F18:F24)</f>
        <v>0.99836047498898628</v>
      </c>
      <c r="K23" s="60">
        <f>J19</f>
        <v>2.1489052745383726E-6</v>
      </c>
      <c r="L23" s="60">
        <f>J21</f>
        <v>-6.412972871542872E-5</v>
      </c>
      <c r="M23" s="60">
        <f>(C23-$O$4)*K23 + L23</f>
        <v>7.8091905840338505E-3</v>
      </c>
    </row>
    <row r="24" spans="1:13" ht="14">
      <c r="A24" s="55">
        <f t="shared" si="5"/>
        <v>14</v>
      </c>
      <c r="B24" s="55" t="s">
        <v>92</v>
      </c>
      <c r="C24" s="80">
        <v>272</v>
      </c>
      <c r="D24" s="56" t="s">
        <v>38</v>
      </c>
      <c r="E24" s="80">
        <v>4929</v>
      </c>
      <c r="F24" s="80">
        <v>9440</v>
      </c>
      <c r="G24" s="57">
        <v>0.02</v>
      </c>
      <c r="H24" s="58"/>
      <c r="I24" s="58"/>
      <c r="J24" s="58"/>
      <c r="K24" s="60">
        <f>I19</f>
        <v>4.069905609354048E-6</v>
      </c>
      <c r="L24" s="60">
        <f>I21</f>
        <v>-2.1065898501077939E-4</v>
      </c>
      <c r="M24" s="60">
        <f>(C24-$O$5)*K24 + L24</f>
        <v>8.9635534073352163E-4</v>
      </c>
    </row>
    <row r="25" spans="1:13" ht="14">
      <c r="A25" s="55">
        <f t="shared" si="5"/>
        <v>14</v>
      </c>
      <c r="B25" s="55" t="s">
        <v>93</v>
      </c>
      <c r="C25" s="80">
        <v>270</v>
      </c>
      <c r="D25" s="56" t="s">
        <v>38</v>
      </c>
      <c r="E25" s="80">
        <v>9</v>
      </c>
      <c r="F25" s="80">
        <v>14</v>
      </c>
      <c r="G25" s="56"/>
      <c r="H25" s="58"/>
      <c r="I25" s="58"/>
      <c r="J25" s="58"/>
      <c r="K25" s="60">
        <f>I19</f>
        <v>4.069905609354048E-6</v>
      </c>
      <c r="L25" s="60">
        <f>I21</f>
        <v>-2.1065898501077939E-4</v>
      </c>
      <c r="M25" s="60">
        <f>(C25-$O$5)*K25 + L25</f>
        <v>8.8821552951481365E-4</v>
      </c>
    </row>
    <row r="26" spans="1:13" ht="14">
      <c r="A26" s="55">
        <f>P5</f>
        <v>19</v>
      </c>
      <c r="B26" s="55" t="s">
        <v>94</v>
      </c>
      <c r="C26" s="80">
        <v>918</v>
      </c>
      <c r="D26" s="56" t="s">
        <v>35</v>
      </c>
      <c r="E26" s="80">
        <v>32</v>
      </c>
      <c r="F26" s="80">
        <v>26</v>
      </c>
      <c r="G26" s="57">
        <v>0</v>
      </c>
      <c r="H26" s="58"/>
      <c r="I26" s="59" t="s">
        <v>68</v>
      </c>
      <c r="J26" s="59" t="s">
        <v>68</v>
      </c>
      <c r="K26" s="60">
        <f>I27</f>
        <v>3.9405268625833542E-6</v>
      </c>
      <c r="L26" s="60">
        <f>I29</f>
        <v>-1.4114566999254199E-4</v>
      </c>
      <c r="M26" s="60">
        <f>(C26-$O$2)*K26+L26</f>
        <v>3.4762579898589773E-3</v>
      </c>
    </row>
    <row r="27" spans="1:13" ht="14">
      <c r="A27" s="55">
        <f t="shared" ref="A27:A33" si="6">A26</f>
        <v>19</v>
      </c>
      <c r="B27" s="55" t="s">
        <v>95</v>
      </c>
      <c r="C27" s="80">
        <v>1070</v>
      </c>
      <c r="D27" s="56" t="s">
        <v>35</v>
      </c>
      <c r="E27" s="80">
        <v>154</v>
      </c>
      <c r="F27" s="80">
        <v>267</v>
      </c>
      <c r="G27" s="57">
        <v>5.0000000000000001E-4</v>
      </c>
      <c r="H27" s="58"/>
      <c r="I27" s="59">
        <f>SLOPE(G26:G32, E26:E32)</f>
        <v>3.9405268625833542E-6</v>
      </c>
      <c r="J27" s="59">
        <f>SLOPE(G26:G32, F26:F32)</f>
        <v>2.1425930634041994E-6</v>
      </c>
      <c r="K27" s="60">
        <f>I27</f>
        <v>3.9405268625833542E-6</v>
      </c>
      <c r="L27" s="60">
        <f>I29</f>
        <v>-1.4114566999254199E-4</v>
      </c>
      <c r="M27" s="60">
        <f>(C27-$O$2)*K27+L27</f>
        <v>4.0752180729716472E-3</v>
      </c>
    </row>
    <row r="28" spans="1:13" ht="14">
      <c r="A28" s="55">
        <f t="shared" si="6"/>
        <v>19</v>
      </c>
      <c r="B28" s="55" t="s">
        <v>96</v>
      </c>
      <c r="C28" s="80">
        <v>409</v>
      </c>
      <c r="D28" s="56" t="s">
        <v>36</v>
      </c>
      <c r="E28" s="80">
        <v>287</v>
      </c>
      <c r="F28" s="80">
        <v>531</v>
      </c>
      <c r="G28" s="57">
        <v>1E-3</v>
      </c>
      <c r="H28" s="58"/>
      <c r="I28" s="59" t="s">
        <v>71</v>
      </c>
      <c r="J28" s="59" t="s">
        <v>71</v>
      </c>
      <c r="K28" s="60">
        <f>I27</f>
        <v>3.9405268625833542E-6</v>
      </c>
      <c r="L28" s="60">
        <f>I29</f>
        <v>-1.4114566999254199E-4</v>
      </c>
      <c r="M28" s="60">
        <f>(C28-$O$3)*K28 + L28</f>
        <v>1.4705298168040499E-3</v>
      </c>
    </row>
    <row r="29" spans="1:13" ht="14">
      <c r="A29" s="55">
        <f t="shared" si="6"/>
        <v>19</v>
      </c>
      <c r="B29" s="55" t="s">
        <v>97</v>
      </c>
      <c r="C29" s="80">
        <v>439</v>
      </c>
      <c r="D29" s="56" t="s">
        <v>36</v>
      </c>
      <c r="E29" s="80">
        <v>543</v>
      </c>
      <c r="F29" s="80">
        <v>979</v>
      </c>
      <c r="G29" s="57">
        <v>2E-3</v>
      </c>
      <c r="H29" s="58"/>
      <c r="I29" s="59">
        <f>INTERCEPT(G26:G32, E26:E32)</f>
        <v>-1.4114566999254199E-4</v>
      </c>
      <c r="J29" s="59">
        <f>INTERCEPT(G26:G32, F26:F32)</f>
        <v>-1.0379911497201185E-4</v>
      </c>
      <c r="K29" s="60">
        <f>I27</f>
        <v>3.9405268625833542E-6</v>
      </c>
      <c r="L29" s="60">
        <f>I29</f>
        <v>-1.4114566999254199E-4</v>
      </c>
      <c r="M29" s="60">
        <f>(C29-$O$3)*K29+ L29</f>
        <v>1.5887456226815506E-3</v>
      </c>
    </row>
    <row r="30" spans="1:13" ht="14">
      <c r="A30" s="55">
        <f t="shared" si="6"/>
        <v>19</v>
      </c>
      <c r="B30" s="55" t="s">
        <v>98</v>
      </c>
      <c r="C30" s="80">
        <v>4153</v>
      </c>
      <c r="D30" s="56" t="s">
        <v>37</v>
      </c>
      <c r="E30" s="80">
        <v>1326</v>
      </c>
      <c r="F30" s="80">
        <v>2490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2.1425930634041994E-6</v>
      </c>
      <c r="L30" s="60">
        <f>J29</f>
        <v>-1.0379911497201185E-4</v>
      </c>
      <c r="M30" s="60">
        <f>(C30-$O$4)*K30 + L30</f>
        <v>8.0442144810212342E-3</v>
      </c>
    </row>
    <row r="31" spans="1:13" ht="14">
      <c r="A31" s="55">
        <f t="shared" si="6"/>
        <v>19</v>
      </c>
      <c r="B31" s="55" t="s">
        <v>99</v>
      </c>
      <c r="C31" s="80">
        <v>3954</v>
      </c>
      <c r="D31" s="56" t="s">
        <v>37</v>
      </c>
      <c r="E31" s="80">
        <v>2572</v>
      </c>
      <c r="F31" s="80">
        <v>4608</v>
      </c>
      <c r="G31" s="57">
        <v>0.01</v>
      </c>
      <c r="H31" s="58"/>
      <c r="I31" s="61">
        <f>RSQ(G26:G32, E26:E32)</f>
        <v>0.9999720986024121</v>
      </c>
      <c r="J31" s="61">
        <f>RSQ(G26:G32, F26:F32)</f>
        <v>0.9996424343242355</v>
      </c>
      <c r="K31" s="60">
        <f>J27</f>
        <v>2.1425930634041994E-6</v>
      </c>
      <c r="L31" s="60">
        <f>J29</f>
        <v>-1.0379911497201185E-4</v>
      </c>
      <c r="M31" s="60">
        <f>(C31-$O$4)*K31 + L31</f>
        <v>7.6178384614037972E-3</v>
      </c>
    </row>
    <row r="32" spans="1:13" ht="14">
      <c r="A32" s="55">
        <f t="shared" si="6"/>
        <v>19</v>
      </c>
      <c r="B32" s="55" t="s">
        <v>100</v>
      </c>
      <c r="C32" s="80">
        <v>246</v>
      </c>
      <c r="D32" s="56" t="s">
        <v>38</v>
      </c>
      <c r="E32" s="80">
        <v>5107</v>
      </c>
      <c r="F32" s="80">
        <v>9407</v>
      </c>
      <c r="G32" s="57">
        <v>0.02</v>
      </c>
      <c r="H32" s="58"/>
      <c r="I32" s="58"/>
      <c r="J32" s="58"/>
      <c r="K32" s="60">
        <f>I27</f>
        <v>3.9405268625833542E-6</v>
      </c>
      <c r="L32" s="60">
        <f>I29</f>
        <v>-1.4114566999254199E-4</v>
      </c>
      <c r="M32" s="60">
        <f>(C32-$O$5)*K32 + L32</f>
        <v>8.2822393820296313E-4</v>
      </c>
    </row>
    <row r="33" spans="1:26" ht="14">
      <c r="A33" s="55">
        <f t="shared" si="6"/>
        <v>19</v>
      </c>
      <c r="B33" s="55" t="s">
        <v>101</v>
      </c>
      <c r="C33" s="80">
        <v>264</v>
      </c>
      <c r="D33" s="56" t="s">
        <v>38</v>
      </c>
      <c r="E33" s="80">
        <v>9</v>
      </c>
      <c r="F33" s="80">
        <v>15</v>
      </c>
      <c r="G33" s="56"/>
      <c r="H33" s="58"/>
      <c r="I33" s="58"/>
      <c r="J33" s="58"/>
      <c r="K33" s="60">
        <f>I27</f>
        <v>3.9405268625833542E-6</v>
      </c>
      <c r="L33" s="60">
        <f>I29</f>
        <v>-1.4114566999254199E-4</v>
      </c>
      <c r="M33" s="60">
        <f>(C33-$O$5)*K33 + L33</f>
        <v>8.9915342172946361E-4</v>
      </c>
    </row>
    <row r="34" spans="1:26" ht="14">
      <c r="A34" s="55">
        <f>P6</f>
        <v>24</v>
      </c>
      <c r="B34" s="55" t="s">
        <v>102</v>
      </c>
      <c r="C34" s="80">
        <v>975</v>
      </c>
      <c r="D34" s="56" t="s">
        <v>35</v>
      </c>
      <c r="E34" s="80">
        <v>29</v>
      </c>
      <c r="F34" s="80">
        <v>26</v>
      </c>
      <c r="G34" s="57">
        <v>0</v>
      </c>
      <c r="H34" s="58"/>
      <c r="I34" s="59" t="s">
        <v>68</v>
      </c>
      <c r="J34" s="59" t="s">
        <v>68</v>
      </c>
      <c r="K34" s="60">
        <f>I35</f>
        <v>4.0349091743539265E-6</v>
      </c>
      <c r="L34" s="60">
        <f>I37</f>
        <v>-2.745314440968042E-4</v>
      </c>
      <c r="M34" s="60">
        <f>(C34-$O$2)*K34+L34</f>
        <v>3.659505000898274E-3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24</v>
      </c>
      <c r="B35" s="55" t="s">
        <v>103</v>
      </c>
      <c r="C35" s="80">
        <v>1015</v>
      </c>
      <c r="D35" s="56" t="s">
        <v>35</v>
      </c>
      <c r="E35" s="80">
        <v>155</v>
      </c>
      <c r="F35" s="80">
        <v>280</v>
      </c>
      <c r="G35" s="57">
        <v>5.0000000000000001E-4</v>
      </c>
      <c r="H35" s="58"/>
      <c r="I35" s="59">
        <f>SLOPE(G34:G40, E34:E40)</f>
        <v>4.0349091743539265E-6</v>
      </c>
      <c r="J35" s="59">
        <f>SLOPE(G34:G40, F34:F40)</f>
        <v>2.0135534878753031E-6</v>
      </c>
      <c r="K35" s="60">
        <f>I35</f>
        <v>4.0349091743539265E-6</v>
      </c>
      <c r="L35" s="60">
        <f>I37</f>
        <v>-2.745314440968042E-4</v>
      </c>
      <c r="M35" s="60">
        <f>(C35-$O$2)*K35+L35</f>
        <v>3.8209013678724311E-3</v>
      </c>
    </row>
    <row r="36" spans="1:26" ht="14">
      <c r="A36" s="55">
        <f t="shared" si="7"/>
        <v>24</v>
      </c>
      <c r="B36" s="55" t="s">
        <v>104</v>
      </c>
      <c r="C36" s="80">
        <v>452</v>
      </c>
      <c r="D36" s="56" t="s">
        <v>36</v>
      </c>
      <c r="E36" s="80">
        <v>294</v>
      </c>
      <c r="F36" s="80">
        <v>559</v>
      </c>
      <c r="G36" s="57">
        <v>1E-3</v>
      </c>
      <c r="H36" s="58"/>
      <c r="I36" s="59" t="s">
        <v>71</v>
      </c>
      <c r="J36" s="59" t="s">
        <v>71</v>
      </c>
      <c r="K36" s="60">
        <f>I35</f>
        <v>4.0349091743539265E-6</v>
      </c>
      <c r="L36" s="60">
        <f>I37</f>
        <v>-2.745314440968042E-4</v>
      </c>
      <c r="M36" s="60">
        <f>(C36-$O$3)*K36 + L36</f>
        <v>1.5492475027111706E-3</v>
      </c>
    </row>
    <row r="37" spans="1:26" ht="14">
      <c r="A37" s="55">
        <f t="shared" si="7"/>
        <v>24</v>
      </c>
      <c r="B37" s="55" t="s">
        <v>105</v>
      </c>
      <c r="C37" s="80">
        <v>442</v>
      </c>
      <c r="D37" s="56" t="s">
        <v>36</v>
      </c>
      <c r="E37" s="80">
        <v>553</v>
      </c>
      <c r="F37" s="80">
        <v>1064</v>
      </c>
      <c r="G37" s="57">
        <v>2E-3</v>
      </c>
      <c r="H37" s="58"/>
      <c r="I37" s="59">
        <f>INTERCEPT(G34:G40, E34:E40)</f>
        <v>-2.745314440968042E-4</v>
      </c>
      <c r="J37" s="59">
        <f>INTERCEPT(G34:G40, F34:F40)</f>
        <v>-1.6268770890188761E-4</v>
      </c>
      <c r="K37" s="60">
        <f>I35</f>
        <v>4.0349091743539265E-6</v>
      </c>
      <c r="L37" s="60">
        <f>I37</f>
        <v>-2.745314440968042E-4</v>
      </c>
      <c r="M37" s="60">
        <f>(C37-$O$3)*K37+ L37</f>
        <v>1.5088984109676313E-3</v>
      </c>
    </row>
    <row r="38" spans="1:26" ht="14">
      <c r="A38" s="55">
        <f t="shared" si="7"/>
        <v>24</v>
      </c>
      <c r="B38" s="55" t="s">
        <v>106</v>
      </c>
      <c r="C38" s="80">
        <v>4085</v>
      </c>
      <c r="D38" s="56" t="s">
        <v>37</v>
      </c>
      <c r="E38" s="80">
        <v>1361</v>
      </c>
      <c r="F38" s="80">
        <v>2618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2.0135534878753031E-6</v>
      </c>
      <c r="L38" s="60">
        <f>J37</f>
        <v>-1.6268770890188761E-4</v>
      </c>
      <c r="M38" s="60">
        <f>(C38-$O$4)*K38 + L38</f>
        <v>7.3576828741263849E-3</v>
      </c>
    </row>
    <row r="39" spans="1:26" ht="14">
      <c r="A39" s="55">
        <f t="shared" si="7"/>
        <v>24</v>
      </c>
      <c r="B39" s="55" t="s">
        <v>107</v>
      </c>
      <c r="C39" s="80">
        <v>4137</v>
      </c>
      <c r="D39" s="56" t="s">
        <v>37</v>
      </c>
      <c r="E39" s="80">
        <v>2691</v>
      </c>
      <c r="F39" s="80">
        <v>5236</v>
      </c>
      <c r="G39" s="57">
        <v>0.01</v>
      </c>
      <c r="H39" s="58"/>
      <c r="I39" s="61">
        <f>RSQ(G34:G40, E34:E40)</f>
        <v>0.99819345692136896</v>
      </c>
      <c r="J39" s="61">
        <f>RSQ(G34:G40, F34:F40)</f>
        <v>0.99927886501576724</v>
      </c>
      <c r="K39" s="60">
        <f>J35</f>
        <v>2.0135534878753031E-6</v>
      </c>
      <c r="L39" s="60">
        <f>J37</f>
        <v>-1.6268770890188761E-4</v>
      </c>
      <c r="M39" s="60">
        <f>(C39-$O$4)*K39 + L39</f>
        <v>7.4623876554959006E-3</v>
      </c>
    </row>
    <row r="40" spans="1:26" ht="14">
      <c r="A40" s="55">
        <f t="shared" si="7"/>
        <v>24</v>
      </c>
      <c r="B40" s="55" t="s">
        <v>108</v>
      </c>
      <c r="C40" s="80">
        <v>259</v>
      </c>
      <c r="D40" s="56" t="s">
        <v>38</v>
      </c>
      <c r="E40" s="80">
        <v>4935</v>
      </c>
      <c r="F40" s="80">
        <v>9903</v>
      </c>
      <c r="G40" s="57">
        <v>0.02</v>
      </c>
      <c r="H40" s="58"/>
      <c r="I40" s="58"/>
      <c r="J40" s="58"/>
      <c r="K40" s="60">
        <f>I35</f>
        <v>4.0349091743539265E-6</v>
      </c>
      <c r="L40" s="60">
        <f>I37</f>
        <v>-2.745314440968042E-4</v>
      </c>
      <c r="M40" s="60">
        <f>(C40-$O$5)*K40 + L40</f>
        <v>7.7051003206086272E-4</v>
      </c>
    </row>
    <row r="41" spans="1:26" ht="14">
      <c r="A41" s="55">
        <f t="shared" si="7"/>
        <v>24</v>
      </c>
      <c r="B41" s="55" t="s">
        <v>109</v>
      </c>
      <c r="C41" s="80">
        <v>273</v>
      </c>
      <c r="D41" s="56" t="s">
        <v>38</v>
      </c>
      <c r="E41" s="80">
        <v>9</v>
      </c>
      <c r="F41" s="80">
        <v>14</v>
      </c>
      <c r="G41" s="56"/>
      <c r="H41" s="58"/>
      <c r="I41" s="58"/>
      <c r="J41" s="58"/>
      <c r="K41" s="60">
        <f>I35</f>
        <v>4.0349091743539265E-6</v>
      </c>
      <c r="L41" s="60">
        <f>I37</f>
        <v>-2.745314440968042E-4</v>
      </c>
      <c r="M41" s="60">
        <f>(C41-$O$5)*K41 + L41</f>
        <v>8.2699876050181778E-4</v>
      </c>
    </row>
    <row r="42" spans="1:26" ht="14">
      <c r="A42" s="55">
        <f>P7</f>
        <v>29</v>
      </c>
      <c r="B42" s="55" t="s">
        <v>110</v>
      </c>
      <c r="C42" s="80">
        <v>1028</v>
      </c>
      <c r="D42" s="56" t="s">
        <v>35</v>
      </c>
      <c r="E42" s="80">
        <v>31</v>
      </c>
      <c r="F42" s="80">
        <v>27</v>
      </c>
      <c r="G42" s="57">
        <v>0</v>
      </c>
      <c r="H42" s="58"/>
      <c r="I42" s="62" t="s">
        <v>68</v>
      </c>
      <c r="J42" s="62" t="s">
        <v>68</v>
      </c>
      <c r="K42" s="60">
        <f>I43</f>
        <v>4.0606056598034065E-6</v>
      </c>
      <c r="L42" s="60">
        <f>I45</f>
        <v>-2.7708168085458906E-4</v>
      </c>
      <c r="M42" s="60">
        <f>(C42-$O$2)*K42+L42</f>
        <v>3.8972209374233124E-3</v>
      </c>
    </row>
    <row r="43" spans="1:26" ht="14">
      <c r="A43" s="55">
        <f t="shared" ref="A43:A49" si="8">A42</f>
        <v>29</v>
      </c>
      <c r="B43" s="55" t="s">
        <v>111</v>
      </c>
      <c r="C43" s="80">
        <v>1007</v>
      </c>
      <c r="D43" s="56" t="s">
        <v>35</v>
      </c>
      <c r="E43" s="80">
        <v>167</v>
      </c>
      <c r="F43" s="80">
        <v>287</v>
      </c>
      <c r="G43" s="57">
        <v>5.0000000000000001E-4</v>
      </c>
      <c r="H43" s="58"/>
      <c r="I43" s="58">
        <f>SLOPE(G42:G48, E42:E48)</f>
        <v>4.0606056598034065E-6</v>
      </c>
      <c r="J43" s="58">
        <f>SLOPE(G42:G48, F42:F48)</f>
        <v>1.9711107629881634E-6</v>
      </c>
      <c r="K43" s="60">
        <f>I43</f>
        <v>4.0606056598034065E-6</v>
      </c>
      <c r="L43" s="60">
        <f>I45</f>
        <v>-2.7708168085458906E-4</v>
      </c>
      <c r="M43" s="60">
        <f>(C43-$O$2)*K43+L43</f>
        <v>3.811948218567441E-3</v>
      </c>
    </row>
    <row r="44" spans="1:26" ht="14">
      <c r="A44" s="55">
        <f t="shared" si="8"/>
        <v>29</v>
      </c>
      <c r="B44" s="55" t="s">
        <v>112</v>
      </c>
      <c r="C44" s="80">
        <v>445</v>
      </c>
      <c r="D44" s="56" t="s">
        <v>36</v>
      </c>
      <c r="E44" s="80">
        <v>340</v>
      </c>
      <c r="F44" s="80">
        <v>572</v>
      </c>
      <c r="G44" s="57">
        <v>1E-3</v>
      </c>
      <c r="H44" s="58"/>
      <c r="I44" s="62" t="s">
        <v>71</v>
      </c>
      <c r="J44" s="62" t="s">
        <v>71</v>
      </c>
      <c r="K44" s="60">
        <f>I43</f>
        <v>4.0606056598034065E-6</v>
      </c>
      <c r="L44" s="60">
        <f>I45</f>
        <v>-2.7708168085458906E-4</v>
      </c>
      <c r="M44" s="60">
        <f>(C44-$O$3)*K44 + L44</f>
        <v>1.5298878377579268E-3</v>
      </c>
    </row>
    <row r="45" spans="1:26" ht="14">
      <c r="A45" s="55">
        <f t="shared" si="8"/>
        <v>29</v>
      </c>
      <c r="B45" s="55" t="s">
        <v>113</v>
      </c>
      <c r="C45" s="80">
        <v>461</v>
      </c>
      <c r="D45" s="56" t="s">
        <v>36</v>
      </c>
      <c r="E45" s="80">
        <v>567</v>
      </c>
      <c r="F45" s="80">
        <v>1074</v>
      </c>
      <c r="G45" s="57">
        <v>2E-3</v>
      </c>
      <c r="H45" s="58"/>
      <c r="I45" s="58">
        <f>INTERCEPT(G42:G48, E42:E48)</f>
        <v>-2.7708168085458906E-4</v>
      </c>
      <c r="J45" s="58">
        <f>INTERCEPT(G42:G48, F42:F48)</f>
        <v>-6.2192985900740363E-5</v>
      </c>
      <c r="K45" s="60">
        <f>I43</f>
        <v>4.0606056598034065E-6</v>
      </c>
      <c r="L45" s="60">
        <f>I45</f>
        <v>-2.7708168085458906E-4</v>
      </c>
      <c r="M45" s="60">
        <f>(C45-$O$3)*K45+ L45</f>
        <v>1.5948575283147813E-3</v>
      </c>
    </row>
    <row r="46" spans="1:26" ht="14">
      <c r="A46" s="55">
        <f t="shared" si="8"/>
        <v>29</v>
      </c>
      <c r="B46" s="55" t="s">
        <v>114</v>
      </c>
      <c r="C46" s="80">
        <v>3921</v>
      </c>
      <c r="D46" s="56" t="s">
        <v>37</v>
      </c>
      <c r="E46" s="80">
        <v>1323</v>
      </c>
      <c r="F46" s="80">
        <v>2633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1.9711107629881634E-6</v>
      </c>
      <c r="L46" s="60">
        <f>J45</f>
        <v>-6.2192985900740363E-5</v>
      </c>
      <c r="M46" s="60">
        <f>(C46-$O$4)*K46 + L46</f>
        <v>6.9763971598846173E-3</v>
      </c>
    </row>
    <row r="47" spans="1:26" ht="14">
      <c r="A47" s="55">
        <f t="shared" si="8"/>
        <v>29</v>
      </c>
      <c r="B47" s="55" t="s">
        <v>115</v>
      </c>
      <c r="C47" s="80">
        <v>4242</v>
      </c>
      <c r="D47" s="56" t="s">
        <v>37</v>
      </c>
      <c r="E47" s="80">
        <v>2560</v>
      </c>
      <c r="F47" s="80">
        <v>4910</v>
      </c>
      <c r="G47" s="57">
        <v>0.01</v>
      </c>
      <c r="H47" s="58"/>
      <c r="I47" s="61">
        <f>RSQ(G42:G48, E42:E48)</f>
        <v>0.99976318565294664</v>
      </c>
      <c r="J47" s="61">
        <f>RSQ(G42:G48, F42:F48)</f>
        <v>0.9993995723160739</v>
      </c>
      <c r="K47" s="60">
        <f>J43</f>
        <v>1.9711107629881634E-6</v>
      </c>
      <c r="L47" s="60">
        <f>J45</f>
        <v>-6.2192985900740363E-5</v>
      </c>
      <c r="M47" s="60">
        <f>(C47-$O$4)*K47 + L47</f>
        <v>7.6091237148038183E-3</v>
      </c>
    </row>
    <row r="48" spans="1:26" ht="14">
      <c r="A48" s="55">
        <f t="shared" si="8"/>
        <v>29</v>
      </c>
      <c r="B48" s="55" t="s">
        <v>116</v>
      </c>
      <c r="C48" s="80">
        <v>257</v>
      </c>
      <c r="D48" s="56" t="s">
        <v>38</v>
      </c>
      <c r="E48" s="80">
        <v>4971</v>
      </c>
      <c r="F48" s="80">
        <v>10250</v>
      </c>
      <c r="G48" s="57">
        <v>0.02</v>
      </c>
      <c r="H48" s="58"/>
      <c r="I48" s="58"/>
      <c r="J48" s="58"/>
      <c r="K48" s="60">
        <f>I43</f>
        <v>4.0606056598034065E-6</v>
      </c>
      <c r="L48" s="60">
        <f>I45</f>
        <v>-2.7708168085458906E-4</v>
      </c>
      <c r="M48" s="60">
        <f>(C48-$O$5)*K48 + L48</f>
        <v>7.6649397371488632E-4</v>
      </c>
    </row>
    <row r="49" spans="1:13" ht="14">
      <c r="A49" s="55">
        <f t="shared" si="8"/>
        <v>29</v>
      </c>
      <c r="B49" s="55" t="s">
        <v>117</v>
      </c>
      <c r="C49" s="80">
        <v>261</v>
      </c>
      <c r="D49" s="56" t="s">
        <v>38</v>
      </c>
      <c r="E49" s="80">
        <v>10</v>
      </c>
      <c r="F49" s="80">
        <v>16</v>
      </c>
      <c r="G49" s="56"/>
      <c r="H49" s="58"/>
      <c r="I49" s="58"/>
      <c r="J49" s="58"/>
      <c r="K49" s="60">
        <f>I43</f>
        <v>4.0606056598034065E-6</v>
      </c>
      <c r="L49" s="60">
        <f>I45</f>
        <v>-2.7708168085458906E-4</v>
      </c>
      <c r="M49" s="60">
        <f>(C49-$O$5)*K49 + L49</f>
        <v>7.8273639635409995E-4</v>
      </c>
    </row>
    <row r="50" spans="1:13" ht="14">
      <c r="A50" s="55">
        <f>P8</f>
        <v>34</v>
      </c>
      <c r="B50" s="55" t="s">
        <v>118</v>
      </c>
      <c r="C50" s="80">
        <v>919</v>
      </c>
      <c r="D50" s="56" t="s">
        <v>35</v>
      </c>
      <c r="E50" s="80">
        <v>26</v>
      </c>
      <c r="F50" s="80">
        <v>40</v>
      </c>
      <c r="G50" s="57">
        <v>0</v>
      </c>
      <c r="H50" s="58"/>
      <c r="I50" s="62" t="s">
        <v>68</v>
      </c>
      <c r="J50" s="62" t="s">
        <v>68</v>
      </c>
      <c r="K50" s="60">
        <f>I51</f>
        <v>4.0812099495894684E-6</v>
      </c>
      <c r="L50" s="60">
        <f>I53</f>
        <v>-1.6355335004458477E-4</v>
      </c>
      <c r="M50" s="60">
        <f>(C50-$O$2)*K50+L50</f>
        <v>3.5870785936281367E-3</v>
      </c>
    </row>
    <row r="51" spans="1:13" ht="14">
      <c r="A51" s="55">
        <f t="shared" ref="A51:A57" si="9">A50</f>
        <v>34</v>
      </c>
      <c r="B51" s="55" t="s">
        <v>119</v>
      </c>
      <c r="C51" s="80">
        <v>994</v>
      </c>
      <c r="D51" s="56" t="s">
        <v>35</v>
      </c>
      <c r="E51" s="80">
        <v>157</v>
      </c>
      <c r="F51" s="80">
        <v>277</v>
      </c>
      <c r="G51" s="57">
        <v>5.0000000000000001E-4</v>
      </c>
      <c r="H51" s="58"/>
      <c r="I51" s="58">
        <f>SLOPE(G50:G56, E50:E56)</f>
        <v>4.0812099495894684E-6</v>
      </c>
      <c r="J51" s="58">
        <f>SLOPE(G50:G56, F50:F56)</f>
        <v>1.9552898349197464E-6</v>
      </c>
      <c r="K51" s="60">
        <f>I51</f>
        <v>4.0812099495894684E-6</v>
      </c>
      <c r="L51" s="60">
        <f>I53</f>
        <v>-1.6355335004458477E-4</v>
      </c>
      <c r="M51" s="60">
        <f>(C51-$O$2)*K51+L51</f>
        <v>3.8931693398473466E-3</v>
      </c>
    </row>
    <row r="52" spans="1:13" ht="14">
      <c r="A52" s="55">
        <f t="shared" si="9"/>
        <v>34</v>
      </c>
      <c r="B52" s="55" t="s">
        <v>120</v>
      </c>
      <c r="C52" s="80">
        <v>419</v>
      </c>
      <c r="D52" s="56" t="s">
        <v>36</v>
      </c>
      <c r="E52" s="80">
        <v>282</v>
      </c>
      <c r="F52" s="80">
        <v>553</v>
      </c>
      <c r="G52" s="57">
        <v>1E-3</v>
      </c>
      <c r="H52" s="58"/>
      <c r="I52" s="62" t="s">
        <v>71</v>
      </c>
      <c r="J52" s="62" t="s">
        <v>71</v>
      </c>
      <c r="K52" s="60">
        <f>I51</f>
        <v>4.0812099495894684E-6</v>
      </c>
      <c r="L52" s="60">
        <f>I53</f>
        <v>-1.6355335004458477E-4</v>
      </c>
      <c r="M52" s="60">
        <f>(C52-$O$3)*K52 + L52</f>
        <v>1.5464736188334025E-3</v>
      </c>
    </row>
    <row r="53" spans="1:13" ht="14">
      <c r="A53" s="55">
        <f t="shared" si="9"/>
        <v>34</v>
      </c>
      <c r="B53" s="55" t="s">
        <v>121</v>
      </c>
      <c r="C53" s="80">
        <v>480</v>
      </c>
      <c r="D53" s="56" t="s">
        <v>36</v>
      </c>
      <c r="E53" s="80">
        <v>531</v>
      </c>
      <c r="F53" s="80">
        <v>1122</v>
      </c>
      <c r="G53" s="57">
        <v>2E-3</v>
      </c>
      <c r="H53" s="58"/>
      <c r="I53" s="58">
        <f>INTERCEPT(G50:G56, E50:E56)</f>
        <v>-1.6355335004458477E-4</v>
      </c>
      <c r="J53" s="58">
        <f>INTERCEPT(G50:G56, F50:F56)</f>
        <v>-9.855345161378145E-5</v>
      </c>
      <c r="K53" s="60">
        <f>I51</f>
        <v>4.0812099495894684E-6</v>
      </c>
      <c r="L53" s="60">
        <f>I53</f>
        <v>-1.6355335004458477E-4</v>
      </c>
      <c r="M53" s="60">
        <f>(C53-$O$3)*K53+ L53</f>
        <v>1.79542742575836E-3</v>
      </c>
    </row>
    <row r="54" spans="1:13" ht="14">
      <c r="A54" s="55">
        <f t="shared" si="9"/>
        <v>34</v>
      </c>
      <c r="B54" s="55" t="s">
        <v>122</v>
      </c>
      <c r="C54" s="80">
        <v>4138</v>
      </c>
      <c r="D54" s="56" t="s">
        <v>37</v>
      </c>
      <c r="E54" s="80">
        <v>1260</v>
      </c>
      <c r="F54" s="80">
        <v>2696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1.9552898349197464E-6</v>
      </c>
      <c r="L54" s="60">
        <f>J53</f>
        <v>-9.855345161378145E-5</v>
      </c>
      <c r="M54" s="60">
        <f>(C54-$O$4)*K54 + L54</f>
        <v>7.3078400318328527E-3</v>
      </c>
    </row>
    <row r="55" spans="1:13" ht="14">
      <c r="A55" s="55">
        <f t="shared" si="9"/>
        <v>34</v>
      </c>
      <c r="B55" s="55" t="s">
        <v>123</v>
      </c>
      <c r="C55" s="80">
        <v>4133</v>
      </c>
      <c r="D55" s="56" t="s">
        <v>37</v>
      </c>
      <c r="E55" s="80">
        <v>2543</v>
      </c>
      <c r="F55" s="80">
        <v>5044</v>
      </c>
      <c r="G55" s="57">
        <v>0.01</v>
      </c>
      <c r="H55" s="58"/>
      <c r="I55" s="61">
        <f>RSQ(G50:G56, E50:E56)</f>
        <v>0.99980674072745057</v>
      </c>
      <c r="J55" s="61">
        <f>RSQ(G50:G56, F50:F56)</f>
        <v>0.99967799506592314</v>
      </c>
      <c r="K55" s="60">
        <f>J51</f>
        <v>1.9552898349197464E-6</v>
      </c>
      <c r="L55" s="60">
        <f>J53</f>
        <v>-9.855345161378145E-5</v>
      </c>
      <c r="M55" s="60">
        <f>(C55-$O$4)*K55 + L55</f>
        <v>7.2980635826582546E-3</v>
      </c>
    </row>
    <row r="56" spans="1:13" ht="14">
      <c r="A56" s="55">
        <f t="shared" si="9"/>
        <v>34</v>
      </c>
      <c r="B56" s="55" t="s">
        <v>124</v>
      </c>
      <c r="C56" s="80">
        <v>265</v>
      </c>
      <c r="D56" s="56" t="s">
        <v>38</v>
      </c>
      <c r="E56" s="80">
        <v>4915</v>
      </c>
      <c r="F56" s="80">
        <v>10311</v>
      </c>
      <c r="G56" s="57">
        <v>0.02</v>
      </c>
      <c r="H56" s="58"/>
      <c r="I56" s="58"/>
      <c r="J56" s="58"/>
      <c r="K56" s="60">
        <f>I51</f>
        <v>4.0812099495894684E-6</v>
      </c>
      <c r="L56" s="60">
        <f>I53</f>
        <v>-1.6355335004458477E-4</v>
      </c>
      <c r="M56" s="60">
        <f>(C56-$O$5)*K56 + L56</f>
        <v>9.1796728659662426E-4</v>
      </c>
    </row>
    <row r="57" spans="1:13" ht="14">
      <c r="A57" s="55">
        <f t="shared" si="9"/>
        <v>34</v>
      </c>
      <c r="B57" s="55" t="s">
        <v>125</v>
      </c>
      <c r="C57" s="80">
        <v>264</v>
      </c>
      <c r="D57" s="56" t="s">
        <v>38</v>
      </c>
      <c r="E57" s="80">
        <v>8</v>
      </c>
      <c r="F57" s="80">
        <v>16</v>
      </c>
      <c r="G57" s="56"/>
      <c r="H57" s="58"/>
      <c r="I57" s="58"/>
      <c r="J57" s="58"/>
      <c r="K57" s="60">
        <f>I51</f>
        <v>4.0812099495894684E-6</v>
      </c>
      <c r="L57" s="60">
        <f>I53</f>
        <v>-1.6355335004458477E-4</v>
      </c>
      <c r="M57" s="60">
        <f>(C57-$O$5)*K57 + L57</f>
        <v>9.1388607664703489E-4</v>
      </c>
    </row>
    <row r="58" spans="1:13" ht="14">
      <c r="A58" s="55">
        <f>P9</f>
        <v>39</v>
      </c>
      <c r="B58" s="55" t="s">
        <v>126</v>
      </c>
      <c r="C58" s="80">
        <v>1027</v>
      </c>
      <c r="D58" s="56" t="s">
        <v>35</v>
      </c>
      <c r="E58" s="80">
        <v>26</v>
      </c>
      <c r="F58" s="80">
        <v>30</v>
      </c>
      <c r="G58" s="57">
        <v>0</v>
      </c>
      <c r="H58" s="58"/>
      <c r="I58" s="62" t="s">
        <v>68</v>
      </c>
      <c r="J58" s="62" t="s">
        <v>68</v>
      </c>
      <c r="K58" s="60">
        <f>I59</f>
        <v>4.1752631228890393E-6</v>
      </c>
      <c r="L58" s="60">
        <f>I61</f>
        <v>-1.9207656881858534E-4</v>
      </c>
      <c r="M58" s="60">
        <f>(C58-$O$2)*K58+L58</f>
        <v>4.0959186583884579E-3</v>
      </c>
    </row>
    <row r="59" spans="1:13" ht="14">
      <c r="A59" s="55">
        <f t="shared" ref="A59:A65" si="10">A58</f>
        <v>39</v>
      </c>
      <c r="B59" s="55" t="s">
        <v>127</v>
      </c>
      <c r="C59" s="80">
        <v>976</v>
      </c>
      <c r="D59" s="56" t="s">
        <v>35</v>
      </c>
      <c r="E59" s="80">
        <v>150</v>
      </c>
      <c r="F59" s="80">
        <v>290</v>
      </c>
      <c r="G59" s="57">
        <v>5.0000000000000001E-4</v>
      </c>
      <c r="H59" s="58"/>
      <c r="I59" s="58">
        <f>SLOPE(G58:G64, E58:E64)</f>
        <v>4.1752631228890393E-6</v>
      </c>
      <c r="J59" s="58">
        <f>SLOPE(G58:G64, F58:F64)</f>
        <v>1.82090667491545E-6</v>
      </c>
      <c r="K59" s="60">
        <f>I59</f>
        <v>4.1752631228890393E-6</v>
      </c>
      <c r="L59" s="60">
        <f>I61</f>
        <v>-1.9207656881858534E-4</v>
      </c>
      <c r="M59" s="60">
        <f>(C59-$O$2)*K59+L59</f>
        <v>3.8829802391211173E-3</v>
      </c>
    </row>
    <row r="60" spans="1:13" ht="14">
      <c r="A60" s="55">
        <f t="shared" si="10"/>
        <v>39</v>
      </c>
      <c r="B60" s="55" t="s">
        <v>128</v>
      </c>
      <c r="C60" s="80">
        <v>447</v>
      </c>
      <c r="D60" s="56" t="s">
        <v>36</v>
      </c>
      <c r="E60" s="80">
        <v>283</v>
      </c>
      <c r="F60" s="80">
        <v>559</v>
      </c>
      <c r="G60" s="57">
        <v>1E-3</v>
      </c>
      <c r="H60" s="58"/>
      <c r="I60" s="62" t="s">
        <v>71</v>
      </c>
      <c r="J60" s="62" t="s">
        <v>71</v>
      </c>
      <c r="K60" s="60">
        <f>I59</f>
        <v>4.1752631228890393E-6</v>
      </c>
      <c r="L60" s="60">
        <f>I61</f>
        <v>-1.9207656881858534E-4</v>
      </c>
      <c r="M60" s="60">
        <f>(C60-$O$3)*K60 + L60</f>
        <v>1.6742660471128152E-3</v>
      </c>
    </row>
    <row r="61" spans="1:13" ht="14">
      <c r="A61" s="55">
        <f t="shared" si="10"/>
        <v>39</v>
      </c>
      <c r="B61" s="55" t="s">
        <v>129</v>
      </c>
      <c r="C61" s="80">
        <v>461</v>
      </c>
      <c r="D61" s="56" t="s">
        <v>36</v>
      </c>
      <c r="E61" s="80">
        <v>531</v>
      </c>
      <c r="F61" s="80">
        <v>1118</v>
      </c>
      <c r="G61" s="57">
        <v>2E-3</v>
      </c>
      <c r="H61" s="58"/>
      <c r="I61" s="58">
        <f>INTERCEPT(G58:G64, E58:E64)</f>
        <v>-1.9207656881858534E-4</v>
      </c>
      <c r="J61" s="58">
        <f>INTERCEPT(G58:G64, F58:F64)</f>
        <v>3.3638161903819241E-5</v>
      </c>
      <c r="K61" s="60">
        <f>I59</f>
        <v>4.1752631228890393E-6</v>
      </c>
      <c r="L61" s="60">
        <f>I61</f>
        <v>-1.9207656881858534E-4</v>
      </c>
      <c r="M61" s="60">
        <f>(C61-$O$3)*K61+ L61</f>
        <v>1.7327197308332617E-3</v>
      </c>
    </row>
    <row r="62" spans="1:13" ht="14">
      <c r="A62" s="55">
        <f t="shared" si="10"/>
        <v>39</v>
      </c>
      <c r="B62" s="55" t="s">
        <v>130</v>
      </c>
      <c r="C62" s="80">
        <v>3988</v>
      </c>
      <c r="D62" s="56" t="s">
        <v>37</v>
      </c>
      <c r="E62" s="80">
        <v>1302</v>
      </c>
      <c r="F62" s="80">
        <v>2773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1.82090667491545E-6</v>
      </c>
      <c r="L62" s="60">
        <f>J61</f>
        <v>3.3638161903819241E-5</v>
      </c>
      <c r="M62" s="60">
        <f>(C62-$O$4)*K62 + L62</f>
        <v>6.6578690319118615E-3</v>
      </c>
    </row>
    <row r="63" spans="1:13" ht="14">
      <c r="A63" s="55">
        <f t="shared" si="10"/>
        <v>39</v>
      </c>
      <c r="B63" s="55" t="s">
        <v>131</v>
      </c>
      <c r="C63" s="80">
        <v>3983</v>
      </c>
      <c r="D63" s="56" t="s">
        <v>37</v>
      </c>
      <c r="E63" s="80">
        <v>2420</v>
      </c>
      <c r="F63" s="80">
        <v>5144</v>
      </c>
      <c r="G63" s="57">
        <v>0.01</v>
      </c>
      <c r="H63" s="58"/>
      <c r="I63" s="61">
        <f>RSQ(G58:G64, E58:E64)</f>
        <v>0.99974938515682343</v>
      </c>
      <c r="J63" s="61">
        <f>RSQ(G58:G64, F58:F64)</f>
        <v>0.99860008506791798</v>
      </c>
      <c r="K63" s="60">
        <f>J59</f>
        <v>1.82090667491545E-6</v>
      </c>
      <c r="L63" s="60">
        <f>J61</f>
        <v>3.3638161903819241E-5</v>
      </c>
      <c r="M63" s="60">
        <f>(C63-$O$4)*K63 + L63</f>
        <v>6.648764498537285E-3</v>
      </c>
    </row>
    <row r="64" spans="1:13" ht="14">
      <c r="A64" s="55">
        <f t="shared" si="10"/>
        <v>39</v>
      </c>
      <c r="B64" s="55" t="s">
        <v>132</v>
      </c>
      <c r="C64" s="80">
        <v>256</v>
      </c>
      <c r="D64" s="56" t="s">
        <v>38</v>
      </c>
      <c r="E64" s="80">
        <v>4831</v>
      </c>
      <c r="F64" s="80">
        <v>11100</v>
      </c>
      <c r="G64" s="57">
        <v>0.02</v>
      </c>
      <c r="H64" s="58"/>
      <c r="I64" s="58"/>
      <c r="J64" s="58"/>
      <c r="K64" s="60">
        <f>I59</f>
        <v>4.1752631228890393E-6</v>
      </c>
      <c r="L64" s="60">
        <f>I61</f>
        <v>-1.9207656881858534E-4</v>
      </c>
      <c r="M64" s="60">
        <f>(C64-$O$5)*K64 + L64</f>
        <v>8.7679079064100873E-4</v>
      </c>
    </row>
    <row r="65" spans="1:26" ht="14">
      <c r="A65" s="55">
        <f t="shared" si="10"/>
        <v>39</v>
      </c>
      <c r="B65" s="55" t="s">
        <v>133</v>
      </c>
      <c r="C65" s="80">
        <v>254</v>
      </c>
      <c r="D65" s="56" t="s">
        <v>38</v>
      </c>
      <c r="E65" s="80">
        <v>10</v>
      </c>
      <c r="F65" s="80">
        <v>16</v>
      </c>
      <c r="G65" s="56"/>
      <c r="H65" s="58"/>
      <c r="I65" s="58"/>
      <c r="J65" s="58"/>
      <c r="K65" s="60">
        <f>I59</f>
        <v>4.1752631228890393E-6</v>
      </c>
      <c r="L65" s="60">
        <f>I61</f>
        <v>-1.9207656881858534E-4</v>
      </c>
      <c r="M65" s="60">
        <f>(C65-$O$5)*K65 + L65</f>
        <v>8.6844026439523059E-4</v>
      </c>
    </row>
    <row r="66" spans="1:26" ht="14">
      <c r="A66" s="55">
        <f>P10</f>
        <v>44</v>
      </c>
      <c r="B66" s="55" t="s">
        <v>134</v>
      </c>
      <c r="C66" s="80">
        <v>1055</v>
      </c>
      <c r="D66" s="56" t="s">
        <v>35</v>
      </c>
      <c r="E66" s="80">
        <v>26</v>
      </c>
      <c r="F66" s="80">
        <v>25</v>
      </c>
      <c r="G66" s="57">
        <v>0</v>
      </c>
      <c r="H66" s="58"/>
      <c r="I66" s="62" t="s">
        <v>68</v>
      </c>
      <c r="J66" s="62" t="s">
        <v>68</v>
      </c>
      <c r="K66" s="60">
        <f>I67</f>
        <v>3.7107952759837487E-6</v>
      </c>
      <c r="L66" s="60">
        <f>I69</f>
        <v>-1.6426393198376403E-4</v>
      </c>
      <c r="M66" s="60">
        <f>(C66-$O$2)*K66+L66</f>
        <v>3.7506250841790913E-3</v>
      </c>
    </row>
    <row r="67" spans="1:26" ht="14">
      <c r="A67" s="55">
        <f t="shared" ref="A67:A73" si="11">A66</f>
        <v>44</v>
      </c>
      <c r="B67" s="55" t="s">
        <v>135</v>
      </c>
      <c r="C67" s="80">
        <v>1027</v>
      </c>
      <c r="D67" s="56" t="s">
        <v>35</v>
      </c>
      <c r="E67" s="80">
        <v>158</v>
      </c>
      <c r="F67" s="80">
        <v>268</v>
      </c>
      <c r="G67" s="57">
        <v>5.0000000000000001E-4</v>
      </c>
      <c r="H67" s="58"/>
      <c r="I67" s="58">
        <f>SLOPE(G66:G72, E66:E72)</f>
        <v>3.7107952759837487E-6</v>
      </c>
      <c r="J67" s="58">
        <f>SLOPE(G66:G72, F66:F72)</f>
        <v>1.8802305331185559E-6</v>
      </c>
      <c r="K67" s="60">
        <f>I67</f>
        <v>3.7107952759837487E-6</v>
      </c>
      <c r="L67" s="60">
        <f>I69</f>
        <v>-1.6426393198376403E-4</v>
      </c>
      <c r="M67" s="60">
        <f>(C67-$O$2)*K67+L67</f>
        <v>3.6467228164515459E-3</v>
      </c>
    </row>
    <row r="68" spans="1:26" ht="14">
      <c r="A68" s="55">
        <f t="shared" si="11"/>
        <v>44</v>
      </c>
      <c r="B68" s="55" t="s">
        <v>136</v>
      </c>
      <c r="C68" s="80">
        <v>455</v>
      </c>
      <c r="D68" s="56" t="s">
        <v>36</v>
      </c>
      <c r="E68" s="80">
        <v>303</v>
      </c>
      <c r="F68" s="80">
        <v>540</v>
      </c>
      <c r="G68" s="57">
        <v>1E-3</v>
      </c>
      <c r="H68" s="58"/>
      <c r="I68" s="62" t="s">
        <v>71</v>
      </c>
      <c r="J68" s="62" t="s">
        <v>71</v>
      </c>
      <c r="K68" s="60">
        <f>I67</f>
        <v>3.7107952759837487E-6</v>
      </c>
      <c r="L68" s="60">
        <f>I69</f>
        <v>-1.6426393198376403E-4</v>
      </c>
      <c r="M68" s="60">
        <f>(C68-$O$3)*K68 + L68</f>
        <v>1.5241479185888417E-3</v>
      </c>
    </row>
    <row r="69" spans="1:26" ht="14">
      <c r="A69" s="55">
        <f t="shared" si="11"/>
        <v>44</v>
      </c>
      <c r="B69" s="55" t="s">
        <v>137</v>
      </c>
      <c r="C69" s="80">
        <v>452</v>
      </c>
      <c r="D69" s="56" t="s">
        <v>36</v>
      </c>
      <c r="E69" s="80">
        <v>597</v>
      </c>
      <c r="F69" s="80">
        <v>1061</v>
      </c>
      <c r="G69" s="57">
        <v>2E-3</v>
      </c>
      <c r="H69" s="58"/>
      <c r="I69" s="58">
        <f>INTERCEPT(G66:G72, E66:E72)</f>
        <v>-1.6426393198376403E-4</v>
      </c>
      <c r="J69" s="58">
        <f>INTERCEPT(G66:G72, F66:F72)</f>
        <v>-1.3104527465480041E-5</v>
      </c>
      <c r="K69" s="60">
        <f>I67</f>
        <v>3.7107952759837487E-6</v>
      </c>
      <c r="L69" s="60">
        <f>I69</f>
        <v>-1.6426393198376403E-4</v>
      </c>
      <c r="M69" s="60">
        <f>(C69-$O$3)*K69+ L69</f>
        <v>1.5130155327608905E-3</v>
      </c>
    </row>
    <row r="70" spans="1:26" ht="14">
      <c r="A70" s="55">
        <f t="shared" si="11"/>
        <v>44</v>
      </c>
      <c r="B70" s="55" t="s">
        <v>138</v>
      </c>
      <c r="C70" s="80">
        <v>4328</v>
      </c>
      <c r="D70" s="56" t="s">
        <v>37</v>
      </c>
      <c r="E70" s="80">
        <v>1424</v>
      </c>
      <c r="F70" s="80">
        <v>2634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1.8802305331185559E-6</v>
      </c>
      <c r="L70" s="60">
        <f>J69</f>
        <v>-1.3104527465480041E-5</v>
      </c>
      <c r="M70" s="60">
        <f>(C70-$O$4)*K70 + L70</f>
        <v>7.466217504463496E-3</v>
      </c>
    </row>
    <row r="71" spans="1:26" ht="14">
      <c r="A71" s="55">
        <f t="shared" si="11"/>
        <v>44</v>
      </c>
      <c r="B71" s="55" t="s">
        <v>139</v>
      </c>
      <c r="C71" s="80">
        <v>4383</v>
      </c>
      <c r="D71" s="56" t="s">
        <v>37</v>
      </c>
      <c r="E71" s="80">
        <v>2765</v>
      </c>
      <c r="F71" s="80">
        <v>5363</v>
      </c>
      <c r="G71" s="57">
        <v>0.01</v>
      </c>
      <c r="H71" s="58"/>
      <c r="I71" s="61">
        <f>RSQ(G66:G72, E66:E72)</f>
        <v>0.99985834973943899</v>
      </c>
      <c r="J71" s="61">
        <f>RSQ(G66:G72, F66:F72)</f>
        <v>0.99996681211664806</v>
      </c>
      <c r="K71" s="60">
        <f>J67</f>
        <v>1.8802305331185559E-6</v>
      </c>
      <c r="L71" s="60">
        <f>J69</f>
        <v>-1.3104527465480041E-5</v>
      </c>
      <c r="M71" s="60">
        <f>(C71-$O$4)*K71 + L71</f>
        <v>7.5696301837850167E-3</v>
      </c>
    </row>
    <row r="72" spans="1:26" ht="14">
      <c r="A72" s="55">
        <f t="shared" si="11"/>
        <v>44</v>
      </c>
      <c r="B72" s="55" t="s">
        <v>140</v>
      </c>
      <c r="C72" s="80">
        <v>273</v>
      </c>
      <c r="D72" s="56" t="s">
        <v>38</v>
      </c>
      <c r="E72" s="80">
        <v>5412</v>
      </c>
      <c r="F72" s="80">
        <v>10634</v>
      </c>
      <c r="G72" s="57">
        <v>0.02</v>
      </c>
      <c r="H72" s="58"/>
      <c r="I72" s="58"/>
      <c r="J72" s="58"/>
      <c r="K72" s="60">
        <f>I67</f>
        <v>3.7107952759837487E-6</v>
      </c>
      <c r="L72" s="60">
        <f>I69</f>
        <v>-1.6426393198376403E-4</v>
      </c>
      <c r="M72" s="60">
        <f>(C72-$O$5)*K72 + L72</f>
        <v>8.4878317835979946E-4</v>
      </c>
    </row>
    <row r="73" spans="1:26" ht="14">
      <c r="A73" s="55">
        <f t="shared" si="11"/>
        <v>44</v>
      </c>
      <c r="B73" s="55" t="s">
        <v>141</v>
      </c>
      <c r="C73" s="80">
        <v>287</v>
      </c>
      <c r="D73" s="56" t="s">
        <v>38</v>
      </c>
      <c r="E73" s="80">
        <v>9</v>
      </c>
      <c r="F73" s="80">
        <v>17</v>
      </c>
      <c r="G73" s="56"/>
      <c r="H73" s="58"/>
      <c r="I73" s="58"/>
      <c r="J73" s="58"/>
      <c r="K73" s="60">
        <f>I67</f>
        <v>3.7107952759837487E-6</v>
      </c>
      <c r="L73" s="60">
        <f>I69</f>
        <v>-1.6426393198376403E-4</v>
      </c>
      <c r="M73" s="60">
        <f>(C73-$O$5)*K73 + L73</f>
        <v>9.0073431222357191E-4</v>
      </c>
    </row>
    <row r="74" spans="1:26" ht="14">
      <c r="A74" s="55">
        <f>P11</f>
        <v>49</v>
      </c>
      <c r="B74" s="55" t="s">
        <v>142</v>
      </c>
      <c r="C74" s="80">
        <v>1068</v>
      </c>
      <c r="D74" s="56" t="s">
        <v>35</v>
      </c>
      <c r="E74" s="80">
        <v>24</v>
      </c>
      <c r="F74" s="80">
        <v>31</v>
      </c>
      <c r="G74" s="57">
        <v>0</v>
      </c>
      <c r="H74" s="58"/>
      <c r="I74" s="62" t="s">
        <v>68</v>
      </c>
      <c r="J74" s="62" t="s">
        <v>68</v>
      </c>
      <c r="K74" s="60">
        <f>I75</f>
        <v>3.846655747051539E-6</v>
      </c>
      <c r="L74" s="60">
        <f>I77</f>
        <v>-1.8700576089090981E-4</v>
      </c>
      <c r="M74" s="60">
        <f>(C74-$O$2)*K74+L74</f>
        <v>3.9212225769601336E-3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49</v>
      </c>
      <c r="B75" s="55" t="s">
        <v>143</v>
      </c>
      <c r="C75" s="80">
        <v>1097</v>
      </c>
      <c r="D75" s="56" t="s">
        <v>35</v>
      </c>
      <c r="E75" s="80">
        <v>150</v>
      </c>
      <c r="F75" s="80">
        <v>266</v>
      </c>
      <c r="G75" s="57">
        <v>5.0000000000000001E-4</v>
      </c>
      <c r="H75" s="58"/>
      <c r="I75" s="58">
        <f>SLOPE(G74:G80, E74:E80)</f>
        <v>3.846655747051539E-6</v>
      </c>
      <c r="J75" s="58">
        <f>SLOPE(G74:G80, F74:F80)</f>
        <v>1.8664051334570551E-6</v>
      </c>
      <c r="K75" s="60">
        <f>I75</f>
        <v>3.846655747051539E-6</v>
      </c>
      <c r="L75" s="60">
        <f>I77</f>
        <v>-1.8700576089090981E-4</v>
      </c>
      <c r="M75" s="60">
        <f>(C75-$O$2)*K75+L75</f>
        <v>4.0327755936246283E-3</v>
      </c>
    </row>
    <row r="76" spans="1:26" ht="14">
      <c r="A76" s="55">
        <f t="shared" si="12"/>
        <v>49</v>
      </c>
      <c r="B76" s="55" t="s">
        <v>144</v>
      </c>
      <c r="C76" s="80">
        <v>498</v>
      </c>
      <c r="D76" s="56" t="s">
        <v>36</v>
      </c>
      <c r="E76" s="80">
        <v>297</v>
      </c>
      <c r="F76" s="80">
        <v>545</v>
      </c>
      <c r="G76" s="57">
        <v>1E-3</v>
      </c>
      <c r="H76" s="58"/>
      <c r="I76" s="62" t="s">
        <v>71</v>
      </c>
      <c r="J76" s="62" t="s">
        <v>71</v>
      </c>
      <c r="K76" s="60">
        <f>I75</f>
        <v>3.846655747051539E-6</v>
      </c>
      <c r="L76" s="60">
        <f>I77</f>
        <v>-1.8700576089090981E-4</v>
      </c>
      <c r="M76" s="60">
        <f>(C76-$O$3)*K76 + L76</f>
        <v>1.7286288011407567E-3</v>
      </c>
    </row>
    <row r="77" spans="1:26" ht="14">
      <c r="A77" s="55">
        <f t="shared" si="12"/>
        <v>49</v>
      </c>
      <c r="B77" s="55" t="s">
        <v>145</v>
      </c>
      <c r="C77" s="80">
        <v>470</v>
      </c>
      <c r="D77" s="56" t="s">
        <v>36</v>
      </c>
      <c r="E77" s="80">
        <v>602</v>
      </c>
      <c r="F77" s="80">
        <v>1072</v>
      </c>
      <c r="G77" s="57">
        <v>2E-3</v>
      </c>
      <c r="H77" s="58"/>
      <c r="I77" s="58">
        <f>INTERCEPT(G74:G80, E74:E80)</f>
        <v>-1.8700576089090981E-4</v>
      </c>
      <c r="J77" s="58">
        <f>INTERCEPT(G74:G80, F74:F80)</f>
        <v>1.1728759510985353E-4</v>
      </c>
      <c r="K77" s="60">
        <f>I75</f>
        <v>3.846655747051539E-6</v>
      </c>
      <c r="L77" s="60">
        <f>I77</f>
        <v>-1.8700576089090981E-4</v>
      </c>
      <c r="M77" s="60">
        <f>(C77-$O$3)*K77+ L77</f>
        <v>1.6209224402233134E-3</v>
      </c>
    </row>
    <row r="78" spans="1:26" ht="14">
      <c r="A78" s="55">
        <f t="shared" si="12"/>
        <v>49</v>
      </c>
      <c r="B78" s="55" t="s">
        <v>146</v>
      </c>
      <c r="C78" s="80">
        <v>4666</v>
      </c>
      <c r="D78" s="56" t="s">
        <v>37</v>
      </c>
      <c r="E78" s="80">
        <v>1387</v>
      </c>
      <c r="F78" s="80">
        <v>2622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1.8664051334570551E-6</v>
      </c>
      <c r="L78" s="60">
        <f>J77</f>
        <v>1.1728759510985353E-4</v>
      </c>
      <c r="M78" s="60">
        <f>(C78-$O$4)*K78 + L78</f>
        <v>8.1724588504688209E-3</v>
      </c>
    </row>
    <row r="79" spans="1:26" ht="14">
      <c r="A79" s="55">
        <f t="shared" si="12"/>
        <v>49</v>
      </c>
      <c r="B79" s="55" t="s">
        <v>147</v>
      </c>
      <c r="C79" s="80">
        <v>4626</v>
      </c>
      <c r="D79" s="56" t="s">
        <v>37</v>
      </c>
      <c r="E79" s="80">
        <v>2659</v>
      </c>
      <c r="F79" s="80">
        <v>4789</v>
      </c>
      <c r="G79" s="57">
        <v>0.01</v>
      </c>
      <c r="H79" s="58"/>
      <c r="I79" s="61">
        <f>RSQ(G74:G80, E74:E80)</f>
        <v>0.99978628798915847</v>
      </c>
      <c r="J79" s="61">
        <f>RSQ(G74:G80, F74:F80)</f>
        <v>0.99647868173973386</v>
      </c>
      <c r="K79" s="60">
        <f>J75</f>
        <v>1.8664051334570551E-6</v>
      </c>
      <c r="L79" s="60">
        <f>J77</f>
        <v>1.1728759510985353E-4</v>
      </c>
      <c r="M79" s="60">
        <f>(C79-$O$4)*K79 + L79</f>
        <v>8.0978026451305404E-3</v>
      </c>
    </row>
    <row r="80" spans="1:26" ht="14">
      <c r="A80" s="55">
        <f t="shared" si="12"/>
        <v>49</v>
      </c>
      <c r="B80" s="55" t="s">
        <v>148</v>
      </c>
      <c r="C80" s="80">
        <v>271</v>
      </c>
      <c r="D80" s="56" t="s">
        <v>38</v>
      </c>
      <c r="E80" s="80">
        <v>5230</v>
      </c>
      <c r="F80" s="80">
        <v>10863</v>
      </c>
      <c r="G80" s="57">
        <v>0.02</v>
      </c>
      <c r="H80" s="58"/>
      <c r="I80" s="58"/>
      <c r="J80" s="58"/>
      <c r="K80" s="60">
        <f>I75</f>
        <v>3.846655747051539E-6</v>
      </c>
      <c r="L80" s="60">
        <f>I77</f>
        <v>-1.8700576089090981E-4</v>
      </c>
      <c r="M80" s="60">
        <f>(C80-$O$5)*K80 + L80</f>
        <v>8.5543794656005724E-4</v>
      </c>
    </row>
    <row r="81" spans="1:13" ht="14">
      <c r="A81" s="55">
        <f t="shared" si="12"/>
        <v>49</v>
      </c>
      <c r="B81" s="55" t="s">
        <v>149</v>
      </c>
      <c r="C81" s="80">
        <v>296</v>
      </c>
      <c r="D81" s="56" t="s">
        <v>38</v>
      </c>
      <c r="E81" s="80">
        <v>9</v>
      </c>
      <c r="F81" s="80">
        <v>17</v>
      </c>
      <c r="G81" s="56"/>
      <c r="H81" s="58"/>
      <c r="I81" s="58"/>
      <c r="J81" s="58"/>
      <c r="K81" s="60">
        <f>I75</f>
        <v>3.846655747051539E-6</v>
      </c>
      <c r="L81" s="60">
        <f>I77</f>
        <v>-1.8700576089090981E-4</v>
      </c>
      <c r="M81" s="60">
        <f>(C81-$O$5)*K81 + L81</f>
        <v>9.5160434023634582E-4</v>
      </c>
    </row>
    <row r="82" spans="1:13" ht="14">
      <c r="A82" s="55">
        <f>P12</f>
        <v>54</v>
      </c>
      <c r="B82" s="55" t="s">
        <v>150</v>
      </c>
      <c r="C82" s="80">
        <v>1127</v>
      </c>
      <c r="D82" s="56" t="s">
        <v>35</v>
      </c>
      <c r="E82" s="80">
        <v>24</v>
      </c>
      <c r="F82" s="80">
        <v>23</v>
      </c>
      <c r="G82" s="57">
        <v>0</v>
      </c>
      <c r="H82" s="58"/>
      <c r="I82" s="62" t="s">
        <v>68</v>
      </c>
      <c r="J82" s="62" t="s">
        <v>68</v>
      </c>
      <c r="K82" s="60">
        <f>I83</f>
        <v>3.8412694074751766E-6</v>
      </c>
      <c r="L82" s="60">
        <f>I85</f>
        <v>-1.3623972631107619E-4</v>
      </c>
      <c r="M82" s="60">
        <f>(C82-$O$2)*K82+L82</f>
        <v>4.192870895913448E-3</v>
      </c>
    </row>
    <row r="83" spans="1:13" ht="14">
      <c r="A83" s="55">
        <f t="shared" ref="A83:A89" si="13">A82</f>
        <v>54</v>
      </c>
      <c r="B83" s="55" t="s">
        <v>151</v>
      </c>
      <c r="C83" s="80">
        <v>1120</v>
      </c>
      <c r="D83" s="56" t="s">
        <v>35</v>
      </c>
      <c r="E83" s="80">
        <v>161</v>
      </c>
      <c r="F83" s="80">
        <v>272</v>
      </c>
      <c r="G83" s="57">
        <v>5.0000000000000001E-4</v>
      </c>
      <c r="H83" s="58"/>
      <c r="I83" s="58">
        <f>SLOPE(G82:G88, E82:E88)</f>
        <v>3.8412694074751766E-6</v>
      </c>
      <c r="J83" s="58">
        <f>SLOPE(G82:G88, F82:F88)</f>
        <v>1.7434294662861003E-6</v>
      </c>
      <c r="K83" s="60">
        <f>I83</f>
        <v>3.8412694074751766E-6</v>
      </c>
      <c r="L83" s="60">
        <f>I85</f>
        <v>-1.3623972631107619E-4</v>
      </c>
      <c r="M83" s="60">
        <f>(C83-$O$2)*K83+L83</f>
        <v>4.1659820100611216E-3</v>
      </c>
    </row>
    <row r="84" spans="1:13" ht="14">
      <c r="A84" s="55">
        <f t="shared" si="13"/>
        <v>54</v>
      </c>
      <c r="B84" s="55" t="s">
        <v>152</v>
      </c>
      <c r="C84" s="80">
        <v>477</v>
      </c>
      <c r="D84" s="56" t="s">
        <v>36</v>
      </c>
      <c r="E84" s="80">
        <v>288</v>
      </c>
      <c r="F84" s="80">
        <v>519</v>
      </c>
      <c r="G84" s="57">
        <v>1E-3</v>
      </c>
      <c r="H84" s="58"/>
      <c r="I84" s="62" t="s">
        <v>71</v>
      </c>
      <c r="J84" s="62" t="s">
        <v>71</v>
      </c>
      <c r="K84" s="60">
        <f>I83</f>
        <v>3.8412694074751766E-6</v>
      </c>
      <c r="L84" s="60">
        <f>I85</f>
        <v>-1.3623972631107619E-4</v>
      </c>
      <c r="M84" s="60">
        <f>(C84-$O$3)*K84 + L84</f>
        <v>1.696045781054583E-3</v>
      </c>
    </row>
    <row r="85" spans="1:13" ht="14">
      <c r="A85" s="55">
        <f t="shared" si="13"/>
        <v>54</v>
      </c>
      <c r="B85" s="55" t="s">
        <v>153</v>
      </c>
      <c r="C85" s="80">
        <v>513</v>
      </c>
      <c r="D85" s="56" t="s">
        <v>36</v>
      </c>
      <c r="E85" s="80">
        <v>585</v>
      </c>
      <c r="F85" s="80">
        <v>1076</v>
      </c>
      <c r="G85" s="57">
        <v>2E-3</v>
      </c>
      <c r="H85" s="58"/>
      <c r="I85" s="58">
        <f>INTERCEPT(G82:G88, E82:E88)</f>
        <v>-1.3623972631107619E-4</v>
      </c>
      <c r="J85" s="58">
        <f>INTERCEPT(G82:G88, F82:F88)</f>
        <v>3.2550134406285521E-4</v>
      </c>
      <c r="K85" s="60">
        <f>I83</f>
        <v>3.8412694074751766E-6</v>
      </c>
      <c r="L85" s="60">
        <f>I85</f>
        <v>-1.3623972631107619E-4</v>
      </c>
      <c r="M85" s="60">
        <f>(C85-$O$3)*K85+ L85</f>
        <v>1.8343314797236894E-3</v>
      </c>
    </row>
    <row r="86" spans="1:13" ht="14">
      <c r="A86" s="55">
        <f t="shared" si="13"/>
        <v>54</v>
      </c>
      <c r="B86" s="55" t="s">
        <v>154</v>
      </c>
      <c r="C86" s="80">
        <v>4737</v>
      </c>
      <c r="D86" s="56" t="s">
        <v>37</v>
      </c>
      <c r="E86" s="80">
        <v>1378</v>
      </c>
      <c r="F86" s="80">
        <v>2596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1.7434294662861003E-6</v>
      </c>
      <c r="L86" s="60">
        <f>J85</f>
        <v>3.2550134406285521E-4</v>
      </c>
      <c r="M86" s="60">
        <f>(C86-$O$4)*K86 + L86</f>
        <v>7.9737084839766915E-3</v>
      </c>
    </row>
    <row r="87" spans="1:13" ht="14">
      <c r="A87" s="55">
        <f t="shared" si="13"/>
        <v>54</v>
      </c>
      <c r="B87" s="55" t="s">
        <v>155</v>
      </c>
      <c r="C87" s="80">
        <v>4849</v>
      </c>
      <c r="D87" s="56" t="s">
        <v>37</v>
      </c>
      <c r="E87" s="80">
        <v>2575</v>
      </c>
      <c r="F87" s="80">
        <v>4647</v>
      </c>
      <c r="G87" s="57">
        <v>0.01</v>
      </c>
      <c r="H87" s="58"/>
      <c r="I87" s="61">
        <f>RSQ(G82:G88, E82:E88)</f>
        <v>0.9996707649821116</v>
      </c>
      <c r="J87" s="61">
        <f>RSQ(G82:G88, F82:F88)</f>
        <v>0.9899449781738614</v>
      </c>
      <c r="K87" s="60">
        <f>J83</f>
        <v>1.7434294662861003E-6</v>
      </c>
      <c r="L87" s="60">
        <f>J85</f>
        <v>3.2550134406285521E-4</v>
      </c>
      <c r="M87" s="60">
        <f>(C87-$O$4)*K87 + L87</f>
        <v>8.1689725842007347E-3</v>
      </c>
    </row>
    <row r="88" spans="1:13" ht="14">
      <c r="A88" s="55">
        <f t="shared" si="13"/>
        <v>54</v>
      </c>
      <c r="B88" s="55" t="s">
        <v>156</v>
      </c>
      <c r="C88" s="80">
        <v>272</v>
      </c>
      <c r="D88" s="56" t="s">
        <v>38</v>
      </c>
      <c r="E88" s="80">
        <v>5260</v>
      </c>
      <c r="F88" s="80">
        <v>11643</v>
      </c>
      <c r="G88" s="57">
        <v>0.02</v>
      </c>
      <c r="H88" s="58"/>
      <c r="I88" s="58"/>
      <c r="J88" s="58"/>
      <c r="K88" s="60">
        <f>I83</f>
        <v>3.8412694074751766E-6</v>
      </c>
      <c r="L88" s="60">
        <f>I85</f>
        <v>-1.3623972631107619E-4</v>
      </c>
      <c r="M88" s="60">
        <f>(C88-$O$5)*K88 + L88</f>
        <v>9.0858555252217184E-4</v>
      </c>
    </row>
    <row r="89" spans="1:13" ht="14">
      <c r="A89" s="55">
        <f t="shared" si="13"/>
        <v>54</v>
      </c>
      <c r="B89" s="55" t="s">
        <v>157</v>
      </c>
      <c r="C89" s="80">
        <v>290</v>
      </c>
      <c r="D89" s="56" t="s">
        <v>38</v>
      </c>
      <c r="E89" s="80">
        <v>9</v>
      </c>
      <c r="F89" s="80">
        <v>17</v>
      </c>
      <c r="G89" s="56"/>
      <c r="H89" s="58"/>
      <c r="I89" s="58"/>
      <c r="J89" s="58"/>
      <c r="K89" s="60">
        <f>I83</f>
        <v>3.8412694074751766E-6</v>
      </c>
      <c r="L89" s="60">
        <f>I85</f>
        <v>-1.3623972631107619E-4</v>
      </c>
      <c r="M89" s="60">
        <f>(C89-$O$5)*K89 + L89</f>
        <v>9.7772840185672495E-4</v>
      </c>
    </row>
    <row r="90" spans="1:13" ht="14">
      <c r="A90" s="55">
        <f>P13</f>
        <v>59</v>
      </c>
      <c r="B90" s="55" t="s">
        <v>158</v>
      </c>
      <c r="C90" s="80">
        <v>1078</v>
      </c>
      <c r="D90" s="56" t="s">
        <v>35</v>
      </c>
      <c r="E90" s="80">
        <v>31</v>
      </c>
      <c r="F90" s="80">
        <v>28</v>
      </c>
      <c r="G90" s="57">
        <v>0</v>
      </c>
      <c r="H90" s="58"/>
      <c r="I90" s="62" t="s">
        <v>68</v>
      </c>
      <c r="J90" s="62" t="s">
        <v>68</v>
      </c>
      <c r="K90" s="60">
        <f>I91</f>
        <v>3.9196120781923668E-6</v>
      </c>
      <c r="L90" s="60">
        <f>I93</f>
        <v>-1.548803396663875E-4</v>
      </c>
      <c r="M90" s="60">
        <f>(C90-$O$2)*K90+L90</f>
        <v>4.0704614806249843E-3</v>
      </c>
    </row>
    <row r="91" spans="1:13" ht="14">
      <c r="A91" s="55">
        <f t="shared" ref="A91:A97" si="14">A90</f>
        <v>59</v>
      </c>
      <c r="B91" s="55" t="s">
        <v>159</v>
      </c>
      <c r="C91" s="80">
        <v>1075</v>
      </c>
      <c r="D91" s="56" t="s">
        <v>35</v>
      </c>
      <c r="E91" s="80">
        <v>165</v>
      </c>
      <c r="F91" s="80">
        <v>258</v>
      </c>
      <c r="G91" s="57">
        <v>5.0000000000000001E-4</v>
      </c>
      <c r="H91" s="58"/>
      <c r="I91" s="58">
        <f>SLOPE(G90:G96, E90:E96)</f>
        <v>3.9196120781923668E-6</v>
      </c>
      <c r="J91" s="58">
        <f>SLOPE(G90:G96, F90:F96)</f>
        <v>1.7766753343544257E-6</v>
      </c>
      <c r="K91" s="60">
        <f>I91</f>
        <v>3.9196120781923668E-6</v>
      </c>
      <c r="L91" s="60">
        <f>I93</f>
        <v>-1.548803396663875E-4</v>
      </c>
      <c r="M91" s="60">
        <f>(C91-$O$2)*K91+L91</f>
        <v>4.0587026443904065E-3</v>
      </c>
    </row>
    <row r="92" spans="1:13" ht="14">
      <c r="A92" s="55">
        <f t="shared" si="14"/>
        <v>59</v>
      </c>
      <c r="B92" s="55" t="s">
        <v>160</v>
      </c>
      <c r="C92" s="80">
        <v>502</v>
      </c>
      <c r="D92" s="56" t="s">
        <v>36</v>
      </c>
      <c r="E92" s="80">
        <v>314</v>
      </c>
      <c r="F92" s="80">
        <v>547</v>
      </c>
      <c r="G92" s="57">
        <v>1E-3</v>
      </c>
      <c r="H92" s="58"/>
      <c r="I92" s="62" t="s">
        <v>71</v>
      </c>
      <c r="J92" s="62" t="s">
        <v>71</v>
      </c>
      <c r="K92" s="60">
        <f>I91</f>
        <v>3.9196120781923668E-6</v>
      </c>
      <c r="L92" s="60">
        <f>I93</f>
        <v>-1.548803396663875E-4</v>
      </c>
      <c r="M92" s="60">
        <f>(C92-$O$3)*K92 + L92</f>
        <v>1.8127649235861808E-3</v>
      </c>
    </row>
    <row r="93" spans="1:13" ht="14">
      <c r="A93" s="55">
        <f t="shared" si="14"/>
        <v>59</v>
      </c>
      <c r="B93" s="55" t="s">
        <v>161</v>
      </c>
      <c r="C93" s="80">
        <v>520</v>
      </c>
      <c r="D93" s="56" t="s">
        <v>36</v>
      </c>
      <c r="E93" s="80">
        <v>594</v>
      </c>
      <c r="F93" s="80">
        <v>1053</v>
      </c>
      <c r="G93" s="57">
        <v>2E-3</v>
      </c>
      <c r="H93" s="58"/>
      <c r="I93" s="58">
        <f>INTERCEPT(G90:G96, E90:E96)</f>
        <v>-1.548803396663875E-4</v>
      </c>
      <c r="J93" s="58">
        <f>INTERCEPT(G90:G96, F90:F96)</f>
        <v>3.3169996191432724E-5</v>
      </c>
      <c r="K93" s="60">
        <f>I91</f>
        <v>3.9196120781923668E-6</v>
      </c>
      <c r="L93" s="60">
        <f>I93</f>
        <v>-1.548803396663875E-4</v>
      </c>
      <c r="M93" s="60">
        <f>(C93-$O$3)*K93+ L93</f>
        <v>1.8833179409936431E-3</v>
      </c>
    </row>
    <row r="94" spans="1:13" ht="14">
      <c r="A94" s="55">
        <f t="shared" si="14"/>
        <v>59</v>
      </c>
      <c r="B94" s="55" t="s">
        <v>162</v>
      </c>
      <c r="C94" s="80">
        <v>5039</v>
      </c>
      <c r="D94" s="56" t="s">
        <v>37</v>
      </c>
      <c r="E94" s="80">
        <v>1421</v>
      </c>
      <c r="F94" s="80">
        <v>2675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1.7766753343544257E-6</v>
      </c>
      <c r="L94" s="60">
        <f>J93</f>
        <v>3.3169996191432724E-5</v>
      </c>
      <c r="M94" s="60">
        <f>(C94-$O$4)*K94 + L94</f>
        <v>8.3637785545625405E-3</v>
      </c>
    </row>
    <row r="95" spans="1:13" ht="14">
      <c r="A95" s="55">
        <f t="shared" si="14"/>
        <v>59</v>
      </c>
      <c r="B95" s="55" t="s">
        <v>163</v>
      </c>
      <c r="C95" s="80">
        <v>4957</v>
      </c>
      <c r="D95" s="56" t="s">
        <v>37</v>
      </c>
      <c r="E95" s="80">
        <v>2364</v>
      </c>
      <c r="F95" s="80">
        <v>5810</v>
      </c>
      <c r="G95" s="57">
        <v>0.01</v>
      </c>
      <c r="H95" s="58"/>
      <c r="I95" s="61">
        <f>RSQ(G90:G96, E90:E96)</f>
        <v>0.99663982465434497</v>
      </c>
      <c r="J95" s="61">
        <f>RSQ(G90:G96, F90:F96)</f>
        <v>0.99935895710496447</v>
      </c>
      <c r="K95" s="60">
        <f>J91</f>
        <v>1.7766753343544257E-6</v>
      </c>
      <c r="L95" s="60">
        <f>J93</f>
        <v>3.3169996191432724E-5</v>
      </c>
      <c r="M95" s="60">
        <f>(C95-$O$4)*K95 + L95</f>
        <v>8.2180911771454774E-3</v>
      </c>
    </row>
    <row r="96" spans="1:13" ht="14">
      <c r="A96" s="55">
        <f t="shared" si="14"/>
        <v>59</v>
      </c>
      <c r="B96" s="55" t="s">
        <v>164</v>
      </c>
      <c r="C96" s="80">
        <v>309</v>
      </c>
      <c r="D96" s="56" t="s">
        <v>38</v>
      </c>
      <c r="E96" s="80">
        <v>5210</v>
      </c>
      <c r="F96" s="80">
        <v>11168</v>
      </c>
      <c r="G96" s="57">
        <v>0.02</v>
      </c>
      <c r="I96" s="58"/>
      <c r="J96" s="58"/>
      <c r="K96" s="60">
        <f>I91</f>
        <v>3.9196120781923668E-6</v>
      </c>
      <c r="L96" s="60">
        <f>I93</f>
        <v>-1.548803396663875E-4</v>
      </c>
      <c r="M96" s="60">
        <f>(C96-$O$5)*K96 + L96</f>
        <v>1.0562797924950538E-3</v>
      </c>
    </row>
    <row r="97" spans="1:13" ht="14">
      <c r="A97" s="55">
        <f t="shared" si="14"/>
        <v>59</v>
      </c>
      <c r="B97" s="55" t="s">
        <v>165</v>
      </c>
      <c r="C97" s="80">
        <v>291</v>
      </c>
      <c r="D97" s="56" t="s">
        <v>38</v>
      </c>
      <c r="E97" s="80">
        <v>10</v>
      </c>
      <c r="F97" s="80">
        <v>17</v>
      </c>
      <c r="G97" s="56"/>
      <c r="I97" s="58"/>
      <c r="J97" s="58"/>
      <c r="K97" s="60">
        <f>I91</f>
        <v>3.9196120781923668E-6</v>
      </c>
      <c r="L97" s="60">
        <f>I93</f>
        <v>-1.548803396663875E-4</v>
      </c>
      <c r="M97" s="60">
        <f>(C97-$O$5)*K97 + L97</f>
        <v>9.8572677508759125E-4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995.41666666666663</v>
      </c>
      <c r="D100" s="56" t="s">
        <v>35</v>
      </c>
      <c r="I100" s="58"/>
      <c r="J100" s="58"/>
    </row>
    <row r="101" spans="1:13" ht="14">
      <c r="C101" s="63">
        <f t="shared" si="15"/>
        <v>1018.0833333333334</v>
      </c>
      <c r="D101" s="56" t="s">
        <v>35</v>
      </c>
      <c r="I101" s="58"/>
      <c r="J101" s="58"/>
    </row>
    <row r="102" spans="1:13" ht="14">
      <c r="C102" s="63">
        <f t="shared" si="15"/>
        <v>450.83333333333331</v>
      </c>
      <c r="D102" s="56" t="s">
        <v>36</v>
      </c>
      <c r="I102" s="58"/>
      <c r="J102" s="58"/>
    </row>
    <row r="103" spans="1:13" ht="14">
      <c r="C103" s="63">
        <f t="shared" si="15"/>
        <v>463.25</v>
      </c>
      <c r="D103" s="56" t="s">
        <v>36</v>
      </c>
      <c r="I103" s="58"/>
      <c r="J103" s="58"/>
    </row>
    <row r="104" spans="1:13" ht="14">
      <c r="C104" s="63">
        <f t="shared" si="15"/>
        <v>4285.5</v>
      </c>
      <c r="D104" s="56" t="s">
        <v>37</v>
      </c>
      <c r="I104" s="58"/>
      <c r="J104" s="58"/>
    </row>
    <row r="105" spans="1:13" ht="14">
      <c r="C105" s="63">
        <f t="shared" si="15"/>
        <v>4277.583333333333</v>
      </c>
      <c r="D105" s="56" t="s">
        <v>37</v>
      </c>
      <c r="I105" s="58"/>
      <c r="J105" s="58"/>
    </row>
    <row r="106" spans="1:13" ht="14">
      <c r="C106" s="63">
        <f t="shared" si="15"/>
        <v>263.75</v>
      </c>
      <c r="D106" s="56" t="s">
        <v>38</v>
      </c>
      <c r="I106" s="58"/>
      <c r="J106" s="58"/>
    </row>
    <row r="107" spans="1:13" ht="14">
      <c r="C107" s="63">
        <f t="shared" si="15"/>
        <v>271.75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2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7344-99CA-F74E-843A-0007EF135B52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P2" sqref="P2:Q13"/>
      <selection pane="topRight" activeCell="P2" sqref="P2:Q13"/>
      <selection pane="bottomLeft" activeCell="P2" sqref="P2:Q13"/>
      <selection pane="bottomRight" activeCell="W2" sqref="W2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64</v>
      </c>
      <c r="B2" s="55" t="s">
        <v>67</v>
      </c>
      <c r="C2" s="80">
        <v>1506</v>
      </c>
      <c r="D2" s="56" t="s">
        <v>35</v>
      </c>
      <c r="E2" s="80">
        <v>24</v>
      </c>
      <c r="F2" s="80">
        <v>22</v>
      </c>
      <c r="G2" s="57">
        <v>0</v>
      </c>
      <c r="H2" s="58"/>
      <c r="I2" s="59" t="s">
        <v>68</v>
      </c>
      <c r="J2" s="59" t="s">
        <v>68</v>
      </c>
      <c r="K2" s="60">
        <f>I3</f>
        <v>4.4873829040246531E-6</v>
      </c>
      <c r="L2" s="60">
        <f>I5</f>
        <v>2.0264419485323953E-5</v>
      </c>
      <c r="M2" s="60">
        <f>(C2-$O$2)*K2+L2</f>
        <v>6.7782630729464515E-3</v>
      </c>
      <c r="N2" s="47" t="str">
        <f>'enzyme setup and metadata'!F179</f>
        <v>BG</v>
      </c>
      <c r="O2" s="47">
        <f>'enzyme setup and metadata'!G193</f>
        <v>0</v>
      </c>
      <c r="P2" s="91">
        <f>'enzyme setup and metadata'!A146</f>
        <v>64</v>
      </c>
      <c r="Q2" s="66">
        <f>'enzyme setup and metadata'!I146</f>
        <v>2.1949286846275755</v>
      </c>
      <c r="R2" s="14">
        <f>'enzyme setup and metadata'!R188</f>
        <v>3.1499999997904524</v>
      </c>
      <c r="S2" s="14">
        <f>(((M2+M3)/2)*91)/(R2*Q2*0.8)</f>
        <v>0.11029828912689504</v>
      </c>
      <c r="T2" s="14">
        <f>(((M4+M5)/2)*91)/(R2*Q2*0.8)</f>
        <v>5.1569134368588551E-2</v>
      </c>
      <c r="U2" s="14">
        <f>(((M6+M7)/2)*91)/(R2*Q2*0.8)</f>
        <v>0.21153656059544276</v>
      </c>
      <c r="V2" s="14">
        <f>(((M8+M9)/2)*91)/(R2*Q2*0.8)</f>
        <v>2.7760017574680506E-2</v>
      </c>
      <c r="W2" s="14">
        <f>S2*1000</f>
        <v>110.29828912689504</v>
      </c>
      <c r="X2" s="14">
        <f>T2*1000</f>
        <v>51.56913436858855</v>
      </c>
      <c r="Y2" s="14">
        <f>U2*1000</f>
        <v>211.53656059544275</v>
      </c>
      <c r="Z2" s="14">
        <f>V2*1000</f>
        <v>27.760017574680507</v>
      </c>
    </row>
    <row r="3" spans="1:26" ht="14">
      <c r="A3" s="55">
        <f t="shared" ref="A3:A9" si="0">A2</f>
        <v>64</v>
      </c>
      <c r="B3" s="55" t="s">
        <v>69</v>
      </c>
      <c r="C3" s="80">
        <v>1473</v>
      </c>
      <c r="D3" s="56" t="s">
        <v>35</v>
      </c>
      <c r="E3" s="80">
        <v>129</v>
      </c>
      <c r="F3" s="80">
        <v>207</v>
      </c>
      <c r="G3" s="57">
        <v>5.0000000000000001E-4</v>
      </c>
      <c r="H3" s="58"/>
      <c r="I3" s="59">
        <f>SLOPE(G2:G8, E2:E8)</f>
        <v>4.4873829040246531E-6</v>
      </c>
      <c r="J3" s="59">
        <f>SLOPE(G2:G8, F2:F8)</f>
        <v>2.6223995517893316E-6</v>
      </c>
      <c r="K3" s="60">
        <f>I3</f>
        <v>4.4873829040246531E-6</v>
      </c>
      <c r="L3" s="60">
        <f>I5</f>
        <v>2.0264419485323953E-5</v>
      </c>
      <c r="M3" s="60">
        <f>(C3-$O$2)*K3+L3</f>
        <v>6.6301794371136378E-3</v>
      </c>
      <c r="N3" s="47" t="str">
        <f>'enzyme setup and metadata'!F180</f>
        <v>CB</v>
      </c>
      <c r="O3" s="47">
        <f>'enzyme setup and metadata'!G194</f>
        <v>0</v>
      </c>
      <c r="P3" s="91">
        <f>'enzyme setup and metadata'!A147</f>
        <v>69</v>
      </c>
      <c r="Q3" s="66">
        <f>'enzyme setup and metadata'!I147</f>
        <v>2.1904761904761907</v>
      </c>
      <c r="R3" s="14">
        <f>R2</f>
        <v>3.1499999997904524</v>
      </c>
      <c r="S3" s="14">
        <f>(((M10+M11)/2)*91)/(R3*Q3*0.8)</f>
        <v>0.11081433558883894</v>
      </c>
      <c r="T3" s="14">
        <f>(((M12+M13)/2)*91)/(R3*Q3*0.8)</f>
        <v>4.9719390899457379E-2</v>
      </c>
      <c r="U3" s="14">
        <f>(((M14+M15)/2)*91)/(R3*Q3*0.8)</f>
        <v>0.21244987604956628</v>
      </c>
      <c r="V3" s="14">
        <f>(((M16+M17)/2)*91)/(R3*Q3*0.8)</f>
        <v>2.6743831505333941E-2</v>
      </c>
      <c r="W3" s="14">
        <f>S3*1000</f>
        <v>110.81433558883893</v>
      </c>
      <c r="X3" s="14">
        <f t="shared" ref="X3:Z13" si="1">T3*1000</f>
        <v>49.71939089945738</v>
      </c>
      <c r="Y3" s="14">
        <f t="shared" si="1"/>
        <v>212.44987604956629</v>
      </c>
      <c r="Z3" s="14">
        <f t="shared" si="1"/>
        <v>26.74383150533394</v>
      </c>
    </row>
    <row r="4" spans="1:26" ht="14">
      <c r="A4" s="55">
        <f t="shared" si="0"/>
        <v>64</v>
      </c>
      <c r="B4" s="55" t="s">
        <v>70</v>
      </c>
      <c r="C4" s="80">
        <v>671</v>
      </c>
      <c r="D4" s="56" t="s">
        <v>36</v>
      </c>
      <c r="E4" s="80">
        <v>247</v>
      </c>
      <c r="F4" s="80">
        <v>434</v>
      </c>
      <c r="G4" s="57">
        <v>1E-3</v>
      </c>
      <c r="H4" s="58"/>
      <c r="I4" s="59" t="s">
        <v>71</v>
      </c>
      <c r="J4" s="59" t="s">
        <v>71</v>
      </c>
      <c r="K4" s="60">
        <f>I3</f>
        <v>4.4873829040246531E-6</v>
      </c>
      <c r="L4" s="60">
        <f>I5</f>
        <v>2.0264419485323953E-5</v>
      </c>
      <c r="M4" s="60">
        <f>(C4-$O$3)*K4 + L4</f>
        <v>3.0312983480858661E-3</v>
      </c>
      <c r="N4" s="47" t="str">
        <f>'enzyme setup and metadata'!F181</f>
        <v>LAP</v>
      </c>
      <c r="O4" s="47">
        <f>'enzyme setup and metadata'!G195</f>
        <v>350.125</v>
      </c>
      <c r="P4" s="91">
        <f>'enzyme setup and metadata'!A148</f>
        <v>74</v>
      </c>
      <c r="Q4" s="66">
        <f>'enzyme setup and metadata'!I148</f>
        <v>2.2121788772597526</v>
      </c>
      <c r="R4" s="14">
        <f t="shared" ref="R4:R13" si="2">R3</f>
        <v>3.1499999997904524</v>
      </c>
      <c r="S4" s="14">
        <f>(((M18+M19)/2)*91)/(R4*Q4*0.8)</f>
        <v>0.11593333811551307</v>
      </c>
      <c r="T4" s="14">
        <f>(((M20+M21)/2)*91)/(R4*Q4*0.8)</f>
        <v>5.1369653003321032E-2</v>
      </c>
      <c r="U4" s="14">
        <f>(((M22+M23)/2)*91)/(R4*Q4*0.8)</f>
        <v>0.23912446940189144</v>
      </c>
      <c r="V4" s="14">
        <f>(((M24+M25)/2)*91)/(R4*Q4*0.8)</f>
        <v>2.6283485191524351E-2</v>
      </c>
      <c r="W4" s="14">
        <f>S4*1000</f>
        <v>115.93333811551307</v>
      </c>
      <c r="X4" s="14">
        <f t="shared" si="1"/>
        <v>51.369653003321034</v>
      </c>
      <c r="Y4" s="14">
        <f t="shared" si="1"/>
        <v>239.12446940189145</v>
      </c>
      <c r="Z4" s="14">
        <f t="shared" si="1"/>
        <v>26.283485191524349</v>
      </c>
    </row>
    <row r="5" spans="1:26" ht="14">
      <c r="A5" s="55">
        <f t="shared" si="0"/>
        <v>64</v>
      </c>
      <c r="B5" s="55" t="s">
        <v>72</v>
      </c>
      <c r="C5" s="80">
        <v>717</v>
      </c>
      <c r="D5" s="56" t="s">
        <v>36</v>
      </c>
      <c r="E5" s="80">
        <v>437</v>
      </c>
      <c r="F5" s="80">
        <v>790</v>
      </c>
      <c r="G5" s="57">
        <v>2E-3</v>
      </c>
      <c r="H5" s="58"/>
      <c r="I5" s="59">
        <f>INTERCEPT(G2:G8, E2:E8)</f>
        <v>2.0264419485323953E-5</v>
      </c>
      <c r="J5" s="59">
        <f>INTERCEPT(G2:G8, F2:F8)</f>
        <v>-3.1015283231098853E-5</v>
      </c>
      <c r="K5" s="60">
        <f>I3</f>
        <v>4.4873829040246531E-6</v>
      </c>
      <c r="L5" s="60">
        <f>I5</f>
        <v>2.0264419485323953E-5</v>
      </c>
      <c r="M5" s="60">
        <f>(C5-$O$3)*K5+ L5</f>
        <v>3.2377179616710004E-3</v>
      </c>
      <c r="N5" s="47" t="str">
        <f>'enzyme setup and metadata'!F182</f>
        <v>XYL</v>
      </c>
      <c r="O5" s="47">
        <f>'enzyme setup and metadata'!G196</f>
        <v>0</v>
      </c>
      <c r="P5" s="91">
        <f>'enzyme setup and metadata'!A149</f>
        <v>79</v>
      </c>
      <c r="Q5" s="66">
        <f>'enzyme setup and metadata'!I149</f>
        <v>2.2035510462904244</v>
      </c>
      <c r="R5" s="14">
        <f t="shared" si="2"/>
        <v>3.1499999997904524</v>
      </c>
      <c r="S5" s="14">
        <f>(((M26+M27)/2)*91)/(R5*Q5*0.8)</f>
        <v>0.12420696130166117</v>
      </c>
      <c r="T5" s="14">
        <f>(((M28+M29)/2)*91)/(R5*Q5*0.8)</f>
        <v>4.9866588471732524E-2</v>
      </c>
      <c r="U5" s="14">
        <f>(((M30+M31)/2)*91)/(R5*Q5*0.8)</f>
        <v>0.20695969467651368</v>
      </c>
      <c r="V5" s="14">
        <f>(((M32+M33)/2)*91)/(R5*Q5*0.8)</f>
        <v>2.6837841399604254E-2</v>
      </c>
      <c r="W5" s="14">
        <f t="shared" ref="W5:W13" si="3">S5*1000</f>
        <v>124.20696130166117</v>
      </c>
      <c r="X5" s="14">
        <f t="shared" si="1"/>
        <v>49.866588471732527</v>
      </c>
      <c r="Y5" s="14">
        <f t="shared" si="1"/>
        <v>206.95969467651369</v>
      </c>
      <c r="Z5" s="14">
        <f t="shared" si="1"/>
        <v>26.837841399604255</v>
      </c>
    </row>
    <row r="6" spans="1:26" ht="14">
      <c r="A6" s="55">
        <f t="shared" si="0"/>
        <v>64</v>
      </c>
      <c r="B6" s="55" t="s">
        <v>73</v>
      </c>
      <c r="C6" s="80">
        <v>5606</v>
      </c>
      <c r="D6" s="56" t="s">
        <v>37</v>
      </c>
      <c r="E6" s="80">
        <v>1026</v>
      </c>
      <c r="F6" s="80">
        <v>1800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2.6223995517893316E-6</v>
      </c>
      <c r="L6" s="60">
        <f>J5</f>
        <v>-3.1015283231098853E-5</v>
      </c>
      <c r="M6" s="60">
        <f>(C6-$O$4)*K6 + L6</f>
        <v>1.3751988961029655E-2</v>
      </c>
      <c r="P6" s="91">
        <f>'enzyme setup and metadata'!A150</f>
        <v>84</v>
      </c>
      <c r="Q6" s="66">
        <f>'enzyme setup and metadata'!I150</f>
        <v>2.1828861724083186</v>
      </c>
      <c r="R6" s="14">
        <f t="shared" si="2"/>
        <v>3.1499999997904524</v>
      </c>
      <c r="S6" s="14">
        <f>(((M34+M35)/2)*91)/(R6*Q6*0.8)</f>
        <v>0.10494709551959404</v>
      </c>
      <c r="T6" s="14">
        <f>(((M36+M37)/2)*91)/(R6*Q6*0.8)</f>
        <v>4.1505019529046776E-2</v>
      </c>
      <c r="U6" s="14">
        <f>(((M38+M39)/2)*91)/(R6*Q6*0.8)</f>
        <v>0.20711003430199582</v>
      </c>
      <c r="V6" s="14">
        <f>(((M40+M41)/2)*91)/(R6*Q6*0.8)</f>
        <v>2.1793001951290015E-2</v>
      </c>
      <c r="W6" s="14">
        <f t="shared" si="3"/>
        <v>104.94709551959404</v>
      </c>
      <c r="X6" s="14">
        <f t="shared" si="1"/>
        <v>41.505019529046777</v>
      </c>
      <c r="Y6" s="14">
        <f t="shared" si="1"/>
        <v>207.11003430199582</v>
      </c>
      <c r="Z6" s="14">
        <f t="shared" si="1"/>
        <v>21.793001951290016</v>
      </c>
    </row>
    <row r="7" spans="1:26" ht="14">
      <c r="A7" s="55">
        <f t="shared" si="0"/>
        <v>64</v>
      </c>
      <c r="B7" s="55" t="s">
        <v>75</v>
      </c>
      <c r="C7" s="80">
        <v>4924</v>
      </c>
      <c r="D7" s="56" t="s">
        <v>37</v>
      </c>
      <c r="E7" s="80">
        <v>2207</v>
      </c>
      <c r="F7" s="80">
        <v>3873</v>
      </c>
      <c r="G7" s="57">
        <v>0.01</v>
      </c>
      <c r="H7" s="58"/>
      <c r="I7" s="61">
        <f>RSQ(G2:G8, E2:E8)</f>
        <v>0.99936201085345266</v>
      </c>
      <c r="J7" s="61">
        <f>RSQ(G2:G8, F2:F8)</f>
        <v>0.99960354406517959</v>
      </c>
      <c r="K7" s="60">
        <f>J3</f>
        <v>2.6223995517893316E-6</v>
      </c>
      <c r="L7" s="60">
        <f>J5</f>
        <v>-3.1015283231098853E-5</v>
      </c>
      <c r="M7" s="60">
        <f>(C7-$O$4)*K7 + L7</f>
        <v>1.196351246670933E-2</v>
      </c>
      <c r="P7" s="91">
        <f>'enzyme setup and metadata'!A151</f>
        <v>89</v>
      </c>
      <c r="Q7" s="66">
        <f>'enzyme setup and metadata'!I151</f>
        <v>2.1725239616613417</v>
      </c>
      <c r="R7" s="14">
        <f t="shared" si="2"/>
        <v>3.1499999997904524</v>
      </c>
      <c r="S7" s="14">
        <f>(((M42+M43)/2)*91)/(R7*Q7*0.8)</f>
        <v>0.10578172459635884</v>
      </c>
      <c r="T7" s="14">
        <f>(((M44+M45)/2)*91)/(R7*Q7*0.8)</f>
        <v>4.2378122684472178E-2</v>
      </c>
      <c r="U7" s="14">
        <f>(((M46+M47)/2)*91)/(R7*Q7*0.8)</f>
        <v>0.20700747334617201</v>
      </c>
      <c r="V7" s="14">
        <f>(((M48+M49)/2)*91)/(R7*Q7*0.8)</f>
        <v>2.2235203365941762E-2</v>
      </c>
      <c r="W7" s="14">
        <f t="shared" si="3"/>
        <v>105.78172459635884</v>
      </c>
      <c r="X7" s="14">
        <f t="shared" si="1"/>
        <v>42.378122684472174</v>
      </c>
      <c r="Y7" s="14">
        <f t="shared" si="1"/>
        <v>207.00747334617199</v>
      </c>
      <c r="Z7" s="14">
        <f t="shared" si="1"/>
        <v>22.235203365941761</v>
      </c>
    </row>
    <row r="8" spans="1:26" ht="14">
      <c r="A8" s="55">
        <f t="shared" si="0"/>
        <v>64</v>
      </c>
      <c r="B8" s="55" t="s">
        <v>76</v>
      </c>
      <c r="C8" s="80">
        <v>382</v>
      </c>
      <c r="D8" s="56" t="s">
        <v>38</v>
      </c>
      <c r="E8" s="80">
        <v>4478</v>
      </c>
      <c r="F8" s="80">
        <v>7638</v>
      </c>
      <c r="G8" s="57">
        <v>0.02</v>
      </c>
      <c r="H8" s="58"/>
      <c r="I8" s="58"/>
      <c r="J8" s="58"/>
      <c r="K8" s="60">
        <f>I3</f>
        <v>4.4873829040246531E-6</v>
      </c>
      <c r="L8" s="60">
        <f>I5</f>
        <v>2.0264419485323953E-5</v>
      </c>
      <c r="M8" s="60">
        <f>(C8-$O$5)*K8 + L8</f>
        <v>1.7344446888227414E-3</v>
      </c>
      <c r="P8" s="91">
        <f>'enzyme setup and metadata'!A152</f>
        <v>94</v>
      </c>
      <c r="Q8" s="66">
        <f>'enzyme setup and metadata'!I152</f>
        <v>2.1462639109697936</v>
      </c>
      <c r="R8" s="14">
        <f t="shared" si="2"/>
        <v>3.1499999997904524</v>
      </c>
      <c r="S8" s="14">
        <f>(((M50+M51)/2)*91)/(R8*Q8*0.8)</f>
        <v>0.10682498405895109</v>
      </c>
      <c r="T8" s="14">
        <f>(((M52+M53)/2)*91)/(R8*Q8*0.8)</f>
        <v>4.3148970846348077E-2</v>
      </c>
      <c r="U8" s="14">
        <f>(((M54+M55)/2)*91)/(R8*Q8*0.8)</f>
        <v>0.20509629925238235</v>
      </c>
      <c r="V8" s="14">
        <f>(((M56+M57)/2)*91)/(R8*Q8*0.8)</f>
        <v>2.2374121520814718E-2</v>
      </c>
      <c r="W8" s="14">
        <f t="shared" si="3"/>
        <v>106.82498405895109</v>
      </c>
      <c r="X8" s="14">
        <f t="shared" si="1"/>
        <v>43.148970846348078</v>
      </c>
      <c r="Y8" s="14">
        <f t="shared" si="1"/>
        <v>205.09629925238235</v>
      </c>
      <c r="Z8" s="14">
        <f t="shared" si="1"/>
        <v>22.374121520814718</v>
      </c>
    </row>
    <row r="9" spans="1:26" ht="14">
      <c r="A9" s="55">
        <f t="shared" si="0"/>
        <v>64</v>
      </c>
      <c r="B9" s="55" t="s">
        <v>77</v>
      </c>
      <c r="C9" s="80">
        <v>361</v>
      </c>
      <c r="D9" s="56" t="s">
        <v>38</v>
      </c>
      <c r="E9" s="80">
        <v>15</v>
      </c>
      <c r="F9" s="80">
        <v>15</v>
      </c>
      <c r="G9" s="56"/>
      <c r="H9" s="58"/>
      <c r="I9" s="58"/>
      <c r="J9" s="58"/>
      <c r="K9" s="60">
        <f>I3</f>
        <v>4.4873829040246531E-6</v>
      </c>
      <c r="L9" s="60">
        <f>I5</f>
        <v>2.0264419485323953E-5</v>
      </c>
      <c r="M9" s="60">
        <f>(C9-$O$5)*K9 + L9</f>
        <v>1.6402096478382237E-3</v>
      </c>
      <c r="P9" s="91">
        <f>'enzyme setup and metadata'!A153</f>
        <v>99</v>
      </c>
      <c r="Q9" s="66">
        <f>'enzyme setup and metadata'!I153</f>
        <v>2.1590728687093192</v>
      </c>
      <c r="R9" s="14">
        <f t="shared" si="2"/>
        <v>3.1499999997904524</v>
      </c>
      <c r="S9" s="14">
        <f>(((M58+M59)/2)*91)/(R9*Q9*0.8)</f>
        <v>0.10488984980065215</v>
      </c>
      <c r="T9" s="14">
        <f>(((M60+M61)/2)*91)/(R9*Q9*0.8)</f>
        <v>4.1798034205787531E-2</v>
      </c>
      <c r="U9" s="14">
        <f>(((M62+M63)/2)*91)/(R9*Q9*0.8)</f>
        <v>0.20439952567550196</v>
      </c>
      <c r="V9" s="14">
        <f>(((M64+M65)/2)*91)/(R9*Q9*0.8)</f>
        <v>2.1716256510248073E-2</v>
      </c>
      <c r="W9" s="14">
        <f t="shared" si="3"/>
        <v>104.88984980065214</v>
      </c>
      <c r="X9" s="14">
        <f t="shared" si="1"/>
        <v>41.79803420578753</v>
      </c>
      <c r="Y9" s="14">
        <f t="shared" si="1"/>
        <v>204.39952567550196</v>
      </c>
      <c r="Z9" s="14">
        <f t="shared" si="1"/>
        <v>21.716256510248073</v>
      </c>
    </row>
    <row r="10" spans="1:26" ht="14">
      <c r="A10" s="55">
        <f>P3</f>
        <v>69</v>
      </c>
      <c r="B10" s="55" t="s">
        <v>78</v>
      </c>
      <c r="C10" s="80">
        <v>1448</v>
      </c>
      <c r="D10" s="56" t="s">
        <v>35</v>
      </c>
      <c r="E10" s="80">
        <v>22</v>
      </c>
      <c r="F10" s="80">
        <v>23</v>
      </c>
      <c r="G10" s="57">
        <v>0</v>
      </c>
      <c r="H10" s="58"/>
      <c r="I10" s="59" t="s">
        <v>68</v>
      </c>
      <c r="J10" s="59" t="s">
        <v>68</v>
      </c>
      <c r="K10" s="60">
        <f>I11</f>
        <v>4.5030122262821856E-6</v>
      </c>
      <c r="L10" s="60">
        <f>I13</f>
        <v>-3.4845313561703006E-5</v>
      </c>
      <c r="M10" s="60">
        <f>(C10-$O$2)*K10+L10</f>
        <v>6.4855163900949019E-3</v>
      </c>
      <c r="P10" s="91">
        <f>'enzyme setup and metadata'!A154</f>
        <v>104</v>
      </c>
      <c r="Q10" s="66">
        <f>'enzyme setup and metadata'!I154</f>
        <v>2.1414974619289344</v>
      </c>
      <c r="R10" s="14">
        <f t="shared" si="2"/>
        <v>3.1499999997904524</v>
      </c>
      <c r="S10" s="14">
        <f>(((M66+M67)/2)*91)/(R10*Q10*0.8)</f>
        <v>0.10803026670147352</v>
      </c>
      <c r="T10" s="14">
        <f>(((M68+M69)/2)*91)/(R10*Q10*0.8)</f>
        <v>4.3076982486053343E-2</v>
      </c>
      <c r="U10" s="14">
        <f>(((M70+M71)/2)*91)/(R10*Q10*0.8)</f>
        <v>0.22970147082265979</v>
      </c>
      <c r="V10" s="14">
        <f>(((M72+M73)/2)*91)/(R10*Q10*0.8)</f>
        <v>2.361660298393008E-2</v>
      </c>
      <c r="W10" s="14">
        <f t="shared" si="3"/>
        <v>108.03026670147352</v>
      </c>
      <c r="X10" s="14">
        <f t="shared" si="1"/>
        <v>43.076982486053346</v>
      </c>
      <c r="Y10" s="14">
        <f t="shared" si="1"/>
        <v>229.70147082265979</v>
      </c>
      <c r="Z10" s="14">
        <f t="shared" si="1"/>
        <v>23.616602983930079</v>
      </c>
    </row>
    <row r="11" spans="1:26" ht="14">
      <c r="A11" s="55">
        <f t="shared" ref="A11:A17" si="4">A10</f>
        <v>69</v>
      </c>
      <c r="B11" s="55" t="s">
        <v>79</v>
      </c>
      <c r="C11" s="80">
        <v>1553</v>
      </c>
      <c r="D11" s="56" t="s">
        <v>35</v>
      </c>
      <c r="E11" s="80">
        <v>132</v>
      </c>
      <c r="F11" s="80">
        <v>217</v>
      </c>
      <c r="G11" s="57">
        <v>5.0000000000000001E-4</v>
      </c>
      <c r="H11" s="58"/>
      <c r="I11" s="59">
        <f>SLOPE(G10:G16, E10:E16)</f>
        <v>4.5030122262821856E-6</v>
      </c>
      <c r="J11" s="59">
        <f>SLOPE(G10:G16, F10:F16)</f>
        <v>2.5839077971118195E-6</v>
      </c>
      <c r="K11" s="60">
        <f>I11</f>
        <v>4.5030122262821856E-6</v>
      </c>
      <c r="L11" s="60">
        <f>I13</f>
        <v>-3.4845313561703006E-5</v>
      </c>
      <c r="M11" s="60">
        <f>(C11-$O$2)*K11+L11</f>
        <v>6.9583326738545314E-3</v>
      </c>
      <c r="P11" s="91">
        <f>'enzyme setup and metadata'!A155</f>
        <v>109</v>
      </c>
      <c r="Q11" s="66">
        <f>'enzyme setup and metadata'!I155</f>
        <v>2.2125297383029343</v>
      </c>
      <c r="R11" s="14">
        <f t="shared" si="2"/>
        <v>3.1499999997904524</v>
      </c>
      <c r="S11" s="14">
        <f>(((M74+M75)/2)*91)/(R11*Q11*0.8)</f>
        <v>0.10200348741740368</v>
      </c>
      <c r="T11" s="14">
        <f>(((M76+M77)/2)*91)/(R11*Q11*0.8)</f>
        <v>4.0933792774943308E-2</v>
      </c>
      <c r="U11" s="14">
        <f>(((M78+M79)/2)*91)/(R11*Q11*0.8)</f>
        <v>0.22456594855824083</v>
      </c>
      <c r="V11" s="14">
        <f>(((M80+M81)/2)*91)/(R11*Q11*0.8)</f>
        <v>2.0734671753528975E-2</v>
      </c>
      <c r="W11" s="14">
        <f t="shared" si="3"/>
        <v>102.00348741740369</v>
      </c>
      <c r="X11" s="14">
        <f t="shared" si="1"/>
        <v>40.933792774943306</v>
      </c>
      <c r="Y11" s="14">
        <f t="shared" si="1"/>
        <v>224.56594855824082</v>
      </c>
      <c r="Z11" s="14">
        <f t="shared" si="1"/>
        <v>20.734671753528975</v>
      </c>
    </row>
    <row r="12" spans="1:26" ht="14">
      <c r="A12" s="55">
        <f t="shared" si="4"/>
        <v>69</v>
      </c>
      <c r="B12" s="55" t="s">
        <v>80</v>
      </c>
      <c r="C12" s="80">
        <v>640</v>
      </c>
      <c r="D12" s="56" t="s">
        <v>36</v>
      </c>
      <c r="E12" s="80">
        <v>241</v>
      </c>
      <c r="F12" s="80">
        <v>440</v>
      </c>
      <c r="G12" s="57">
        <v>1E-3</v>
      </c>
      <c r="H12" s="58"/>
      <c r="I12" s="59" t="s">
        <v>71</v>
      </c>
      <c r="J12" s="59" t="s">
        <v>71</v>
      </c>
      <c r="K12" s="60">
        <f>I11</f>
        <v>4.5030122262821856E-6</v>
      </c>
      <c r="L12" s="60">
        <f>I13</f>
        <v>-3.4845313561703006E-5</v>
      </c>
      <c r="M12" s="60">
        <f>(C12-$O$3)*K12 + L12</f>
        <v>2.8470825112588958E-3</v>
      </c>
      <c r="P12" s="91">
        <f>'enzyme setup and metadata'!A156</f>
        <v>114</v>
      </c>
      <c r="Q12" s="66">
        <f>'enzyme setup and metadata'!I156</f>
        <v>2.188739095955591</v>
      </c>
      <c r="R12" s="14">
        <f t="shared" si="2"/>
        <v>3.1499999997904524</v>
      </c>
      <c r="S12" s="14">
        <f>(((M82+M83)/2)*91)/(R12*Q12*0.8)</f>
        <v>9.8804602808287151E-2</v>
      </c>
      <c r="T12" s="14">
        <f>(((M84+M85)/2)*91)/(R12*Q12*0.8)</f>
        <v>4.1095770777152194E-2</v>
      </c>
      <c r="U12" s="14">
        <f>(((M86+M87)/2)*91)/(R12*Q12*0.8)</f>
        <v>0.22293962255067409</v>
      </c>
      <c r="V12" s="14">
        <f>(((M88+M89)/2)*91)/(R12*Q12*0.8)</f>
        <v>2.2943360113757468E-2</v>
      </c>
      <c r="W12" s="14">
        <f t="shared" si="3"/>
        <v>98.804602808287157</v>
      </c>
      <c r="X12" s="14">
        <f t="shared" si="1"/>
        <v>41.095770777152197</v>
      </c>
      <c r="Y12" s="14">
        <f t="shared" si="1"/>
        <v>222.9396225506741</v>
      </c>
      <c r="Z12" s="14">
        <f t="shared" si="1"/>
        <v>22.943360113757468</v>
      </c>
    </row>
    <row r="13" spans="1:26" ht="14">
      <c r="A13" s="55">
        <f t="shared" si="4"/>
        <v>69</v>
      </c>
      <c r="B13" s="55" t="s">
        <v>81</v>
      </c>
      <c r="C13" s="80">
        <v>715</v>
      </c>
      <c r="D13" s="56" t="s">
        <v>36</v>
      </c>
      <c r="E13" s="80">
        <v>445</v>
      </c>
      <c r="F13" s="80">
        <v>831</v>
      </c>
      <c r="G13" s="57">
        <v>2E-3</v>
      </c>
      <c r="H13" s="58"/>
      <c r="I13" s="59">
        <f>INTERCEPT(G10:G16, E10:E16)</f>
        <v>-3.4845313561703006E-5</v>
      </c>
      <c r="J13" s="59">
        <f>INTERCEPT(G10:G16, F10:F16)</f>
        <v>-1.1741555092109526E-4</v>
      </c>
      <c r="K13" s="60">
        <f>I11</f>
        <v>4.5030122262821856E-6</v>
      </c>
      <c r="L13" s="60">
        <f>I13</f>
        <v>-3.4845313561703006E-5</v>
      </c>
      <c r="M13" s="60">
        <f>(C13-$O$3)*K13+ L13</f>
        <v>3.1848084282300598E-3</v>
      </c>
      <c r="P13" s="91">
        <f>'enzyme setup and metadata'!A157</f>
        <v>119</v>
      </c>
      <c r="Q13" s="66">
        <f>'enzyme setup and metadata'!I157</f>
        <v>2.1763304209690233</v>
      </c>
      <c r="R13" s="14">
        <f t="shared" si="2"/>
        <v>3.1499999997904524</v>
      </c>
      <c r="S13" s="14">
        <f>(((M90+M91)/2)*91)/(R13*Q13*0.8)</f>
        <v>9.4131455313426343E-2</v>
      </c>
      <c r="T13" s="14">
        <f>(((M92+M93)/2)*91)/(R13*Q13*0.8)</f>
        <v>4.0223325188171323E-2</v>
      </c>
      <c r="U13" s="14">
        <f>(((M94+M95)/2)*91)/(R13*Q13*0.8)</f>
        <v>0.18931486012578816</v>
      </c>
      <c r="V13" s="14">
        <f>(((M96+M97)/2)*91)/(R13*Q13*0.8)</f>
        <v>2.1332923941350796E-2</v>
      </c>
      <c r="W13" s="14">
        <f t="shared" si="3"/>
        <v>94.131455313426343</v>
      </c>
      <c r="X13" s="14">
        <f t="shared" si="1"/>
        <v>40.223325188171323</v>
      </c>
      <c r="Y13" s="14">
        <f t="shared" si="1"/>
        <v>189.31486012578816</v>
      </c>
      <c r="Z13" s="14">
        <f>V13*1000</f>
        <v>21.332923941350796</v>
      </c>
    </row>
    <row r="14" spans="1:26" ht="14">
      <c r="A14" s="55">
        <f t="shared" si="4"/>
        <v>69</v>
      </c>
      <c r="B14" s="55" t="s">
        <v>82</v>
      </c>
      <c r="C14" s="80">
        <v>5616</v>
      </c>
      <c r="D14" s="56" t="s">
        <v>37</v>
      </c>
      <c r="E14" s="80">
        <v>1097</v>
      </c>
      <c r="F14" s="80">
        <v>2015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2.5839077971118195E-6</v>
      </c>
      <c r="L14" s="60">
        <f>J13</f>
        <v>-1.1741555092109526E-4</v>
      </c>
      <c r="M14" s="60">
        <f>(C14-$O$4)*K14 + L14</f>
        <v>1.3489119920195108E-2</v>
      </c>
    </row>
    <row r="15" spans="1:26" ht="14">
      <c r="A15" s="55">
        <f t="shared" si="4"/>
        <v>69</v>
      </c>
      <c r="B15" s="55" t="s">
        <v>83</v>
      </c>
      <c r="C15" s="80">
        <v>5150</v>
      </c>
      <c r="D15" s="56" t="s">
        <v>37</v>
      </c>
      <c r="E15" s="80">
        <v>2198</v>
      </c>
      <c r="F15" s="80">
        <v>3917</v>
      </c>
      <c r="G15" s="57">
        <v>0.01</v>
      </c>
      <c r="H15" s="58"/>
      <c r="I15" s="61">
        <f>RSQ(G10:G16, E10:E16)</f>
        <v>0.9998525106520445</v>
      </c>
      <c r="J15" s="61">
        <f>RSQ(G10:G16, F10:F16)</f>
        <v>0.99994797926126566</v>
      </c>
      <c r="K15" s="60">
        <f>J11</f>
        <v>2.5839077971118195E-6</v>
      </c>
      <c r="L15" s="60">
        <f>J13</f>
        <v>-1.1741555092109526E-4</v>
      </c>
      <c r="M15" s="60">
        <f>(C15-$O$4)*K15 + L15</f>
        <v>1.2285018886740998E-2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69</v>
      </c>
      <c r="B16" s="55" t="s">
        <v>84</v>
      </c>
      <c r="C16" s="80">
        <v>375</v>
      </c>
      <c r="D16" s="56" t="s">
        <v>38</v>
      </c>
      <c r="E16" s="80">
        <v>4469</v>
      </c>
      <c r="F16" s="80">
        <v>7775</v>
      </c>
      <c r="G16" s="57">
        <v>0.02</v>
      </c>
      <c r="H16" s="58"/>
      <c r="I16" s="58"/>
      <c r="J16" s="58"/>
      <c r="K16" s="60">
        <f>I11</f>
        <v>4.5030122262821856E-6</v>
      </c>
      <c r="L16" s="60">
        <f>I13</f>
        <v>-3.4845313561703006E-5</v>
      </c>
      <c r="M16" s="60">
        <f>(C16-$O$5)*K16 + L16</f>
        <v>1.6537842712941167E-3</v>
      </c>
    </row>
    <row r="17" spans="1:13" ht="14">
      <c r="A17" s="55">
        <f t="shared" si="4"/>
        <v>69</v>
      </c>
      <c r="B17" s="55" t="s">
        <v>85</v>
      </c>
      <c r="C17" s="80">
        <v>361</v>
      </c>
      <c r="D17" s="56" t="s">
        <v>38</v>
      </c>
      <c r="E17" s="80">
        <v>15</v>
      </c>
      <c r="F17" s="80">
        <v>15</v>
      </c>
      <c r="G17" s="56"/>
      <c r="H17" s="58"/>
      <c r="I17" s="58"/>
      <c r="J17" s="58"/>
      <c r="K17" s="60">
        <f>I11</f>
        <v>4.5030122262821856E-6</v>
      </c>
      <c r="L17" s="60">
        <f>I13</f>
        <v>-3.4845313561703006E-5</v>
      </c>
      <c r="M17" s="60">
        <f>(C17-$O$5)*K17 + L17</f>
        <v>1.5907421001261661E-3</v>
      </c>
    </row>
    <row r="18" spans="1:13" ht="14">
      <c r="A18" s="55">
        <f>P4</f>
        <v>74</v>
      </c>
      <c r="B18" s="55" t="s">
        <v>86</v>
      </c>
      <c r="C18" s="80">
        <v>1559</v>
      </c>
      <c r="D18" s="56" t="s">
        <v>35</v>
      </c>
      <c r="E18" s="80">
        <v>22</v>
      </c>
      <c r="F18" s="80">
        <v>26</v>
      </c>
      <c r="G18" s="57">
        <v>0</v>
      </c>
      <c r="H18" s="58"/>
      <c r="I18" s="59" t="s">
        <v>68</v>
      </c>
      <c r="J18" s="59" t="s">
        <v>68</v>
      </c>
      <c r="K18" s="60">
        <f>I19</f>
        <v>4.3971019246715163E-6</v>
      </c>
      <c r="L18" s="60">
        <f>I21</f>
        <v>-5.79976710654833E-6</v>
      </c>
      <c r="M18" s="60">
        <f>(C18-$O$2)*K18+L18</f>
        <v>6.8492821334563457E-3</v>
      </c>
    </row>
    <row r="19" spans="1:13" ht="14">
      <c r="A19" s="55">
        <f t="shared" ref="A19:A25" si="5">A18</f>
        <v>74</v>
      </c>
      <c r="B19" s="55" t="s">
        <v>87</v>
      </c>
      <c r="C19" s="80">
        <v>1674</v>
      </c>
      <c r="D19" s="56" t="s">
        <v>35</v>
      </c>
      <c r="E19" s="80">
        <v>138</v>
      </c>
      <c r="F19" s="80">
        <v>253</v>
      </c>
      <c r="G19" s="57">
        <v>5.0000000000000001E-4</v>
      </c>
      <c r="H19" s="58"/>
      <c r="I19" s="59">
        <f>SLOPE(G18:G24, E18:E24)</f>
        <v>4.3971019246715163E-6</v>
      </c>
      <c r="J19" s="59">
        <f>SLOPE(G18:G24, F18:F24)</f>
        <v>3.1293198045014991E-6</v>
      </c>
      <c r="K19" s="60">
        <f>I19</f>
        <v>4.3971019246715163E-6</v>
      </c>
      <c r="L19" s="60">
        <f>I21</f>
        <v>-5.79976710654833E-6</v>
      </c>
      <c r="M19" s="60">
        <f>(C19-$O$2)*K19+L19</f>
        <v>7.3549488547935702E-3</v>
      </c>
    </row>
    <row r="20" spans="1:13" ht="14">
      <c r="A20" s="55">
        <f t="shared" si="5"/>
        <v>74</v>
      </c>
      <c r="B20" s="55" t="s">
        <v>88</v>
      </c>
      <c r="C20" s="80">
        <v>668</v>
      </c>
      <c r="D20" s="56" t="s">
        <v>36</v>
      </c>
      <c r="E20" s="80">
        <v>242</v>
      </c>
      <c r="F20" s="80">
        <v>482</v>
      </c>
      <c r="G20" s="57">
        <v>1E-3</v>
      </c>
      <c r="H20" s="58"/>
      <c r="I20" s="59" t="s">
        <v>71</v>
      </c>
      <c r="J20" s="59" t="s">
        <v>71</v>
      </c>
      <c r="K20" s="60">
        <f>I19</f>
        <v>4.3971019246715163E-6</v>
      </c>
      <c r="L20" s="60">
        <f>I21</f>
        <v>-5.79976710654833E-6</v>
      </c>
      <c r="M20" s="60">
        <f>(C20-$O$3)*K20 + L20</f>
        <v>2.9314643185740247E-3</v>
      </c>
    </row>
    <row r="21" spans="1:13" ht="14">
      <c r="A21" s="55">
        <f t="shared" si="5"/>
        <v>74</v>
      </c>
      <c r="B21" s="55" t="s">
        <v>89</v>
      </c>
      <c r="C21" s="80">
        <v>766</v>
      </c>
      <c r="D21" s="56" t="s">
        <v>36</v>
      </c>
      <c r="E21" s="80">
        <v>450</v>
      </c>
      <c r="F21" s="80">
        <v>834</v>
      </c>
      <c r="G21" s="57">
        <v>2E-3</v>
      </c>
      <c r="H21" s="58"/>
      <c r="I21" s="59">
        <f>INTERCEPT(G18:G24, E18:E24)</f>
        <v>-5.79976710654833E-6</v>
      </c>
      <c r="J21" s="59">
        <f>INTERCEPT(G18:G24, F18:F24)</f>
        <v>-6.4687818741365841E-4</v>
      </c>
      <c r="K21" s="60">
        <f>I19</f>
        <v>4.3971019246715163E-6</v>
      </c>
      <c r="L21" s="60">
        <f>I21</f>
        <v>-5.79976710654833E-6</v>
      </c>
      <c r="M21" s="60">
        <f>(C21-$O$3)*K21+ L21</f>
        <v>3.3623803071918331E-3</v>
      </c>
    </row>
    <row r="22" spans="1:13" ht="14">
      <c r="A22" s="55">
        <f t="shared" si="5"/>
        <v>74</v>
      </c>
      <c r="B22" s="55" t="s">
        <v>90</v>
      </c>
      <c r="C22" s="80">
        <v>5248</v>
      </c>
      <c r="D22" s="56" t="s">
        <v>37</v>
      </c>
      <c r="E22" s="80">
        <v>1043</v>
      </c>
      <c r="F22" s="80">
        <v>2020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3.1293198045014991E-6</v>
      </c>
      <c r="L22" s="60">
        <f>J21</f>
        <v>-6.4687818741365841E-4</v>
      </c>
      <c r="M22" s="60">
        <f>(C22-$O$4)*K22 + L22</f>
        <v>1.4680139050059122E-2</v>
      </c>
    </row>
    <row r="23" spans="1:13" ht="14">
      <c r="A23" s="55">
        <f t="shared" si="5"/>
        <v>74</v>
      </c>
      <c r="B23" s="55" t="s">
        <v>91</v>
      </c>
      <c r="C23" s="80">
        <v>5228</v>
      </c>
      <c r="D23" s="56" t="s">
        <v>37</v>
      </c>
      <c r="E23" s="80">
        <v>2324</v>
      </c>
      <c r="F23" s="80">
        <v>3935</v>
      </c>
      <c r="G23" s="57">
        <v>0.01</v>
      </c>
      <c r="H23" s="58"/>
      <c r="I23" s="61">
        <f>RSQ(G18:G24, E18:E24)</f>
        <v>0.99923278384564329</v>
      </c>
      <c r="J23" s="61">
        <f>RSQ(G18:G24, F18:F24)</f>
        <v>0.98351524775606558</v>
      </c>
      <c r="K23" s="60">
        <f>J19</f>
        <v>3.1293198045014991E-6</v>
      </c>
      <c r="L23" s="60">
        <f>J21</f>
        <v>-6.4687818741365841E-4</v>
      </c>
      <c r="M23" s="60">
        <f>(C23-$O$4)*K23 + L23</f>
        <v>1.4617552653969093E-2</v>
      </c>
    </row>
    <row r="24" spans="1:13" ht="14">
      <c r="A24" s="55">
        <f t="shared" si="5"/>
        <v>74</v>
      </c>
      <c r="B24" s="55" t="s">
        <v>92</v>
      </c>
      <c r="C24" s="80">
        <v>382</v>
      </c>
      <c r="D24" s="56" t="s">
        <v>38</v>
      </c>
      <c r="E24" s="80">
        <v>4546</v>
      </c>
      <c r="F24" s="80">
        <v>6200</v>
      </c>
      <c r="G24" s="57">
        <v>0.02</v>
      </c>
      <c r="H24" s="58"/>
      <c r="I24" s="58"/>
      <c r="J24" s="58"/>
      <c r="K24" s="60">
        <f>I19</f>
        <v>4.3971019246715163E-6</v>
      </c>
      <c r="L24" s="60">
        <f>I21</f>
        <v>-5.79976710654833E-6</v>
      </c>
      <c r="M24" s="60">
        <f>(C24-$O$5)*K24 + L24</f>
        <v>1.6738931681179708E-3</v>
      </c>
    </row>
    <row r="25" spans="1:13" ht="14">
      <c r="A25" s="55">
        <f t="shared" si="5"/>
        <v>74</v>
      </c>
      <c r="B25" s="55" t="s">
        <v>93</v>
      </c>
      <c r="C25" s="80">
        <v>353</v>
      </c>
      <c r="D25" s="56" t="s">
        <v>38</v>
      </c>
      <c r="E25" s="80">
        <v>17</v>
      </c>
      <c r="F25" s="80">
        <v>16</v>
      </c>
      <c r="G25" s="56"/>
      <c r="H25" s="58"/>
      <c r="I25" s="58"/>
      <c r="J25" s="58"/>
      <c r="K25" s="60">
        <f>I19</f>
        <v>4.3971019246715163E-6</v>
      </c>
      <c r="L25" s="60">
        <f>I21</f>
        <v>-5.79976710654833E-6</v>
      </c>
      <c r="M25" s="60">
        <f>(C25-$O$5)*K25 + L25</f>
        <v>1.546377212302497E-3</v>
      </c>
    </row>
    <row r="26" spans="1:13" ht="14">
      <c r="A26" s="55">
        <f>P5</f>
        <v>79</v>
      </c>
      <c r="B26" s="55" t="s">
        <v>94</v>
      </c>
      <c r="C26" s="80">
        <v>1639</v>
      </c>
      <c r="D26" s="56" t="s">
        <v>35</v>
      </c>
      <c r="E26" s="80">
        <v>22</v>
      </c>
      <c r="F26" s="80">
        <v>24</v>
      </c>
      <c r="G26" s="57">
        <v>0</v>
      </c>
      <c r="H26" s="58"/>
      <c r="I26" s="59" t="s">
        <v>68</v>
      </c>
      <c r="J26" s="59" t="s">
        <v>68</v>
      </c>
      <c r="K26" s="60">
        <f>I27</f>
        <v>4.5477239464230107E-6</v>
      </c>
      <c r="L26" s="60">
        <f>I29</f>
        <v>-1.1319069958497241E-4</v>
      </c>
      <c r="M26" s="60">
        <f>(C26-$O$2)*K26+L26</f>
        <v>7.3405288486023419E-3</v>
      </c>
    </row>
    <row r="27" spans="1:13" ht="14">
      <c r="A27" s="55">
        <f t="shared" ref="A27:A33" si="6">A26</f>
        <v>79</v>
      </c>
      <c r="B27" s="55" t="s">
        <v>95</v>
      </c>
      <c r="C27" s="80">
        <v>1744</v>
      </c>
      <c r="D27" s="56" t="s">
        <v>35</v>
      </c>
      <c r="E27" s="80">
        <v>135</v>
      </c>
      <c r="F27" s="80">
        <v>226</v>
      </c>
      <c r="G27" s="57">
        <v>5.0000000000000001E-4</v>
      </c>
      <c r="H27" s="58"/>
      <c r="I27" s="59">
        <f>SLOPE(G26:G32, E26:E32)</f>
        <v>4.5477239464230107E-6</v>
      </c>
      <c r="J27" s="59">
        <f>SLOPE(G26:G32, F26:F32)</f>
        <v>2.5567420984711282E-6</v>
      </c>
      <c r="K27" s="60">
        <f>I27</f>
        <v>4.5477239464230107E-6</v>
      </c>
      <c r="L27" s="60">
        <f>I29</f>
        <v>-1.1319069958497241E-4</v>
      </c>
      <c r="M27" s="60">
        <f>(C27-$O$2)*K27+L27</f>
        <v>7.8180398629767583E-3</v>
      </c>
    </row>
    <row r="28" spans="1:13" ht="14">
      <c r="A28" s="55">
        <f t="shared" si="6"/>
        <v>79</v>
      </c>
      <c r="B28" s="55" t="s">
        <v>96</v>
      </c>
      <c r="C28" s="80">
        <v>679</v>
      </c>
      <c r="D28" s="56" t="s">
        <v>36</v>
      </c>
      <c r="E28" s="80">
        <v>244</v>
      </c>
      <c r="F28" s="80">
        <v>462</v>
      </c>
      <c r="G28" s="57">
        <v>1E-3</v>
      </c>
      <c r="H28" s="58"/>
      <c r="I28" s="59" t="s">
        <v>71</v>
      </c>
      <c r="J28" s="59" t="s">
        <v>71</v>
      </c>
      <c r="K28" s="60">
        <f>I27</f>
        <v>4.5477239464230107E-6</v>
      </c>
      <c r="L28" s="60">
        <f>I29</f>
        <v>-1.1319069958497241E-4</v>
      </c>
      <c r="M28" s="60">
        <f>(C28-$O$3)*K28 + L28</f>
        <v>2.9747138600362518E-3</v>
      </c>
    </row>
    <row r="29" spans="1:13" ht="14">
      <c r="A29" s="55">
        <f t="shared" si="6"/>
        <v>79</v>
      </c>
      <c r="B29" s="55" t="s">
        <v>97</v>
      </c>
      <c r="C29" s="80">
        <v>709</v>
      </c>
      <c r="D29" s="56" t="s">
        <v>36</v>
      </c>
      <c r="E29" s="80">
        <v>456</v>
      </c>
      <c r="F29" s="80">
        <v>1002</v>
      </c>
      <c r="G29" s="57">
        <v>2E-3</v>
      </c>
      <c r="H29" s="58"/>
      <c r="I29" s="59">
        <f>INTERCEPT(G26:G32, E26:E32)</f>
        <v>-1.1319069958497241E-4</v>
      </c>
      <c r="J29" s="59">
        <f>INTERCEPT(G26:G32, F26:F32)</f>
        <v>-1.8765542248462899E-4</v>
      </c>
      <c r="K29" s="60">
        <f>I27</f>
        <v>4.5477239464230107E-6</v>
      </c>
      <c r="L29" s="60">
        <f>I29</f>
        <v>-1.1319069958497241E-4</v>
      </c>
      <c r="M29" s="60">
        <f>(C29-$O$3)*K29+ L29</f>
        <v>3.1111455784289424E-3</v>
      </c>
    </row>
    <row r="30" spans="1:13" ht="14">
      <c r="A30" s="55">
        <f t="shared" si="6"/>
        <v>79</v>
      </c>
      <c r="B30" s="55" t="s">
        <v>98</v>
      </c>
      <c r="C30" s="80">
        <v>5491</v>
      </c>
      <c r="D30" s="56" t="s">
        <v>37</v>
      </c>
      <c r="E30" s="80">
        <v>1140</v>
      </c>
      <c r="F30" s="80">
        <v>2000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2.5567420984711282E-6</v>
      </c>
      <c r="L30" s="60">
        <f>J29</f>
        <v>-1.8765542248462899E-4</v>
      </c>
      <c r="M30" s="60">
        <f>(C30-$O$4)*K30 + L30</f>
        <v>1.2956236112993132E-2</v>
      </c>
    </row>
    <row r="31" spans="1:13" ht="14">
      <c r="A31" s="55">
        <f t="shared" si="6"/>
        <v>79</v>
      </c>
      <c r="B31" s="55" t="s">
        <v>99</v>
      </c>
      <c r="C31" s="80">
        <v>5235</v>
      </c>
      <c r="D31" s="56" t="s">
        <v>37</v>
      </c>
      <c r="E31" s="80">
        <v>2223</v>
      </c>
      <c r="F31" s="80">
        <v>3959</v>
      </c>
      <c r="G31" s="57">
        <v>0.01</v>
      </c>
      <c r="H31" s="58"/>
      <c r="I31" s="61">
        <f>RSQ(G26:G32, E26:E32)</f>
        <v>0.99997810047665892</v>
      </c>
      <c r="J31" s="61">
        <f>RSQ(G26:G32, F26:F32)</f>
        <v>0.9994413233467847</v>
      </c>
      <c r="K31" s="60">
        <f>J27</f>
        <v>2.5567420984711282E-6</v>
      </c>
      <c r="L31" s="60">
        <f>J29</f>
        <v>-1.8765542248462899E-4</v>
      </c>
      <c r="M31" s="60">
        <f>(C31-$O$4)*K31 + L31</f>
        <v>1.2301710135784523E-2</v>
      </c>
    </row>
    <row r="32" spans="1:13" ht="14">
      <c r="A32" s="55">
        <f t="shared" si="6"/>
        <v>79</v>
      </c>
      <c r="B32" s="55" t="s">
        <v>100</v>
      </c>
      <c r="C32" s="80">
        <v>373</v>
      </c>
      <c r="D32" s="56" t="s">
        <v>38</v>
      </c>
      <c r="E32" s="80">
        <v>4420</v>
      </c>
      <c r="F32" s="80">
        <v>7899</v>
      </c>
      <c r="G32" s="57">
        <v>0.02</v>
      </c>
      <c r="H32" s="58"/>
      <c r="I32" s="58"/>
      <c r="J32" s="58"/>
      <c r="K32" s="60">
        <f>I27</f>
        <v>4.5477239464230107E-6</v>
      </c>
      <c r="L32" s="60">
        <f>I29</f>
        <v>-1.1319069958497241E-4</v>
      </c>
      <c r="M32" s="60">
        <f>(C32-$O$5)*K32 + L32</f>
        <v>1.5831103324308105E-3</v>
      </c>
    </row>
    <row r="33" spans="1:26" ht="14">
      <c r="A33" s="55">
        <f t="shared" si="6"/>
        <v>79</v>
      </c>
      <c r="B33" s="55" t="s">
        <v>101</v>
      </c>
      <c r="C33" s="80">
        <v>397</v>
      </c>
      <c r="D33" s="56" t="s">
        <v>38</v>
      </c>
      <c r="E33" s="80">
        <v>15</v>
      </c>
      <c r="F33" s="80">
        <v>15</v>
      </c>
      <c r="G33" s="56"/>
      <c r="H33" s="58"/>
      <c r="I33" s="58"/>
      <c r="J33" s="58"/>
      <c r="K33" s="60">
        <f>I27</f>
        <v>4.5477239464230107E-6</v>
      </c>
      <c r="L33" s="60">
        <f>I29</f>
        <v>-1.1319069958497241E-4</v>
      </c>
      <c r="M33" s="60">
        <f>(C33-$O$5)*K33 + L33</f>
        <v>1.6922557071449627E-3</v>
      </c>
    </row>
    <row r="34" spans="1:26" ht="14">
      <c r="A34" s="55">
        <f>P6</f>
        <v>84</v>
      </c>
      <c r="B34" s="55" t="s">
        <v>102</v>
      </c>
      <c r="C34" s="80">
        <v>1602</v>
      </c>
      <c r="D34" s="56" t="s">
        <v>35</v>
      </c>
      <c r="E34" s="80">
        <v>21</v>
      </c>
      <c r="F34" s="80">
        <v>26</v>
      </c>
      <c r="G34" s="57">
        <v>0</v>
      </c>
      <c r="H34" s="58"/>
      <c r="I34" s="59" t="s">
        <v>68</v>
      </c>
      <c r="J34" s="59" t="s">
        <v>68</v>
      </c>
      <c r="K34" s="60">
        <f>I35</f>
        <v>3.8562291797961946E-6</v>
      </c>
      <c r="L34" s="60">
        <f>I37</f>
        <v>-6.5089596328736336E-5</v>
      </c>
      <c r="M34" s="60">
        <f>(C34-$O$2)*K34+L34</f>
        <v>6.1125895497047677E-3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84</v>
      </c>
      <c r="B35" s="55" t="s">
        <v>103</v>
      </c>
      <c r="C35" s="80">
        <v>1722</v>
      </c>
      <c r="D35" s="56" t="s">
        <v>35</v>
      </c>
      <c r="E35" s="80">
        <v>154</v>
      </c>
      <c r="F35" s="80">
        <v>241</v>
      </c>
      <c r="G35" s="57">
        <v>5.0000000000000001E-4</v>
      </c>
      <c r="H35" s="58"/>
      <c r="I35" s="59">
        <f>SLOPE(G34:G40, E34:E40)</f>
        <v>3.8562291797961946E-6</v>
      </c>
      <c r="J35" s="59">
        <f>SLOPE(G34:G40, F34:F40)</f>
        <v>2.57612796085396E-6</v>
      </c>
      <c r="K35" s="60">
        <f>I35</f>
        <v>3.8562291797961946E-6</v>
      </c>
      <c r="L35" s="60">
        <f>I37</f>
        <v>-6.5089596328736336E-5</v>
      </c>
      <c r="M35" s="60">
        <f>(C35-$O$2)*K35+L35</f>
        <v>6.5753370512803104E-3</v>
      </c>
    </row>
    <row r="36" spans="1:26" ht="14">
      <c r="A36" s="55">
        <f t="shared" si="7"/>
        <v>84</v>
      </c>
      <c r="B36" s="55" t="s">
        <v>104</v>
      </c>
      <c r="C36" s="80">
        <v>621</v>
      </c>
      <c r="D36" s="56" t="s">
        <v>36</v>
      </c>
      <c r="E36" s="80">
        <v>278</v>
      </c>
      <c r="F36" s="80">
        <v>486</v>
      </c>
      <c r="G36" s="57">
        <v>1E-3</v>
      </c>
      <c r="H36" s="58"/>
      <c r="I36" s="59" t="s">
        <v>71</v>
      </c>
      <c r="J36" s="59" t="s">
        <v>71</v>
      </c>
      <c r="K36" s="60">
        <f>I35</f>
        <v>3.8562291797961946E-6</v>
      </c>
      <c r="L36" s="60">
        <f>I37</f>
        <v>-6.5089596328736336E-5</v>
      </c>
      <c r="M36" s="60">
        <f>(C36-$O$3)*K36 + L36</f>
        <v>2.3296287243247003E-3</v>
      </c>
    </row>
    <row r="37" spans="1:26" ht="14">
      <c r="A37" s="55">
        <f t="shared" si="7"/>
        <v>84</v>
      </c>
      <c r="B37" s="55" t="s">
        <v>105</v>
      </c>
      <c r="C37" s="80">
        <v>714</v>
      </c>
      <c r="D37" s="56" t="s">
        <v>36</v>
      </c>
      <c r="E37" s="80">
        <v>531</v>
      </c>
      <c r="F37" s="80">
        <v>855</v>
      </c>
      <c r="G37" s="57">
        <v>2E-3</v>
      </c>
      <c r="H37" s="58"/>
      <c r="I37" s="59">
        <f>INTERCEPT(G34:G40, E34:E40)</f>
        <v>-6.5089596328736336E-5</v>
      </c>
      <c r="J37" s="59">
        <f>INTERCEPT(G34:G40, F34:F40)</f>
        <v>-2.4991760862603813E-4</v>
      </c>
      <c r="K37" s="60">
        <f>I35</f>
        <v>3.8562291797961946E-6</v>
      </c>
      <c r="L37" s="60">
        <f>I37</f>
        <v>-6.5089596328736336E-5</v>
      </c>
      <c r="M37" s="60">
        <f>(C37-$O$3)*K37+ L37</f>
        <v>2.6882580380457465E-3</v>
      </c>
    </row>
    <row r="38" spans="1:26" ht="14">
      <c r="A38" s="55">
        <f t="shared" si="7"/>
        <v>84</v>
      </c>
      <c r="B38" s="55" t="s">
        <v>106</v>
      </c>
      <c r="C38" s="80">
        <v>5432</v>
      </c>
      <c r="D38" s="56" t="s">
        <v>37</v>
      </c>
      <c r="E38" s="80">
        <v>1293</v>
      </c>
      <c r="F38" s="80">
        <v>2122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2.57612796085396E-6</v>
      </c>
      <c r="L38" s="60">
        <f>J37</f>
        <v>-2.4991760862603813E-4</v>
      </c>
      <c r="M38" s="60">
        <f>(C38-$O$4)*K38 + L38</f>
        <v>1.2841642672438678E-2</v>
      </c>
    </row>
    <row r="39" spans="1:26" ht="14">
      <c r="A39" s="55">
        <f t="shared" si="7"/>
        <v>84</v>
      </c>
      <c r="B39" s="55" t="s">
        <v>107</v>
      </c>
      <c r="C39" s="80">
        <v>5182</v>
      </c>
      <c r="D39" s="56" t="s">
        <v>37</v>
      </c>
      <c r="E39" s="80">
        <v>2623</v>
      </c>
      <c r="F39" s="80">
        <v>4137</v>
      </c>
      <c r="G39" s="57">
        <v>0.01</v>
      </c>
      <c r="H39" s="58"/>
      <c r="I39" s="61">
        <f>RSQ(G34:G40, E34:E40)</f>
        <v>0.99996805082746476</v>
      </c>
      <c r="J39" s="61">
        <f>RSQ(G34:G40, F34:F40)</f>
        <v>0.99894315774344711</v>
      </c>
      <c r="K39" s="60">
        <f>J35</f>
        <v>2.57612796085396E-6</v>
      </c>
      <c r="L39" s="60">
        <f>J37</f>
        <v>-2.4991760862603813E-4</v>
      </c>
      <c r="M39" s="60">
        <f>(C39-$O$4)*K39 + L39</f>
        <v>1.2197610682225191E-2</v>
      </c>
    </row>
    <row r="40" spans="1:26" ht="14">
      <c r="A40" s="55">
        <f t="shared" si="7"/>
        <v>84</v>
      </c>
      <c r="B40" s="55" t="s">
        <v>108</v>
      </c>
      <c r="C40" s="80">
        <v>355</v>
      </c>
      <c r="D40" s="56" t="s">
        <v>38</v>
      </c>
      <c r="E40" s="80">
        <v>5202</v>
      </c>
      <c r="F40" s="80">
        <v>7757</v>
      </c>
      <c r="G40" s="57">
        <v>0.02</v>
      </c>
      <c r="H40" s="58"/>
      <c r="I40" s="58"/>
      <c r="J40" s="58"/>
      <c r="K40" s="60">
        <f>I35</f>
        <v>3.8562291797961946E-6</v>
      </c>
      <c r="L40" s="60">
        <f>I37</f>
        <v>-6.5089596328736336E-5</v>
      </c>
      <c r="M40" s="60">
        <f>(C40-$O$5)*K40 + L40</f>
        <v>1.3038717624989128E-3</v>
      </c>
    </row>
    <row r="41" spans="1:26" ht="14">
      <c r="A41" s="55">
        <f t="shared" si="7"/>
        <v>84</v>
      </c>
      <c r="B41" s="55" t="s">
        <v>109</v>
      </c>
      <c r="C41" s="80">
        <v>362</v>
      </c>
      <c r="D41" s="56" t="s">
        <v>38</v>
      </c>
      <c r="E41" s="80">
        <v>17</v>
      </c>
      <c r="F41" s="80">
        <v>16</v>
      </c>
      <c r="G41" s="56"/>
      <c r="H41" s="58"/>
      <c r="I41" s="58"/>
      <c r="J41" s="58"/>
      <c r="K41" s="60">
        <f>I35</f>
        <v>3.8562291797961946E-6</v>
      </c>
      <c r="L41" s="60">
        <f>I37</f>
        <v>-6.5089596328736336E-5</v>
      </c>
      <c r="M41" s="60">
        <f>(C41-$O$5)*K41 + L41</f>
        <v>1.330865366757486E-3</v>
      </c>
    </row>
    <row r="42" spans="1:26" ht="14">
      <c r="A42" s="55">
        <f>P7</f>
        <v>89</v>
      </c>
      <c r="B42" s="55" t="s">
        <v>110</v>
      </c>
      <c r="C42" s="80">
        <v>1463</v>
      </c>
      <c r="D42" s="56" t="s">
        <v>35</v>
      </c>
      <c r="E42" s="80">
        <v>20</v>
      </c>
      <c r="F42" s="80">
        <v>24</v>
      </c>
      <c r="G42" s="57">
        <v>0</v>
      </c>
      <c r="H42" s="58"/>
      <c r="I42" s="62" t="s">
        <v>68</v>
      </c>
      <c r="J42" s="62" t="s">
        <v>68</v>
      </c>
      <c r="K42" s="60">
        <f>I43</f>
        <v>4.3126063385673832E-6</v>
      </c>
      <c r="L42" s="60">
        <f>I45</f>
        <v>-1.2856735845023001E-4</v>
      </c>
      <c r="M42" s="60">
        <f>(C42-$O$2)*K42+L42</f>
        <v>6.1807757148738514E-3</v>
      </c>
    </row>
    <row r="43" spans="1:26" ht="14">
      <c r="A43" s="55">
        <f t="shared" ref="A43:A49" si="8">A42</f>
        <v>89</v>
      </c>
      <c r="B43" s="55" t="s">
        <v>111</v>
      </c>
      <c r="C43" s="80">
        <v>1548</v>
      </c>
      <c r="D43" s="56" t="s">
        <v>35</v>
      </c>
      <c r="E43" s="80">
        <v>141</v>
      </c>
      <c r="F43" s="80">
        <v>235</v>
      </c>
      <c r="G43" s="57">
        <v>5.0000000000000001E-4</v>
      </c>
      <c r="H43" s="58"/>
      <c r="I43" s="58">
        <f>SLOPE(G42:G48, E42:E48)</f>
        <v>4.3126063385673832E-6</v>
      </c>
      <c r="J43" s="58">
        <f>SLOPE(G42:G48, F42:F48)</f>
        <v>2.6219520218152734E-6</v>
      </c>
      <c r="K43" s="60">
        <f>I43</f>
        <v>4.3126063385673832E-6</v>
      </c>
      <c r="L43" s="60">
        <f>I45</f>
        <v>-1.2856735845023001E-4</v>
      </c>
      <c r="M43" s="60">
        <f>(C43-$O$2)*K43+L43</f>
        <v>6.5473472536520796E-3</v>
      </c>
    </row>
    <row r="44" spans="1:26" ht="14">
      <c r="A44" s="55">
        <f t="shared" si="8"/>
        <v>89</v>
      </c>
      <c r="B44" s="55" t="s">
        <v>112</v>
      </c>
      <c r="C44" s="80">
        <v>618</v>
      </c>
      <c r="D44" s="56" t="s">
        <v>36</v>
      </c>
      <c r="E44" s="80">
        <v>254</v>
      </c>
      <c r="F44" s="80">
        <v>639</v>
      </c>
      <c r="G44" s="57">
        <v>1E-3</v>
      </c>
      <c r="H44" s="58"/>
      <c r="I44" s="62" t="s">
        <v>71</v>
      </c>
      <c r="J44" s="62" t="s">
        <v>71</v>
      </c>
      <c r="K44" s="60">
        <f>I43</f>
        <v>4.3126063385673832E-6</v>
      </c>
      <c r="L44" s="60">
        <f>I45</f>
        <v>-1.2856735845023001E-4</v>
      </c>
      <c r="M44" s="60">
        <f>(C44-$O$3)*K44 + L44</f>
        <v>2.5366233587844128E-3</v>
      </c>
    </row>
    <row r="45" spans="1:26" ht="14">
      <c r="A45" s="55">
        <f t="shared" si="8"/>
        <v>89</v>
      </c>
      <c r="B45" s="55" t="s">
        <v>113</v>
      </c>
      <c r="C45" s="80">
        <v>624</v>
      </c>
      <c r="D45" s="56" t="s">
        <v>36</v>
      </c>
      <c r="E45" s="80">
        <v>478</v>
      </c>
      <c r="F45" s="80">
        <v>977</v>
      </c>
      <c r="G45" s="57">
        <v>2E-3</v>
      </c>
      <c r="H45" s="58"/>
      <c r="I45" s="58">
        <f>INTERCEPT(G42:G48, E42:E48)</f>
        <v>-1.2856735845023001E-4</v>
      </c>
      <c r="J45" s="58">
        <f>INTERCEPT(G42:G48, F42:F48)</f>
        <v>-5.2299835868422836E-4</v>
      </c>
      <c r="K45" s="60">
        <f>I43</f>
        <v>4.3126063385673832E-6</v>
      </c>
      <c r="L45" s="60">
        <f>I45</f>
        <v>-1.2856735845023001E-4</v>
      </c>
      <c r="M45" s="60">
        <f>(C45-$O$3)*K45+ L45</f>
        <v>2.5624989968158172E-3</v>
      </c>
    </row>
    <row r="46" spans="1:26" ht="14">
      <c r="A46" s="55">
        <f t="shared" si="8"/>
        <v>89</v>
      </c>
      <c r="B46" s="55" t="s">
        <v>114</v>
      </c>
      <c r="C46" s="80">
        <v>4996</v>
      </c>
      <c r="D46" s="56" t="s">
        <v>37</v>
      </c>
      <c r="E46" s="80">
        <v>1162</v>
      </c>
      <c r="F46" s="80">
        <v>2381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2.6219520218152734E-6</v>
      </c>
      <c r="L46" s="60">
        <f>J45</f>
        <v>-5.2299835868422836E-4</v>
      </c>
      <c r="M46" s="60">
        <f>(C46-$O$4)*K46 + L46</f>
        <v>1.1658262990666805E-2</v>
      </c>
    </row>
    <row r="47" spans="1:26" ht="14">
      <c r="A47" s="55">
        <f t="shared" si="8"/>
        <v>89</v>
      </c>
      <c r="B47" s="55" t="s">
        <v>115</v>
      </c>
      <c r="C47" s="80">
        <v>5603</v>
      </c>
      <c r="D47" s="56" t="s">
        <v>37</v>
      </c>
      <c r="E47" s="80">
        <v>2469</v>
      </c>
      <c r="F47" s="80">
        <v>4167</v>
      </c>
      <c r="G47" s="57">
        <v>0.01</v>
      </c>
      <c r="H47" s="58"/>
      <c r="I47" s="61">
        <f>RSQ(G42:G48, E42:E48)</f>
        <v>0.99890659689784067</v>
      </c>
      <c r="J47" s="61">
        <f>RSQ(G42:G48, F42:F48)</f>
        <v>0.99597543590371007</v>
      </c>
      <c r="K47" s="60">
        <f>J43</f>
        <v>2.6219520218152734E-6</v>
      </c>
      <c r="L47" s="60">
        <f>J45</f>
        <v>-5.2299835868422836E-4</v>
      </c>
      <c r="M47" s="60">
        <f>(C47-$O$4)*K47 + L47</f>
        <v>1.3249787867908676E-2</v>
      </c>
    </row>
    <row r="48" spans="1:26" ht="14">
      <c r="A48" s="55">
        <f t="shared" si="8"/>
        <v>89</v>
      </c>
      <c r="B48" s="55" t="s">
        <v>116</v>
      </c>
      <c r="C48" s="80">
        <v>339</v>
      </c>
      <c r="D48" s="56" t="s">
        <v>38</v>
      </c>
      <c r="E48" s="80">
        <v>4612</v>
      </c>
      <c r="F48" s="80">
        <v>7657</v>
      </c>
      <c r="G48" s="57">
        <v>0.02</v>
      </c>
      <c r="H48" s="58"/>
      <c r="I48" s="58"/>
      <c r="J48" s="58"/>
      <c r="K48" s="60">
        <f>I43</f>
        <v>4.3126063385673832E-6</v>
      </c>
      <c r="L48" s="60">
        <f>I45</f>
        <v>-1.2856735845023001E-4</v>
      </c>
      <c r="M48" s="60">
        <f>(C48-$O$5)*K48 + L48</f>
        <v>1.3334061903241129E-3</v>
      </c>
    </row>
    <row r="49" spans="1:13" ht="14">
      <c r="A49" s="55">
        <f t="shared" si="8"/>
        <v>89</v>
      </c>
      <c r="B49" s="55" t="s">
        <v>117</v>
      </c>
      <c r="C49" s="80">
        <v>341</v>
      </c>
      <c r="D49" s="56" t="s">
        <v>38</v>
      </c>
      <c r="E49" s="80">
        <v>16</v>
      </c>
      <c r="F49" s="80">
        <v>16</v>
      </c>
      <c r="G49" s="56"/>
      <c r="H49" s="58"/>
      <c r="I49" s="58"/>
      <c r="J49" s="58"/>
      <c r="K49" s="60">
        <f>I43</f>
        <v>4.3126063385673832E-6</v>
      </c>
      <c r="L49" s="60">
        <f>I45</f>
        <v>-1.2856735845023001E-4</v>
      </c>
      <c r="M49" s="60">
        <f>(C49-$O$5)*K49 + L49</f>
        <v>1.3420314030012476E-3</v>
      </c>
    </row>
    <row r="50" spans="1:13" ht="14">
      <c r="A50" s="55">
        <f>P8</f>
        <v>94</v>
      </c>
      <c r="B50" s="55" t="s">
        <v>118</v>
      </c>
      <c r="C50" s="80">
        <v>1669</v>
      </c>
      <c r="D50" s="56" t="s">
        <v>35</v>
      </c>
      <c r="E50" s="80">
        <v>25</v>
      </c>
      <c r="F50" s="80">
        <v>24</v>
      </c>
      <c r="G50" s="57">
        <v>0</v>
      </c>
      <c r="H50" s="58"/>
      <c r="I50" s="62" t="s">
        <v>68</v>
      </c>
      <c r="J50" s="62" t="s">
        <v>68</v>
      </c>
      <c r="K50" s="60">
        <f>I51</f>
        <v>3.7360156801336106E-6</v>
      </c>
      <c r="L50" s="60">
        <f>I53</f>
        <v>-7.3067961707879575E-5</v>
      </c>
      <c r="M50" s="60">
        <f>(C50-$O$2)*K50+L50</f>
        <v>6.1623422084351167E-3</v>
      </c>
    </row>
    <row r="51" spans="1:13" ht="14">
      <c r="A51" s="55">
        <f t="shared" ref="A51:A57" si="9">A50</f>
        <v>94</v>
      </c>
      <c r="B51" s="55" t="s">
        <v>119</v>
      </c>
      <c r="C51" s="80">
        <v>1769</v>
      </c>
      <c r="D51" s="56" t="s">
        <v>35</v>
      </c>
      <c r="E51" s="80">
        <v>154</v>
      </c>
      <c r="F51" s="80">
        <v>232</v>
      </c>
      <c r="G51" s="57">
        <v>5.0000000000000001E-4</v>
      </c>
      <c r="H51" s="58"/>
      <c r="I51" s="58">
        <f>SLOPE(G50:G56, E50:E56)</f>
        <v>3.7360156801336106E-6</v>
      </c>
      <c r="J51" s="58">
        <f>SLOPE(G50:G56, F50:F56)</f>
        <v>2.4745815563284662E-6</v>
      </c>
      <c r="K51" s="60">
        <f>I51</f>
        <v>3.7360156801336106E-6</v>
      </c>
      <c r="L51" s="60">
        <f>I53</f>
        <v>-7.3067961707879575E-5</v>
      </c>
      <c r="M51" s="60">
        <f>(C51-$O$2)*K51+L51</f>
        <v>6.5359437764484773E-3</v>
      </c>
    </row>
    <row r="52" spans="1:13" ht="14">
      <c r="A52" s="55">
        <f t="shared" si="9"/>
        <v>94</v>
      </c>
      <c r="B52" s="55" t="s">
        <v>120</v>
      </c>
      <c r="C52" s="80">
        <v>673</v>
      </c>
      <c r="D52" s="56" t="s">
        <v>36</v>
      </c>
      <c r="E52" s="80">
        <v>291</v>
      </c>
      <c r="F52" s="80">
        <v>563</v>
      </c>
      <c r="G52" s="57">
        <v>1E-3</v>
      </c>
      <c r="H52" s="58"/>
      <c r="I52" s="62" t="s">
        <v>71</v>
      </c>
      <c r="J52" s="62" t="s">
        <v>71</v>
      </c>
      <c r="K52" s="60">
        <f>I51</f>
        <v>3.7360156801336106E-6</v>
      </c>
      <c r="L52" s="60">
        <f>I53</f>
        <v>-7.3067961707879575E-5</v>
      </c>
      <c r="M52" s="60">
        <f>(C52-$O$3)*K52 + L52</f>
        <v>2.4412705910220405E-3</v>
      </c>
    </row>
    <row r="53" spans="1:13" ht="14">
      <c r="A53" s="55">
        <f t="shared" si="9"/>
        <v>94</v>
      </c>
      <c r="B53" s="55" t="s">
        <v>121</v>
      </c>
      <c r="C53" s="80">
        <v>739</v>
      </c>
      <c r="D53" s="56" t="s">
        <v>36</v>
      </c>
      <c r="E53" s="80">
        <v>561</v>
      </c>
      <c r="F53" s="80">
        <v>898</v>
      </c>
      <c r="G53" s="57">
        <v>2E-3</v>
      </c>
      <c r="H53" s="58"/>
      <c r="I53" s="58">
        <f>INTERCEPT(G50:G56, E50:E56)</f>
        <v>-7.3067961707879575E-5</v>
      </c>
      <c r="J53" s="58">
        <f>INTERCEPT(G50:G56, F50:F56)</f>
        <v>-1.777506251702133E-4</v>
      </c>
      <c r="K53" s="60">
        <f>I51</f>
        <v>3.7360156801336106E-6</v>
      </c>
      <c r="L53" s="60">
        <f>I53</f>
        <v>-7.3067961707879575E-5</v>
      </c>
      <c r="M53" s="60">
        <f>(C53-$O$3)*K53+ L53</f>
        <v>2.6878476259108585E-3</v>
      </c>
    </row>
    <row r="54" spans="1:13" ht="14">
      <c r="A54" s="55">
        <f t="shared" si="9"/>
        <v>94</v>
      </c>
      <c r="B54" s="55" t="s">
        <v>122</v>
      </c>
      <c r="C54" s="80">
        <v>5447</v>
      </c>
      <c r="D54" s="56" t="s">
        <v>37</v>
      </c>
      <c r="E54" s="80">
        <v>1389</v>
      </c>
      <c r="F54" s="80">
        <v>2118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2.4745815563284662E-6</v>
      </c>
      <c r="L54" s="60">
        <f>J53</f>
        <v>-1.777506251702133E-4</v>
      </c>
      <c r="M54" s="60">
        <f>(C54-$O$4)*K54 + L54</f>
        <v>1.2434882244741438E-2</v>
      </c>
    </row>
    <row r="55" spans="1:13" ht="14">
      <c r="A55" s="55">
        <f t="shared" si="9"/>
        <v>94</v>
      </c>
      <c r="B55" s="55" t="s">
        <v>123</v>
      </c>
      <c r="C55" s="80">
        <v>5249</v>
      </c>
      <c r="D55" s="56" t="s">
        <v>37</v>
      </c>
      <c r="E55" s="80">
        <v>2622</v>
      </c>
      <c r="F55" s="80">
        <v>4058</v>
      </c>
      <c r="G55" s="57">
        <v>0.01</v>
      </c>
      <c r="H55" s="58"/>
      <c r="I55" s="61">
        <f>RSQ(G50:G56, E50:E56)</f>
        <v>0.9996803777824389</v>
      </c>
      <c r="J55" s="61">
        <f>RSQ(G50:G56, F50:F56)</f>
        <v>0.99969598606595189</v>
      </c>
      <c r="K55" s="60">
        <f>J51</f>
        <v>2.4745815563284662E-6</v>
      </c>
      <c r="L55" s="60">
        <f>J53</f>
        <v>-1.777506251702133E-4</v>
      </c>
      <c r="M55" s="60">
        <f>(C55-$O$4)*K55 + L55</f>
        <v>1.1944915096588403E-2</v>
      </c>
    </row>
    <row r="56" spans="1:13" ht="14">
      <c r="A56" s="55">
        <f t="shared" si="9"/>
        <v>94</v>
      </c>
      <c r="B56" s="55" t="s">
        <v>124</v>
      </c>
      <c r="C56" s="80">
        <v>368</v>
      </c>
      <c r="D56" s="56" t="s">
        <v>38</v>
      </c>
      <c r="E56" s="80">
        <v>5400</v>
      </c>
      <c r="F56" s="80">
        <v>8168</v>
      </c>
      <c r="G56" s="57">
        <v>0.02</v>
      </c>
      <c r="H56" s="58"/>
      <c r="I56" s="58"/>
      <c r="J56" s="58"/>
      <c r="K56" s="60">
        <f>I51</f>
        <v>3.7360156801336106E-6</v>
      </c>
      <c r="L56" s="60">
        <f>I53</f>
        <v>-7.3067961707879575E-5</v>
      </c>
      <c r="M56" s="60">
        <f>(C56-$O$5)*K56 + L56</f>
        <v>1.3017858085812891E-3</v>
      </c>
    </row>
    <row r="57" spans="1:13" ht="14">
      <c r="A57" s="55">
        <f t="shared" si="9"/>
        <v>94</v>
      </c>
      <c r="B57" s="55" t="s">
        <v>125</v>
      </c>
      <c r="C57" s="80">
        <v>383</v>
      </c>
      <c r="D57" s="56" t="s">
        <v>38</v>
      </c>
      <c r="E57" s="80">
        <v>18</v>
      </c>
      <c r="F57" s="80">
        <v>16</v>
      </c>
      <c r="G57" s="56"/>
      <c r="H57" s="58"/>
      <c r="I57" s="58"/>
      <c r="J57" s="58"/>
      <c r="K57" s="60">
        <f>I51</f>
        <v>3.7360156801336106E-6</v>
      </c>
      <c r="L57" s="60">
        <f>I53</f>
        <v>-7.3067961707879575E-5</v>
      </c>
      <c r="M57" s="60">
        <f>(C57-$O$5)*K57 + L57</f>
        <v>1.3578260437832933E-3</v>
      </c>
    </row>
    <row r="58" spans="1:13" ht="14">
      <c r="A58" s="55">
        <f>P9</f>
        <v>99</v>
      </c>
      <c r="B58" s="55" t="s">
        <v>126</v>
      </c>
      <c r="C58" s="80">
        <v>1713</v>
      </c>
      <c r="D58" s="56" t="s">
        <v>35</v>
      </c>
      <c r="E58" s="80">
        <v>23</v>
      </c>
      <c r="F58" s="80">
        <v>27</v>
      </c>
      <c r="G58" s="57">
        <v>0</v>
      </c>
      <c r="H58" s="58"/>
      <c r="I58" s="62" t="s">
        <v>68</v>
      </c>
      <c r="J58" s="62" t="s">
        <v>68</v>
      </c>
      <c r="K58" s="60">
        <f>I59</f>
        <v>3.7404475664995163E-6</v>
      </c>
      <c r="L58" s="60">
        <f>I61</f>
        <v>-8.9297363654991004E-5</v>
      </c>
      <c r="M58" s="60">
        <f>(C58-$O$2)*K58+L58</f>
        <v>6.3180893177586803E-3</v>
      </c>
    </row>
    <row r="59" spans="1:13" ht="14">
      <c r="A59" s="55">
        <f t="shared" ref="A59:A65" si="10">A58</f>
        <v>99</v>
      </c>
      <c r="B59" s="55" t="s">
        <v>127</v>
      </c>
      <c r="C59" s="80">
        <v>1688</v>
      </c>
      <c r="D59" s="56" t="s">
        <v>35</v>
      </c>
      <c r="E59" s="80">
        <v>160</v>
      </c>
      <c r="F59" s="80">
        <v>236</v>
      </c>
      <c r="G59" s="57">
        <v>5.0000000000000001E-4</v>
      </c>
      <c r="H59" s="58"/>
      <c r="I59" s="58">
        <f>SLOPE(G58:G64, E58:E64)</f>
        <v>3.7404475664995163E-6</v>
      </c>
      <c r="J59" s="58">
        <f>SLOPE(G58:G64, F58:F64)</f>
        <v>2.4743141661946864E-6</v>
      </c>
      <c r="K59" s="60">
        <f>I59</f>
        <v>3.7404475664995163E-6</v>
      </c>
      <c r="L59" s="60">
        <f>I61</f>
        <v>-8.9297363654991004E-5</v>
      </c>
      <c r="M59" s="60">
        <f>(C59-$O$2)*K59+L59</f>
        <v>6.2245781285961924E-3</v>
      </c>
    </row>
    <row r="60" spans="1:13" ht="14">
      <c r="A60" s="55">
        <f t="shared" si="10"/>
        <v>99</v>
      </c>
      <c r="B60" s="55" t="s">
        <v>128</v>
      </c>
      <c r="C60" s="80">
        <v>677</v>
      </c>
      <c r="D60" s="56" t="s">
        <v>36</v>
      </c>
      <c r="E60" s="80">
        <v>296</v>
      </c>
      <c r="F60" s="80">
        <v>627</v>
      </c>
      <c r="G60" s="57">
        <v>1E-3</v>
      </c>
      <c r="H60" s="58"/>
      <c r="I60" s="62" t="s">
        <v>71</v>
      </c>
      <c r="J60" s="62" t="s">
        <v>71</v>
      </c>
      <c r="K60" s="60">
        <f>I59</f>
        <v>3.7404475664995163E-6</v>
      </c>
      <c r="L60" s="60">
        <f>I61</f>
        <v>-8.9297363654991004E-5</v>
      </c>
      <c r="M60" s="60">
        <f>(C60-$O$3)*K60 + L60</f>
        <v>2.4429856388651816E-3</v>
      </c>
    </row>
    <row r="61" spans="1:13" ht="14">
      <c r="A61" s="55">
        <f t="shared" si="10"/>
        <v>99</v>
      </c>
      <c r="B61" s="55" t="s">
        <v>129</v>
      </c>
      <c r="C61" s="80">
        <v>707</v>
      </c>
      <c r="D61" s="56" t="s">
        <v>36</v>
      </c>
      <c r="E61" s="80">
        <v>557</v>
      </c>
      <c r="F61" s="80">
        <v>946</v>
      </c>
      <c r="G61" s="57">
        <v>2E-3</v>
      </c>
      <c r="H61" s="58"/>
      <c r="I61" s="58">
        <f>INTERCEPT(G58:G64, E58:E64)</f>
        <v>-8.9297363654991004E-5</v>
      </c>
      <c r="J61" s="58">
        <f>INTERCEPT(G58:G64, F58:F64)</f>
        <v>-5.461634018228724E-4</v>
      </c>
      <c r="K61" s="60">
        <f>I59</f>
        <v>3.7404475664995163E-6</v>
      </c>
      <c r="L61" s="60">
        <f>I61</f>
        <v>-8.9297363654991004E-5</v>
      </c>
      <c r="M61" s="60">
        <f>(C61-$O$3)*K61+ L61</f>
        <v>2.5551990658601669E-3</v>
      </c>
    </row>
    <row r="62" spans="1:13" ht="14">
      <c r="A62" s="55">
        <f t="shared" si="10"/>
        <v>99</v>
      </c>
      <c r="B62" s="55" t="s">
        <v>130</v>
      </c>
      <c r="C62" s="80">
        <v>5726</v>
      </c>
      <c r="D62" s="56" t="s">
        <v>37</v>
      </c>
      <c r="E62" s="80">
        <v>1356</v>
      </c>
      <c r="F62" s="80">
        <v>2903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2.4743141661946864E-6</v>
      </c>
      <c r="L62" s="60">
        <f>J61</f>
        <v>-5.461634018228724E-4</v>
      </c>
      <c r="M62" s="60">
        <f>(C62-$O$4)*K62 + L62</f>
        <v>1.2755440266368987E-2</v>
      </c>
    </row>
    <row r="63" spans="1:13" ht="14">
      <c r="A63" s="55">
        <f t="shared" si="10"/>
        <v>99</v>
      </c>
      <c r="B63" s="55" t="s">
        <v>131</v>
      </c>
      <c r="C63" s="80">
        <v>5294</v>
      </c>
      <c r="D63" s="56" t="s">
        <v>37</v>
      </c>
      <c r="E63" s="80">
        <v>2695</v>
      </c>
      <c r="F63" s="80">
        <v>4311</v>
      </c>
      <c r="G63" s="57">
        <v>0.01</v>
      </c>
      <c r="H63" s="58"/>
      <c r="I63" s="61">
        <f>RSQ(G58:G64, E58:E64)</f>
        <v>0.99999720655395241</v>
      </c>
      <c r="J63" s="61">
        <f>RSQ(G58:G64, F58:F64)</f>
        <v>0.98882838771430914</v>
      </c>
      <c r="K63" s="60">
        <f>J59</f>
        <v>2.4743141661946864E-6</v>
      </c>
      <c r="L63" s="60">
        <f>J61</f>
        <v>-5.461634018228724E-4</v>
      </c>
      <c r="M63" s="60">
        <f>(C63-$O$4)*K63 + L63</f>
        <v>1.1686536546572883E-2</v>
      </c>
    </row>
    <row r="64" spans="1:13" ht="14">
      <c r="A64" s="55">
        <f t="shared" si="10"/>
        <v>99</v>
      </c>
      <c r="B64" s="55" t="s">
        <v>132</v>
      </c>
      <c r="C64" s="80">
        <v>371</v>
      </c>
      <c r="D64" s="56" t="s">
        <v>38</v>
      </c>
      <c r="E64" s="80">
        <v>5373</v>
      </c>
      <c r="F64" s="80">
        <v>8055</v>
      </c>
      <c r="G64" s="57">
        <v>0.02</v>
      </c>
      <c r="H64" s="58"/>
      <c r="I64" s="58"/>
      <c r="J64" s="58"/>
      <c r="K64" s="60">
        <f>I59</f>
        <v>3.7404475664995163E-6</v>
      </c>
      <c r="L64" s="60">
        <f>I61</f>
        <v>-8.9297363654991004E-5</v>
      </c>
      <c r="M64" s="60">
        <f>(C64-$O$5)*K64 + L64</f>
        <v>1.2984086835163295E-3</v>
      </c>
    </row>
    <row r="65" spans="1:26" ht="14">
      <c r="A65" s="55">
        <f t="shared" si="10"/>
        <v>99</v>
      </c>
      <c r="B65" s="55" t="s">
        <v>133</v>
      </c>
      <c r="C65" s="80">
        <v>371</v>
      </c>
      <c r="D65" s="56" t="s">
        <v>38</v>
      </c>
      <c r="E65" s="80">
        <v>19</v>
      </c>
      <c r="F65" s="80">
        <v>16</v>
      </c>
      <c r="G65" s="56"/>
      <c r="H65" s="58"/>
      <c r="I65" s="58"/>
      <c r="J65" s="58"/>
      <c r="K65" s="60">
        <f>I59</f>
        <v>3.7404475664995163E-6</v>
      </c>
      <c r="L65" s="60">
        <f>I61</f>
        <v>-8.9297363654991004E-5</v>
      </c>
      <c r="M65" s="60">
        <f>(C65-$O$5)*K65 + L65</f>
        <v>1.2984086835163295E-3</v>
      </c>
    </row>
    <row r="66" spans="1:26" ht="14">
      <c r="A66" s="55">
        <f>P10</f>
        <v>104</v>
      </c>
      <c r="B66" s="55" t="s">
        <v>134</v>
      </c>
      <c r="C66" s="80">
        <v>1907</v>
      </c>
      <c r="D66" s="56" t="s">
        <v>35</v>
      </c>
      <c r="E66" s="80">
        <v>27</v>
      </c>
      <c r="F66" s="80">
        <v>27</v>
      </c>
      <c r="G66" s="57">
        <v>0</v>
      </c>
      <c r="H66" s="58"/>
      <c r="I66" s="62" t="s">
        <v>68</v>
      </c>
      <c r="J66" s="62" t="s">
        <v>68</v>
      </c>
      <c r="K66" s="60">
        <f>I67</f>
        <v>3.3744415634978563E-6</v>
      </c>
      <c r="L66" s="60">
        <f>I69</f>
        <v>-2.6853217928988517E-5</v>
      </c>
      <c r="M66" s="60">
        <f>(C66-$O$2)*K66+L66</f>
        <v>6.4082068436614233E-3</v>
      </c>
    </row>
    <row r="67" spans="1:26" ht="14">
      <c r="A67" s="55">
        <f t="shared" ref="A67:A73" si="11">A66</f>
        <v>104</v>
      </c>
      <c r="B67" s="55" t="s">
        <v>135</v>
      </c>
      <c r="C67" s="80">
        <v>1906</v>
      </c>
      <c r="D67" s="56" t="s">
        <v>35</v>
      </c>
      <c r="E67" s="80">
        <v>164</v>
      </c>
      <c r="F67" s="80">
        <v>251</v>
      </c>
      <c r="G67" s="57">
        <v>5.0000000000000001E-4</v>
      </c>
      <c r="H67" s="58"/>
      <c r="I67" s="58">
        <f>SLOPE(G66:G72, E66:E72)</f>
        <v>3.3744415634978563E-6</v>
      </c>
      <c r="J67" s="58">
        <f>SLOPE(G66:G72, F66:F72)</f>
        <v>2.3871524591074586E-6</v>
      </c>
      <c r="K67" s="60">
        <f>I67</f>
        <v>3.3744415634978563E-6</v>
      </c>
      <c r="L67" s="60">
        <f>I69</f>
        <v>-2.6853217928988517E-5</v>
      </c>
      <c r="M67" s="60">
        <f>(C67-$O$2)*K67+L67</f>
        <v>6.4048324020979253E-3</v>
      </c>
    </row>
    <row r="68" spans="1:26" ht="14">
      <c r="A68" s="55">
        <f t="shared" si="11"/>
        <v>104</v>
      </c>
      <c r="B68" s="55" t="s">
        <v>136</v>
      </c>
      <c r="C68" s="80">
        <v>749</v>
      </c>
      <c r="D68" s="56" t="s">
        <v>36</v>
      </c>
      <c r="E68" s="80">
        <v>313</v>
      </c>
      <c r="F68" s="80">
        <v>521</v>
      </c>
      <c r="G68" s="57">
        <v>1E-3</v>
      </c>
      <c r="H68" s="58"/>
      <c r="I68" s="62" t="s">
        <v>71</v>
      </c>
      <c r="J68" s="62" t="s">
        <v>71</v>
      </c>
      <c r="K68" s="60">
        <f>I67</f>
        <v>3.3744415634978563E-6</v>
      </c>
      <c r="L68" s="60">
        <f>I69</f>
        <v>-2.6853217928988517E-5</v>
      </c>
      <c r="M68" s="60">
        <f>(C68-$O$3)*K68 + L68</f>
        <v>2.5006035131309059E-3</v>
      </c>
    </row>
    <row r="69" spans="1:26" ht="14">
      <c r="A69" s="55">
        <f t="shared" si="11"/>
        <v>104</v>
      </c>
      <c r="B69" s="55" t="s">
        <v>137</v>
      </c>
      <c r="C69" s="80">
        <v>781</v>
      </c>
      <c r="D69" s="56" t="s">
        <v>36</v>
      </c>
      <c r="E69" s="80">
        <v>603</v>
      </c>
      <c r="F69" s="80">
        <v>944</v>
      </c>
      <c r="G69" s="57">
        <v>2E-3</v>
      </c>
      <c r="H69" s="58"/>
      <c r="I69" s="58">
        <f>INTERCEPT(G66:G72, E66:E72)</f>
        <v>-2.6853217928988517E-5</v>
      </c>
      <c r="J69" s="58">
        <f>INTERCEPT(G66:G72, F66:F72)</f>
        <v>-1.5516417562556895E-4</v>
      </c>
      <c r="K69" s="60">
        <f>I67</f>
        <v>3.3744415634978563E-6</v>
      </c>
      <c r="L69" s="60">
        <f>I69</f>
        <v>-2.6853217928988517E-5</v>
      </c>
      <c r="M69" s="60">
        <f>(C69-$O$3)*K69+ L69</f>
        <v>2.6085856431628373E-3</v>
      </c>
    </row>
    <row r="70" spans="1:26" ht="14">
      <c r="A70" s="55">
        <f t="shared" si="11"/>
        <v>104</v>
      </c>
      <c r="B70" s="55" t="s">
        <v>138</v>
      </c>
      <c r="C70" s="80">
        <v>6155</v>
      </c>
      <c r="D70" s="56" t="s">
        <v>37</v>
      </c>
      <c r="E70" s="80">
        <v>1495</v>
      </c>
      <c r="F70" s="80">
        <v>2269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2.3871524591074586E-6</v>
      </c>
      <c r="L70" s="60">
        <f>J69</f>
        <v>-1.5516417562556895E-4</v>
      </c>
      <c r="M70" s="60">
        <f>(C70-$O$4)*K70 + L70</f>
        <v>1.3701957455435841E-2</v>
      </c>
    </row>
    <row r="71" spans="1:26" ht="14">
      <c r="A71" s="55">
        <f t="shared" si="11"/>
        <v>104</v>
      </c>
      <c r="B71" s="55" t="s">
        <v>139</v>
      </c>
      <c r="C71" s="80">
        <v>6088</v>
      </c>
      <c r="D71" s="56" t="s">
        <v>37</v>
      </c>
      <c r="E71" s="80">
        <v>2892</v>
      </c>
      <c r="F71" s="80">
        <v>4079</v>
      </c>
      <c r="G71" s="57">
        <v>0.01</v>
      </c>
      <c r="H71" s="58"/>
      <c r="I71" s="61">
        <f>RSQ(G66:G72, E66:E72)</f>
        <v>0.99970877321605167</v>
      </c>
      <c r="J71" s="61">
        <f>RSQ(G66:G72, F66:F72)</f>
        <v>0.99910387521633137</v>
      </c>
      <c r="K71" s="60">
        <f>J67</f>
        <v>2.3871524591074586E-6</v>
      </c>
      <c r="L71" s="60">
        <f>J69</f>
        <v>-1.5516417562556895E-4</v>
      </c>
      <c r="M71" s="60">
        <f>(C71-$O$4)*K71 + L71</f>
        <v>1.354201824067564E-2</v>
      </c>
    </row>
    <row r="72" spans="1:26" ht="14">
      <c r="A72" s="55">
        <f t="shared" si="11"/>
        <v>104</v>
      </c>
      <c r="B72" s="55" t="s">
        <v>140</v>
      </c>
      <c r="C72" s="80">
        <v>422</v>
      </c>
      <c r="D72" s="56" t="s">
        <v>38</v>
      </c>
      <c r="E72" s="80">
        <v>5971</v>
      </c>
      <c r="F72" s="80">
        <v>8492</v>
      </c>
      <c r="G72" s="57">
        <v>0.02</v>
      </c>
      <c r="H72" s="58"/>
      <c r="I72" s="58"/>
      <c r="J72" s="58"/>
      <c r="K72" s="60">
        <f>I67</f>
        <v>3.3744415634978563E-6</v>
      </c>
      <c r="L72" s="60">
        <f>I69</f>
        <v>-2.6853217928988517E-5</v>
      </c>
      <c r="M72" s="60">
        <f>(C72-$O$5)*K72 + L72</f>
        <v>1.3971611218671067E-3</v>
      </c>
    </row>
    <row r="73" spans="1:26" ht="14">
      <c r="A73" s="55">
        <f t="shared" si="11"/>
        <v>104</v>
      </c>
      <c r="B73" s="55" t="s">
        <v>141</v>
      </c>
      <c r="C73" s="80">
        <v>424</v>
      </c>
      <c r="D73" s="56" t="s">
        <v>38</v>
      </c>
      <c r="E73" s="80">
        <v>18</v>
      </c>
      <c r="F73" s="80">
        <v>17</v>
      </c>
      <c r="G73" s="56"/>
      <c r="H73" s="58"/>
      <c r="I73" s="58"/>
      <c r="J73" s="58"/>
      <c r="K73" s="60">
        <f>I67</f>
        <v>3.3744415634978563E-6</v>
      </c>
      <c r="L73" s="60">
        <f>I69</f>
        <v>-2.6853217928988517E-5</v>
      </c>
      <c r="M73" s="60">
        <f>(C73-$O$5)*K73 + L73</f>
        <v>1.4039100049941025E-3</v>
      </c>
    </row>
    <row r="74" spans="1:26" ht="14">
      <c r="A74" s="55">
        <f>P11</f>
        <v>109</v>
      </c>
      <c r="B74" s="55" t="s">
        <v>142</v>
      </c>
      <c r="C74" s="80">
        <v>1804</v>
      </c>
      <c r="D74" s="56" t="s">
        <v>35</v>
      </c>
      <c r="E74" s="80">
        <v>27</v>
      </c>
      <c r="F74" s="80">
        <v>26</v>
      </c>
      <c r="G74" s="57">
        <v>0</v>
      </c>
      <c r="H74" s="58"/>
      <c r="I74" s="62" t="s">
        <v>68</v>
      </c>
      <c r="J74" s="62" t="s">
        <v>68</v>
      </c>
      <c r="K74" s="60">
        <f>I75</f>
        <v>3.4046801692974328E-6</v>
      </c>
      <c r="L74" s="60">
        <f>I77</f>
        <v>-1.9019332865866621E-4</v>
      </c>
      <c r="M74" s="60">
        <f>(C74-$O$2)*K74+L74</f>
        <v>5.9518496967539023E-3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109</v>
      </c>
      <c r="B75" s="55" t="s">
        <v>143</v>
      </c>
      <c r="C75" s="80">
        <v>1979</v>
      </c>
      <c r="D75" s="56" t="s">
        <v>35</v>
      </c>
      <c r="E75" s="80">
        <v>180</v>
      </c>
      <c r="F75" s="80">
        <v>229</v>
      </c>
      <c r="G75" s="57">
        <v>5.0000000000000001E-4</v>
      </c>
      <c r="H75" s="58"/>
      <c r="I75" s="58">
        <f>SLOPE(G74:G80, E74:E80)</f>
        <v>3.4046801692974328E-6</v>
      </c>
      <c r="J75" s="58">
        <f>SLOPE(G74:G80, F74:F80)</f>
        <v>2.2198121499095692E-6</v>
      </c>
      <c r="K75" s="60">
        <f>I75</f>
        <v>3.4046801692974328E-6</v>
      </c>
      <c r="L75" s="60">
        <f>I77</f>
        <v>-1.9019332865866621E-4</v>
      </c>
      <c r="M75" s="60">
        <f>(C75-$O$2)*K75+L75</f>
        <v>6.5476687263809532E-3</v>
      </c>
    </row>
    <row r="76" spans="1:26" ht="14">
      <c r="A76" s="55">
        <f t="shared" si="12"/>
        <v>109</v>
      </c>
      <c r="B76" s="55" t="s">
        <v>144</v>
      </c>
      <c r="C76" s="80">
        <v>759</v>
      </c>
      <c r="D76" s="56" t="s">
        <v>36</v>
      </c>
      <c r="E76" s="80">
        <v>338</v>
      </c>
      <c r="F76" s="80">
        <v>504</v>
      </c>
      <c r="G76" s="57">
        <v>1E-3</v>
      </c>
      <c r="H76" s="58"/>
      <c r="I76" s="62" t="s">
        <v>71</v>
      </c>
      <c r="J76" s="62" t="s">
        <v>71</v>
      </c>
      <c r="K76" s="60">
        <f>I75</f>
        <v>3.4046801692974328E-6</v>
      </c>
      <c r="L76" s="60">
        <f>I77</f>
        <v>-1.9019332865866621E-4</v>
      </c>
      <c r="M76" s="60">
        <f>(C76-$O$3)*K76 + L76</f>
        <v>2.3939589198380853E-3</v>
      </c>
    </row>
    <row r="77" spans="1:26" ht="14">
      <c r="A77" s="55">
        <f t="shared" si="12"/>
        <v>109</v>
      </c>
      <c r="B77" s="55" t="s">
        <v>145</v>
      </c>
      <c r="C77" s="80">
        <v>826</v>
      </c>
      <c r="D77" s="56" t="s">
        <v>36</v>
      </c>
      <c r="E77" s="80">
        <v>649</v>
      </c>
      <c r="F77" s="80">
        <v>999</v>
      </c>
      <c r="G77" s="57">
        <v>2E-3</v>
      </c>
      <c r="H77" s="58"/>
      <c r="I77" s="58">
        <f>INTERCEPT(G74:G80, E74:E80)</f>
        <v>-1.9019332865866621E-4</v>
      </c>
      <c r="J77" s="58">
        <f>INTERCEPT(G74:G80, F74:F80)</f>
        <v>-2.2800875829906767E-6</v>
      </c>
      <c r="K77" s="60">
        <f>I75</f>
        <v>3.4046801692974328E-6</v>
      </c>
      <c r="L77" s="60">
        <f>I77</f>
        <v>-1.9019332865866621E-4</v>
      </c>
      <c r="M77" s="60">
        <f>(C77-$O$3)*K77+ L77</f>
        <v>2.6220724911810134E-3</v>
      </c>
    </row>
    <row r="78" spans="1:26" ht="14">
      <c r="A78" s="55">
        <f t="shared" si="12"/>
        <v>109</v>
      </c>
      <c r="B78" s="55" t="s">
        <v>146</v>
      </c>
      <c r="C78" s="80">
        <v>7099</v>
      </c>
      <c r="D78" s="56" t="s">
        <v>37</v>
      </c>
      <c r="E78" s="80">
        <v>1550</v>
      </c>
      <c r="F78" s="80">
        <v>2272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2.2198121499095692E-6</v>
      </c>
      <c r="L78" s="60">
        <f>J77</f>
        <v>-2.2800875829906767E-6</v>
      </c>
      <c r="M78" s="60">
        <f>(C78-$O$4)*K78 + L78</f>
        <v>1.4978954635637955E-2</v>
      </c>
    </row>
    <row r="79" spans="1:26" ht="14">
      <c r="A79" s="55">
        <f t="shared" si="12"/>
        <v>109</v>
      </c>
      <c r="B79" s="55" t="s">
        <v>147</v>
      </c>
      <c r="C79" s="80">
        <v>6000</v>
      </c>
      <c r="D79" s="56" t="s">
        <v>37</v>
      </c>
      <c r="E79" s="80">
        <v>3072</v>
      </c>
      <c r="F79" s="80">
        <v>4179</v>
      </c>
      <c r="G79" s="57">
        <v>0.01</v>
      </c>
      <c r="H79" s="58"/>
      <c r="I79" s="61">
        <f>RSQ(G74:G80, E74:E80)</f>
        <v>0.9996130287323608</v>
      </c>
      <c r="J79" s="61">
        <f>RSQ(G74:G80, F74:F80)</f>
        <v>0.99787699960895582</v>
      </c>
      <c r="K79" s="60">
        <f>J75</f>
        <v>2.2198121499095692E-6</v>
      </c>
      <c r="L79" s="60">
        <f>J77</f>
        <v>-2.2800875829906767E-6</v>
      </c>
      <c r="M79" s="60">
        <f>(C79-$O$4)*K79 + L79</f>
        <v>1.2539381082887338E-2</v>
      </c>
    </row>
    <row r="80" spans="1:26" ht="14">
      <c r="A80" s="55">
        <f t="shared" si="12"/>
        <v>109</v>
      </c>
      <c r="B80" s="55" t="s">
        <v>148</v>
      </c>
      <c r="C80" s="80">
        <v>425</v>
      </c>
      <c r="D80" s="56" t="s">
        <v>38</v>
      </c>
      <c r="E80" s="80">
        <v>5883</v>
      </c>
      <c r="F80" s="80">
        <v>9142</v>
      </c>
      <c r="G80" s="57">
        <v>0.02</v>
      </c>
      <c r="H80" s="58"/>
      <c r="I80" s="58"/>
      <c r="J80" s="58"/>
      <c r="K80" s="60">
        <f>I75</f>
        <v>3.4046801692974328E-6</v>
      </c>
      <c r="L80" s="60">
        <f>I77</f>
        <v>-1.9019332865866621E-4</v>
      </c>
      <c r="M80" s="60">
        <f>(C80-$O$5)*K80 + L80</f>
        <v>1.2567957432927427E-3</v>
      </c>
    </row>
    <row r="81" spans="1:13" ht="14">
      <c r="A81" s="55">
        <f t="shared" si="12"/>
        <v>109</v>
      </c>
      <c r="B81" s="55" t="s">
        <v>149</v>
      </c>
      <c r="C81" s="80">
        <v>433</v>
      </c>
      <c r="D81" s="56" t="s">
        <v>38</v>
      </c>
      <c r="E81" s="80">
        <v>18</v>
      </c>
      <c r="F81" s="80">
        <v>17</v>
      </c>
      <c r="G81" s="56"/>
      <c r="H81" s="58"/>
      <c r="I81" s="58"/>
      <c r="J81" s="58"/>
      <c r="K81" s="60">
        <f>I75</f>
        <v>3.4046801692974328E-6</v>
      </c>
      <c r="L81" s="60">
        <f>I77</f>
        <v>-1.9019332865866621E-4</v>
      </c>
      <c r="M81" s="60">
        <f>(C81-$O$5)*K81 + L81</f>
        <v>1.2840331846471222E-3</v>
      </c>
    </row>
    <row r="82" spans="1:13" ht="14">
      <c r="A82" s="55">
        <f>P12</f>
        <v>114</v>
      </c>
      <c r="B82" s="55" t="s">
        <v>150</v>
      </c>
      <c r="C82" s="80">
        <v>1727</v>
      </c>
      <c r="D82" s="56" t="s">
        <v>35</v>
      </c>
      <c r="E82" s="80">
        <v>27</v>
      </c>
      <c r="F82" s="80">
        <v>27</v>
      </c>
      <c r="G82" s="57">
        <v>0</v>
      </c>
      <c r="H82" s="58"/>
      <c r="I82" s="62" t="s">
        <v>68</v>
      </c>
      <c r="J82" s="62" t="s">
        <v>68</v>
      </c>
      <c r="K82" s="60">
        <f>I83</f>
        <v>3.4275391144934742E-6</v>
      </c>
      <c r="L82" s="60">
        <f>I85</f>
        <v>-6.4364928157690376E-5</v>
      </c>
      <c r="M82" s="60">
        <f>(C82-$O$2)*K82+L82</f>
        <v>5.8549951225725398E-3</v>
      </c>
    </row>
    <row r="83" spans="1:13" ht="14">
      <c r="A83" s="55">
        <f t="shared" ref="A83:A89" si="13">A82</f>
        <v>114</v>
      </c>
      <c r="B83" s="55" t="s">
        <v>151</v>
      </c>
      <c r="C83" s="80">
        <v>1805</v>
      </c>
      <c r="D83" s="56" t="s">
        <v>35</v>
      </c>
      <c r="E83" s="80">
        <v>168</v>
      </c>
      <c r="F83" s="80">
        <v>231</v>
      </c>
      <c r="G83" s="57">
        <v>5.0000000000000001E-4</v>
      </c>
      <c r="H83" s="58"/>
      <c r="I83" s="58">
        <f>SLOPE(G82:G88, E82:E88)</f>
        <v>3.4275391144934742E-6</v>
      </c>
      <c r="J83" s="58">
        <f>SLOPE(G82:G88, F82:F88)</f>
        <v>2.2960633823704709E-6</v>
      </c>
      <c r="K83" s="60">
        <f>I83</f>
        <v>3.4275391144934742E-6</v>
      </c>
      <c r="L83" s="60">
        <f>I85</f>
        <v>-6.4364928157690376E-5</v>
      </c>
      <c r="M83" s="60">
        <f>(C83-$O$2)*K83+L83</f>
        <v>6.1223431735030302E-3</v>
      </c>
    </row>
    <row r="84" spans="1:13" ht="14">
      <c r="A84" s="55">
        <f t="shared" si="13"/>
        <v>114</v>
      </c>
      <c r="B84" s="55" t="s">
        <v>152</v>
      </c>
      <c r="C84" s="80">
        <v>728</v>
      </c>
      <c r="D84" s="56" t="s">
        <v>36</v>
      </c>
      <c r="E84" s="80">
        <v>318</v>
      </c>
      <c r="F84" s="80">
        <v>516</v>
      </c>
      <c r="G84" s="57">
        <v>1E-3</v>
      </c>
      <c r="H84" s="58"/>
      <c r="I84" s="62" t="s">
        <v>71</v>
      </c>
      <c r="J84" s="62" t="s">
        <v>71</v>
      </c>
      <c r="K84" s="60">
        <f>I83</f>
        <v>3.4275391144934742E-6</v>
      </c>
      <c r="L84" s="60">
        <f>I85</f>
        <v>-6.4364928157690376E-5</v>
      </c>
      <c r="M84" s="60">
        <f>(C84-$O$3)*K84 + L84</f>
        <v>2.4308835471935587E-3</v>
      </c>
    </row>
    <row r="85" spans="1:13" ht="14">
      <c r="A85" s="55">
        <f t="shared" si="13"/>
        <v>114</v>
      </c>
      <c r="B85" s="55" t="s">
        <v>153</v>
      </c>
      <c r="C85" s="80">
        <v>763</v>
      </c>
      <c r="D85" s="56" t="s">
        <v>36</v>
      </c>
      <c r="E85" s="80">
        <v>615</v>
      </c>
      <c r="F85" s="80">
        <v>1483</v>
      </c>
      <c r="G85" s="57">
        <v>2E-3</v>
      </c>
      <c r="H85" s="58"/>
      <c r="I85" s="58">
        <f>INTERCEPT(G82:G88, E82:E88)</f>
        <v>-6.4364928157690376E-5</v>
      </c>
      <c r="J85" s="58">
        <f>INTERCEPT(G82:G88, F82:F88)</f>
        <v>-2.9329592277532214E-4</v>
      </c>
      <c r="K85" s="60">
        <f>I83</f>
        <v>3.4275391144934742E-6</v>
      </c>
      <c r="L85" s="60">
        <f>I85</f>
        <v>-6.4364928157690376E-5</v>
      </c>
      <c r="M85" s="60">
        <f>(C85-$O$3)*K85+ L85</f>
        <v>2.5508474162008305E-3</v>
      </c>
    </row>
    <row r="86" spans="1:13" ht="14">
      <c r="A86" s="55">
        <f t="shared" si="13"/>
        <v>114</v>
      </c>
      <c r="B86" s="55" t="s">
        <v>154</v>
      </c>
      <c r="C86" s="80">
        <v>6639</v>
      </c>
      <c r="D86" s="56" t="s">
        <v>37</v>
      </c>
      <c r="E86" s="80">
        <v>1575</v>
      </c>
      <c r="F86" s="80">
        <v>2219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2.2960633823704709E-6</v>
      </c>
      <c r="L86" s="60">
        <f>J85</f>
        <v>-2.9329592277532214E-4</v>
      </c>
      <c r="M86" s="60">
        <f>(C86-$O$4)*K86 + L86</f>
        <v>1.4146359681029773E-2</v>
      </c>
    </row>
    <row r="87" spans="1:13" ht="14">
      <c r="A87" s="55">
        <f t="shared" si="13"/>
        <v>114</v>
      </c>
      <c r="B87" s="55" t="s">
        <v>155</v>
      </c>
      <c r="C87" s="80">
        <v>6087</v>
      </c>
      <c r="D87" s="56" t="s">
        <v>37</v>
      </c>
      <c r="E87" s="80">
        <v>2747</v>
      </c>
      <c r="F87" s="80">
        <v>4323</v>
      </c>
      <c r="G87" s="57">
        <v>0.01</v>
      </c>
      <c r="H87" s="58"/>
      <c r="I87" s="61">
        <f>RSQ(G82:G88, E82:E88)</f>
        <v>0.99818332987391589</v>
      </c>
      <c r="J87" s="61">
        <f>RSQ(G82:G88, F82:F88)</f>
        <v>0.99513982228412368</v>
      </c>
      <c r="K87" s="60">
        <f>J83</f>
        <v>2.2960633823704709E-6</v>
      </c>
      <c r="L87" s="60">
        <f>J85</f>
        <v>-2.9329592277532214E-4</v>
      </c>
      <c r="M87" s="60">
        <f>(C87-$O$4)*K87 + L87</f>
        <v>1.2878932693961273E-2</v>
      </c>
    </row>
    <row r="88" spans="1:13" ht="14">
      <c r="A88" s="55">
        <f t="shared" si="13"/>
        <v>114</v>
      </c>
      <c r="B88" s="55" t="s">
        <v>156</v>
      </c>
      <c r="C88" s="80">
        <v>430</v>
      </c>
      <c r="D88" s="56" t="s">
        <v>38</v>
      </c>
      <c r="E88" s="80">
        <v>5914</v>
      </c>
      <c r="F88" s="80">
        <v>8863</v>
      </c>
      <c r="G88" s="57">
        <v>0.02</v>
      </c>
      <c r="H88" s="58"/>
      <c r="I88" s="58"/>
      <c r="J88" s="58"/>
      <c r="K88" s="60">
        <f>I83</f>
        <v>3.4275391144934742E-6</v>
      </c>
      <c r="L88" s="60">
        <f>I85</f>
        <v>-6.4364928157690376E-5</v>
      </c>
      <c r="M88" s="60">
        <f>(C88-$O$5)*K88 + L88</f>
        <v>1.4094768910745035E-3</v>
      </c>
    </row>
    <row r="89" spans="1:13" ht="14">
      <c r="A89" s="55">
        <f t="shared" si="13"/>
        <v>114</v>
      </c>
      <c r="B89" s="55" t="s">
        <v>157</v>
      </c>
      <c r="C89" s="80">
        <v>419</v>
      </c>
      <c r="D89" s="56" t="s">
        <v>38</v>
      </c>
      <c r="E89" s="80">
        <v>18</v>
      </c>
      <c r="F89" s="80">
        <v>16</v>
      </c>
      <c r="G89" s="56"/>
      <c r="H89" s="58"/>
      <c r="I89" s="58"/>
      <c r="J89" s="58"/>
      <c r="K89" s="60">
        <f>I83</f>
        <v>3.4275391144934742E-6</v>
      </c>
      <c r="L89" s="60">
        <f>I85</f>
        <v>-6.4364928157690376E-5</v>
      </c>
      <c r="M89" s="60">
        <f>(C89-$O$5)*K89 + L89</f>
        <v>1.3717739608150752E-3</v>
      </c>
    </row>
    <row r="90" spans="1:13" ht="14">
      <c r="A90" s="55">
        <f>P13</f>
        <v>119</v>
      </c>
      <c r="B90" s="55" t="s">
        <v>158</v>
      </c>
      <c r="C90" s="80">
        <v>1637</v>
      </c>
      <c r="D90" s="56" t="s">
        <v>35</v>
      </c>
      <c r="E90" s="80">
        <v>27</v>
      </c>
      <c r="F90" s="80">
        <v>25</v>
      </c>
      <c r="G90" s="57">
        <v>0</v>
      </c>
      <c r="H90" s="58"/>
      <c r="I90" s="62" t="s">
        <v>68</v>
      </c>
      <c r="J90" s="62" t="s">
        <v>68</v>
      </c>
      <c r="K90" s="60">
        <f>I91</f>
        <v>3.3984458696237553E-6</v>
      </c>
      <c r="L90" s="60">
        <f>I93</f>
        <v>-7.1994749381690953E-5</v>
      </c>
      <c r="M90" s="60">
        <f>(C90-$O$2)*K90+L90</f>
        <v>5.4912611391923962E-3</v>
      </c>
    </row>
    <row r="91" spans="1:13" ht="14">
      <c r="A91" s="55">
        <f t="shared" ref="A91:A97" si="14">A90</f>
        <v>119</v>
      </c>
      <c r="B91" s="55" t="s">
        <v>159</v>
      </c>
      <c r="C91" s="80">
        <v>1744</v>
      </c>
      <c r="D91" s="56" t="s">
        <v>35</v>
      </c>
      <c r="E91" s="80">
        <v>169</v>
      </c>
      <c r="F91" s="80">
        <v>215</v>
      </c>
      <c r="G91" s="57">
        <v>5.0000000000000001E-4</v>
      </c>
      <c r="H91" s="58"/>
      <c r="I91" s="58">
        <f>SLOPE(G90:G96, E90:E96)</f>
        <v>3.3984458696237553E-6</v>
      </c>
      <c r="J91" s="58">
        <f>SLOPE(G90:G96, F90:F96)</f>
        <v>1.956794545548287E-6</v>
      </c>
      <c r="K91" s="60">
        <f>I91</f>
        <v>3.3984458696237553E-6</v>
      </c>
      <c r="L91" s="60">
        <f>I93</f>
        <v>-7.1994749381690953E-5</v>
      </c>
      <c r="M91" s="60">
        <f>(C91-$O$2)*K91+L91</f>
        <v>5.8548948472421378E-3</v>
      </c>
    </row>
    <row r="92" spans="1:13" ht="14">
      <c r="A92" s="55">
        <f t="shared" si="14"/>
        <v>119</v>
      </c>
      <c r="B92" s="55" t="s">
        <v>160</v>
      </c>
      <c r="C92" s="80">
        <v>723</v>
      </c>
      <c r="D92" s="56" t="s">
        <v>36</v>
      </c>
      <c r="E92" s="80">
        <v>322</v>
      </c>
      <c r="F92" s="80">
        <v>499</v>
      </c>
      <c r="G92" s="57">
        <v>1E-3</v>
      </c>
      <c r="H92" s="58"/>
      <c r="I92" s="62" t="s">
        <v>71</v>
      </c>
      <c r="J92" s="62" t="s">
        <v>71</v>
      </c>
      <c r="K92" s="60">
        <f>I91</f>
        <v>3.3984458696237553E-6</v>
      </c>
      <c r="L92" s="60">
        <f>I93</f>
        <v>-7.1994749381690953E-5</v>
      </c>
      <c r="M92" s="60">
        <f>(C92-$O$3)*K92 + L92</f>
        <v>2.385081614356284E-3</v>
      </c>
    </row>
    <row r="93" spans="1:13" ht="14">
      <c r="A93" s="55">
        <f t="shared" si="14"/>
        <v>119</v>
      </c>
      <c r="B93" s="55" t="s">
        <v>161</v>
      </c>
      <c r="C93" s="80">
        <v>746</v>
      </c>
      <c r="D93" s="56" t="s">
        <v>36</v>
      </c>
      <c r="E93" s="80">
        <v>633</v>
      </c>
      <c r="F93" s="80">
        <v>985</v>
      </c>
      <c r="G93" s="57">
        <v>2E-3</v>
      </c>
      <c r="H93" s="58"/>
      <c r="I93" s="58">
        <f>INTERCEPT(G90:G96, E90:E96)</f>
        <v>-7.1994749381690953E-5</v>
      </c>
      <c r="J93" s="58">
        <f>INTERCEPT(G90:G96, F90:F96)</f>
        <v>2.9716284546504098E-4</v>
      </c>
      <c r="K93" s="60">
        <f>I91</f>
        <v>3.3984458696237553E-6</v>
      </c>
      <c r="L93" s="60">
        <f>I93</f>
        <v>-7.1994749381690953E-5</v>
      </c>
      <c r="M93" s="60">
        <f>(C93-$O$3)*K93+ L93</f>
        <v>2.4632458693576303E-3</v>
      </c>
    </row>
    <row r="94" spans="1:13" ht="14">
      <c r="A94" s="55">
        <f t="shared" si="14"/>
        <v>119</v>
      </c>
      <c r="B94" s="55" t="s">
        <v>162</v>
      </c>
      <c r="C94" s="80">
        <v>6247</v>
      </c>
      <c r="D94" s="56" t="s">
        <v>37</v>
      </c>
      <c r="E94" s="80">
        <v>1639</v>
      </c>
      <c r="F94" s="80">
        <v>2295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1.956794545548287E-6</v>
      </c>
      <c r="L94" s="60">
        <f>J93</f>
        <v>2.9716284546504098E-4</v>
      </c>
      <c r="M94" s="60">
        <f>(C94-$O$4)*K94 + L94</f>
        <v>1.1836135681245096E-2</v>
      </c>
    </row>
    <row r="95" spans="1:13" ht="14">
      <c r="A95" s="55">
        <f t="shared" si="14"/>
        <v>119</v>
      </c>
      <c r="B95" s="55" t="s">
        <v>163</v>
      </c>
      <c r="C95" s="80">
        <v>5811</v>
      </c>
      <c r="D95" s="56" t="s">
        <v>37</v>
      </c>
      <c r="E95" s="80">
        <v>2708</v>
      </c>
      <c r="F95" s="80">
        <v>4220</v>
      </c>
      <c r="G95" s="57">
        <v>0.01</v>
      </c>
      <c r="H95" s="58"/>
      <c r="I95" s="61">
        <f>RSQ(G90:G96, E90:E96)</f>
        <v>0.99663559813606672</v>
      </c>
      <c r="J95" s="61">
        <f>RSQ(G90:G96, F90:F96)</f>
        <v>0.9912715678140066</v>
      </c>
      <c r="K95" s="60">
        <f>J91</f>
        <v>1.956794545548287E-6</v>
      </c>
      <c r="L95" s="60">
        <f>J93</f>
        <v>2.9716284546504098E-4</v>
      </c>
      <c r="M95" s="60">
        <f>(C95-$O$4)*K95 + L95</f>
        <v>1.0982973259386044E-2</v>
      </c>
    </row>
    <row r="96" spans="1:13" ht="14">
      <c r="A96" s="55">
        <f t="shared" si="14"/>
        <v>119</v>
      </c>
      <c r="B96" s="55" t="s">
        <v>164</v>
      </c>
      <c r="C96" s="80">
        <v>404</v>
      </c>
      <c r="D96" s="56" t="s">
        <v>38</v>
      </c>
      <c r="E96" s="80">
        <v>5979</v>
      </c>
      <c r="F96" s="80">
        <v>10373</v>
      </c>
      <c r="G96" s="57">
        <v>0.02</v>
      </c>
      <c r="I96" s="58"/>
      <c r="J96" s="58"/>
      <c r="K96" s="60">
        <f>I91</f>
        <v>3.3984458696237553E-6</v>
      </c>
      <c r="L96" s="60">
        <f>I93</f>
        <v>-7.1994749381690953E-5</v>
      </c>
      <c r="M96" s="60">
        <f>(C96-$O$5)*K96 + L96</f>
        <v>1.3009773819463062E-3</v>
      </c>
    </row>
    <row r="97" spans="1:13" ht="14">
      <c r="A97" s="55">
        <f t="shared" si="14"/>
        <v>119</v>
      </c>
      <c r="B97" s="55" t="s">
        <v>165</v>
      </c>
      <c r="C97" s="80">
        <v>395</v>
      </c>
      <c r="D97" s="56" t="s">
        <v>38</v>
      </c>
      <c r="E97" s="80">
        <v>18</v>
      </c>
      <c r="F97" s="80">
        <v>17</v>
      </c>
      <c r="G97" s="56"/>
      <c r="I97" s="58"/>
      <c r="J97" s="58"/>
      <c r="K97" s="60">
        <f>I91</f>
        <v>3.3984458696237553E-6</v>
      </c>
      <c r="L97" s="60">
        <f>I93</f>
        <v>-7.1994749381690953E-5</v>
      </c>
      <c r="M97" s="60">
        <f>(C97-$O$5)*K97 + L97</f>
        <v>1.2703913691196923E-3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4" si="15">AVERAGE(C2,C10,C18,C26,C34,C42,C50,C58,C66,C74,C82,C90)</f>
        <v>1639.5</v>
      </c>
      <c r="D100" s="56" t="s">
        <v>35</v>
      </c>
      <c r="I100" s="58"/>
      <c r="J100" s="58"/>
    </row>
    <row r="101" spans="1:13" ht="14">
      <c r="C101" s="63">
        <f t="shared" si="15"/>
        <v>1717.0833333333333</v>
      </c>
      <c r="D101" s="56" t="s">
        <v>35</v>
      </c>
      <c r="I101" s="58"/>
      <c r="J101" s="58"/>
    </row>
    <row r="102" spans="1:13" ht="14">
      <c r="C102" s="63">
        <f t="shared" si="15"/>
        <v>683.83333333333337</v>
      </c>
      <c r="D102" s="56" t="s">
        <v>36</v>
      </c>
      <c r="I102" s="58"/>
      <c r="J102" s="58"/>
    </row>
    <row r="103" spans="1:13" ht="14">
      <c r="C103" s="63">
        <f t="shared" si="15"/>
        <v>733.91666666666663</v>
      </c>
      <c r="D103" s="56" t="s">
        <v>36</v>
      </c>
      <c r="I103" s="58"/>
      <c r="J103" s="58"/>
    </row>
    <row r="104" spans="1:13" ht="14">
      <c r="C104" s="63">
        <f t="shared" si="15"/>
        <v>5808.5</v>
      </c>
      <c r="D104" s="56" t="s">
        <v>37</v>
      </c>
      <c r="I104" s="58"/>
      <c r="J104" s="58"/>
    </row>
    <row r="105" spans="1:13" ht="14">
      <c r="C105" s="63">
        <f>AVERAGE(C7,C15,C23,C31,C39,C47,C55,C63,C71,C79,C87,C95)</f>
        <v>5487.583333333333</v>
      </c>
      <c r="D105" s="56" t="s">
        <v>37</v>
      </c>
      <c r="I105" s="58"/>
      <c r="J105" s="58"/>
    </row>
    <row r="106" spans="1:13" ht="14">
      <c r="C106" s="63">
        <f t="shared" ref="C106:C107" si="16">AVERAGE(C8,C16,C24,C32,C40,C48,C56,C64,C72,C80,C88,C96)</f>
        <v>385.5</v>
      </c>
      <c r="D106" s="56" t="s">
        <v>38</v>
      </c>
      <c r="I106" s="58"/>
      <c r="J106" s="58"/>
    </row>
    <row r="107" spans="1:13" ht="14">
      <c r="C107" s="63">
        <f t="shared" si="16"/>
        <v>383.33333333333331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1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00C9-D149-9548-BD74-EF3DC9EE7EB1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P2" sqref="P2:Q13"/>
      <selection pane="topRight" activeCell="P2" sqref="P2:Q13"/>
      <selection pane="bottomLeft" activeCell="P2" sqref="P2:Q13"/>
      <selection pane="bottomRight" activeCell="V13" sqref="V13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>
        <v>10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124</v>
      </c>
      <c r="B2" s="55" t="s">
        <v>67</v>
      </c>
      <c r="C2" s="80">
        <v>1487</v>
      </c>
      <c r="D2" s="56" t="s">
        <v>35</v>
      </c>
      <c r="E2" s="80">
        <v>25</v>
      </c>
      <c r="F2" s="80">
        <v>22</v>
      </c>
      <c r="G2" s="57">
        <v>0</v>
      </c>
      <c r="H2" s="58"/>
      <c r="I2" s="59" t="s">
        <v>68</v>
      </c>
      <c r="J2" s="59" t="s">
        <v>68</v>
      </c>
      <c r="K2" s="60">
        <f>I3</f>
        <v>2.8199738435574995E-6</v>
      </c>
      <c r="L2" s="60">
        <f>I5</f>
        <v>-9.8453786274080649E-5</v>
      </c>
      <c r="M2" s="60">
        <f>(C2-$O$2)*K2+L2</f>
        <v>4.0948473190959211E-3</v>
      </c>
      <c r="N2" s="47" t="str">
        <f>'enzyme setup and metadata'!F179</f>
        <v>BG</v>
      </c>
      <c r="O2" s="47">
        <f>'enzyme setup and metadata'!G193</f>
        <v>0</v>
      </c>
      <c r="P2" s="91">
        <f>'enzyme setup and metadata'!A158</f>
        <v>124</v>
      </c>
      <c r="Q2" s="66">
        <f>'enzyme setup and metadata'!I158</f>
        <v>2.1777003484320554</v>
      </c>
      <c r="R2" s="14">
        <f>'enzyme setup and metadata'!R189</f>
        <v>3.1666666663368233</v>
      </c>
      <c r="S2" s="14">
        <f>(((M2+M3)/2)*91)/(R2*Q2*0.8)</f>
        <v>6.88002046608783E-2</v>
      </c>
      <c r="T2" s="14">
        <f>(((M4+M5)/2)*91)/(R2*Q2*0.8)</f>
        <v>2.6657324618885349E-2</v>
      </c>
      <c r="U2" s="14">
        <f>(((M6+M7)/2)*91)/(R2*Q2*0.8)</f>
        <v>0.19998593956139904</v>
      </c>
      <c r="V2" s="14">
        <f>(((M8+M9)/2)*91)/(R2*Q2*0.8)</f>
        <v>1.2749243898624977E-2</v>
      </c>
      <c r="W2" s="14">
        <f>S2*1000</f>
        <v>68.800204660878293</v>
      </c>
      <c r="X2" s="14">
        <f>T2*1000</f>
        <v>26.657324618885347</v>
      </c>
      <c r="Y2" s="14">
        <f>U2*1000</f>
        <v>199.98593956139905</v>
      </c>
      <c r="Z2" s="14">
        <f>V2*1000</f>
        <v>12.749243898624977</v>
      </c>
    </row>
    <row r="3" spans="1:26" ht="14">
      <c r="A3" s="55">
        <f t="shared" ref="A3:A9" si="0">A2</f>
        <v>124</v>
      </c>
      <c r="B3" s="55" t="s">
        <v>69</v>
      </c>
      <c r="C3" s="80">
        <v>1541</v>
      </c>
      <c r="D3" s="56" t="s">
        <v>35</v>
      </c>
      <c r="E3" s="80">
        <v>198</v>
      </c>
      <c r="F3" s="80">
        <v>246</v>
      </c>
      <c r="G3" s="57">
        <v>5.0000000000000001E-4</v>
      </c>
      <c r="H3" s="58"/>
      <c r="I3" s="59">
        <f>SLOPE(G2:G8, E2:E8)</f>
        <v>2.8199738435574995E-6</v>
      </c>
      <c r="J3" s="59">
        <f>SLOPE(G2:G8, F2:F8)</f>
        <v>2.4464189962504057E-6</v>
      </c>
      <c r="K3" s="60">
        <f>I3</f>
        <v>2.8199738435574995E-6</v>
      </c>
      <c r="L3" s="60">
        <f>I5</f>
        <v>-9.8453786274080649E-5</v>
      </c>
      <c r="M3" s="60">
        <f>(C3-$O$2)*K3+L3</f>
        <v>4.2471259066480258E-3</v>
      </c>
      <c r="N3" s="47" t="str">
        <f>'enzyme setup and metadata'!F180</f>
        <v>CB</v>
      </c>
      <c r="O3" s="47">
        <f>'enzyme setup and metadata'!G194</f>
        <v>0</v>
      </c>
      <c r="P3" s="91">
        <f>'enzyme setup and metadata'!A159</f>
        <v>129</v>
      </c>
      <c r="Q3" s="66">
        <f>'enzyme setup and metadata'!I159</f>
        <v>2.1559923906150917</v>
      </c>
      <c r="R3" s="14">
        <f>R2</f>
        <v>3.1666666663368233</v>
      </c>
      <c r="S3" s="14">
        <f>(((M10+M11)/2)*91)/(R3*Q3*0.8)</f>
        <v>7.1936050518727063E-2</v>
      </c>
      <c r="T3" s="14">
        <f>(((M12+M13)/2)*91)/(R3*Q3*0.8)</f>
        <v>2.7108476035478338E-2</v>
      </c>
      <c r="U3" s="14">
        <f>(((M14+M15)/2)*91)/(R3*Q3*0.8)</f>
        <v>0.20575339328450803</v>
      </c>
      <c r="V3" s="14">
        <f>(((M16+M17)/2)*91)/(R3*Q3*0.8)</f>
        <v>1.195061888905815E-2</v>
      </c>
      <c r="W3" s="14">
        <f>S3*1000</f>
        <v>71.936050518727058</v>
      </c>
      <c r="X3" s="14">
        <f t="shared" ref="X3:Z13" si="1">T3*1000</f>
        <v>27.10847603547834</v>
      </c>
      <c r="Y3" s="14">
        <f t="shared" si="1"/>
        <v>205.75339328450804</v>
      </c>
      <c r="Z3" s="14">
        <f t="shared" si="1"/>
        <v>11.95061888905815</v>
      </c>
    </row>
    <row r="4" spans="1:26" ht="14">
      <c r="A4" s="55">
        <f t="shared" si="0"/>
        <v>124</v>
      </c>
      <c r="B4" s="55" t="s">
        <v>70</v>
      </c>
      <c r="C4" s="80">
        <v>625</v>
      </c>
      <c r="D4" s="56" t="s">
        <v>36</v>
      </c>
      <c r="E4" s="80">
        <v>398</v>
      </c>
      <c r="F4" s="80">
        <v>488</v>
      </c>
      <c r="G4" s="57">
        <v>1E-3</v>
      </c>
      <c r="H4" s="58"/>
      <c r="I4" s="59" t="s">
        <v>71</v>
      </c>
      <c r="J4" s="59" t="s">
        <v>71</v>
      </c>
      <c r="K4" s="60">
        <f>I3</f>
        <v>2.8199738435574995E-6</v>
      </c>
      <c r="L4" s="60">
        <f>I5</f>
        <v>-9.8453786274080649E-5</v>
      </c>
      <c r="M4" s="60">
        <f>(C4-$O$3)*K4 + L4</f>
        <v>1.6640298659493565E-3</v>
      </c>
      <c r="N4" s="47" t="str">
        <f>'enzyme setup and metadata'!F181</f>
        <v>LAP</v>
      </c>
      <c r="O4" s="47">
        <f>'enzyme setup and metadata'!G195</f>
        <v>350.125</v>
      </c>
      <c r="P4" s="91">
        <f>'enzyme setup and metadata'!A160</f>
        <v>134</v>
      </c>
      <c r="Q4" s="66">
        <f>'enzyme setup and metadata'!I160</f>
        <v>2.2032017752417183</v>
      </c>
      <c r="R4" s="14">
        <f t="shared" ref="R4:R13" si="2">R3</f>
        <v>3.1666666663368233</v>
      </c>
      <c r="S4" s="14">
        <f>(((M18+M19)/2)*91)/(R4*Q4*0.8)</f>
        <v>6.6949248113085488E-2</v>
      </c>
      <c r="T4" s="14">
        <f>(((M20+M21)/2)*91)/(R4*Q4*0.8)</f>
        <v>2.4786689755783721E-2</v>
      </c>
      <c r="U4" s="14">
        <f>(((M22+M23)/2)*91)/(R4*Q4*0.8)</f>
        <v>0.19849064692701279</v>
      </c>
      <c r="V4" s="14">
        <f>(((M24+M25)/2)*91)/(R4*Q4*0.8)</f>
        <v>1.156336233510691E-2</v>
      </c>
      <c r="W4" s="14">
        <f>S4*1000</f>
        <v>66.949248113085488</v>
      </c>
      <c r="X4" s="14">
        <f t="shared" si="1"/>
        <v>24.786689755783723</v>
      </c>
      <c r="Y4" s="14">
        <f t="shared" si="1"/>
        <v>198.49064692701279</v>
      </c>
      <c r="Z4" s="14">
        <f t="shared" si="1"/>
        <v>11.563362335106909</v>
      </c>
    </row>
    <row r="5" spans="1:26" ht="14">
      <c r="A5" s="55">
        <f t="shared" si="0"/>
        <v>124</v>
      </c>
      <c r="B5" s="55" t="s">
        <v>72</v>
      </c>
      <c r="C5" s="80">
        <v>591</v>
      </c>
      <c r="D5" s="56" t="s">
        <v>36</v>
      </c>
      <c r="E5" s="80">
        <v>708</v>
      </c>
      <c r="F5" s="80">
        <v>893</v>
      </c>
      <c r="G5" s="57">
        <v>2E-3</v>
      </c>
      <c r="H5" s="58"/>
      <c r="I5" s="59">
        <f>INTERCEPT(G2:G8, E2:E8)</f>
        <v>-9.8453786274080649E-5</v>
      </c>
      <c r="J5" s="59">
        <f>INTERCEPT(G2:G8, F2:F8)</f>
        <v>-5.5118563628599355E-5</v>
      </c>
      <c r="K5" s="60">
        <f>I3</f>
        <v>2.8199738435574995E-6</v>
      </c>
      <c r="L5" s="60">
        <f>I5</f>
        <v>-9.8453786274080649E-5</v>
      </c>
      <c r="M5" s="60">
        <f>(C5-$O$3)*K5+ L5</f>
        <v>1.5681507552684016E-3</v>
      </c>
      <c r="N5" s="47" t="str">
        <f>'enzyme setup and metadata'!F182</f>
        <v>XYL</v>
      </c>
      <c r="O5" s="47">
        <f>'enzyme setup and metadata'!G196</f>
        <v>0</v>
      </c>
      <c r="P5" s="91">
        <f>'enzyme setup and metadata'!A161</f>
        <v>139</v>
      </c>
      <c r="Q5" s="66">
        <f>'enzyme setup and metadata'!I161</f>
        <v>2.1532615579480687</v>
      </c>
      <c r="R5" s="14">
        <f t="shared" si="2"/>
        <v>3.1666666663368233</v>
      </c>
      <c r="S5" s="14">
        <f>(((M26+M27)/2)*91)/(R5*Q5*0.8)</f>
        <v>6.9834837129850558E-2</v>
      </c>
      <c r="T5" s="14">
        <f>(((M28+M29)/2)*91)/(R5*Q5*0.8)</f>
        <v>2.7025767800726703E-2</v>
      </c>
      <c r="U5" s="14">
        <f>(((M30+M31)/2)*91)/(R5*Q5*0.8)</f>
        <v>0.20303388374058476</v>
      </c>
      <c r="V5" s="14">
        <f>(((M32+M33)/2)*91)/(R5*Q5*0.8)</f>
        <v>1.2851160529268978E-2</v>
      </c>
      <c r="W5" s="14">
        <f t="shared" ref="W5:W13" si="3">S5*1000</f>
        <v>69.834837129850555</v>
      </c>
      <c r="X5" s="14">
        <f t="shared" si="1"/>
        <v>27.025767800726705</v>
      </c>
      <c r="Y5" s="14">
        <f t="shared" si="1"/>
        <v>203.03388374058477</v>
      </c>
      <c r="Z5" s="14">
        <f t="shared" si="1"/>
        <v>12.851160529268977</v>
      </c>
    </row>
    <row r="6" spans="1:26" ht="14">
      <c r="A6" s="55">
        <f t="shared" si="0"/>
        <v>124</v>
      </c>
      <c r="B6" s="55" t="s">
        <v>73</v>
      </c>
      <c r="C6" s="80">
        <v>5373</v>
      </c>
      <c r="D6" s="56" t="s">
        <v>37</v>
      </c>
      <c r="E6" s="80">
        <v>1862</v>
      </c>
      <c r="F6" s="80">
        <v>2150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2.4464189962504057E-6</v>
      </c>
      <c r="L6" s="60">
        <f>J5</f>
        <v>-5.5118563628599355E-5</v>
      </c>
      <c r="M6" s="60">
        <f>(C6-$O$4)*K6 + L6</f>
        <v>1.2232938252162658E-2</v>
      </c>
      <c r="P6" s="91">
        <f>'enzyme setup and metadata'!A162</f>
        <v>144</v>
      </c>
      <c r="Q6" s="66">
        <f>'enzyme setup and metadata'!I162</f>
        <v>2.1849271690943635</v>
      </c>
      <c r="R6" s="14">
        <f t="shared" si="2"/>
        <v>3.1666666663368233</v>
      </c>
      <c r="S6" s="14">
        <f>(((M34+M35)/2)*91)/(R6*Q6*0.8)</f>
        <v>6.837468791211225E-2</v>
      </c>
      <c r="T6" s="14">
        <f>(((M36+M37)/2)*91)/(R6*Q6*0.8)</f>
        <v>3.0053907233798048E-2</v>
      </c>
      <c r="U6" s="14">
        <f>(((M38+M39)/2)*91)/(R6*Q6*0.8)</f>
        <v>0.20950957095367176</v>
      </c>
      <c r="V6" s="14">
        <f>(((M40+M41)/2)*91)/(R6*Q6*0.8)</f>
        <v>1.5182235505176916E-2</v>
      </c>
      <c r="W6" s="14">
        <f t="shared" si="3"/>
        <v>68.37468791211225</v>
      </c>
      <c r="X6" s="14">
        <f t="shared" si="1"/>
        <v>30.053907233798046</v>
      </c>
      <c r="Y6" s="14">
        <f t="shared" si="1"/>
        <v>209.50957095367175</v>
      </c>
      <c r="Z6" s="14">
        <f t="shared" si="1"/>
        <v>15.182235505176916</v>
      </c>
    </row>
    <row r="7" spans="1:26" ht="14">
      <c r="A7" s="55">
        <f t="shared" si="0"/>
        <v>124</v>
      </c>
      <c r="B7" s="55" t="s">
        <v>75</v>
      </c>
      <c r="C7" s="80">
        <v>5284</v>
      </c>
      <c r="D7" s="56" t="s">
        <v>37</v>
      </c>
      <c r="E7" s="80">
        <v>3598</v>
      </c>
      <c r="F7" s="80">
        <v>3779</v>
      </c>
      <c r="G7" s="57">
        <v>0.01</v>
      </c>
      <c r="H7" s="58"/>
      <c r="I7" s="61">
        <f>RSQ(G2:G8, E2:E8)</f>
        <v>0.99986887336272123</v>
      </c>
      <c r="J7" s="61">
        <f>RSQ(G2:G8, F2:F8)</f>
        <v>0.99742077095321269</v>
      </c>
      <c r="K7" s="60">
        <f>J3</f>
        <v>2.4464189962504057E-6</v>
      </c>
      <c r="L7" s="60">
        <f>J5</f>
        <v>-5.5118563628599355E-5</v>
      </c>
      <c r="M7" s="60">
        <f>(C7-$O$4)*K7 + L7</f>
        <v>1.2015206961496373E-2</v>
      </c>
      <c r="P7" s="91">
        <f>'enzyme setup and metadata'!A163</f>
        <v>149</v>
      </c>
      <c r="Q7" s="66">
        <f>'enzyme setup and metadata'!I163</f>
        <v>2.1618625277161865</v>
      </c>
      <c r="R7" s="14">
        <f t="shared" si="2"/>
        <v>3.1666666663368233</v>
      </c>
      <c r="S7" s="14">
        <f>(((M42+M43)/2)*91)/(R7*Q7*0.8)</f>
        <v>7.4351049077652262E-2</v>
      </c>
      <c r="T7" s="14">
        <f>(((M44+M45)/2)*91)/(R7*Q7*0.8)</f>
        <v>2.7705720599759287E-2</v>
      </c>
      <c r="U7" s="14">
        <f>(((M46+M47)/2)*91)/(R7*Q7*0.8)</f>
        <v>0.20228632496077631</v>
      </c>
      <c r="V7" s="14">
        <f>(((M48+M49)/2)*91)/(R7*Q7*0.8)</f>
        <v>1.2533508126028622E-2</v>
      </c>
      <c r="W7" s="14">
        <f t="shared" si="3"/>
        <v>74.351049077652263</v>
      </c>
      <c r="X7" s="14">
        <f t="shared" si="1"/>
        <v>27.705720599759289</v>
      </c>
      <c r="Y7" s="14">
        <f t="shared" si="1"/>
        <v>202.28632496077631</v>
      </c>
      <c r="Z7" s="14">
        <f t="shared" si="1"/>
        <v>12.533508126028622</v>
      </c>
    </row>
    <row r="8" spans="1:26" ht="14">
      <c r="A8" s="55">
        <f t="shared" si="0"/>
        <v>124</v>
      </c>
      <c r="B8" s="55" t="s">
        <v>76</v>
      </c>
      <c r="C8" s="80">
        <v>303</v>
      </c>
      <c r="D8" s="56" t="s">
        <v>38</v>
      </c>
      <c r="E8" s="80">
        <v>7108</v>
      </c>
      <c r="F8" s="80">
        <v>8317</v>
      </c>
      <c r="G8" s="57">
        <v>0.02</v>
      </c>
      <c r="H8" s="58"/>
      <c r="I8" s="58"/>
      <c r="J8" s="58"/>
      <c r="K8" s="60">
        <f>I3</f>
        <v>2.8199738435574995E-6</v>
      </c>
      <c r="L8" s="60">
        <f>I5</f>
        <v>-9.8453786274080649E-5</v>
      </c>
      <c r="M8" s="60">
        <f>(C8-$O$5)*K8 + L8</f>
        <v>7.5599828832384171E-4</v>
      </c>
      <c r="P8" s="91">
        <f>'enzyme setup and metadata'!A164</f>
        <v>154</v>
      </c>
      <c r="Q8" s="66">
        <f>'enzyme setup and metadata'!I164</f>
        <v>2.1601519227725907</v>
      </c>
      <c r="R8" s="14">
        <f t="shared" si="2"/>
        <v>3.1666666663368233</v>
      </c>
      <c r="S8" s="14">
        <f>(((M50+M51)/2)*91)/(R8*Q8*0.8)</f>
        <v>7.6323545324404399E-2</v>
      </c>
      <c r="T8" s="14">
        <f>(((M52+M53)/2)*91)/(R8*Q8*0.8)</f>
        <v>2.826463132670802E-2</v>
      </c>
      <c r="U8" s="14">
        <f>(((M54+M55)/2)*91)/(R8*Q8*0.8)</f>
        <v>0.20292593075027196</v>
      </c>
      <c r="V8" s="14">
        <f>(((M56+M57)/2)*91)/(R8*Q8*0.8)</f>
        <v>1.3118933637224542E-2</v>
      </c>
      <c r="W8" s="14">
        <f t="shared" si="3"/>
        <v>76.323545324404392</v>
      </c>
      <c r="X8" s="14">
        <f t="shared" si="1"/>
        <v>28.26463132670802</v>
      </c>
      <c r="Y8" s="14">
        <f t="shared" si="1"/>
        <v>202.92593075027196</v>
      </c>
      <c r="Z8" s="14">
        <f t="shared" si="1"/>
        <v>13.118933637224542</v>
      </c>
    </row>
    <row r="9" spans="1:26" ht="14">
      <c r="A9" s="55">
        <f t="shared" si="0"/>
        <v>124</v>
      </c>
      <c r="B9" s="55" t="s">
        <v>77</v>
      </c>
      <c r="C9" s="80">
        <v>315</v>
      </c>
      <c r="D9" s="56" t="s">
        <v>38</v>
      </c>
      <c r="E9" s="80">
        <v>18</v>
      </c>
      <c r="F9" s="80">
        <v>14</v>
      </c>
      <c r="G9" s="56"/>
      <c r="H9" s="58"/>
      <c r="I9" s="58"/>
      <c r="J9" s="58"/>
      <c r="K9" s="60">
        <f>I3</f>
        <v>2.8199738435574995E-6</v>
      </c>
      <c r="L9" s="60">
        <f>I5</f>
        <v>-9.8453786274080649E-5</v>
      </c>
      <c r="M9" s="60">
        <f>(C9-$O$5)*K9 + L9</f>
        <v>7.8983797444653165E-4</v>
      </c>
      <c r="P9" s="91">
        <f>'enzyme setup and metadata'!A165</f>
        <v>159</v>
      </c>
      <c r="Q9" s="66">
        <f>'enzyme setup and metadata'!I165</f>
        <v>2.2000633111744223</v>
      </c>
      <c r="R9" s="14">
        <f t="shared" si="2"/>
        <v>3.1666666663368233</v>
      </c>
      <c r="S9" s="14">
        <f>(((M58+M59)/2)*91)/(R9*Q9*0.8)</f>
        <v>7.4069308188659047E-2</v>
      </c>
      <c r="T9" s="14">
        <f>(((M60+M61)/2)*91)/(R9*Q9*0.8)</f>
        <v>2.7720339115229135E-2</v>
      </c>
      <c r="U9" s="14">
        <f>(((M62+M63)/2)*91)/(R9*Q9*0.8)</f>
        <v>0.18954751121939048</v>
      </c>
      <c r="V9" s="14">
        <f>(((M64+M65)/2)*91)/(R9*Q9*0.8)</f>
        <v>1.4356039960872433E-2</v>
      </c>
      <c r="W9" s="14">
        <f t="shared" si="3"/>
        <v>74.069308188659051</v>
      </c>
      <c r="X9" s="14">
        <f t="shared" si="1"/>
        <v>27.720339115229134</v>
      </c>
      <c r="Y9" s="14">
        <f t="shared" si="1"/>
        <v>189.54751121939049</v>
      </c>
      <c r="Z9" s="14">
        <f t="shared" si="1"/>
        <v>14.356039960872433</v>
      </c>
    </row>
    <row r="10" spans="1:26" ht="14">
      <c r="A10" s="55">
        <f>P3</f>
        <v>129</v>
      </c>
      <c r="B10" s="55" t="s">
        <v>78</v>
      </c>
      <c r="C10" s="80">
        <v>1519</v>
      </c>
      <c r="D10" s="56" t="s">
        <v>35</v>
      </c>
      <c r="E10" s="80">
        <v>20</v>
      </c>
      <c r="F10" s="80">
        <v>24</v>
      </c>
      <c r="G10" s="57">
        <v>0</v>
      </c>
      <c r="H10" s="58"/>
      <c r="I10" s="59" t="s">
        <v>68</v>
      </c>
      <c r="J10" s="59" t="s">
        <v>68</v>
      </c>
      <c r="K10" s="60">
        <f>I11</f>
        <v>2.7694951236171144E-6</v>
      </c>
      <c r="L10" s="60">
        <f>I13</f>
        <v>-1.3434000791876042E-4</v>
      </c>
      <c r="M10" s="60">
        <f>(C10-$O$2)*K10+L10</f>
        <v>4.0725230848556362E-3</v>
      </c>
      <c r="P10" s="91">
        <f>'enzyme setup and metadata'!A166</f>
        <v>0</v>
      </c>
      <c r="Q10" s="66">
        <f>'enzyme setup and metadata'!I166</f>
        <v>0</v>
      </c>
      <c r="R10" s="14">
        <f t="shared" si="2"/>
        <v>3.1666666663368233</v>
      </c>
      <c r="S10" s="14" t="e">
        <f>(((M66+M67)/2)*91)/(R10*Q10*0.8)</f>
        <v>#DIV/0!</v>
      </c>
      <c r="T10" s="14" t="e">
        <f>(((M68+M69)/2)*91)/(R10*Q10*0.8)</f>
        <v>#DIV/0!</v>
      </c>
      <c r="U10" s="14" t="e">
        <f>(((M70+M71)/2)*91)/(R10*Q10*0.8)</f>
        <v>#DIV/0!</v>
      </c>
      <c r="V10" s="14" t="e">
        <f>(((M72+M73)/2)*91)/(R10*Q10*0.8)</f>
        <v>#DIV/0!</v>
      </c>
      <c r="W10" s="14" t="e">
        <f t="shared" si="3"/>
        <v>#DIV/0!</v>
      </c>
      <c r="X10" s="14" t="e">
        <f t="shared" si="1"/>
        <v>#DIV/0!</v>
      </c>
      <c r="Y10" s="14" t="e">
        <f t="shared" si="1"/>
        <v>#DIV/0!</v>
      </c>
      <c r="Z10" s="14" t="e">
        <f t="shared" si="1"/>
        <v>#DIV/0!</v>
      </c>
    </row>
    <row r="11" spans="1:26" ht="14">
      <c r="A11" s="55">
        <f t="shared" ref="A11:A17" si="4">A10</f>
        <v>129</v>
      </c>
      <c r="B11" s="55" t="s">
        <v>79</v>
      </c>
      <c r="C11" s="80">
        <v>1696</v>
      </c>
      <c r="D11" s="56" t="s">
        <v>35</v>
      </c>
      <c r="E11" s="80">
        <v>215</v>
      </c>
      <c r="F11" s="80">
        <v>261</v>
      </c>
      <c r="G11" s="57">
        <v>5.0000000000000001E-4</v>
      </c>
      <c r="H11" s="58"/>
      <c r="I11" s="59">
        <f>SLOPE(G10:G16, E10:E16)</f>
        <v>2.7694951236171144E-6</v>
      </c>
      <c r="J11" s="59">
        <f>SLOPE(G10:G16, F10:F16)</f>
        <v>2.3150832814929633E-6</v>
      </c>
      <c r="K11" s="60">
        <f>I11</f>
        <v>2.7694951236171144E-6</v>
      </c>
      <c r="L11" s="60">
        <f>I13</f>
        <v>-1.3434000791876042E-4</v>
      </c>
      <c r="M11" s="60">
        <f>(C11-$O$2)*K11+L11</f>
        <v>4.5627237217358658E-3</v>
      </c>
      <c r="P11" s="91">
        <f>'enzyme setup and metadata'!A167</f>
        <v>0</v>
      </c>
      <c r="Q11" s="66">
        <f>'enzyme setup and metadata'!I167</f>
        <v>0</v>
      </c>
      <c r="R11" s="14">
        <f t="shared" si="2"/>
        <v>3.1666666663368233</v>
      </c>
      <c r="S11" s="14" t="e">
        <f>(((M74+M75)/2)*91)/(R11*Q11*0.8)</f>
        <v>#DIV/0!</v>
      </c>
      <c r="T11" s="14" t="e">
        <f>(((M76+M77)/2)*91)/(R11*Q11*0.8)</f>
        <v>#DIV/0!</v>
      </c>
      <c r="U11" s="14" t="e">
        <f>(((M78+M79)/2)*91)/(R11*Q11*0.8)</f>
        <v>#DIV/0!</v>
      </c>
      <c r="V11" s="14" t="e">
        <f>(((M80+M81)/2)*91)/(R11*Q11*0.8)</f>
        <v>#DIV/0!</v>
      </c>
      <c r="W11" s="14" t="e">
        <f t="shared" si="3"/>
        <v>#DIV/0!</v>
      </c>
      <c r="X11" s="14" t="e">
        <f t="shared" si="1"/>
        <v>#DIV/0!</v>
      </c>
      <c r="Y11" s="14" t="e">
        <f t="shared" si="1"/>
        <v>#DIV/0!</v>
      </c>
      <c r="Z11" s="14" t="e">
        <f t="shared" si="1"/>
        <v>#DIV/0!</v>
      </c>
    </row>
    <row r="12" spans="1:26" ht="14">
      <c r="A12" s="55">
        <f t="shared" si="4"/>
        <v>129</v>
      </c>
      <c r="B12" s="55" t="s">
        <v>80</v>
      </c>
      <c r="C12" s="80">
        <v>636</v>
      </c>
      <c r="D12" s="56" t="s">
        <v>36</v>
      </c>
      <c r="E12" s="80">
        <v>413</v>
      </c>
      <c r="F12" s="80">
        <v>501</v>
      </c>
      <c r="G12" s="57">
        <v>1E-3</v>
      </c>
      <c r="H12" s="58"/>
      <c r="I12" s="59" t="s">
        <v>71</v>
      </c>
      <c r="J12" s="59" t="s">
        <v>71</v>
      </c>
      <c r="K12" s="60">
        <f>I11</f>
        <v>2.7694951236171144E-6</v>
      </c>
      <c r="L12" s="60">
        <f>I13</f>
        <v>-1.3434000791876042E-4</v>
      </c>
      <c r="M12" s="60">
        <f>(C12-$O$3)*K12 + L12</f>
        <v>1.6270588907017244E-3</v>
      </c>
      <c r="P12" s="91">
        <f>'enzyme setup and metadata'!A168</f>
        <v>0</v>
      </c>
      <c r="Q12" s="66">
        <f>'enzyme setup and metadata'!I168</f>
        <v>0</v>
      </c>
      <c r="R12" s="14">
        <f t="shared" si="2"/>
        <v>3.1666666663368233</v>
      </c>
      <c r="S12" s="14" t="e">
        <f>(((M82+M83)/2)*91)/(R12*Q12*0.8)</f>
        <v>#DIV/0!</v>
      </c>
      <c r="T12" s="14" t="e">
        <f>(((M84+M85)/2)*91)/(R12*Q12*0.8)</f>
        <v>#DIV/0!</v>
      </c>
      <c r="U12" s="14" t="e">
        <f>(((M86+M87)/2)*91)/(R12*Q12*0.8)</f>
        <v>#DIV/0!</v>
      </c>
      <c r="V12" s="14" t="e">
        <f>(((M88+M89)/2)*91)/(R12*Q12*0.8)</f>
        <v>#DIV/0!</v>
      </c>
      <c r="W12" s="14" t="e">
        <f t="shared" si="3"/>
        <v>#DIV/0!</v>
      </c>
      <c r="X12" s="14" t="e">
        <f t="shared" si="1"/>
        <v>#DIV/0!</v>
      </c>
      <c r="Y12" s="14" t="e">
        <f t="shared" si="1"/>
        <v>#DIV/0!</v>
      </c>
      <c r="Z12" s="14" t="e">
        <f t="shared" si="1"/>
        <v>#DIV/0!</v>
      </c>
    </row>
    <row r="13" spans="1:26" ht="14">
      <c r="A13" s="55">
        <f t="shared" si="4"/>
        <v>129</v>
      </c>
      <c r="B13" s="55" t="s">
        <v>81</v>
      </c>
      <c r="C13" s="80">
        <v>636</v>
      </c>
      <c r="D13" s="56" t="s">
        <v>36</v>
      </c>
      <c r="E13" s="80">
        <v>786</v>
      </c>
      <c r="F13" s="80">
        <v>907</v>
      </c>
      <c r="G13" s="57">
        <v>2E-3</v>
      </c>
      <c r="H13" s="58"/>
      <c r="I13" s="59">
        <f>INTERCEPT(G10:G16, E10:E16)</f>
        <v>-1.3434000791876042E-4</v>
      </c>
      <c r="J13" s="59">
        <f>INTERCEPT(G10:G16, F10:F16)</f>
        <v>-1.5177974249046353E-4</v>
      </c>
      <c r="K13" s="60">
        <f>I11</f>
        <v>2.7694951236171144E-6</v>
      </c>
      <c r="L13" s="60">
        <f>I13</f>
        <v>-1.3434000791876042E-4</v>
      </c>
      <c r="M13" s="60">
        <f>(C13-$O$3)*K13+ L13</f>
        <v>1.6270588907017244E-3</v>
      </c>
      <c r="P13" s="91" t="e">
        <f>'enzyme setup and metadata'!#REF!</f>
        <v>#REF!</v>
      </c>
      <c r="Q13" s="66">
        <f>'enzyme setup and metadata'!I169</f>
        <v>0</v>
      </c>
      <c r="R13" s="14">
        <f t="shared" si="2"/>
        <v>3.1666666663368233</v>
      </c>
      <c r="S13" s="14" t="e">
        <f>(((M90+M91)/2)*91)/(R13*Q13*0.8)</f>
        <v>#DIV/0!</v>
      </c>
      <c r="T13" s="14" t="e">
        <f>(((M92+M93)/2)*91)/(R13*Q13*0.8)</f>
        <v>#DIV/0!</v>
      </c>
      <c r="U13" s="14" t="e">
        <f>(((M94+M95)/2)*91)/(R13*Q13*0.8)</f>
        <v>#DIV/0!</v>
      </c>
      <c r="V13" s="14" t="e">
        <f>(((M96+M97)/2)*91)/(R13*Q13*0.8)</f>
        <v>#DIV/0!</v>
      </c>
      <c r="W13" s="14" t="e">
        <f t="shared" si="3"/>
        <v>#DIV/0!</v>
      </c>
      <c r="X13" s="14" t="e">
        <f t="shared" si="1"/>
        <v>#DIV/0!</v>
      </c>
      <c r="Y13" s="14" t="e">
        <f t="shared" si="1"/>
        <v>#DIV/0!</v>
      </c>
      <c r="Z13" s="14" t="e">
        <f t="shared" si="1"/>
        <v>#DIV/0!</v>
      </c>
    </row>
    <row r="14" spans="1:26" ht="14">
      <c r="A14" s="55">
        <f t="shared" si="4"/>
        <v>129</v>
      </c>
      <c r="B14" s="55" t="s">
        <v>82</v>
      </c>
      <c r="C14" s="80">
        <v>5711</v>
      </c>
      <c r="D14" s="56" t="s">
        <v>37</v>
      </c>
      <c r="E14" s="80">
        <v>1931</v>
      </c>
      <c r="F14" s="80">
        <v>2378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2.3150832814929633E-6</v>
      </c>
      <c r="L14" s="60">
        <f>J13</f>
        <v>-1.5177974249046353E-4</v>
      </c>
      <c r="M14" s="60">
        <f>(C14-$O$4)*K14 + L14</f>
        <v>1.2259092344183126E-2</v>
      </c>
    </row>
    <row r="15" spans="1:26" ht="14">
      <c r="A15" s="55">
        <f t="shared" si="4"/>
        <v>129</v>
      </c>
      <c r="B15" s="55" t="s">
        <v>83</v>
      </c>
      <c r="C15" s="80">
        <v>5789</v>
      </c>
      <c r="D15" s="56" t="s">
        <v>37</v>
      </c>
      <c r="E15" s="80">
        <v>3597</v>
      </c>
      <c r="F15" s="80">
        <v>4320</v>
      </c>
      <c r="G15" s="57">
        <v>0.01</v>
      </c>
      <c r="H15" s="58"/>
      <c r="I15" s="61">
        <f>RSQ(G10:G16, E10:E16)</f>
        <v>0.99973121931713249</v>
      </c>
      <c r="J15" s="61">
        <f>RSQ(G10:G16, F10:F16)</f>
        <v>0.99949086877542026</v>
      </c>
      <c r="K15" s="60">
        <f>J11</f>
        <v>2.3150832814929633E-6</v>
      </c>
      <c r="L15" s="60">
        <f>J13</f>
        <v>-1.5177974249046353E-4</v>
      </c>
      <c r="M15" s="60">
        <f>(C15-$O$4)*K15 + L15</f>
        <v>1.2439668840139577E-2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129</v>
      </c>
      <c r="B16" s="55" t="s">
        <v>84</v>
      </c>
      <c r="C16" s="80">
        <v>300</v>
      </c>
      <c r="D16" s="56" t="s">
        <v>38</v>
      </c>
      <c r="E16" s="80">
        <v>7279</v>
      </c>
      <c r="F16" s="80">
        <v>8698</v>
      </c>
      <c r="G16" s="57">
        <v>0.02</v>
      </c>
      <c r="H16" s="58"/>
      <c r="I16" s="58"/>
      <c r="J16" s="58"/>
      <c r="K16" s="60">
        <f>I11</f>
        <v>2.7694951236171144E-6</v>
      </c>
      <c r="L16" s="60">
        <f>I13</f>
        <v>-1.3434000791876042E-4</v>
      </c>
      <c r="M16" s="60">
        <f>(C16-$O$5)*K16 + L16</f>
        <v>6.9650852916637389E-4</v>
      </c>
    </row>
    <row r="17" spans="1:13" ht="14">
      <c r="A17" s="55">
        <f t="shared" si="4"/>
        <v>129</v>
      </c>
      <c r="B17" s="55" t="s">
        <v>85</v>
      </c>
      <c r="C17" s="80">
        <v>315</v>
      </c>
      <c r="D17" s="56" t="s">
        <v>38</v>
      </c>
      <c r="E17" s="80">
        <v>18</v>
      </c>
      <c r="F17" s="80">
        <v>14</v>
      </c>
      <c r="G17" s="56"/>
      <c r="H17" s="58"/>
      <c r="I17" s="58"/>
      <c r="J17" s="58"/>
      <c r="K17" s="60">
        <f>I11</f>
        <v>2.7694951236171144E-6</v>
      </c>
      <c r="L17" s="60">
        <f>I13</f>
        <v>-1.3434000791876042E-4</v>
      </c>
      <c r="M17" s="60">
        <f>(C17-$O$5)*K17 + L17</f>
        <v>7.3805095602063058E-4</v>
      </c>
    </row>
    <row r="18" spans="1:13" ht="14">
      <c r="A18" s="55">
        <f>P4</f>
        <v>134</v>
      </c>
      <c r="B18" s="55" t="s">
        <v>86</v>
      </c>
      <c r="C18" s="80">
        <v>1658</v>
      </c>
      <c r="D18" s="56" t="s">
        <v>35</v>
      </c>
      <c r="E18" s="80">
        <v>21</v>
      </c>
      <c r="F18" s="80">
        <v>22</v>
      </c>
      <c r="G18" s="57">
        <v>0</v>
      </c>
      <c r="H18" s="58"/>
      <c r="I18" s="59" t="s">
        <v>68</v>
      </c>
      <c r="J18" s="59" t="s">
        <v>68</v>
      </c>
      <c r="K18" s="60">
        <f>I19</f>
        <v>2.5912041589779058E-6</v>
      </c>
      <c r="L18" s="60">
        <f>I21</f>
        <v>-1.484548945491224E-4</v>
      </c>
      <c r="M18" s="60">
        <f>(C18-$O$2)*K18+L18</f>
        <v>4.1477616010362458E-3</v>
      </c>
    </row>
    <row r="19" spans="1:13" ht="14">
      <c r="A19" s="55">
        <f t="shared" ref="A19:A25" si="5">A18</f>
        <v>134</v>
      </c>
      <c r="B19" s="55" t="s">
        <v>87</v>
      </c>
      <c r="C19" s="80">
        <v>1626</v>
      </c>
      <c r="D19" s="56" t="s">
        <v>35</v>
      </c>
      <c r="E19" s="80">
        <v>229</v>
      </c>
      <c r="F19" s="80">
        <v>246</v>
      </c>
      <c r="G19" s="57">
        <v>5.0000000000000001E-4</v>
      </c>
      <c r="H19" s="58"/>
      <c r="I19" s="59">
        <f>SLOPE(G18:G24, E18:E24)</f>
        <v>2.5912041589779058E-6</v>
      </c>
      <c r="J19" s="59">
        <f>SLOPE(G18:G24, F18:F24)</f>
        <v>2.3184407401263473E-6</v>
      </c>
      <c r="K19" s="60">
        <f>I19</f>
        <v>2.5912041589779058E-6</v>
      </c>
      <c r="L19" s="60">
        <f>I21</f>
        <v>-1.484548945491224E-4</v>
      </c>
      <c r="M19" s="60">
        <f>(C19-$O$2)*K19+L19</f>
        <v>4.0648430679489523E-3</v>
      </c>
    </row>
    <row r="20" spans="1:13" ht="14">
      <c r="A20" s="55">
        <f t="shared" si="5"/>
        <v>134</v>
      </c>
      <c r="B20" s="55" t="s">
        <v>88</v>
      </c>
      <c r="C20" s="80">
        <v>638</v>
      </c>
      <c r="D20" s="56" t="s">
        <v>36</v>
      </c>
      <c r="E20" s="80">
        <v>437</v>
      </c>
      <c r="F20" s="80">
        <v>490</v>
      </c>
      <c r="G20" s="57">
        <v>1E-3</v>
      </c>
      <c r="H20" s="58"/>
      <c r="I20" s="59" t="s">
        <v>71</v>
      </c>
      <c r="J20" s="59" t="s">
        <v>71</v>
      </c>
      <c r="K20" s="60">
        <f>I19</f>
        <v>2.5912041589779058E-6</v>
      </c>
      <c r="L20" s="60">
        <f>I21</f>
        <v>-1.484548945491224E-4</v>
      </c>
      <c r="M20" s="60">
        <f>(C20-$O$3)*K20 + L20</f>
        <v>1.5047333588787816E-3</v>
      </c>
    </row>
    <row r="21" spans="1:13" ht="14">
      <c r="A21" s="55">
        <f t="shared" si="5"/>
        <v>134</v>
      </c>
      <c r="B21" s="55" t="s">
        <v>89</v>
      </c>
      <c r="C21" s="80">
        <v>650</v>
      </c>
      <c r="D21" s="56" t="s">
        <v>36</v>
      </c>
      <c r="E21" s="80">
        <v>847</v>
      </c>
      <c r="F21" s="80">
        <v>992</v>
      </c>
      <c r="G21" s="57">
        <v>2E-3</v>
      </c>
      <c r="H21" s="58"/>
      <c r="I21" s="59">
        <f>INTERCEPT(G18:G24, E18:E24)</f>
        <v>-1.484548945491224E-4</v>
      </c>
      <c r="J21" s="59">
        <f>INTERCEPT(G18:G24, F18:F24)</f>
        <v>-1.3977270326734782E-4</v>
      </c>
      <c r="K21" s="60">
        <f>I19</f>
        <v>2.5912041589779058E-6</v>
      </c>
      <c r="L21" s="60">
        <f>I21</f>
        <v>-1.484548945491224E-4</v>
      </c>
      <c r="M21" s="60">
        <f>(C21-$O$3)*K21+ L21</f>
        <v>1.5358278087865163E-3</v>
      </c>
    </row>
    <row r="22" spans="1:13" ht="14">
      <c r="A22" s="55">
        <f t="shared" si="5"/>
        <v>134</v>
      </c>
      <c r="B22" s="55" t="s">
        <v>90</v>
      </c>
      <c r="C22" s="80">
        <v>5838</v>
      </c>
      <c r="D22" s="56" t="s">
        <v>37</v>
      </c>
      <c r="E22" s="80">
        <v>2002</v>
      </c>
      <c r="F22" s="80">
        <v>2304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2.3184407401263473E-6</v>
      </c>
      <c r="L22" s="60">
        <f>J21</f>
        <v>-1.3977270326734782E-4</v>
      </c>
      <c r="M22" s="60">
        <f>(C22-$O$4)*K22 + L22</f>
        <v>1.2583540273453531E-2</v>
      </c>
    </row>
    <row r="23" spans="1:13" ht="14">
      <c r="A23" s="55">
        <f t="shared" si="5"/>
        <v>134</v>
      </c>
      <c r="B23" s="55" t="s">
        <v>91</v>
      </c>
      <c r="C23" s="80">
        <v>5485</v>
      </c>
      <c r="D23" s="56" t="s">
        <v>37</v>
      </c>
      <c r="E23" s="80">
        <v>3990</v>
      </c>
      <c r="F23" s="80">
        <v>4263</v>
      </c>
      <c r="G23" s="57">
        <v>0.01</v>
      </c>
      <c r="H23" s="58"/>
      <c r="I23" s="61">
        <f>RSQ(G18:G24, E18:E24)</f>
        <v>0.99979802292293163</v>
      </c>
      <c r="J23" s="61">
        <f>RSQ(G18:G24, F18:F24)</f>
        <v>0.99953548932172409</v>
      </c>
      <c r="K23" s="60">
        <f>J19</f>
        <v>2.3184407401263473E-6</v>
      </c>
      <c r="L23" s="60">
        <f>J21</f>
        <v>-1.3977270326734782E-4</v>
      </c>
      <c r="M23" s="60">
        <f>(C23-$O$4)*K23 + L23</f>
        <v>1.176513069218893E-2</v>
      </c>
    </row>
    <row r="24" spans="1:13" ht="14">
      <c r="A24" s="55">
        <f t="shared" si="5"/>
        <v>134</v>
      </c>
      <c r="B24" s="55" t="s">
        <v>92</v>
      </c>
      <c r="C24" s="80">
        <v>312</v>
      </c>
      <c r="D24" s="56" t="s">
        <v>38</v>
      </c>
      <c r="E24" s="80">
        <v>7733</v>
      </c>
      <c r="F24" s="80">
        <v>8711</v>
      </c>
      <c r="G24" s="57">
        <v>0.02</v>
      </c>
      <c r="H24" s="58"/>
      <c r="I24" s="58"/>
      <c r="J24" s="58"/>
      <c r="K24" s="60">
        <f>I19</f>
        <v>2.5912041589779058E-6</v>
      </c>
      <c r="L24" s="60">
        <f>I21</f>
        <v>-1.484548945491224E-4</v>
      </c>
      <c r="M24" s="60">
        <f>(C24-$O$5)*K24 + L24</f>
        <v>6.6000080305198417E-4</v>
      </c>
    </row>
    <row r="25" spans="1:13" ht="14">
      <c r="A25" s="55">
        <f t="shared" si="5"/>
        <v>134</v>
      </c>
      <c r="B25" s="55" t="s">
        <v>93</v>
      </c>
      <c r="C25" s="80">
        <v>350</v>
      </c>
      <c r="D25" s="56" t="s">
        <v>38</v>
      </c>
      <c r="E25" s="80">
        <v>18</v>
      </c>
      <c r="F25" s="80">
        <v>14</v>
      </c>
      <c r="G25" s="56"/>
      <c r="H25" s="58"/>
      <c r="I25" s="58"/>
      <c r="J25" s="58"/>
      <c r="K25" s="60">
        <f>I19</f>
        <v>2.5912041589779058E-6</v>
      </c>
      <c r="L25" s="60">
        <f>I21</f>
        <v>-1.484548945491224E-4</v>
      </c>
      <c r="M25" s="60">
        <f>(C25-$O$5)*K25 + L25</f>
        <v>7.5846656109314467E-4</v>
      </c>
    </row>
    <row r="26" spans="1:13" ht="14">
      <c r="A26" s="55">
        <f>P5</f>
        <v>139</v>
      </c>
      <c r="B26" s="55" t="s">
        <v>94</v>
      </c>
      <c r="C26" s="80">
        <v>1581</v>
      </c>
      <c r="D26" s="56" t="s">
        <v>35</v>
      </c>
      <c r="E26" s="80">
        <v>27</v>
      </c>
      <c r="F26" s="80">
        <v>24</v>
      </c>
      <c r="G26" s="57">
        <v>0</v>
      </c>
      <c r="H26" s="58"/>
      <c r="I26" s="59" t="s">
        <v>68</v>
      </c>
      <c r="J26" s="59" t="s">
        <v>68</v>
      </c>
      <c r="K26" s="60">
        <f>I27</f>
        <v>2.6306086561915026E-6</v>
      </c>
      <c r="L26" s="60">
        <f>I29</f>
        <v>-2.277497305575981E-5</v>
      </c>
      <c r="M26" s="60">
        <f>(C26-$O$2)*K26+L26</f>
        <v>4.1362173123830059E-3</v>
      </c>
    </row>
    <row r="27" spans="1:13" ht="14">
      <c r="A27" s="55">
        <f t="shared" ref="A27:A33" si="6">A26</f>
        <v>139</v>
      </c>
      <c r="B27" s="55" t="s">
        <v>95</v>
      </c>
      <c r="C27" s="80">
        <v>1619</v>
      </c>
      <c r="D27" s="56" t="s">
        <v>35</v>
      </c>
      <c r="E27" s="80">
        <v>217</v>
      </c>
      <c r="F27" s="80">
        <v>290</v>
      </c>
      <c r="G27" s="57">
        <v>5.0000000000000001E-4</v>
      </c>
      <c r="H27" s="58"/>
      <c r="I27" s="59">
        <f>SLOPE(G26:G32, E26:E32)</f>
        <v>2.6306086561915026E-6</v>
      </c>
      <c r="J27" s="59">
        <f>SLOPE(G26:G32, F26:F32)</f>
        <v>2.3027295030812419E-6</v>
      </c>
      <c r="K27" s="60">
        <f>I27</f>
        <v>2.6306086561915026E-6</v>
      </c>
      <c r="L27" s="60">
        <f>I29</f>
        <v>-2.277497305575981E-5</v>
      </c>
      <c r="M27" s="60">
        <f>(C27-$O$2)*K27+L27</f>
        <v>4.2361804413182831E-3</v>
      </c>
    </row>
    <row r="28" spans="1:13" ht="14">
      <c r="A28" s="55">
        <f t="shared" si="6"/>
        <v>139</v>
      </c>
      <c r="B28" s="55" t="s">
        <v>96</v>
      </c>
      <c r="C28" s="80">
        <v>628</v>
      </c>
      <c r="D28" s="56" t="s">
        <v>36</v>
      </c>
      <c r="E28" s="80">
        <v>408</v>
      </c>
      <c r="F28" s="80">
        <v>481</v>
      </c>
      <c r="G28" s="57">
        <v>1E-3</v>
      </c>
      <c r="H28" s="58"/>
      <c r="I28" s="59" t="s">
        <v>71</v>
      </c>
      <c r="J28" s="59" t="s">
        <v>71</v>
      </c>
      <c r="K28" s="60">
        <f>I27</f>
        <v>2.6306086561915026E-6</v>
      </c>
      <c r="L28" s="60">
        <f>I29</f>
        <v>-2.277497305575981E-5</v>
      </c>
      <c r="M28" s="60">
        <f>(C28-$O$3)*K28 + L28</f>
        <v>1.6292472630325039E-3</v>
      </c>
    </row>
    <row r="29" spans="1:13" ht="14">
      <c r="A29" s="55">
        <f t="shared" si="6"/>
        <v>139</v>
      </c>
      <c r="B29" s="55" t="s">
        <v>97</v>
      </c>
      <c r="C29" s="80">
        <v>621</v>
      </c>
      <c r="D29" s="56" t="s">
        <v>36</v>
      </c>
      <c r="E29" s="80">
        <v>747</v>
      </c>
      <c r="F29" s="80">
        <v>935</v>
      </c>
      <c r="G29" s="57">
        <v>2E-3</v>
      </c>
      <c r="H29" s="58"/>
      <c r="I29" s="59">
        <f>INTERCEPT(G26:G32, E26:E32)</f>
        <v>-2.277497305575981E-5</v>
      </c>
      <c r="J29" s="59">
        <f>INTERCEPT(G26:G32, F26:F32)</f>
        <v>-1.739254955921794E-4</v>
      </c>
      <c r="K29" s="60">
        <f>I27</f>
        <v>2.6306086561915026E-6</v>
      </c>
      <c r="L29" s="60">
        <f>I29</f>
        <v>-2.277497305575981E-5</v>
      </c>
      <c r="M29" s="60">
        <f>(C29-$O$3)*K29+ L29</f>
        <v>1.6108330024391633E-3</v>
      </c>
    </row>
    <row r="30" spans="1:13" ht="14">
      <c r="A30" s="55">
        <f t="shared" si="6"/>
        <v>139</v>
      </c>
      <c r="B30" s="55" t="s">
        <v>98</v>
      </c>
      <c r="C30" s="80">
        <v>5749</v>
      </c>
      <c r="D30" s="56" t="s">
        <v>37</v>
      </c>
      <c r="E30" s="80">
        <v>1982</v>
      </c>
      <c r="F30" s="80">
        <v>2335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2.3027295030812419E-6</v>
      </c>
      <c r="L30" s="60">
        <f>J29</f>
        <v>-1.739254955921794E-4</v>
      </c>
      <c r="M30" s="60">
        <f>(C30-$O$4)*K30 + L30</f>
        <v>1.2258223250355561E-2</v>
      </c>
    </row>
    <row r="31" spans="1:13" ht="14">
      <c r="A31" s="55">
        <f t="shared" si="6"/>
        <v>139</v>
      </c>
      <c r="B31" s="55" t="s">
        <v>99</v>
      </c>
      <c r="C31" s="80">
        <v>5673</v>
      </c>
      <c r="D31" s="56" t="s">
        <v>37</v>
      </c>
      <c r="E31" s="80">
        <v>3642</v>
      </c>
      <c r="F31" s="80">
        <v>4469</v>
      </c>
      <c r="G31" s="57">
        <v>0.01</v>
      </c>
      <c r="H31" s="58"/>
      <c r="I31" s="61">
        <f>RSQ(G26:G32, E26:E32)</f>
        <v>0.9991563757021239</v>
      </c>
      <c r="J31" s="61">
        <f>RSQ(G26:G32, F26:F32)</f>
        <v>0.99973164049470897</v>
      </c>
      <c r="K31" s="60">
        <f>J27</f>
        <v>2.3027295030812419E-6</v>
      </c>
      <c r="L31" s="60">
        <f>J29</f>
        <v>-1.739254955921794E-4</v>
      </c>
      <c r="M31" s="60">
        <f>(C31-$O$4)*K31 + L31</f>
        <v>1.2083215808121387E-2</v>
      </c>
    </row>
    <row r="32" spans="1:13" ht="14">
      <c r="A32" s="55">
        <f t="shared" si="6"/>
        <v>139</v>
      </c>
      <c r="B32" s="55" t="s">
        <v>100</v>
      </c>
      <c r="C32" s="80">
        <v>288</v>
      </c>
      <c r="D32" s="56" t="s">
        <v>38</v>
      </c>
      <c r="E32" s="80">
        <v>7673</v>
      </c>
      <c r="F32" s="80">
        <v>8714</v>
      </c>
      <c r="G32" s="57">
        <v>0.02</v>
      </c>
      <c r="H32" s="58"/>
      <c r="I32" s="58"/>
      <c r="J32" s="58"/>
      <c r="K32" s="60">
        <f>I27</f>
        <v>2.6306086561915026E-6</v>
      </c>
      <c r="L32" s="60">
        <f>I29</f>
        <v>-2.277497305575981E-5</v>
      </c>
      <c r="M32" s="60">
        <f>(C32-$O$5)*K32 + L32</f>
        <v>7.3484031992739291E-4</v>
      </c>
    </row>
    <row r="33" spans="1:26" ht="14">
      <c r="A33" s="55">
        <f t="shared" si="6"/>
        <v>139</v>
      </c>
      <c r="B33" s="55" t="s">
        <v>101</v>
      </c>
      <c r="C33" s="80">
        <v>315</v>
      </c>
      <c r="D33" s="56" t="s">
        <v>38</v>
      </c>
      <c r="E33" s="80">
        <v>19</v>
      </c>
      <c r="F33" s="80">
        <v>14</v>
      </c>
      <c r="G33" s="56"/>
      <c r="H33" s="58"/>
      <c r="I33" s="58"/>
      <c r="J33" s="58"/>
      <c r="K33" s="60">
        <f>I27</f>
        <v>2.6306086561915026E-6</v>
      </c>
      <c r="L33" s="60">
        <f>I29</f>
        <v>-2.277497305575981E-5</v>
      </c>
      <c r="M33" s="60">
        <f>(C33-$O$5)*K33 + L33</f>
        <v>8.0586675364456356E-4</v>
      </c>
    </row>
    <row r="34" spans="1:26" ht="14">
      <c r="A34" s="55">
        <f>P6</f>
        <v>144</v>
      </c>
      <c r="B34" s="55" t="s">
        <v>102</v>
      </c>
      <c r="C34" s="80">
        <v>1602</v>
      </c>
      <c r="D34" s="56" t="s">
        <v>35</v>
      </c>
      <c r="E34" s="80">
        <v>24</v>
      </c>
      <c r="F34" s="80">
        <v>24</v>
      </c>
      <c r="G34" s="57">
        <v>0</v>
      </c>
      <c r="H34" s="58"/>
      <c r="I34" s="59" t="s">
        <v>68</v>
      </c>
      <c r="J34" s="59" t="s">
        <v>68</v>
      </c>
      <c r="K34" s="60">
        <f>I35</f>
        <v>2.5023001333285244E-6</v>
      </c>
      <c r="L34" s="60">
        <f>I37</f>
        <v>3.8764928677057289E-6</v>
      </c>
      <c r="M34" s="60">
        <f>(C34-$O$2)*K34+L34</f>
        <v>4.0125613064600019E-3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144</v>
      </c>
      <c r="B35" s="55" t="s">
        <v>103</v>
      </c>
      <c r="C35" s="80">
        <v>1719</v>
      </c>
      <c r="D35" s="56" t="s">
        <v>35</v>
      </c>
      <c r="E35" s="80">
        <v>223</v>
      </c>
      <c r="F35" s="80">
        <v>275</v>
      </c>
      <c r="G35" s="57">
        <v>5.0000000000000001E-4</v>
      </c>
      <c r="H35" s="58"/>
      <c r="I35" s="59">
        <f>SLOPE(G34:G40, E34:E40)</f>
        <v>2.5023001333285244E-6</v>
      </c>
      <c r="J35" s="59">
        <f>SLOPE(G34:G40, F34:F40)</f>
        <v>2.1855069589926516E-6</v>
      </c>
      <c r="K35" s="60">
        <f>I35</f>
        <v>2.5023001333285244E-6</v>
      </c>
      <c r="L35" s="60">
        <f>I37</f>
        <v>3.8764928677057289E-6</v>
      </c>
      <c r="M35" s="60">
        <f>(C35-$O$2)*K35+L35</f>
        <v>4.3053304220594391E-3</v>
      </c>
    </row>
    <row r="36" spans="1:26" ht="14">
      <c r="A36" s="55">
        <f t="shared" si="7"/>
        <v>144</v>
      </c>
      <c r="B36" s="55" t="s">
        <v>104</v>
      </c>
      <c r="C36" s="80">
        <v>749</v>
      </c>
      <c r="D36" s="56" t="s">
        <v>36</v>
      </c>
      <c r="E36" s="80">
        <v>420</v>
      </c>
      <c r="F36" s="80">
        <v>517</v>
      </c>
      <c r="G36" s="57">
        <v>1E-3</v>
      </c>
      <c r="H36" s="58"/>
      <c r="I36" s="59" t="s">
        <v>71</v>
      </c>
      <c r="J36" s="59" t="s">
        <v>71</v>
      </c>
      <c r="K36" s="60">
        <f>I35</f>
        <v>2.5023001333285244E-6</v>
      </c>
      <c r="L36" s="60">
        <f>I37</f>
        <v>3.8764928677057289E-6</v>
      </c>
      <c r="M36" s="60">
        <f>(C36-$O$3)*K36 + L36</f>
        <v>1.8780992927307704E-3</v>
      </c>
    </row>
    <row r="37" spans="1:26" ht="14">
      <c r="A37" s="55">
        <f t="shared" si="7"/>
        <v>144</v>
      </c>
      <c r="B37" s="55" t="s">
        <v>105</v>
      </c>
      <c r="C37" s="80">
        <v>709</v>
      </c>
      <c r="D37" s="56" t="s">
        <v>36</v>
      </c>
      <c r="E37" s="80">
        <v>772</v>
      </c>
      <c r="F37" s="80">
        <v>1009</v>
      </c>
      <c r="G37" s="57">
        <v>2E-3</v>
      </c>
      <c r="H37" s="58"/>
      <c r="I37" s="59">
        <f>INTERCEPT(G34:G40, E34:E40)</f>
        <v>3.8764928677057289E-6</v>
      </c>
      <c r="J37" s="59">
        <f>INTERCEPT(G34:G40, F34:F40)</f>
        <v>-1.9324562817585669E-4</v>
      </c>
      <c r="K37" s="60">
        <f>I35</f>
        <v>2.5023001333285244E-6</v>
      </c>
      <c r="L37" s="60">
        <f>I37</f>
        <v>3.8764928677057289E-6</v>
      </c>
      <c r="M37" s="60">
        <f>(C37-$O$3)*K37+ L37</f>
        <v>1.7780072873976294E-3</v>
      </c>
    </row>
    <row r="38" spans="1:26" ht="14">
      <c r="A38" s="55">
        <f t="shared" si="7"/>
        <v>144</v>
      </c>
      <c r="B38" s="55" t="s">
        <v>106</v>
      </c>
      <c r="C38" s="80">
        <v>6550</v>
      </c>
      <c r="D38" s="56" t="s">
        <v>37</v>
      </c>
      <c r="E38" s="80">
        <v>1959</v>
      </c>
      <c r="F38" s="80">
        <v>2516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2.1855069589926516E-6</v>
      </c>
      <c r="L38" s="60">
        <f>J37</f>
        <v>-1.9324562817585669E-4</v>
      </c>
      <c r="M38" s="60">
        <f>(C38-$O$4)*K38 + L38</f>
        <v>1.335662432920871E-2</v>
      </c>
    </row>
    <row r="39" spans="1:26" ht="14">
      <c r="A39" s="55">
        <f t="shared" si="7"/>
        <v>144</v>
      </c>
      <c r="B39" s="55" t="s">
        <v>107</v>
      </c>
      <c r="C39" s="80">
        <v>5989</v>
      </c>
      <c r="D39" s="56" t="s">
        <v>37</v>
      </c>
      <c r="E39" s="80">
        <v>3958</v>
      </c>
      <c r="F39" s="80">
        <v>4718</v>
      </c>
      <c r="G39" s="57">
        <v>0.01</v>
      </c>
      <c r="H39" s="58"/>
      <c r="I39" s="61">
        <f>RSQ(G34:G40, E34:E40)</f>
        <v>0.99988299330754971</v>
      </c>
      <c r="J39" s="61">
        <f>RSQ(G34:G40, F34:F40)</f>
        <v>0.99950060799645102</v>
      </c>
      <c r="K39" s="60">
        <f>J35</f>
        <v>2.1855069589926516E-6</v>
      </c>
      <c r="L39" s="60">
        <f>J37</f>
        <v>-1.9324562817585669E-4</v>
      </c>
      <c r="M39" s="60">
        <f>(C39-$O$4)*K39 + L39</f>
        <v>1.2130554925213831E-2</v>
      </c>
    </row>
    <row r="40" spans="1:26" ht="14">
      <c r="A40" s="55">
        <f t="shared" si="7"/>
        <v>144</v>
      </c>
      <c r="B40" s="55" t="s">
        <v>108</v>
      </c>
      <c r="C40" s="80">
        <v>363</v>
      </c>
      <c r="D40" s="56" t="s">
        <v>38</v>
      </c>
      <c r="E40" s="80">
        <v>8019</v>
      </c>
      <c r="F40" s="80">
        <v>9176</v>
      </c>
      <c r="G40" s="57">
        <v>0.02</v>
      </c>
      <c r="H40" s="58"/>
      <c r="I40" s="58"/>
      <c r="J40" s="58"/>
      <c r="K40" s="60">
        <f>I35</f>
        <v>2.5023001333285244E-6</v>
      </c>
      <c r="L40" s="60">
        <f>I37</f>
        <v>3.8764928677057289E-6</v>
      </c>
      <c r="M40" s="60">
        <f>(C40-$O$5)*K40 + L40</f>
        <v>9.1221144126596009E-4</v>
      </c>
    </row>
    <row r="41" spans="1:26" ht="14">
      <c r="A41" s="55">
        <f t="shared" si="7"/>
        <v>144</v>
      </c>
      <c r="B41" s="55" t="s">
        <v>109</v>
      </c>
      <c r="C41" s="80">
        <v>372</v>
      </c>
      <c r="D41" s="56" t="s">
        <v>38</v>
      </c>
      <c r="E41" s="80">
        <v>17</v>
      </c>
      <c r="F41" s="80">
        <v>14</v>
      </c>
      <c r="G41" s="56"/>
      <c r="H41" s="58"/>
      <c r="I41" s="58"/>
      <c r="J41" s="58"/>
      <c r="K41" s="60">
        <f>I35</f>
        <v>2.5023001333285244E-6</v>
      </c>
      <c r="L41" s="60">
        <f>I37</f>
        <v>3.8764928677057289E-6</v>
      </c>
      <c r="M41" s="60">
        <f>(C41-$O$5)*K41 + L41</f>
        <v>9.3473214246591685E-4</v>
      </c>
    </row>
    <row r="42" spans="1:26" ht="14">
      <c r="A42" s="55">
        <f>P7</f>
        <v>149</v>
      </c>
      <c r="B42" s="55" t="s">
        <v>110</v>
      </c>
      <c r="C42" s="80">
        <v>1763</v>
      </c>
      <c r="D42" s="56" t="s">
        <v>35</v>
      </c>
      <c r="E42" s="80">
        <v>25</v>
      </c>
      <c r="F42" s="80">
        <v>24</v>
      </c>
      <c r="G42" s="57">
        <v>0</v>
      </c>
      <c r="H42" s="58"/>
      <c r="I42" s="62" t="s">
        <v>68</v>
      </c>
      <c r="J42" s="62" t="s">
        <v>68</v>
      </c>
      <c r="K42" s="60">
        <f>I43</f>
        <v>2.6126471181361485E-6</v>
      </c>
      <c r="L42" s="60">
        <f>I45</f>
        <v>-1.183110099004913E-4</v>
      </c>
      <c r="M42" s="60">
        <f>(C42-$O$2)*K42+L42</f>
        <v>4.4877858593735387E-3</v>
      </c>
    </row>
    <row r="43" spans="1:26" ht="14">
      <c r="A43" s="55">
        <f t="shared" ref="A43:A49" si="8">A42</f>
        <v>149</v>
      </c>
      <c r="B43" s="55" t="s">
        <v>111</v>
      </c>
      <c r="C43" s="80">
        <v>1753</v>
      </c>
      <c r="D43" s="56" t="s">
        <v>35</v>
      </c>
      <c r="E43" s="80">
        <v>224</v>
      </c>
      <c r="F43" s="80">
        <v>281</v>
      </c>
      <c r="G43" s="57">
        <v>5.0000000000000001E-4</v>
      </c>
      <c r="H43" s="58"/>
      <c r="I43" s="58">
        <f>SLOPE(G42:G48, E42:E48)</f>
        <v>2.6126471181361485E-6</v>
      </c>
      <c r="J43" s="58">
        <f>SLOPE(G42:G48, F42:F48)</f>
        <v>2.1596197108874302E-6</v>
      </c>
      <c r="K43" s="60">
        <f>I43</f>
        <v>2.6126471181361485E-6</v>
      </c>
      <c r="L43" s="60">
        <f>I45</f>
        <v>-1.183110099004913E-4</v>
      </c>
      <c r="M43" s="60">
        <f>(C43-$O$2)*K43+L43</f>
        <v>4.461659388192177E-3</v>
      </c>
    </row>
    <row r="44" spans="1:26" ht="14">
      <c r="A44" s="55">
        <f t="shared" si="8"/>
        <v>149</v>
      </c>
      <c r="B44" s="55" t="s">
        <v>112</v>
      </c>
      <c r="C44" s="80">
        <v>706</v>
      </c>
      <c r="D44" s="56" t="s">
        <v>36</v>
      </c>
      <c r="E44" s="80">
        <v>424</v>
      </c>
      <c r="F44" s="80">
        <v>527</v>
      </c>
      <c r="G44" s="57">
        <v>1E-3</v>
      </c>
      <c r="H44" s="58"/>
      <c r="I44" s="62" t="s">
        <v>71</v>
      </c>
      <c r="J44" s="62" t="s">
        <v>71</v>
      </c>
      <c r="K44" s="60">
        <f>I43</f>
        <v>2.6126471181361485E-6</v>
      </c>
      <c r="L44" s="60">
        <f>I45</f>
        <v>-1.183110099004913E-4</v>
      </c>
      <c r="M44" s="60">
        <f>(C44-$O$3)*K44 + L44</f>
        <v>1.7262178555036295E-3</v>
      </c>
    </row>
    <row r="45" spans="1:26" ht="14">
      <c r="A45" s="55">
        <f t="shared" si="8"/>
        <v>149</v>
      </c>
      <c r="B45" s="55" t="s">
        <v>113</v>
      </c>
      <c r="C45" s="80">
        <v>661</v>
      </c>
      <c r="D45" s="56" t="s">
        <v>36</v>
      </c>
      <c r="E45" s="80">
        <v>778</v>
      </c>
      <c r="F45" s="80">
        <v>1021</v>
      </c>
      <c r="G45" s="57">
        <v>2E-3</v>
      </c>
      <c r="H45" s="58"/>
      <c r="I45" s="58">
        <f>INTERCEPT(G42:G48, E42:E48)</f>
        <v>-1.183110099004913E-4</v>
      </c>
      <c r="J45" s="58">
        <f>INTERCEPT(G42:G48, F42:F48)</f>
        <v>-2.2268371675013363E-4</v>
      </c>
      <c r="K45" s="60">
        <f>I43</f>
        <v>2.6126471181361485E-6</v>
      </c>
      <c r="L45" s="60">
        <f>I45</f>
        <v>-1.183110099004913E-4</v>
      </c>
      <c r="M45" s="60">
        <f>(C45-$O$3)*K45+ L45</f>
        <v>1.608648735187503E-3</v>
      </c>
    </row>
    <row r="46" spans="1:26" ht="14">
      <c r="A46" s="55">
        <f t="shared" si="8"/>
        <v>149</v>
      </c>
      <c r="B46" s="55" t="s">
        <v>114</v>
      </c>
      <c r="C46" s="80">
        <v>6249</v>
      </c>
      <c r="D46" s="56" t="s">
        <v>37</v>
      </c>
      <c r="E46" s="80">
        <v>2025</v>
      </c>
      <c r="F46" s="80">
        <v>2680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2.1596197108874302E-6</v>
      </c>
      <c r="L46" s="60">
        <f>J45</f>
        <v>-2.2268371675013363E-4</v>
      </c>
      <c r="M46" s="60">
        <f>(C46-$O$4)*K46 + L46</f>
        <v>1.2516643005310957E-2</v>
      </c>
    </row>
    <row r="47" spans="1:26" ht="14">
      <c r="A47" s="55">
        <f t="shared" si="8"/>
        <v>149</v>
      </c>
      <c r="B47" s="55" t="s">
        <v>115</v>
      </c>
      <c r="C47" s="80">
        <v>5932</v>
      </c>
      <c r="D47" s="56" t="s">
        <v>37</v>
      </c>
      <c r="E47" s="80">
        <v>3908</v>
      </c>
      <c r="F47" s="80">
        <v>4711</v>
      </c>
      <c r="G47" s="57">
        <v>0.01</v>
      </c>
      <c r="H47" s="58"/>
      <c r="I47" s="61">
        <f>RSQ(G42:G48, E42:E48)</f>
        <v>0.99982354887781333</v>
      </c>
      <c r="J47" s="61">
        <f>RSQ(G42:G48, F42:F48)</f>
        <v>0.99878173756269517</v>
      </c>
      <c r="K47" s="60">
        <f>J43</f>
        <v>2.1596197108874302E-6</v>
      </c>
      <c r="L47" s="60">
        <f>J45</f>
        <v>-2.2268371675013363E-4</v>
      </c>
      <c r="M47" s="60">
        <f>(C47-$O$4)*K47 + L47</f>
        <v>1.1832043556959642E-2</v>
      </c>
    </row>
    <row r="48" spans="1:26" ht="14">
      <c r="A48" s="55">
        <f t="shared" si="8"/>
        <v>149</v>
      </c>
      <c r="B48" s="55" t="s">
        <v>116</v>
      </c>
      <c r="C48" s="80">
        <v>379</v>
      </c>
      <c r="D48" s="56" t="s">
        <v>38</v>
      </c>
      <c r="E48" s="80">
        <v>7669</v>
      </c>
      <c r="F48" s="80">
        <v>9305</v>
      </c>
      <c r="G48" s="57">
        <v>0.02</v>
      </c>
      <c r="H48" s="58"/>
      <c r="I48" s="58"/>
      <c r="J48" s="58"/>
      <c r="K48" s="60">
        <f>I43</f>
        <v>2.6126471181361485E-6</v>
      </c>
      <c r="L48" s="60">
        <f>I45</f>
        <v>-1.183110099004913E-4</v>
      </c>
      <c r="M48" s="60">
        <f>(C48-$O$5)*K48 + L48</f>
        <v>8.7188224787310901E-4</v>
      </c>
    </row>
    <row r="49" spans="1:13" ht="14">
      <c r="A49" s="55">
        <f t="shared" si="8"/>
        <v>149</v>
      </c>
      <c r="B49" s="55" t="s">
        <v>117</v>
      </c>
      <c r="C49" s="80">
        <v>289</v>
      </c>
      <c r="D49" s="56" t="s">
        <v>38</v>
      </c>
      <c r="E49" s="80">
        <v>18</v>
      </c>
      <c r="F49" s="80">
        <v>15</v>
      </c>
      <c r="G49" s="56"/>
      <c r="H49" s="58"/>
      <c r="I49" s="58"/>
      <c r="J49" s="58"/>
      <c r="K49" s="60">
        <f>I43</f>
        <v>2.6126471181361485E-6</v>
      </c>
      <c r="L49" s="60">
        <f>I45</f>
        <v>-1.183110099004913E-4</v>
      </c>
      <c r="M49" s="60">
        <f>(C49-$O$5)*K49 + L49</f>
        <v>6.3674400724085566E-4</v>
      </c>
    </row>
    <row r="50" spans="1:13" ht="14">
      <c r="A50" s="55">
        <f>P8</f>
        <v>154</v>
      </c>
      <c r="B50" s="55" t="s">
        <v>118</v>
      </c>
      <c r="C50" s="80">
        <v>1740</v>
      </c>
      <c r="D50" s="56" t="s">
        <v>35</v>
      </c>
      <c r="E50" s="80">
        <v>23</v>
      </c>
      <c r="F50" s="80">
        <v>23</v>
      </c>
      <c r="G50" s="57">
        <v>0</v>
      </c>
      <c r="H50" s="58"/>
      <c r="I50" s="62" t="s">
        <v>68</v>
      </c>
      <c r="J50" s="62" t="s">
        <v>68</v>
      </c>
      <c r="K50" s="60">
        <f>I51</f>
        <v>2.8154656958879609E-6</v>
      </c>
      <c r="L50" s="60">
        <f>I53</f>
        <v>-1.7959872737626989E-4</v>
      </c>
      <c r="M50" s="60">
        <f>(C50-$O$2)*K50+L50</f>
        <v>4.7193115834687823E-3</v>
      </c>
    </row>
    <row r="51" spans="1:13" ht="14">
      <c r="A51" s="55">
        <f t="shared" ref="A51:A57" si="9">A50</f>
        <v>154</v>
      </c>
      <c r="B51" s="55" t="s">
        <v>119</v>
      </c>
      <c r="C51" s="80">
        <v>1648</v>
      </c>
      <c r="D51" s="56" t="s">
        <v>35</v>
      </c>
      <c r="E51" s="80">
        <v>216</v>
      </c>
      <c r="F51" s="80">
        <v>271</v>
      </c>
      <c r="G51" s="57">
        <v>5.0000000000000001E-4</v>
      </c>
      <c r="H51" s="58"/>
      <c r="I51" s="58">
        <f>SLOPE(G50:G56, E50:E56)</f>
        <v>2.8154656958879609E-6</v>
      </c>
      <c r="J51" s="58">
        <f>SLOPE(G50:G56, F50:F56)</f>
        <v>2.250992251962847E-6</v>
      </c>
      <c r="K51" s="60">
        <f>I51</f>
        <v>2.8154656958879609E-6</v>
      </c>
      <c r="L51" s="60">
        <f>I53</f>
        <v>-1.7959872737626989E-4</v>
      </c>
      <c r="M51" s="60">
        <f>(C51-$O$2)*K51+L51</f>
        <v>4.4602887394470892E-3</v>
      </c>
    </row>
    <row r="52" spans="1:13" ht="14">
      <c r="A52" s="55">
        <f t="shared" si="9"/>
        <v>154</v>
      </c>
      <c r="B52" s="55" t="s">
        <v>120</v>
      </c>
      <c r="C52" s="80">
        <v>741</v>
      </c>
      <c r="D52" s="56" t="s">
        <v>36</v>
      </c>
      <c r="E52" s="80">
        <v>410</v>
      </c>
      <c r="F52" s="80">
        <v>515</v>
      </c>
      <c r="G52" s="57">
        <v>1E-3</v>
      </c>
      <c r="H52" s="58"/>
      <c r="I52" s="62" t="s">
        <v>71</v>
      </c>
      <c r="J52" s="62" t="s">
        <v>71</v>
      </c>
      <c r="K52" s="60">
        <f>I51</f>
        <v>2.8154656958879609E-6</v>
      </c>
      <c r="L52" s="60">
        <f>I53</f>
        <v>-1.7959872737626989E-4</v>
      </c>
      <c r="M52" s="60">
        <f>(C52-$O$3)*K52 + L52</f>
        <v>1.9066613532767091E-3</v>
      </c>
    </row>
    <row r="53" spans="1:13" ht="14">
      <c r="A53" s="55">
        <f t="shared" si="9"/>
        <v>154</v>
      </c>
      <c r="B53" s="55" t="s">
        <v>121</v>
      </c>
      <c r="C53" s="80">
        <v>594</v>
      </c>
      <c r="D53" s="56" t="s">
        <v>36</v>
      </c>
      <c r="E53" s="80">
        <v>761</v>
      </c>
      <c r="F53" s="80">
        <v>1005</v>
      </c>
      <c r="G53" s="57">
        <v>2E-3</v>
      </c>
      <c r="H53" s="58"/>
      <c r="I53" s="58">
        <f>INTERCEPT(G50:G56, E50:E56)</f>
        <v>-1.7959872737626989E-4</v>
      </c>
      <c r="J53" s="58">
        <f>INTERCEPT(G50:G56, F50:F56)</f>
        <v>-4.1110565365443542E-4</v>
      </c>
      <c r="K53" s="60">
        <f>I51</f>
        <v>2.8154656958879609E-6</v>
      </c>
      <c r="L53" s="60">
        <f>I53</f>
        <v>-1.7959872737626989E-4</v>
      </c>
      <c r="M53" s="60">
        <f>(C53-$O$3)*K53+ L53</f>
        <v>1.492787895981179E-3</v>
      </c>
    </row>
    <row r="54" spans="1:13" ht="14">
      <c r="A54" s="55">
        <f t="shared" si="9"/>
        <v>154</v>
      </c>
      <c r="B54" s="55" t="s">
        <v>122</v>
      </c>
      <c r="C54" s="80">
        <v>6098</v>
      </c>
      <c r="D54" s="56" t="s">
        <v>37</v>
      </c>
      <c r="E54" s="80">
        <v>1979</v>
      </c>
      <c r="F54" s="80">
        <v>3057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2.250992251962847E-6</v>
      </c>
      <c r="L54" s="60">
        <f>J53</f>
        <v>-4.1110565365443542E-4</v>
      </c>
      <c r="M54" s="60">
        <f>(C54-$O$4)*K54 + L54</f>
        <v>1.2527316436596513E-2</v>
      </c>
    </row>
    <row r="55" spans="1:13" ht="14">
      <c r="A55" s="55">
        <f t="shared" si="9"/>
        <v>154</v>
      </c>
      <c r="B55" s="55" t="s">
        <v>123</v>
      </c>
      <c r="C55" s="80">
        <v>5810</v>
      </c>
      <c r="D55" s="56" t="s">
        <v>37</v>
      </c>
      <c r="E55" s="80">
        <v>3585</v>
      </c>
      <c r="F55" s="80">
        <v>4680</v>
      </c>
      <c r="G55" s="57">
        <v>0.01</v>
      </c>
      <c r="H55" s="58"/>
      <c r="I55" s="61">
        <f>RSQ(G50:G56, E50:E56)</f>
        <v>0.99941960390657747</v>
      </c>
      <c r="J55" s="61">
        <f>RSQ(G50:G56, F50:F56)</f>
        <v>0.99131649207360339</v>
      </c>
      <c r="K55" s="60">
        <f>J51</f>
        <v>2.250992251962847E-6</v>
      </c>
      <c r="L55" s="60">
        <f>J53</f>
        <v>-4.1110565365443542E-4</v>
      </c>
      <c r="M55" s="60">
        <f>(C55-$O$4)*K55 + L55</f>
        <v>1.1879030668031212E-2</v>
      </c>
    </row>
    <row r="56" spans="1:13" ht="14">
      <c r="A56" s="55">
        <f t="shared" si="9"/>
        <v>154</v>
      </c>
      <c r="B56" s="55" t="s">
        <v>124</v>
      </c>
      <c r="C56" s="80">
        <v>327</v>
      </c>
      <c r="D56" s="56" t="s">
        <v>38</v>
      </c>
      <c r="E56" s="80">
        <v>7147</v>
      </c>
      <c r="F56" s="80">
        <v>8831</v>
      </c>
      <c r="G56" s="57">
        <v>0.02</v>
      </c>
      <c r="H56" s="58"/>
      <c r="I56" s="58"/>
      <c r="J56" s="58"/>
      <c r="K56" s="60">
        <f>I51</f>
        <v>2.8154656958879609E-6</v>
      </c>
      <c r="L56" s="60">
        <f>I53</f>
        <v>-1.7959872737626989E-4</v>
      </c>
      <c r="M56" s="60">
        <f>(C56-$O$5)*K56 + L56</f>
        <v>7.410585551790933E-4</v>
      </c>
    </row>
    <row r="57" spans="1:13" ht="14">
      <c r="A57" s="55">
        <f t="shared" si="9"/>
        <v>154</v>
      </c>
      <c r="B57" s="55" t="s">
        <v>125</v>
      </c>
      <c r="C57" s="80">
        <v>361</v>
      </c>
      <c r="D57" s="56" t="s">
        <v>38</v>
      </c>
      <c r="E57" s="80">
        <v>17</v>
      </c>
      <c r="F57" s="80">
        <v>14</v>
      </c>
      <c r="G57" s="56"/>
      <c r="H57" s="58"/>
      <c r="I57" s="58"/>
      <c r="J57" s="58"/>
      <c r="K57" s="60">
        <f>I51</f>
        <v>2.8154656958879609E-6</v>
      </c>
      <c r="L57" s="60">
        <f>I53</f>
        <v>-1.7959872737626989E-4</v>
      </c>
      <c r="M57" s="60">
        <f>(C57-$O$5)*K57 + L57</f>
        <v>8.3678438883928404E-4</v>
      </c>
    </row>
    <row r="58" spans="1:13" ht="14">
      <c r="A58" s="55">
        <f>P9</f>
        <v>159</v>
      </c>
      <c r="B58" s="55" t="s">
        <v>126</v>
      </c>
      <c r="C58" s="80">
        <v>1902</v>
      </c>
      <c r="D58" s="56" t="s">
        <v>35</v>
      </c>
      <c r="E58" s="80">
        <v>23</v>
      </c>
      <c r="F58" s="80">
        <v>24</v>
      </c>
      <c r="G58" s="57">
        <v>0</v>
      </c>
      <c r="H58" s="58"/>
      <c r="I58" s="62" t="s">
        <v>68</v>
      </c>
      <c r="J58" s="62" t="s">
        <v>68</v>
      </c>
      <c r="K58" s="60">
        <f>I59</f>
        <v>2.5459585877733933E-6</v>
      </c>
      <c r="L58" s="60">
        <f>I61</f>
        <v>-7.6740432332776838E-5</v>
      </c>
      <c r="M58" s="60">
        <f>(C58-$O$2)*K58+L58</f>
        <v>4.765672801612217E-3</v>
      </c>
    </row>
    <row r="59" spans="1:13" ht="14">
      <c r="A59" s="55">
        <f t="shared" ref="A59:A65" si="10">A58</f>
        <v>159</v>
      </c>
      <c r="B59" s="55" t="s">
        <v>127</v>
      </c>
      <c r="C59" s="80">
        <v>1722</v>
      </c>
      <c r="D59" s="56" t="s">
        <v>35</v>
      </c>
      <c r="E59" s="80">
        <v>242</v>
      </c>
      <c r="F59" s="80">
        <v>261</v>
      </c>
      <c r="G59" s="57">
        <v>5.0000000000000001E-4</v>
      </c>
      <c r="H59" s="58"/>
      <c r="I59" s="58">
        <f>SLOPE(G58:G64, E58:E64)</f>
        <v>2.5459585877733933E-6</v>
      </c>
      <c r="J59" s="58">
        <f>SLOPE(G58:G64, F58:F64)</f>
        <v>2.0896917847413977E-6</v>
      </c>
      <c r="K59" s="60">
        <f>I59</f>
        <v>2.5459585877733933E-6</v>
      </c>
      <c r="L59" s="60">
        <f>I61</f>
        <v>-7.6740432332776838E-5</v>
      </c>
      <c r="M59" s="60">
        <f>(C59-$O$2)*K59+L59</f>
        <v>4.3074002558130065E-3</v>
      </c>
    </row>
    <row r="60" spans="1:13" ht="14">
      <c r="A60" s="55">
        <f t="shared" si="10"/>
        <v>159</v>
      </c>
      <c r="B60" s="55" t="s">
        <v>128</v>
      </c>
      <c r="C60" s="80">
        <v>694</v>
      </c>
      <c r="D60" s="56" t="s">
        <v>36</v>
      </c>
      <c r="E60" s="80">
        <v>421</v>
      </c>
      <c r="F60" s="80">
        <v>530</v>
      </c>
      <c r="G60" s="57">
        <v>1E-3</v>
      </c>
      <c r="H60" s="58"/>
      <c r="I60" s="62" t="s">
        <v>71</v>
      </c>
      <c r="J60" s="62" t="s">
        <v>71</v>
      </c>
      <c r="K60" s="60">
        <f>I59</f>
        <v>2.5459585877733933E-6</v>
      </c>
      <c r="L60" s="60">
        <f>I61</f>
        <v>-7.6740432332776838E-5</v>
      </c>
      <c r="M60" s="60">
        <f>(C60-$O$3)*K60 + L60</f>
        <v>1.6901548275819582E-3</v>
      </c>
    </row>
    <row r="61" spans="1:13" ht="14">
      <c r="A61" s="55">
        <f t="shared" si="10"/>
        <v>159</v>
      </c>
      <c r="B61" s="55" t="s">
        <v>129</v>
      </c>
      <c r="C61" s="80">
        <v>700</v>
      </c>
      <c r="D61" s="56" t="s">
        <v>36</v>
      </c>
      <c r="E61" s="80">
        <v>828</v>
      </c>
      <c r="F61" s="80">
        <v>1045</v>
      </c>
      <c r="G61" s="57">
        <v>2E-3</v>
      </c>
      <c r="H61" s="58"/>
      <c r="I61" s="58">
        <f>INTERCEPT(G58:G64, E58:E64)</f>
        <v>-7.6740432332776838E-5</v>
      </c>
      <c r="J61" s="58">
        <f>INTERCEPT(G58:G64, F58:F64)</f>
        <v>-1.0007545570912477E-4</v>
      </c>
      <c r="K61" s="60">
        <f>I59</f>
        <v>2.5459585877733933E-6</v>
      </c>
      <c r="L61" s="60">
        <f>I61</f>
        <v>-7.6740432332776838E-5</v>
      </c>
      <c r="M61" s="60">
        <f>(C61-$O$3)*K61+ L61</f>
        <v>1.7054305791085985E-3</v>
      </c>
    </row>
    <row r="62" spans="1:13" ht="14">
      <c r="A62" s="55">
        <f t="shared" si="10"/>
        <v>159</v>
      </c>
      <c r="B62" s="55" t="s">
        <v>130</v>
      </c>
      <c r="C62" s="80">
        <v>5749</v>
      </c>
      <c r="D62" s="56" t="s">
        <v>37</v>
      </c>
      <c r="E62" s="80">
        <v>2081</v>
      </c>
      <c r="F62" s="80">
        <v>2543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2.0896917847413977E-6</v>
      </c>
      <c r="L62" s="60">
        <f>J61</f>
        <v>-1.0007545570912477E-4</v>
      </c>
      <c r="M62" s="60">
        <f>(C62-$O$4)*K62 + L62</f>
        <v>1.1181909278636588E-2</v>
      </c>
    </row>
    <row r="63" spans="1:13" ht="14">
      <c r="A63" s="55">
        <f t="shared" si="10"/>
        <v>159</v>
      </c>
      <c r="B63" s="55" t="s">
        <v>131</v>
      </c>
      <c r="C63" s="80">
        <v>6158</v>
      </c>
      <c r="D63" s="56" t="s">
        <v>37</v>
      </c>
      <c r="E63" s="80">
        <v>3802</v>
      </c>
      <c r="F63" s="80">
        <v>4706</v>
      </c>
      <c r="G63" s="57">
        <v>0.01</v>
      </c>
      <c r="H63" s="58"/>
      <c r="I63" s="61">
        <f>RSQ(G58:G64, E58:E64)</f>
        <v>0.99929074409869223</v>
      </c>
      <c r="J63" s="61">
        <f>RSQ(G58:G64, F58:F64)</f>
        <v>0.99958126561110439</v>
      </c>
      <c r="K63" s="60">
        <f>J59</f>
        <v>2.0896917847413977E-6</v>
      </c>
      <c r="L63" s="60">
        <f>J61</f>
        <v>-1.0007545570912477E-4</v>
      </c>
      <c r="M63" s="60">
        <f>(C63-$O$4)*K63 + L63</f>
        <v>1.203659321859582E-2</v>
      </c>
    </row>
    <row r="64" spans="1:13" ht="14">
      <c r="A64" s="55">
        <f t="shared" si="10"/>
        <v>159</v>
      </c>
      <c r="B64" s="55" t="s">
        <v>132</v>
      </c>
      <c r="C64" s="80">
        <v>384</v>
      </c>
      <c r="D64" s="56" t="s">
        <v>38</v>
      </c>
      <c r="E64" s="80">
        <v>7936</v>
      </c>
      <c r="F64" s="80">
        <v>9650</v>
      </c>
      <c r="G64" s="57">
        <v>0.02</v>
      </c>
      <c r="H64" s="58"/>
      <c r="I64" s="58"/>
      <c r="J64" s="58"/>
      <c r="K64" s="60">
        <f>I59</f>
        <v>2.5459585877733933E-6</v>
      </c>
      <c r="L64" s="60">
        <f>I61</f>
        <v>-7.6740432332776838E-5</v>
      </c>
      <c r="M64" s="60">
        <f>(C64-$O$5)*K64 + L64</f>
        <v>9.0090766537220617E-4</v>
      </c>
    </row>
    <row r="65" spans="1:26" ht="14">
      <c r="A65" s="55">
        <f t="shared" si="10"/>
        <v>159</v>
      </c>
      <c r="B65" s="55" t="s">
        <v>133</v>
      </c>
      <c r="C65" s="80">
        <v>367</v>
      </c>
      <c r="D65" s="56" t="s">
        <v>38</v>
      </c>
      <c r="E65" s="80">
        <v>18</v>
      </c>
      <c r="F65" s="80">
        <v>14</v>
      </c>
      <c r="G65" s="56"/>
      <c r="H65" s="58"/>
      <c r="I65" s="58"/>
      <c r="J65" s="58"/>
      <c r="K65" s="60">
        <f>I59</f>
        <v>2.5459585877733933E-6</v>
      </c>
      <c r="L65" s="60">
        <f>I61</f>
        <v>-7.6740432332776838E-5</v>
      </c>
      <c r="M65" s="60">
        <f>(C65-$O$5)*K65 + L65</f>
        <v>8.5762636938005845E-4</v>
      </c>
    </row>
    <row r="66" spans="1:26" ht="14">
      <c r="A66" s="55">
        <f>P10</f>
        <v>0</v>
      </c>
      <c r="B66" s="55" t="s">
        <v>134</v>
      </c>
      <c r="C66" s="80">
        <v>35</v>
      </c>
      <c r="D66" s="56" t="s">
        <v>35</v>
      </c>
      <c r="E66" s="80">
        <v>19</v>
      </c>
      <c r="F66" s="80">
        <v>22</v>
      </c>
      <c r="G66" s="57">
        <v>0</v>
      </c>
      <c r="H66" s="58"/>
      <c r="I66" s="62" t="s">
        <v>68</v>
      </c>
      <c r="J66" s="62" t="s">
        <v>68</v>
      </c>
      <c r="K66" s="60">
        <f>I67</f>
        <v>4.0652798631080977E-6</v>
      </c>
      <c r="L66" s="60">
        <f>I69</f>
        <v>-1.4144694146172275E-4</v>
      </c>
      <c r="M66" s="60">
        <f>(C66-$O$2)*K66+L66</f>
        <v>8.3785374706065612E-7</v>
      </c>
    </row>
    <row r="67" spans="1:26" ht="14">
      <c r="A67" s="55">
        <f t="shared" ref="A67:A73" si="11">A66</f>
        <v>0</v>
      </c>
      <c r="B67" s="55" t="s">
        <v>135</v>
      </c>
      <c r="C67" s="80">
        <v>67</v>
      </c>
      <c r="D67" s="56" t="s">
        <v>35</v>
      </c>
      <c r="E67" s="80">
        <v>169</v>
      </c>
      <c r="F67" s="80">
        <v>349</v>
      </c>
      <c r="G67" s="57">
        <v>5.0000000000000001E-4</v>
      </c>
      <c r="H67" s="58"/>
      <c r="I67" s="58">
        <f>SLOPE(G66:G72, E66:E72)</f>
        <v>4.0652798631080977E-6</v>
      </c>
      <c r="J67" s="58">
        <f>SLOPE(G66:G72, F66:F72)</f>
        <v>1.6303385413721505E-6</v>
      </c>
      <c r="K67" s="60">
        <f>I67</f>
        <v>4.0652798631080977E-6</v>
      </c>
      <c r="L67" s="60">
        <f>I69</f>
        <v>-1.4144694146172275E-4</v>
      </c>
      <c r="M67" s="60">
        <f>(C67-$O$2)*K67+L67</f>
        <v>1.3092680936651978E-4</v>
      </c>
    </row>
    <row r="68" spans="1:26" ht="14">
      <c r="A68" s="55">
        <f t="shared" si="11"/>
        <v>0</v>
      </c>
      <c r="B68" s="55" t="s">
        <v>136</v>
      </c>
      <c r="C68" s="80">
        <v>35</v>
      </c>
      <c r="D68" s="56" t="s">
        <v>36</v>
      </c>
      <c r="E68" s="80">
        <v>307</v>
      </c>
      <c r="F68" s="80">
        <v>660</v>
      </c>
      <c r="G68" s="57">
        <v>1E-3</v>
      </c>
      <c r="H68" s="58"/>
      <c r="I68" s="62" t="s">
        <v>71</v>
      </c>
      <c r="J68" s="62" t="s">
        <v>71</v>
      </c>
      <c r="K68" s="60">
        <f>I67</f>
        <v>4.0652798631080977E-6</v>
      </c>
      <c r="L68" s="60">
        <f>I69</f>
        <v>-1.4144694146172275E-4</v>
      </c>
      <c r="M68" s="60">
        <f>(C68-$O$3)*K68 + L68</f>
        <v>8.3785374706065612E-7</v>
      </c>
    </row>
    <row r="69" spans="1:26" ht="14">
      <c r="A69" s="55">
        <f t="shared" si="11"/>
        <v>0</v>
      </c>
      <c r="B69" s="55" t="s">
        <v>137</v>
      </c>
      <c r="C69" s="80">
        <v>34</v>
      </c>
      <c r="D69" s="56" t="s">
        <v>36</v>
      </c>
      <c r="E69" s="80">
        <v>533</v>
      </c>
      <c r="F69" s="80">
        <v>1238</v>
      </c>
      <c r="G69" s="57">
        <v>2E-3</v>
      </c>
      <c r="H69" s="58"/>
      <c r="I69" s="58">
        <f>INTERCEPT(G66:G72, E66:E72)</f>
        <v>-1.4144694146172275E-4</v>
      </c>
      <c r="J69" s="58">
        <f>INTERCEPT(G66:G72, F66:F72)</f>
        <v>4.2558185509681233E-5</v>
      </c>
      <c r="K69" s="60">
        <f>I67</f>
        <v>4.0652798631080977E-6</v>
      </c>
      <c r="L69" s="60">
        <f>I69</f>
        <v>-1.4144694146172275E-4</v>
      </c>
      <c r="M69" s="60">
        <f>(C69-$O$3)*K69+ L69</f>
        <v>-3.2274261160474373E-6</v>
      </c>
    </row>
    <row r="70" spans="1:26" ht="14">
      <c r="A70" s="55">
        <f t="shared" si="11"/>
        <v>0</v>
      </c>
      <c r="B70" s="55" t="s">
        <v>138</v>
      </c>
      <c r="C70" s="80">
        <v>378</v>
      </c>
      <c r="D70" s="56" t="s">
        <v>37</v>
      </c>
      <c r="E70" s="80">
        <v>1286</v>
      </c>
      <c r="F70" s="80">
        <v>3040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1.6303385413721505E-6</v>
      </c>
      <c r="L70" s="60">
        <f>J69</f>
        <v>4.2558185509681233E-5</v>
      </c>
      <c r="M70" s="60">
        <f>(C70-$O$4)*K70 + L70</f>
        <v>8.800387235042992E-5</v>
      </c>
    </row>
    <row r="71" spans="1:26" ht="14">
      <c r="A71" s="55">
        <f t="shared" si="11"/>
        <v>0</v>
      </c>
      <c r="B71" s="55" t="s">
        <v>139</v>
      </c>
      <c r="C71" s="80">
        <v>349</v>
      </c>
      <c r="D71" s="56" t="s">
        <v>37</v>
      </c>
      <c r="E71" s="80">
        <v>2415</v>
      </c>
      <c r="F71" s="80">
        <v>5707</v>
      </c>
      <c r="G71" s="57">
        <v>0.01</v>
      </c>
      <c r="H71" s="58"/>
      <c r="I71" s="61">
        <f>RSQ(G66:G72, E66:E72)</f>
        <v>0.99954191120856073</v>
      </c>
      <c r="J71" s="61">
        <f>RSQ(G66:G72, F66:F72)</f>
        <v>0.99829186455834529</v>
      </c>
      <c r="K71" s="60">
        <f>J67</f>
        <v>1.6303385413721505E-6</v>
      </c>
      <c r="L71" s="60">
        <f>J69</f>
        <v>4.2558185509681233E-5</v>
      </c>
      <c r="M71" s="60">
        <f>(C71-$O$4)*K71 + L71</f>
        <v>4.0724054650637563E-5</v>
      </c>
    </row>
    <row r="72" spans="1:26" ht="14">
      <c r="A72" s="55">
        <f t="shared" si="11"/>
        <v>0</v>
      </c>
      <c r="B72" s="55" t="s">
        <v>140</v>
      </c>
      <c r="C72" s="80">
        <v>48</v>
      </c>
      <c r="D72" s="56" t="s">
        <v>38</v>
      </c>
      <c r="E72" s="80">
        <v>4985</v>
      </c>
      <c r="F72" s="80">
        <v>12416</v>
      </c>
      <c r="G72" s="57">
        <v>0.02</v>
      </c>
      <c r="H72" s="58"/>
      <c r="I72" s="58"/>
      <c r="J72" s="58"/>
      <c r="K72" s="60">
        <f>I67</f>
        <v>4.0652798631080977E-6</v>
      </c>
      <c r="L72" s="60">
        <f>I69</f>
        <v>-1.4144694146172275E-4</v>
      </c>
      <c r="M72" s="60">
        <f>(C72-$O$5)*K72 + L72</f>
        <v>5.3686491967465952E-5</v>
      </c>
    </row>
    <row r="73" spans="1:26" ht="14">
      <c r="A73" s="55">
        <f t="shared" si="11"/>
        <v>0</v>
      </c>
      <c r="B73" s="55" t="s">
        <v>141</v>
      </c>
      <c r="C73" s="80">
        <v>50</v>
      </c>
      <c r="D73" s="56" t="s">
        <v>38</v>
      </c>
      <c r="E73" s="80">
        <v>18</v>
      </c>
      <c r="F73" s="80">
        <v>14</v>
      </c>
      <c r="G73" s="56"/>
      <c r="H73" s="58"/>
      <c r="I73" s="58"/>
      <c r="J73" s="58"/>
      <c r="K73" s="60">
        <f>I67</f>
        <v>4.0652798631080977E-6</v>
      </c>
      <c r="L73" s="60">
        <f>I69</f>
        <v>-1.4144694146172275E-4</v>
      </c>
      <c r="M73" s="60">
        <f>(C73-$O$5)*K73 + L73</f>
        <v>6.1817051693682139E-5</v>
      </c>
    </row>
    <row r="74" spans="1:26" ht="14">
      <c r="A74" s="55">
        <f>P11</f>
        <v>0</v>
      </c>
      <c r="B74" s="55" t="s">
        <v>142</v>
      </c>
      <c r="C74" s="80">
        <v>35</v>
      </c>
      <c r="D74" s="56" t="s">
        <v>35</v>
      </c>
      <c r="E74" s="80">
        <v>21</v>
      </c>
      <c r="F74" s="80">
        <v>21</v>
      </c>
      <c r="G74" s="57">
        <v>0</v>
      </c>
      <c r="H74" s="58"/>
      <c r="I74" s="62" t="s">
        <v>68</v>
      </c>
      <c r="J74" s="62" t="s">
        <v>68</v>
      </c>
      <c r="K74" s="60">
        <f>I75</f>
        <v>4.664303783903875E-6</v>
      </c>
      <c r="L74" s="60">
        <f>I77</f>
        <v>-4.98551737336244E-5</v>
      </c>
      <c r="M74" s="60">
        <f>(C74-$O$2)*K74+L74</f>
        <v>1.1339545870301122E-4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0</v>
      </c>
      <c r="B75" s="55" t="s">
        <v>143</v>
      </c>
      <c r="C75" s="80">
        <v>33</v>
      </c>
      <c r="D75" s="56" t="s">
        <v>35</v>
      </c>
      <c r="E75" s="80">
        <v>137</v>
      </c>
      <c r="F75" s="80">
        <v>338</v>
      </c>
      <c r="G75" s="57">
        <v>5.0000000000000001E-4</v>
      </c>
      <c r="H75" s="58"/>
      <c r="I75" s="58">
        <f>SLOPE(G74:G80, E74:E80)</f>
        <v>4.664303783903875E-6</v>
      </c>
      <c r="J75" s="58">
        <f>SLOPE(G74:G80, F74:F80)</f>
        <v>1.890364980894658E-6</v>
      </c>
      <c r="K75" s="60">
        <f>I75</f>
        <v>4.664303783903875E-6</v>
      </c>
      <c r="L75" s="60">
        <f>I77</f>
        <v>-4.98551737336244E-5</v>
      </c>
      <c r="M75" s="60">
        <f>(C75-$O$2)*K75+L75</f>
        <v>1.0406685113520348E-4</v>
      </c>
    </row>
    <row r="76" spans="1:26" ht="14">
      <c r="A76" s="55">
        <f t="shared" si="12"/>
        <v>0</v>
      </c>
      <c r="B76" s="55" t="s">
        <v>144</v>
      </c>
      <c r="C76" s="80">
        <v>32</v>
      </c>
      <c r="D76" s="56" t="s">
        <v>36</v>
      </c>
      <c r="E76" s="80">
        <v>241</v>
      </c>
      <c r="F76" s="80">
        <v>640</v>
      </c>
      <c r="G76" s="57">
        <v>1E-3</v>
      </c>
      <c r="H76" s="58"/>
      <c r="I76" s="62" t="s">
        <v>71</v>
      </c>
      <c r="J76" s="62" t="s">
        <v>71</v>
      </c>
      <c r="K76" s="60">
        <f>I75</f>
        <v>4.664303783903875E-6</v>
      </c>
      <c r="L76" s="60">
        <f>I77</f>
        <v>-4.98551737336244E-5</v>
      </c>
      <c r="M76" s="60">
        <f>(C76-$O$3)*K76 + L76</f>
        <v>9.9402547351299601E-5</v>
      </c>
    </row>
    <row r="77" spans="1:26" ht="14">
      <c r="A77" s="55">
        <f t="shared" si="12"/>
        <v>0</v>
      </c>
      <c r="B77" s="55" t="s">
        <v>145</v>
      </c>
      <c r="C77" s="80">
        <v>31</v>
      </c>
      <c r="D77" s="56" t="s">
        <v>36</v>
      </c>
      <c r="E77" s="80">
        <v>415</v>
      </c>
      <c r="F77" s="80">
        <v>1662</v>
      </c>
      <c r="G77" s="57">
        <v>2E-3</v>
      </c>
      <c r="H77" s="58"/>
      <c r="I77" s="58">
        <f>INTERCEPT(G74:G80, E74:E80)</f>
        <v>-4.98551737336244E-5</v>
      </c>
      <c r="J77" s="58">
        <f>INTERCEPT(G74:G80, F74:F80)</f>
        <v>-3.5148977228934963E-4</v>
      </c>
      <c r="K77" s="60">
        <f>I75</f>
        <v>4.664303783903875E-6</v>
      </c>
      <c r="L77" s="60">
        <f>I77</f>
        <v>-4.98551737336244E-5</v>
      </c>
      <c r="M77" s="60">
        <f>(C77-$O$3)*K77+ L77</f>
        <v>9.4738243567395717E-5</v>
      </c>
    </row>
    <row r="78" spans="1:26" ht="14">
      <c r="A78" s="55">
        <f t="shared" si="12"/>
        <v>0</v>
      </c>
      <c r="B78" s="55" t="s">
        <v>146</v>
      </c>
      <c r="C78" s="80">
        <v>328</v>
      </c>
      <c r="D78" s="56" t="s">
        <v>37</v>
      </c>
      <c r="E78" s="80">
        <v>1102</v>
      </c>
      <c r="F78" s="80">
        <v>2924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1.890364980894658E-6</v>
      </c>
      <c r="L78" s="60">
        <f>J77</f>
        <v>-3.5148977228934963E-4</v>
      </c>
      <c r="M78" s="60">
        <f>(C78-$O$4)*K78 + L78</f>
        <v>-3.9331409749164396E-4</v>
      </c>
    </row>
    <row r="79" spans="1:26" ht="14">
      <c r="A79" s="55">
        <f t="shared" si="12"/>
        <v>0</v>
      </c>
      <c r="B79" s="55" t="s">
        <v>147</v>
      </c>
      <c r="C79" s="80">
        <v>329</v>
      </c>
      <c r="D79" s="56" t="s">
        <v>37</v>
      </c>
      <c r="E79" s="80">
        <v>2085</v>
      </c>
      <c r="F79" s="80">
        <v>5323</v>
      </c>
      <c r="G79" s="57">
        <v>0.01</v>
      </c>
      <c r="H79" s="58"/>
      <c r="I79" s="61">
        <f>RSQ(G74:G80, E74:E80)</f>
        <v>0.99949366797940198</v>
      </c>
      <c r="J79" s="61">
        <f>RSQ(G74:G80, F74:F80)</f>
        <v>0.99716901122489976</v>
      </c>
      <c r="K79" s="60">
        <f>J75</f>
        <v>1.890364980894658E-6</v>
      </c>
      <c r="L79" s="60">
        <f>J77</f>
        <v>-3.5148977228934963E-4</v>
      </c>
      <c r="M79" s="60">
        <f>(C79-$O$4)*K79 + L79</f>
        <v>-3.9142373251074928E-4</v>
      </c>
    </row>
    <row r="80" spans="1:26" ht="14">
      <c r="A80" s="55">
        <f t="shared" si="12"/>
        <v>0</v>
      </c>
      <c r="B80" s="55" t="s">
        <v>148</v>
      </c>
      <c r="C80" s="80">
        <v>41</v>
      </c>
      <c r="D80" s="56" t="s">
        <v>38</v>
      </c>
      <c r="E80" s="80">
        <v>4328</v>
      </c>
      <c r="F80" s="80">
        <v>10760</v>
      </c>
      <c r="G80" s="57">
        <v>0.02</v>
      </c>
      <c r="H80" s="58"/>
      <c r="I80" s="58"/>
      <c r="J80" s="58"/>
      <c r="K80" s="60">
        <f>I75</f>
        <v>4.664303783903875E-6</v>
      </c>
      <c r="L80" s="60">
        <f>I77</f>
        <v>-4.98551737336244E-5</v>
      </c>
      <c r="M80" s="60">
        <f>(C80-$O$5)*K80 + L80</f>
        <v>1.4138128140643447E-4</v>
      </c>
    </row>
    <row r="81" spans="1:13" ht="14">
      <c r="A81" s="55">
        <f t="shared" si="12"/>
        <v>0</v>
      </c>
      <c r="B81" s="55" t="s">
        <v>149</v>
      </c>
      <c r="C81" s="80">
        <v>45</v>
      </c>
      <c r="D81" s="56" t="s">
        <v>38</v>
      </c>
      <c r="E81" s="80">
        <v>17</v>
      </c>
      <c r="F81" s="80">
        <v>14</v>
      </c>
      <c r="G81" s="56"/>
      <c r="H81" s="58"/>
      <c r="I81" s="58"/>
      <c r="J81" s="58"/>
      <c r="K81" s="60">
        <f>I75</f>
        <v>4.664303783903875E-6</v>
      </c>
      <c r="L81" s="60">
        <f>I77</f>
        <v>-4.98551737336244E-5</v>
      </c>
      <c r="M81" s="60">
        <f>(C81-$O$5)*K81 + L81</f>
        <v>1.6003849654204998E-4</v>
      </c>
    </row>
    <row r="82" spans="1:13" ht="14">
      <c r="A82" s="55">
        <f>P12</f>
        <v>0</v>
      </c>
      <c r="B82" s="55" t="s">
        <v>150</v>
      </c>
      <c r="C82" s="80">
        <v>32</v>
      </c>
      <c r="D82" s="56" t="s">
        <v>35</v>
      </c>
      <c r="E82" s="80">
        <v>16</v>
      </c>
      <c r="F82" s="80">
        <v>22</v>
      </c>
      <c r="G82" s="57">
        <v>0</v>
      </c>
      <c r="H82" s="58"/>
      <c r="I82" s="62" t="s">
        <v>68</v>
      </c>
      <c r="J82" s="62" t="s">
        <v>68</v>
      </c>
      <c r="K82" s="60">
        <f>I83</f>
        <v>7.9411182490263992E-6</v>
      </c>
      <c r="L82" s="60">
        <f>I85</f>
        <v>-1.7903399351802164E-4</v>
      </c>
      <c r="M82" s="60">
        <f>(C82-$O$2)*K82+L82</f>
        <v>7.5081790450823131E-5</v>
      </c>
    </row>
    <row r="83" spans="1:13" ht="14">
      <c r="A83" s="55">
        <f t="shared" ref="A83:A89" si="13">A82</f>
        <v>0</v>
      </c>
      <c r="B83" s="55" t="s">
        <v>151</v>
      </c>
      <c r="C83" s="80">
        <v>36</v>
      </c>
      <c r="D83" s="56" t="s">
        <v>35</v>
      </c>
      <c r="E83" s="80">
        <v>87</v>
      </c>
      <c r="F83" s="80">
        <v>370</v>
      </c>
      <c r="G83" s="57">
        <v>5.0000000000000001E-4</v>
      </c>
      <c r="H83" s="58"/>
      <c r="I83" s="58">
        <f>SLOPE(G82:G88, E82:E88)</f>
        <v>7.9411182490263992E-6</v>
      </c>
      <c r="J83" s="58">
        <f>SLOPE(G82:G88, F82:F88)</f>
        <v>1.5370972339892605E-6</v>
      </c>
      <c r="K83" s="60">
        <f>I83</f>
        <v>7.9411182490263992E-6</v>
      </c>
      <c r="L83" s="60">
        <f>I85</f>
        <v>-1.7903399351802164E-4</v>
      </c>
      <c r="M83" s="60">
        <f>(C83-$O$2)*K83+L83</f>
        <v>1.0684626344692873E-4</v>
      </c>
    </row>
    <row r="84" spans="1:13" ht="14">
      <c r="A84" s="55">
        <f t="shared" si="13"/>
        <v>0</v>
      </c>
      <c r="B84" s="55" t="s">
        <v>152</v>
      </c>
      <c r="C84" s="80">
        <v>38</v>
      </c>
      <c r="D84" s="56" t="s">
        <v>36</v>
      </c>
      <c r="E84" s="80">
        <v>157</v>
      </c>
      <c r="F84" s="80">
        <v>692</v>
      </c>
      <c r="G84" s="57">
        <v>1E-3</v>
      </c>
      <c r="H84" s="58"/>
      <c r="I84" s="62" t="s">
        <v>71</v>
      </c>
      <c r="J84" s="62" t="s">
        <v>71</v>
      </c>
      <c r="K84" s="60">
        <f>I83</f>
        <v>7.9411182490263992E-6</v>
      </c>
      <c r="L84" s="60">
        <f>I85</f>
        <v>-1.7903399351802164E-4</v>
      </c>
      <c r="M84" s="60">
        <f>(C84-$O$3)*K84 + L84</f>
        <v>1.2272849994498153E-4</v>
      </c>
    </row>
    <row r="85" spans="1:13" ht="14">
      <c r="A85" s="55">
        <f t="shared" si="13"/>
        <v>0</v>
      </c>
      <c r="B85" s="55" t="s">
        <v>153</v>
      </c>
      <c r="C85" s="80">
        <v>35</v>
      </c>
      <c r="D85" s="56" t="s">
        <v>36</v>
      </c>
      <c r="E85" s="80">
        <v>292</v>
      </c>
      <c r="F85" s="80">
        <v>1313</v>
      </c>
      <c r="G85" s="57">
        <v>2E-3</v>
      </c>
      <c r="H85" s="58"/>
      <c r="I85" s="58">
        <f>INTERCEPT(G82:G88, E82:E88)</f>
        <v>-1.7903399351802164E-4</v>
      </c>
      <c r="J85" s="58">
        <f>INTERCEPT(G82:G88, F82:F88)</f>
        <v>1.3399355614349216E-4</v>
      </c>
      <c r="K85" s="60">
        <f>I83</f>
        <v>7.9411182490263992E-6</v>
      </c>
      <c r="L85" s="60">
        <f>I85</f>
        <v>-1.7903399351802164E-4</v>
      </c>
      <c r="M85" s="60">
        <f>(C85-$O$3)*K85+ L85</f>
        <v>9.8905145197902356E-5</v>
      </c>
    </row>
    <row r="86" spans="1:13" ht="14">
      <c r="A86" s="55">
        <f t="shared" si="13"/>
        <v>0</v>
      </c>
      <c r="B86" s="55" t="s">
        <v>154</v>
      </c>
      <c r="C86" s="80">
        <v>364</v>
      </c>
      <c r="D86" s="56" t="s">
        <v>37</v>
      </c>
      <c r="E86" s="80">
        <v>700</v>
      </c>
      <c r="F86" s="80">
        <v>3129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1.5370972339892605E-6</v>
      </c>
      <c r="L86" s="60">
        <f>J85</f>
        <v>1.3399355614349216E-4</v>
      </c>
      <c r="M86" s="60">
        <f>(C86-$O$4)*K86 + L86</f>
        <v>1.5532078026509315E-4</v>
      </c>
    </row>
    <row r="87" spans="1:13" ht="14">
      <c r="A87" s="55">
        <f t="shared" si="13"/>
        <v>0</v>
      </c>
      <c r="B87" s="55" t="s">
        <v>155</v>
      </c>
      <c r="C87" s="80">
        <v>369</v>
      </c>
      <c r="D87" s="56" t="s">
        <v>37</v>
      </c>
      <c r="E87" s="80">
        <v>1183</v>
      </c>
      <c r="F87" s="80">
        <v>5682</v>
      </c>
      <c r="G87" s="57">
        <v>0.01</v>
      </c>
      <c r="H87" s="58"/>
      <c r="I87" s="61">
        <f>RSQ(G82:G88, E82:E88)</f>
        <v>0.99735209305629324</v>
      </c>
      <c r="J87" s="61">
        <f>RSQ(G82:G88, F82:F88)</f>
        <v>0.99486386421381201</v>
      </c>
      <c r="K87" s="60">
        <f>J83</f>
        <v>1.5370972339892605E-6</v>
      </c>
      <c r="L87" s="60">
        <f>J85</f>
        <v>1.3399355614349216E-4</v>
      </c>
      <c r="M87" s="60">
        <f>(C87-$O$4)*K87 + L87</f>
        <v>1.6300626643503944E-4</v>
      </c>
    </row>
    <row r="88" spans="1:13" ht="14">
      <c r="A88" s="55">
        <f t="shared" si="13"/>
        <v>0</v>
      </c>
      <c r="B88" s="55" t="s">
        <v>156</v>
      </c>
      <c r="C88" s="80">
        <v>44</v>
      </c>
      <c r="D88" s="56" t="s">
        <v>38</v>
      </c>
      <c r="E88" s="80">
        <v>2571</v>
      </c>
      <c r="F88" s="80">
        <v>13229</v>
      </c>
      <c r="G88" s="57">
        <v>0.02</v>
      </c>
      <c r="H88" s="58"/>
      <c r="I88" s="58"/>
      <c r="J88" s="58"/>
      <c r="K88" s="60">
        <f>I83</f>
        <v>7.9411182490263992E-6</v>
      </c>
      <c r="L88" s="60">
        <f>I85</f>
        <v>-1.7903399351802164E-4</v>
      </c>
      <c r="M88" s="60">
        <f>(C88-$O$5)*K88 + L88</f>
        <v>1.7037520943913992E-4</v>
      </c>
    </row>
    <row r="89" spans="1:13" ht="14">
      <c r="A89" s="55">
        <f t="shared" si="13"/>
        <v>0</v>
      </c>
      <c r="B89" s="55" t="s">
        <v>157</v>
      </c>
      <c r="C89" s="80">
        <v>49</v>
      </c>
      <c r="D89" s="56" t="s">
        <v>38</v>
      </c>
      <c r="E89" s="80">
        <v>17</v>
      </c>
      <c r="F89" s="80">
        <v>15</v>
      </c>
      <c r="G89" s="56"/>
      <c r="H89" s="58"/>
      <c r="I89" s="58"/>
      <c r="J89" s="58"/>
      <c r="K89" s="60">
        <f>I83</f>
        <v>7.9411182490263992E-6</v>
      </c>
      <c r="L89" s="60">
        <f>I85</f>
        <v>-1.7903399351802164E-4</v>
      </c>
      <c r="M89" s="60">
        <f>(C89-$O$5)*K89 + L89</f>
        <v>2.1008080068427189E-4</v>
      </c>
    </row>
    <row r="90" spans="1:13" ht="14">
      <c r="A90" s="55" t="e">
        <f>P13</f>
        <v>#REF!</v>
      </c>
      <c r="B90" s="55" t="s">
        <v>158</v>
      </c>
      <c r="C90" s="80">
        <v>32</v>
      </c>
      <c r="D90" s="56" t="s">
        <v>35</v>
      </c>
      <c r="E90" s="80">
        <v>19</v>
      </c>
      <c r="F90" s="80">
        <v>25</v>
      </c>
      <c r="G90" s="57">
        <v>0</v>
      </c>
      <c r="H90" s="58"/>
      <c r="I90" s="62" t="s">
        <v>68</v>
      </c>
      <c r="J90" s="62" t="s">
        <v>68</v>
      </c>
      <c r="K90" s="60">
        <f>I91</f>
        <v>8.3778964896027844E-6</v>
      </c>
      <c r="L90" s="60">
        <f>I93</f>
        <v>-2.6997699662500204E-4</v>
      </c>
      <c r="M90" s="60">
        <f>(C90-$O$2)*K90+L90</f>
        <v>-1.8843089577129401E-6</v>
      </c>
    </row>
    <row r="91" spans="1:13" ht="14">
      <c r="A91" s="55" t="e">
        <f t="shared" ref="A91:A97" si="14">A90</f>
        <v>#REF!</v>
      </c>
      <c r="B91" s="55" t="s">
        <v>159</v>
      </c>
      <c r="C91" s="80">
        <v>36</v>
      </c>
      <c r="D91" s="56" t="s">
        <v>35</v>
      </c>
      <c r="E91" s="80">
        <v>89</v>
      </c>
      <c r="F91" s="80">
        <v>262</v>
      </c>
      <c r="G91" s="57">
        <v>5.0000000000000001E-4</v>
      </c>
      <c r="H91" s="58"/>
      <c r="I91" s="58">
        <f>SLOPE(G90:G96, E90:E96)</f>
        <v>8.3778964896027844E-6</v>
      </c>
      <c r="J91" s="58">
        <f>SLOPE(G90:G96, F90:F96)</f>
        <v>1.7226616473112181E-6</v>
      </c>
      <c r="K91" s="60">
        <f>I91</f>
        <v>8.3778964896027844E-6</v>
      </c>
      <c r="L91" s="60">
        <f>I93</f>
        <v>-2.6997699662500204E-4</v>
      </c>
      <c r="M91" s="60">
        <f>(C91-$O$2)*K91+L91</f>
        <v>3.1627277000698204E-5</v>
      </c>
    </row>
    <row r="92" spans="1:13" ht="14">
      <c r="A92" s="55" t="e">
        <f t="shared" si="14"/>
        <v>#REF!</v>
      </c>
      <c r="B92" s="55" t="s">
        <v>160</v>
      </c>
      <c r="C92" s="80">
        <v>29</v>
      </c>
      <c r="D92" s="56" t="s">
        <v>36</v>
      </c>
      <c r="E92" s="80">
        <v>160</v>
      </c>
      <c r="F92" s="80">
        <v>542</v>
      </c>
      <c r="G92" s="57">
        <v>1E-3</v>
      </c>
      <c r="H92" s="58"/>
      <c r="I92" s="62" t="s">
        <v>71</v>
      </c>
      <c r="J92" s="62" t="s">
        <v>71</v>
      </c>
      <c r="K92" s="60">
        <f>I91</f>
        <v>8.3778964896027844E-6</v>
      </c>
      <c r="L92" s="60">
        <f>I93</f>
        <v>-2.6997699662500204E-4</v>
      </c>
      <c r="M92" s="60">
        <f>(C92-$O$3)*K92 + L92</f>
        <v>-2.7017998426521285E-5</v>
      </c>
    </row>
    <row r="93" spans="1:13" ht="14">
      <c r="A93" s="55" t="e">
        <f t="shared" si="14"/>
        <v>#REF!</v>
      </c>
      <c r="B93" s="55" t="s">
        <v>161</v>
      </c>
      <c r="C93" s="80">
        <v>36</v>
      </c>
      <c r="D93" s="56" t="s">
        <v>36</v>
      </c>
      <c r="E93" s="80">
        <v>294</v>
      </c>
      <c r="F93" s="80">
        <v>988</v>
      </c>
      <c r="G93" s="57">
        <v>2E-3</v>
      </c>
      <c r="H93" s="58"/>
      <c r="I93" s="58">
        <f>INTERCEPT(G90:G96, E90:E96)</f>
        <v>-2.6997699662500204E-4</v>
      </c>
      <c r="J93" s="58">
        <f>INTERCEPT(G90:G96, F90:F96)</f>
        <v>-3.3681400205720809E-5</v>
      </c>
      <c r="K93" s="60">
        <f>I91</f>
        <v>8.3778964896027844E-6</v>
      </c>
      <c r="L93" s="60">
        <f>I93</f>
        <v>-2.6997699662500204E-4</v>
      </c>
      <c r="M93" s="60">
        <f>(C93-$O$3)*K93+ L93</f>
        <v>3.1627277000698204E-5</v>
      </c>
    </row>
    <row r="94" spans="1:13" ht="14">
      <c r="A94" s="55" t="e">
        <f t="shared" si="14"/>
        <v>#REF!</v>
      </c>
      <c r="B94" s="55" t="s">
        <v>162</v>
      </c>
      <c r="C94" s="80">
        <v>345</v>
      </c>
      <c r="D94" s="56" t="s">
        <v>37</v>
      </c>
      <c r="E94" s="80">
        <v>652</v>
      </c>
      <c r="F94" s="80">
        <v>3449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1.7226616473112181E-6</v>
      </c>
      <c r="L94" s="60">
        <f>J93</f>
        <v>-3.3681400205720809E-5</v>
      </c>
      <c r="M94" s="60">
        <f>(C94-$O$4)*K94 + L94</f>
        <v>-4.2510041148190803E-5</v>
      </c>
    </row>
    <row r="95" spans="1:13" ht="14">
      <c r="A95" s="55" t="e">
        <f t="shared" si="14"/>
        <v>#REF!</v>
      </c>
      <c r="B95" s="55" t="s">
        <v>163</v>
      </c>
      <c r="C95" s="80">
        <v>339</v>
      </c>
      <c r="D95" s="56" t="s">
        <v>37</v>
      </c>
      <c r="E95" s="80">
        <v>1170</v>
      </c>
      <c r="F95" s="80">
        <v>5635</v>
      </c>
      <c r="G95" s="57">
        <v>0.01</v>
      </c>
      <c r="H95" s="58"/>
      <c r="I95" s="61">
        <f>RSQ(G90:G96, E90:E96)</f>
        <v>0.99895565144629472</v>
      </c>
      <c r="J95" s="61">
        <f>RSQ(G90:G96, F90:F96)</f>
        <v>0.99666117554689304</v>
      </c>
      <c r="K95" s="60">
        <f>J91</f>
        <v>1.7226616473112181E-6</v>
      </c>
      <c r="L95" s="60">
        <f>J93</f>
        <v>-3.3681400205720809E-5</v>
      </c>
      <c r="M95" s="60">
        <f>(C95-$O$4)*K95 + L95</f>
        <v>-5.2846011032058109E-5</v>
      </c>
    </row>
    <row r="96" spans="1:13" ht="14">
      <c r="A96" s="55" t="e">
        <f t="shared" si="14"/>
        <v>#REF!</v>
      </c>
      <c r="B96" s="55" t="s">
        <v>164</v>
      </c>
      <c r="C96" s="80">
        <v>44</v>
      </c>
      <c r="D96" s="56" t="s">
        <v>38</v>
      </c>
      <c r="E96" s="80">
        <v>2437</v>
      </c>
      <c r="F96" s="80">
        <v>11585</v>
      </c>
      <c r="G96" s="57">
        <v>0.02</v>
      </c>
      <c r="I96" s="58"/>
      <c r="J96" s="58"/>
      <c r="K96" s="60">
        <f>I91</f>
        <v>8.3778964896027844E-6</v>
      </c>
      <c r="L96" s="60">
        <f>I93</f>
        <v>-2.6997699662500204E-4</v>
      </c>
      <c r="M96" s="60">
        <f>(C96-$O$5)*K96 + L96</f>
        <v>9.8650448917520493E-5</v>
      </c>
    </row>
    <row r="97" spans="1:13" ht="14">
      <c r="A97" s="55" t="e">
        <f t="shared" si="14"/>
        <v>#REF!</v>
      </c>
      <c r="B97" s="55" t="s">
        <v>165</v>
      </c>
      <c r="C97" s="80">
        <v>40</v>
      </c>
      <c r="D97" s="56" t="s">
        <v>38</v>
      </c>
      <c r="E97" s="80">
        <v>17</v>
      </c>
      <c r="F97" s="80">
        <v>15</v>
      </c>
      <c r="G97" s="56"/>
      <c r="I97" s="58"/>
      <c r="J97" s="58"/>
      <c r="K97" s="60">
        <f>I91</f>
        <v>8.3778964896027844E-6</v>
      </c>
      <c r="L97" s="60">
        <f>I93</f>
        <v>-2.6997699662500204E-4</v>
      </c>
      <c r="M97" s="60">
        <f>(C97-$O$5)*K97 + L97</f>
        <v>6.5138862959109348E-5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1115.5</v>
      </c>
      <c r="D100" s="56" t="s">
        <v>35</v>
      </c>
      <c r="I100" s="58"/>
      <c r="J100" s="58"/>
    </row>
    <row r="101" spans="1:13" ht="14">
      <c r="C101" s="63">
        <f t="shared" si="15"/>
        <v>1124.6666666666667</v>
      </c>
      <c r="D101" s="56" t="s">
        <v>35</v>
      </c>
      <c r="I101" s="58"/>
      <c r="J101" s="58"/>
    </row>
    <row r="102" spans="1:13" ht="14">
      <c r="C102" s="63">
        <f t="shared" si="15"/>
        <v>462.58333333333331</v>
      </c>
      <c r="D102" s="56" t="s">
        <v>36</v>
      </c>
      <c r="I102" s="58"/>
      <c r="J102" s="58"/>
    </row>
    <row r="103" spans="1:13" ht="14">
      <c r="C103" s="63">
        <f t="shared" si="15"/>
        <v>441.5</v>
      </c>
      <c r="D103" s="56" t="s">
        <v>36</v>
      </c>
      <c r="I103" s="58"/>
      <c r="J103" s="58"/>
    </row>
    <row r="104" spans="1:13" ht="14">
      <c r="C104" s="63">
        <f t="shared" si="15"/>
        <v>4061</v>
      </c>
      <c r="D104" s="56" t="s">
        <v>37</v>
      </c>
      <c r="I104" s="58"/>
      <c r="J104" s="58"/>
    </row>
    <row r="105" spans="1:13" ht="14">
      <c r="C105" s="63">
        <f t="shared" si="15"/>
        <v>3958.8333333333335</v>
      </c>
      <c r="D105" s="56" t="s">
        <v>37</v>
      </c>
      <c r="I105" s="58"/>
      <c r="J105" s="58"/>
    </row>
    <row r="106" spans="1:13" ht="14">
      <c r="C106" s="63">
        <f t="shared" si="15"/>
        <v>236.08333333333334</v>
      </c>
      <c r="D106" s="56" t="s">
        <v>38</v>
      </c>
      <c r="I106" s="58"/>
      <c r="J106" s="58"/>
    </row>
    <row r="107" spans="1:13" ht="14">
      <c r="C107" s="63">
        <f t="shared" si="15"/>
        <v>239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0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B64A-8B56-6C42-A4F4-C99DCF186CD6}">
  <dimension ref="A1:AN221"/>
  <sheetViews>
    <sheetView zoomScale="10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7" sqref="E177"/>
    </sheetView>
  </sheetViews>
  <sheetFormatPr baseColWidth="10" defaultRowHeight="15"/>
  <cols>
    <col min="15" max="15" width="12.1640625" customWidth="1"/>
    <col min="16" max="16" width="13.1640625" customWidth="1"/>
    <col min="17" max="17" width="13.6640625" bestFit="1" customWidth="1"/>
    <col min="18" max="20" width="12.6640625" bestFit="1" customWidth="1"/>
    <col min="21" max="32" width="12.6640625" customWidth="1"/>
  </cols>
  <sheetData>
    <row r="1" spans="1:20" s="5" customFormat="1" ht="64">
      <c r="A1" s="5" t="s">
        <v>13</v>
      </c>
      <c r="B1" s="5" t="s">
        <v>9</v>
      </c>
      <c r="C1" s="12" t="s">
        <v>10</v>
      </c>
      <c r="D1" s="5" t="s">
        <v>14</v>
      </c>
      <c r="E1" s="5" t="s">
        <v>15</v>
      </c>
      <c r="F1" s="2" t="s">
        <v>11</v>
      </c>
      <c r="G1" s="2" t="s">
        <v>12</v>
      </c>
      <c r="H1" s="9" t="s">
        <v>16</v>
      </c>
      <c r="I1" s="8" t="s">
        <v>17</v>
      </c>
      <c r="J1" s="9" t="s">
        <v>182</v>
      </c>
      <c r="K1" s="9" t="s">
        <v>0</v>
      </c>
      <c r="L1" s="9" t="s">
        <v>183</v>
      </c>
      <c r="M1" s="9" t="s">
        <v>180</v>
      </c>
      <c r="N1" s="5" t="s">
        <v>181</v>
      </c>
      <c r="O1" s="5" t="s">
        <v>193</v>
      </c>
      <c r="P1" s="5" t="s">
        <v>194</v>
      </c>
      <c r="Q1" s="5" t="str">
        <f>'enz raw 1'!W1</f>
        <v>BG nmols/g/h</v>
      </c>
      <c r="R1" s="5" t="str">
        <f>'enz raw 1'!X1</f>
        <v>CB nmols/g/h</v>
      </c>
      <c r="S1" s="5" t="str">
        <f>'enz raw 1'!Y1</f>
        <v>LAP nmols/g/h</v>
      </c>
      <c r="T1" s="5" t="str">
        <f>'enz raw 1'!Z1</f>
        <v>XYL nmols/g/h</v>
      </c>
    </row>
    <row r="2" spans="1:20">
      <c r="A2">
        <v>1</v>
      </c>
      <c r="B2">
        <v>9.3699999999999992</v>
      </c>
      <c r="C2" s="11">
        <v>50</v>
      </c>
      <c r="D2">
        <v>0</v>
      </c>
      <c r="E2">
        <v>72.23</v>
      </c>
      <c r="F2">
        <f t="shared" ref="F2:F33" si="0">E2-D2-B2-C2</f>
        <v>12.860000000000007</v>
      </c>
      <c r="G2" s="7">
        <f t="shared" ref="G2:G33" si="1">F2/(F2+C2)</f>
        <v>0.20458160992682159</v>
      </c>
      <c r="H2">
        <v>2.8</v>
      </c>
      <c r="I2" s="6">
        <f t="shared" ref="I2:I33" si="2">H2-(H2*G2)</f>
        <v>2.2271714922048993</v>
      </c>
      <c r="J2" t="s">
        <v>1</v>
      </c>
      <c r="K2" t="s">
        <v>2</v>
      </c>
      <c r="L2" t="s">
        <v>184</v>
      </c>
      <c r="M2">
        <v>6.1</v>
      </c>
      <c r="N2" s="71">
        <v>5.7841666666666711</v>
      </c>
      <c r="O2">
        <v>1</v>
      </c>
      <c r="P2">
        <v>1</v>
      </c>
      <c r="Q2" s="6">
        <f>'enz raw 1'!W2</f>
        <v>86.648824168713901</v>
      </c>
      <c r="R2" s="6">
        <f>'enz raw 1'!X2</f>
        <v>36.189523912366347</v>
      </c>
      <c r="S2" s="6">
        <f>'enz raw 1'!Y2</f>
        <v>38.716026469327765</v>
      </c>
      <c r="T2" s="6">
        <f>'enz raw 1'!Z2</f>
        <v>20.145231303034855</v>
      </c>
    </row>
    <row r="3" spans="1:20">
      <c r="A3">
        <v>2</v>
      </c>
      <c r="B3">
        <v>9.67</v>
      </c>
      <c r="C3" s="11">
        <v>50</v>
      </c>
      <c r="D3">
        <v>1</v>
      </c>
      <c r="E3">
        <v>73.73</v>
      </c>
      <c r="F3">
        <f t="shared" si="0"/>
        <v>13.060000000000002</v>
      </c>
      <c r="G3" s="7">
        <f t="shared" si="1"/>
        <v>0.20710434506818906</v>
      </c>
      <c r="H3">
        <v>2.68</v>
      </c>
      <c r="I3" s="6">
        <f t="shared" si="2"/>
        <v>2.1249603552172536</v>
      </c>
      <c r="J3" t="s">
        <v>3</v>
      </c>
      <c r="K3" t="s">
        <v>2</v>
      </c>
      <c r="L3" t="s">
        <v>184</v>
      </c>
      <c r="M3">
        <v>6.13</v>
      </c>
      <c r="N3" s="71">
        <v>5.7841666666666711</v>
      </c>
      <c r="O3">
        <v>1</v>
      </c>
      <c r="P3">
        <v>2</v>
      </c>
      <c r="Q3" s="6">
        <f>'enz raw 1'!W3</f>
        <v>98.462157945650802</v>
      </c>
      <c r="R3" s="6">
        <f>'enz raw 1'!X3</f>
        <v>36.158960734979487</v>
      </c>
      <c r="S3" s="6">
        <f>'enz raw 1'!Y3</f>
        <v>38.137388801520807</v>
      </c>
      <c r="T3" s="6">
        <f>'enz raw 1'!Z3</f>
        <v>16.95704942534136</v>
      </c>
    </row>
    <row r="4" spans="1:20">
      <c r="A4">
        <v>3</v>
      </c>
      <c r="B4">
        <v>9.42</v>
      </c>
      <c r="C4" s="11">
        <v>50</v>
      </c>
      <c r="D4">
        <v>1</v>
      </c>
      <c r="E4">
        <v>73.47</v>
      </c>
      <c r="F4">
        <f t="shared" si="0"/>
        <v>13.049999999999997</v>
      </c>
      <c r="G4" s="7">
        <f t="shared" si="1"/>
        <v>0.20697858842188735</v>
      </c>
      <c r="H4">
        <v>2.82</v>
      </c>
      <c r="I4" s="6">
        <f t="shared" si="2"/>
        <v>2.2363203806502776</v>
      </c>
      <c r="J4" t="s">
        <v>4</v>
      </c>
      <c r="K4" t="s">
        <v>2</v>
      </c>
      <c r="L4" t="s">
        <v>184</v>
      </c>
      <c r="M4">
        <v>6.33</v>
      </c>
      <c r="N4" s="71">
        <v>5.7841666666666711</v>
      </c>
      <c r="O4">
        <v>1</v>
      </c>
      <c r="P4">
        <v>3</v>
      </c>
      <c r="Q4" s="6">
        <f>'enz raw 1'!W4</f>
        <v>92.697375523257662</v>
      </c>
      <c r="R4" s="6">
        <f>'enz raw 1'!X4</f>
        <v>35.816602837258145</v>
      </c>
      <c r="S4" s="6">
        <f>'enz raw 1'!Y4</f>
        <v>37.752103053232105</v>
      </c>
      <c r="T4" s="6">
        <f>'enz raw 1'!Z4</f>
        <v>16.306047562377049</v>
      </c>
    </row>
    <row r="5" spans="1:20">
      <c r="A5">
        <v>5</v>
      </c>
      <c r="B5">
        <v>9.7899999999999991</v>
      </c>
      <c r="C5" s="11">
        <v>50</v>
      </c>
      <c r="D5">
        <v>1</v>
      </c>
      <c r="E5">
        <v>73.81</v>
      </c>
      <c r="F5">
        <f t="shared" si="0"/>
        <v>13.020000000000003</v>
      </c>
      <c r="G5" s="7">
        <f t="shared" si="1"/>
        <v>0.20660107902253258</v>
      </c>
      <c r="H5">
        <v>2.75</v>
      </c>
      <c r="I5" s="6">
        <f t="shared" si="2"/>
        <v>2.1818470326880353</v>
      </c>
      <c r="J5" t="s">
        <v>6</v>
      </c>
      <c r="K5" t="s">
        <v>2</v>
      </c>
      <c r="L5" t="s">
        <v>184</v>
      </c>
      <c r="M5">
        <v>6.12</v>
      </c>
      <c r="N5" s="71">
        <v>5.7841666666666711</v>
      </c>
      <c r="O5">
        <v>1</v>
      </c>
      <c r="P5">
        <v>4</v>
      </c>
      <c r="Q5" s="6">
        <f>'enz raw 1'!W5</f>
        <v>102.33583775096908</v>
      </c>
      <c r="R5" s="6">
        <f>'enz raw 1'!X5</f>
        <v>36.376982298828764</v>
      </c>
      <c r="S5" s="6">
        <f>'enz raw 1'!Y5</f>
        <v>40.197597816725938</v>
      </c>
      <c r="T5" s="6">
        <f>'enz raw 1'!Z5</f>
        <v>17.473644881425699</v>
      </c>
    </row>
    <row r="6" spans="1:20">
      <c r="A6">
        <v>6</v>
      </c>
      <c r="B6">
        <v>9.2799999999999994</v>
      </c>
      <c r="C6" s="11">
        <v>50</v>
      </c>
      <c r="D6">
        <v>0</v>
      </c>
      <c r="E6">
        <v>72.819999999999993</v>
      </c>
      <c r="F6">
        <f t="shared" si="0"/>
        <v>13.539999999999992</v>
      </c>
      <c r="G6" s="7">
        <f t="shared" si="1"/>
        <v>0.21309411394397221</v>
      </c>
      <c r="H6">
        <v>2.72</v>
      </c>
      <c r="I6" s="6">
        <f t="shared" si="2"/>
        <v>2.1403840100723959</v>
      </c>
      <c r="J6" t="s">
        <v>1</v>
      </c>
      <c r="K6" t="s">
        <v>2</v>
      </c>
      <c r="L6" t="s">
        <v>184</v>
      </c>
      <c r="M6">
        <v>6.13</v>
      </c>
      <c r="N6" s="71">
        <v>5.7841666666666711</v>
      </c>
      <c r="O6">
        <v>1</v>
      </c>
      <c r="P6">
        <v>5</v>
      </c>
      <c r="Q6" s="6">
        <f>'enz raw 1'!W6</f>
        <v>99.756959927978201</v>
      </c>
      <c r="R6" s="6">
        <f>'enz raw 1'!X6</f>
        <v>41.198868939411454</v>
      </c>
      <c r="S6" s="6">
        <f>'enz raw 1'!Y6</f>
        <v>47.762895553263832</v>
      </c>
      <c r="T6" s="6">
        <f>'enz raw 1'!Z6</f>
        <v>22.126112520524309</v>
      </c>
    </row>
    <row r="7" spans="1:20">
      <c r="A7">
        <v>7</v>
      </c>
      <c r="B7">
        <v>9.52</v>
      </c>
      <c r="C7" s="11">
        <v>50</v>
      </c>
      <c r="D7">
        <v>1</v>
      </c>
      <c r="E7">
        <v>73.63</v>
      </c>
      <c r="F7">
        <f t="shared" si="0"/>
        <v>13.11</v>
      </c>
      <c r="G7" s="7">
        <f t="shared" si="1"/>
        <v>0.20773253050229756</v>
      </c>
      <c r="H7">
        <v>2.72</v>
      </c>
      <c r="I7" s="6">
        <f t="shared" si="2"/>
        <v>2.154967517033751</v>
      </c>
      <c r="J7" t="s">
        <v>3</v>
      </c>
      <c r="K7" t="s">
        <v>2</v>
      </c>
      <c r="L7" t="s">
        <v>184</v>
      </c>
      <c r="M7">
        <v>6.14</v>
      </c>
      <c r="N7" s="71">
        <v>5.7841666666666711</v>
      </c>
      <c r="O7">
        <v>1</v>
      </c>
      <c r="P7">
        <v>6</v>
      </c>
      <c r="Q7" s="6">
        <f>'enz raw 1'!W7</f>
        <v>101.72937354666037</v>
      </c>
      <c r="R7" s="6">
        <f>'enz raw 1'!X7</f>
        <v>40.892186101868319</v>
      </c>
      <c r="S7" s="6">
        <f>'enz raw 1'!Y7</f>
        <v>45.777243203151428</v>
      </c>
      <c r="T7" s="6">
        <f>'enz raw 1'!Z7</f>
        <v>19.938020387849036</v>
      </c>
    </row>
    <row r="8" spans="1:20">
      <c r="A8">
        <v>8</v>
      </c>
      <c r="B8">
        <v>9.59</v>
      </c>
      <c r="C8" s="11">
        <v>50</v>
      </c>
      <c r="D8">
        <v>1</v>
      </c>
      <c r="E8">
        <v>73.64</v>
      </c>
      <c r="F8">
        <f t="shared" si="0"/>
        <v>13.049999999999997</v>
      </c>
      <c r="G8" s="7">
        <f t="shared" si="1"/>
        <v>0.20697858842188735</v>
      </c>
      <c r="H8">
        <v>2.77</v>
      </c>
      <c r="I8" s="6">
        <f t="shared" si="2"/>
        <v>2.1966693100713721</v>
      </c>
      <c r="J8" t="s">
        <v>4</v>
      </c>
      <c r="K8" t="s">
        <v>2</v>
      </c>
      <c r="L8" t="s">
        <v>184</v>
      </c>
      <c r="M8">
        <v>6.3</v>
      </c>
      <c r="N8" s="71">
        <v>5.7841666666666711</v>
      </c>
      <c r="O8">
        <v>1</v>
      </c>
      <c r="P8">
        <v>7</v>
      </c>
      <c r="Q8" s="6">
        <f>'enz raw 1'!W8</f>
        <v>96.743122434844707</v>
      </c>
      <c r="R8" s="6">
        <f>'enz raw 1'!X8</f>
        <v>41.586204925634199</v>
      </c>
      <c r="S8" s="6">
        <f>'enz raw 1'!Y8</f>
        <v>44.642827341054613</v>
      </c>
      <c r="T8" s="6">
        <f>'enz raw 1'!Z8</f>
        <v>19.999723282057374</v>
      </c>
    </row>
    <row r="9" spans="1:20">
      <c r="A9">
        <v>10</v>
      </c>
      <c r="B9">
        <v>9.2899999999999991</v>
      </c>
      <c r="C9" s="11">
        <v>50</v>
      </c>
      <c r="D9">
        <v>1</v>
      </c>
      <c r="E9">
        <v>73.349999999999994</v>
      </c>
      <c r="F9">
        <f t="shared" si="0"/>
        <v>13.059999999999995</v>
      </c>
      <c r="G9" s="7">
        <f t="shared" si="1"/>
        <v>0.20710434506818898</v>
      </c>
      <c r="H9">
        <v>2.69</v>
      </c>
      <c r="I9" s="6">
        <f t="shared" si="2"/>
        <v>2.1328893117665717</v>
      </c>
      <c r="J9" t="s">
        <v>6</v>
      </c>
      <c r="K9" t="s">
        <v>2</v>
      </c>
      <c r="L9" t="s">
        <v>184</v>
      </c>
      <c r="M9">
        <v>6.1</v>
      </c>
      <c r="N9" s="71">
        <v>5.7841666666666711</v>
      </c>
      <c r="O9">
        <v>1</v>
      </c>
      <c r="P9">
        <v>8</v>
      </c>
      <c r="Q9" s="6">
        <f>'enz raw 1'!W9</f>
        <v>110.95271765907577</v>
      </c>
      <c r="R9" s="6">
        <f>'enz raw 1'!X9</f>
        <v>43.475318371546393</v>
      </c>
      <c r="S9" s="6">
        <f>'enz raw 1'!Y9</f>
        <v>46.143869275256158</v>
      </c>
      <c r="T9" s="6">
        <f>'enz raw 1'!Z9</f>
        <v>20.153636590142227</v>
      </c>
    </row>
    <row r="10" spans="1:20">
      <c r="A10">
        <v>11</v>
      </c>
      <c r="B10">
        <v>9.66</v>
      </c>
      <c r="C10" s="11">
        <v>50</v>
      </c>
      <c r="D10">
        <v>0</v>
      </c>
      <c r="E10">
        <v>71.569999999999993</v>
      </c>
      <c r="F10">
        <f t="shared" si="0"/>
        <v>11.909999999999997</v>
      </c>
      <c r="G10" s="7">
        <f t="shared" si="1"/>
        <v>0.19237602972056206</v>
      </c>
      <c r="H10">
        <v>2.78</v>
      </c>
      <c r="I10" s="6">
        <f t="shared" si="2"/>
        <v>2.2451946373768372</v>
      </c>
      <c r="J10" t="s">
        <v>1</v>
      </c>
      <c r="K10" t="s">
        <v>2</v>
      </c>
      <c r="L10" t="s">
        <v>184</v>
      </c>
      <c r="M10">
        <v>6.11</v>
      </c>
      <c r="N10" s="71">
        <v>5.7841666666666711</v>
      </c>
      <c r="O10">
        <v>1</v>
      </c>
      <c r="P10">
        <v>9</v>
      </c>
      <c r="Q10" s="6">
        <f>'enz raw 1'!W10</f>
        <v>107.11191420825165</v>
      </c>
      <c r="R10" s="6">
        <f>'enz raw 1'!X10</f>
        <v>43.629910511727452</v>
      </c>
      <c r="S10" s="6">
        <f>'enz raw 1'!Y10</f>
        <v>41.077679748881209</v>
      </c>
      <c r="T10" s="6">
        <f>'enz raw 1'!Z10</f>
        <v>19.689358721305524</v>
      </c>
    </row>
    <row r="11" spans="1:20">
      <c r="A11">
        <v>12</v>
      </c>
      <c r="B11">
        <v>9.57</v>
      </c>
      <c r="C11" s="11">
        <v>50</v>
      </c>
      <c r="D11">
        <v>1</v>
      </c>
      <c r="E11">
        <v>72.58</v>
      </c>
      <c r="F11">
        <f t="shared" si="0"/>
        <v>12.009999999999998</v>
      </c>
      <c r="G11" s="7">
        <f t="shared" si="1"/>
        <v>0.19367843896145781</v>
      </c>
      <c r="H11">
        <v>2.76</v>
      </c>
      <c r="I11" s="6">
        <f t="shared" si="2"/>
        <v>2.2254475084663765</v>
      </c>
      <c r="J11" t="s">
        <v>3</v>
      </c>
      <c r="K11" t="s">
        <v>2</v>
      </c>
      <c r="L11" t="s">
        <v>184</v>
      </c>
      <c r="M11">
        <v>6.13</v>
      </c>
      <c r="N11" s="71">
        <v>5.7841666666666711</v>
      </c>
      <c r="O11">
        <v>1</v>
      </c>
      <c r="P11">
        <v>10</v>
      </c>
      <c r="Q11" s="6">
        <f>'enz raw 1'!W11</f>
        <v>116.3037078250883</v>
      </c>
      <c r="R11" s="6">
        <f>'enz raw 1'!X11</f>
        <v>46.357860895556421</v>
      </c>
      <c r="S11" s="6">
        <f>'enz raw 1'!Y11</f>
        <v>46.978798331720469</v>
      </c>
      <c r="T11" s="6">
        <f>'enz raw 1'!Z11</f>
        <v>21.827449865981187</v>
      </c>
    </row>
    <row r="12" spans="1:20">
      <c r="A12">
        <v>13</v>
      </c>
      <c r="B12">
        <v>9.68</v>
      </c>
      <c r="C12" s="11">
        <v>50</v>
      </c>
      <c r="D12">
        <v>1</v>
      </c>
      <c r="E12">
        <v>73.73</v>
      </c>
      <c r="F12">
        <f t="shared" si="0"/>
        <v>13.050000000000004</v>
      </c>
      <c r="G12" s="7">
        <f t="shared" si="1"/>
        <v>0.20697858842188743</v>
      </c>
      <c r="H12">
        <v>2.77</v>
      </c>
      <c r="I12" s="6">
        <f t="shared" si="2"/>
        <v>2.1966693100713717</v>
      </c>
      <c r="J12" t="s">
        <v>4</v>
      </c>
      <c r="K12" t="s">
        <v>2</v>
      </c>
      <c r="L12" t="s">
        <v>184</v>
      </c>
      <c r="M12">
        <v>6.33</v>
      </c>
      <c r="N12" s="71">
        <v>5.7841666666666711</v>
      </c>
      <c r="O12">
        <v>1</v>
      </c>
      <c r="P12">
        <v>11</v>
      </c>
      <c r="Q12" s="6">
        <f>'enz raw 1'!W12</f>
        <v>120.88271255244027</v>
      </c>
      <c r="R12" s="6">
        <f>'enz raw 1'!X12</f>
        <v>49.02979588041692</v>
      </c>
      <c r="S12" s="6">
        <f>'enz raw 1'!Y12</f>
        <v>48.548728976841907</v>
      </c>
      <c r="T12" s="6">
        <f>'enz raw 1'!Z12</f>
        <v>21.978374177573169</v>
      </c>
    </row>
    <row r="13" spans="1:20">
      <c r="A13">
        <v>15</v>
      </c>
      <c r="B13">
        <v>9.39</v>
      </c>
      <c r="C13" s="11">
        <v>50</v>
      </c>
      <c r="D13">
        <v>1</v>
      </c>
      <c r="E13">
        <v>73.47</v>
      </c>
      <c r="F13">
        <f t="shared" si="0"/>
        <v>13.079999999999998</v>
      </c>
      <c r="G13" s="7">
        <f t="shared" si="1"/>
        <v>0.20735573874445146</v>
      </c>
      <c r="H13">
        <v>2.69</v>
      </c>
      <c r="I13" s="6">
        <f t="shared" si="2"/>
        <v>2.1322130627774256</v>
      </c>
      <c r="J13" t="s">
        <v>6</v>
      </c>
      <c r="K13" t="s">
        <v>2</v>
      </c>
      <c r="L13" t="s">
        <v>184</v>
      </c>
      <c r="M13">
        <v>6.11</v>
      </c>
      <c r="N13" s="71">
        <v>5.7841666666666711</v>
      </c>
      <c r="O13">
        <v>1</v>
      </c>
      <c r="P13">
        <v>12</v>
      </c>
      <c r="Q13" s="6">
        <f>'enz raw 1'!W13</f>
        <v>126.76362217751311</v>
      </c>
      <c r="R13" s="6">
        <f>'enz raw 1'!X13</f>
        <v>53.075971109412549</v>
      </c>
      <c r="S13" s="6">
        <f>'enz raw 1'!Y13</f>
        <v>44.442684289263973</v>
      </c>
      <c r="T13" s="6">
        <f>'enz raw 1'!Z13</f>
        <v>22.105798921370269</v>
      </c>
    </row>
    <row r="14" spans="1:20">
      <c r="A14">
        <v>16</v>
      </c>
      <c r="B14">
        <v>9.58</v>
      </c>
      <c r="C14" s="11">
        <v>50</v>
      </c>
      <c r="D14">
        <v>0</v>
      </c>
      <c r="E14">
        <v>72.010000000000005</v>
      </c>
      <c r="F14">
        <f t="shared" si="0"/>
        <v>12.430000000000007</v>
      </c>
      <c r="G14" s="7">
        <f t="shared" si="1"/>
        <v>0.19910299535479747</v>
      </c>
      <c r="H14">
        <v>2.74</v>
      </c>
      <c r="I14" s="6">
        <f t="shared" si="2"/>
        <v>2.1944577927278552</v>
      </c>
      <c r="J14" t="s">
        <v>1</v>
      </c>
      <c r="K14" t="s">
        <v>2</v>
      </c>
      <c r="L14" t="s">
        <v>184</v>
      </c>
      <c r="M14">
        <v>6.12</v>
      </c>
      <c r="N14" s="71">
        <v>5.7841666666666711</v>
      </c>
      <c r="O14">
        <v>2</v>
      </c>
      <c r="P14">
        <v>1</v>
      </c>
      <c r="Q14" s="6">
        <f>'enz raw 2'!W2</f>
        <v>58.587224097697558</v>
      </c>
      <c r="R14" s="6">
        <f>'enz raw 2'!X2</f>
        <v>33.190345565956676</v>
      </c>
      <c r="S14" s="6">
        <f>'enz raw 2'!Y2</f>
        <v>26.96023392872879</v>
      </c>
      <c r="T14" s="6">
        <f>'enz raw 2'!Z2</f>
        <v>19.155228482626182</v>
      </c>
    </row>
    <row r="15" spans="1:20">
      <c r="A15">
        <v>17</v>
      </c>
      <c r="B15">
        <v>9.61</v>
      </c>
      <c r="C15" s="11">
        <v>50</v>
      </c>
      <c r="D15">
        <v>1</v>
      </c>
      <c r="E15">
        <v>73.7</v>
      </c>
      <c r="F15">
        <f t="shared" si="0"/>
        <v>13.090000000000003</v>
      </c>
      <c r="G15" s="7">
        <f t="shared" si="1"/>
        <v>0.20748137581233164</v>
      </c>
      <c r="H15">
        <v>2.82</v>
      </c>
      <c r="I15" s="6">
        <f t="shared" si="2"/>
        <v>2.2349025202092245</v>
      </c>
      <c r="J15" t="s">
        <v>3</v>
      </c>
      <c r="K15" t="s">
        <v>2</v>
      </c>
      <c r="L15" t="s">
        <v>184</v>
      </c>
      <c r="M15">
        <v>6.14</v>
      </c>
      <c r="N15" s="71">
        <v>5.7841666666666711</v>
      </c>
      <c r="O15">
        <v>2</v>
      </c>
      <c r="P15">
        <v>2</v>
      </c>
      <c r="Q15" s="6">
        <f>'enz raw 2'!W3</f>
        <v>57.808218786608776</v>
      </c>
      <c r="R15" s="6">
        <f>'enz raw 2'!X3</f>
        <v>29.10689869049358</v>
      </c>
      <c r="S15" s="6">
        <f>'enz raw 2'!Y3</f>
        <v>27.834714925401553</v>
      </c>
      <c r="T15" s="6">
        <f>'enz raw 2'!Z3</f>
        <v>15.152665715586746</v>
      </c>
    </row>
    <row r="16" spans="1:20">
      <c r="A16">
        <v>18</v>
      </c>
      <c r="B16">
        <v>9.57</v>
      </c>
      <c r="C16" s="11">
        <v>50</v>
      </c>
      <c r="D16">
        <v>1</v>
      </c>
      <c r="E16">
        <v>73.66</v>
      </c>
      <c r="F16">
        <f t="shared" si="0"/>
        <v>13.089999999999996</v>
      </c>
      <c r="G16" s="7">
        <f t="shared" si="1"/>
        <v>0.20748137581233153</v>
      </c>
      <c r="H16">
        <v>2.82</v>
      </c>
      <c r="I16" s="6">
        <f t="shared" si="2"/>
        <v>2.234902520209225</v>
      </c>
      <c r="J16" t="s">
        <v>4</v>
      </c>
      <c r="K16" t="s">
        <v>2</v>
      </c>
      <c r="L16" t="s">
        <v>184</v>
      </c>
      <c r="M16">
        <v>6.3</v>
      </c>
      <c r="N16" s="71">
        <v>5.7841666666666711</v>
      </c>
      <c r="O16">
        <v>2</v>
      </c>
      <c r="P16">
        <v>3</v>
      </c>
      <c r="Q16" s="6">
        <f>'enz raw 2'!W4</f>
        <v>59.984392518339249</v>
      </c>
      <c r="R16" s="6">
        <f>'enz raw 2'!X4</f>
        <v>24.412516040129614</v>
      </c>
      <c r="S16" s="6">
        <f>'enz raw 2'!Y4</f>
        <v>24.71283365226224</v>
      </c>
      <c r="T16" s="6">
        <f>'enz raw 2'!Z4</f>
        <v>14.105196712020938</v>
      </c>
    </row>
    <row r="17" spans="1:20">
      <c r="A17">
        <v>20</v>
      </c>
      <c r="B17">
        <v>9.3800000000000008</v>
      </c>
      <c r="C17" s="11">
        <v>50</v>
      </c>
      <c r="D17">
        <v>1</v>
      </c>
      <c r="E17">
        <v>73.42</v>
      </c>
      <c r="F17">
        <f t="shared" si="0"/>
        <v>13.04</v>
      </c>
      <c r="G17" s="7">
        <f t="shared" si="1"/>
        <v>0.20685279187817257</v>
      </c>
      <c r="H17">
        <v>2.75</v>
      </c>
      <c r="I17" s="6">
        <f t="shared" si="2"/>
        <v>2.1811548223350252</v>
      </c>
      <c r="J17" t="s">
        <v>6</v>
      </c>
      <c r="K17" t="s">
        <v>2</v>
      </c>
      <c r="L17" t="s">
        <v>184</v>
      </c>
      <c r="M17">
        <v>6.11</v>
      </c>
      <c r="N17" s="71">
        <v>5.7841666666666711</v>
      </c>
      <c r="O17">
        <v>2</v>
      </c>
      <c r="P17">
        <v>4</v>
      </c>
      <c r="Q17" s="6">
        <f>'enz raw 2'!W5</f>
        <v>56.479809983165708</v>
      </c>
      <c r="R17" s="6">
        <f>'enz raw 2'!X5</f>
        <v>23.559375361373291</v>
      </c>
      <c r="S17" s="6">
        <f>'enz raw 2'!Y5</f>
        <v>24.512737758895597</v>
      </c>
      <c r="T17" s="6">
        <f>'enz raw 2'!Z5</f>
        <v>12.274592807803788</v>
      </c>
    </row>
    <row r="18" spans="1:20">
      <c r="A18" s="4">
        <v>21</v>
      </c>
      <c r="B18">
        <v>9.33</v>
      </c>
      <c r="C18" s="11">
        <v>50</v>
      </c>
      <c r="D18">
        <v>0</v>
      </c>
      <c r="E18">
        <v>71.209999999999994</v>
      </c>
      <c r="F18">
        <f t="shared" si="0"/>
        <v>11.879999999999995</v>
      </c>
      <c r="G18" s="7">
        <f t="shared" si="1"/>
        <v>0.19198448610213309</v>
      </c>
      <c r="H18">
        <v>2.8</v>
      </c>
      <c r="I18" s="6">
        <f t="shared" si="2"/>
        <v>2.2624434389140271</v>
      </c>
      <c r="J18" t="s">
        <v>1</v>
      </c>
      <c r="K18" t="s">
        <v>7</v>
      </c>
      <c r="L18" t="s">
        <v>184</v>
      </c>
      <c r="M18">
        <v>5.58</v>
      </c>
      <c r="N18" s="71">
        <v>5.7841666666666711</v>
      </c>
      <c r="O18">
        <v>2</v>
      </c>
      <c r="P18">
        <v>5</v>
      </c>
      <c r="Q18" s="6">
        <f>'enz raw 2'!W6</f>
        <v>56.037026106466925</v>
      </c>
      <c r="R18" s="6">
        <f>'enz raw 2'!X6</f>
        <v>25.738913138370695</v>
      </c>
      <c r="S18" s="6">
        <f>'enz raw 2'!Y6</f>
        <v>23.814881865042718</v>
      </c>
      <c r="T18" s="6">
        <f>'enz raw 2'!Z6</f>
        <v>13.465372005461345</v>
      </c>
    </row>
    <row r="19" spans="1:20">
      <c r="A19" s="4">
        <v>22</v>
      </c>
      <c r="B19">
        <v>9.34</v>
      </c>
      <c r="C19" s="11">
        <v>50</v>
      </c>
      <c r="D19">
        <v>1</v>
      </c>
      <c r="E19">
        <v>73.53</v>
      </c>
      <c r="F19">
        <f t="shared" si="0"/>
        <v>13.189999999999998</v>
      </c>
      <c r="G19" s="7">
        <f t="shared" si="1"/>
        <v>0.20873555942395947</v>
      </c>
      <c r="H19">
        <v>2.79</v>
      </c>
      <c r="I19" s="6">
        <f t="shared" si="2"/>
        <v>2.207627789207153</v>
      </c>
      <c r="J19" t="s">
        <v>3</v>
      </c>
      <c r="K19" t="s">
        <v>7</v>
      </c>
      <c r="L19" t="s">
        <v>184</v>
      </c>
      <c r="M19">
        <v>5.48</v>
      </c>
      <c r="N19" s="71">
        <v>5.7841666666666711</v>
      </c>
      <c r="O19">
        <v>2</v>
      </c>
      <c r="P19">
        <v>6</v>
      </c>
      <c r="Q19" s="6">
        <f>'enz raw 2'!W7</f>
        <v>57.859167134541956</v>
      </c>
      <c r="R19" s="6">
        <f>'enz raw 2'!X7</f>
        <v>25.578769406540236</v>
      </c>
      <c r="S19" s="6">
        <f>'enz raw 2'!Y7</f>
        <v>28.822964568373294</v>
      </c>
      <c r="T19" s="6">
        <f>'enz raw 2'!Z7</f>
        <v>12.369941452193801</v>
      </c>
    </row>
    <row r="20" spans="1:20">
      <c r="A20" s="4">
        <v>23</v>
      </c>
      <c r="B20">
        <v>9.31</v>
      </c>
      <c r="C20" s="11">
        <v>50</v>
      </c>
      <c r="D20">
        <v>1</v>
      </c>
      <c r="E20">
        <v>73.33</v>
      </c>
      <c r="F20">
        <f t="shared" si="0"/>
        <v>13.019999999999996</v>
      </c>
      <c r="G20" s="7">
        <f t="shared" si="1"/>
        <v>0.20660107902253247</v>
      </c>
      <c r="H20">
        <v>2.7</v>
      </c>
      <c r="I20" s="6">
        <f t="shared" si="2"/>
        <v>2.1421770866391627</v>
      </c>
      <c r="J20" t="s">
        <v>4</v>
      </c>
      <c r="K20" t="s">
        <v>7</v>
      </c>
      <c r="L20" t="s">
        <v>184</v>
      </c>
      <c r="M20">
        <v>5.51</v>
      </c>
      <c r="N20" s="71">
        <v>5.7841666666666711</v>
      </c>
      <c r="O20">
        <v>2</v>
      </c>
      <c r="P20">
        <v>7</v>
      </c>
      <c r="Q20" s="6">
        <f>'enz raw 2'!W8</f>
        <v>65.471481968447762</v>
      </c>
      <c r="R20" s="6">
        <f>'enz raw 2'!X8</f>
        <v>28.334935236640014</v>
      </c>
      <c r="S20" s="6">
        <f>'enz raw 2'!Y8</f>
        <v>26.052984520008774</v>
      </c>
      <c r="T20" s="6">
        <f>'enz raw 2'!Z8</f>
        <v>14.091801851549093</v>
      </c>
    </row>
    <row r="21" spans="1:20">
      <c r="A21" s="4">
        <v>25</v>
      </c>
      <c r="B21">
        <v>9.6199999999999992</v>
      </c>
      <c r="C21" s="11">
        <v>50</v>
      </c>
      <c r="D21">
        <v>1</v>
      </c>
      <c r="E21">
        <v>73.709999999999994</v>
      </c>
      <c r="F21">
        <f t="shared" si="0"/>
        <v>13.089999999999996</v>
      </c>
      <c r="G21" s="7">
        <f t="shared" si="1"/>
        <v>0.20748137581233153</v>
      </c>
      <c r="H21">
        <v>2.78</v>
      </c>
      <c r="I21" s="6">
        <f t="shared" si="2"/>
        <v>2.2032017752417183</v>
      </c>
      <c r="J21" t="s">
        <v>6</v>
      </c>
      <c r="K21" t="s">
        <v>7</v>
      </c>
      <c r="L21" t="s">
        <v>184</v>
      </c>
      <c r="M21">
        <v>5.5</v>
      </c>
      <c r="N21" s="71">
        <v>5.7841666666666711</v>
      </c>
      <c r="O21">
        <v>2</v>
      </c>
      <c r="P21">
        <v>8</v>
      </c>
      <c r="Q21" s="6">
        <f>'enz raw 2'!W9</f>
        <v>70.127512715470132</v>
      </c>
      <c r="R21" s="6">
        <f>'enz raw 2'!X9</f>
        <v>32.930419610095591</v>
      </c>
      <c r="S21" s="6">
        <f>'enz raw 2'!Y9</f>
        <v>26.869784972680723</v>
      </c>
      <c r="T21" s="6">
        <f>'enz raw 2'!Z9</f>
        <v>13.429030991743881</v>
      </c>
    </row>
    <row r="22" spans="1:20">
      <c r="A22" s="4">
        <v>26</v>
      </c>
      <c r="B22">
        <v>9.6300000000000008</v>
      </c>
      <c r="C22" s="11">
        <v>50</v>
      </c>
      <c r="D22">
        <v>0</v>
      </c>
      <c r="E22">
        <v>72.739999999999995</v>
      </c>
      <c r="F22">
        <f t="shared" si="0"/>
        <v>13.109999999999992</v>
      </c>
      <c r="G22" s="7">
        <f t="shared" si="1"/>
        <v>0.20773253050229748</v>
      </c>
      <c r="H22">
        <v>2.76</v>
      </c>
      <c r="I22" s="6">
        <f t="shared" si="2"/>
        <v>2.1866582158136589</v>
      </c>
      <c r="J22" t="s">
        <v>1</v>
      </c>
      <c r="K22" t="s">
        <v>7</v>
      </c>
      <c r="L22" t="s">
        <v>184</v>
      </c>
      <c r="M22">
        <v>5.48</v>
      </c>
      <c r="N22" s="71">
        <v>5.7841666666666711</v>
      </c>
      <c r="O22">
        <v>2</v>
      </c>
      <c r="P22">
        <v>9</v>
      </c>
      <c r="Q22" s="6">
        <f>'enz raw 2'!W10</f>
        <v>73.742695156206452</v>
      </c>
      <c r="R22" s="6">
        <f>'enz raw 2'!X10</f>
        <v>31.805060971824602</v>
      </c>
      <c r="S22" s="6">
        <f>'enz raw 2'!Y10</f>
        <v>26.877854478434006</v>
      </c>
      <c r="T22" s="6">
        <f>'enz raw 2'!Z10</f>
        <v>13.740708409295266</v>
      </c>
    </row>
    <row r="23" spans="1:20">
      <c r="A23" s="4">
        <v>27</v>
      </c>
      <c r="B23">
        <v>9.73</v>
      </c>
      <c r="C23" s="11">
        <v>50</v>
      </c>
      <c r="D23">
        <v>1</v>
      </c>
      <c r="E23">
        <v>73.75</v>
      </c>
      <c r="F23">
        <f t="shared" si="0"/>
        <v>13.019999999999996</v>
      </c>
      <c r="G23" s="7">
        <f t="shared" si="1"/>
        <v>0.20660107902253247</v>
      </c>
      <c r="H23">
        <v>2.72</v>
      </c>
      <c r="I23" s="6">
        <f t="shared" si="2"/>
        <v>2.1580450650587117</v>
      </c>
      <c r="J23" t="s">
        <v>3</v>
      </c>
      <c r="K23" t="s">
        <v>7</v>
      </c>
      <c r="L23" t="s">
        <v>184</v>
      </c>
      <c r="M23">
        <v>5.47</v>
      </c>
      <c r="N23" s="71">
        <v>5.7841666666666711</v>
      </c>
      <c r="O23">
        <v>2</v>
      </c>
      <c r="P23">
        <v>10</v>
      </c>
      <c r="Q23" s="6">
        <f>'enz raw 2'!W11</f>
        <v>70.088147347542773</v>
      </c>
      <c r="R23" s="6">
        <f>'enz raw 2'!X11</f>
        <v>29.632057504933147</v>
      </c>
      <c r="S23" s="6">
        <f>'enz raw 2'!Y11</f>
        <v>29.989040038888476</v>
      </c>
      <c r="T23" s="6">
        <f>'enz raw 2'!Z11</f>
        <v>11.659928374108423</v>
      </c>
    </row>
    <row r="24" spans="1:20">
      <c r="A24" s="4">
        <v>28</v>
      </c>
      <c r="B24">
        <v>9.41</v>
      </c>
      <c r="C24" s="11">
        <v>50</v>
      </c>
      <c r="D24">
        <v>1</v>
      </c>
      <c r="E24">
        <v>73.48</v>
      </c>
      <c r="F24">
        <f t="shared" si="0"/>
        <v>13.070000000000007</v>
      </c>
      <c r="G24" s="7">
        <f t="shared" si="1"/>
        <v>0.20723006183605527</v>
      </c>
      <c r="H24">
        <v>2.77</v>
      </c>
      <c r="I24" s="6">
        <f t="shared" si="2"/>
        <v>2.1959727287141266</v>
      </c>
      <c r="J24" t="s">
        <v>4</v>
      </c>
      <c r="K24" t="s">
        <v>7</v>
      </c>
      <c r="L24" t="s">
        <v>184</v>
      </c>
      <c r="M24">
        <v>5.49</v>
      </c>
      <c r="N24" s="71">
        <v>5.7841666666666711</v>
      </c>
      <c r="O24">
        <v>2</v>
      </c>
      <c r="P24">
        <v>11</v>
      </c>
      <c r="Q24" s="6">
        <f>'enz raw 2'!W12</f>
        <v>70.56897833723707</v>
      </c>
      <c r="R24" s="6">
        <f>'enz raw 2'!X12</f>
        <v>29.378511222047681</v>
      </c>
      <c r="S24" s="6">
        <f>'enz raw 2'!Y12</f>
        <v>32.763519229117101</v>
      </c>
      <c r="T24" s="6">
        <f>'enz raw 2'!Z12</f>
        <v>15.206197960380823</v>
      </c>
    </row>
    <row r="25" spans="1:20">
      <c r="A25" s="4">
        <v>30</v>
      </c>
      <c r="B25">
        <v>9.68</v>
      </c>
      <c r="C25" s="11">
        <v>50</v>
      </c>
      <c r="D25">
        <v>1</v>
      </c>
      <c r="E25">
        <v>73.73</v>
      </c>
      <c r="F25">
        <f t="shared" si="0"/>
        <v>13.050000000000004</v>
      </c>
      <c r="G25" s="7">
        <f t="shared" si="1"/>
        <v>0.20697858842188743</v>
      </c>
      <c r="H25">
        <v>2.71</v>
      </c>
      <c r="I25" s="6">
        <f t="shared" si="2"/>
        <v>2.1490880253766851</v>
      </c>
      <c r="J25" t="s">
        <v>6</v>
      </c>
      <c r="K25" t="s">
        <v>7</v>
      </c>
      <c r="L25" t="s">
        <v>184</v>
      </c>
      <c r="M25">
        <v>5.53</v>
      </c>
      <c r="N25" s="71">
        <v>5.7841666666666711</v>
      </c>
      <c r="O25">
        <v>2</v>
      </c>
      <c r="P25">
        <v>12</v>
      </c>
      <c r="Q25" s="6">
        <f>'enz raw 2'!W13</f>
        <v>71.4335050793823</v>
      </c>
      <c r="R25" s="6">
        <f>'enz raw 2'!X13</f>
        <v>32.242723773089857</v>
      </c>
      <c r="S25" s="6">
        <f>'enz raw 2'!Y13</f>
        <v>37.109999668572719</v>
      </c>
      <c r="T25" s="6">
        <f>'enz raw 2'!Z13</f>
        <v>13.039954790589558</v>
      </c>
    </row>
    <row r="26" spans="1:20">
      <c r="A26" s="4">
        <v>31</v>
      </c>
      <c r="B26">
        <v>9.2799999999999994</v>
      </c>
      <c r="C26" s="11">
        <v>50</v>
      </c>
      <c r="D26">
        <v>0</v>
      </c>
      <c r="E26">
        <v>72.260000000000005</v>
      </c>
      <c r="F26">
        <f t="shared" si="0"/>
        <v>12.980000000000004</v>
      </c>
      <c r="G26" s="7">
        <f t="shared" si="1"/>
        <v>0.20609717370593844</v>
      </c>
      <c r="H26">
        <v>2.76</v>
      </c>
      <c r="I26" s="6">
        <f t="shared" si="2"/>
        <v>2.1911718005716097</v>
      </c>
      <c r="J26" t="s">
        <v>1</v>
      </c>
      <c r="K26" t="s">
        <v>7</v>
      </c>
      <c r="L26" t="s">
        <v>184</v>
      </c>
      <c r="M26">
        <v>5.49</v>
      </c>
      <c r="N26" s="71">
        <v>5.7841666666666711</v>
      </c>
      <c r="O26">
        <v>3</v>
      </c>
      <c r="P26">
        <v>1</v>
      </c>
      <c r="Q26" s="6">
        <f>'enz raw 3'!W2</f>
        <v>97.786724884217236</v>
      </c>
      <c r="R26" s="6">
        <f>'enz raw 3'!X2</f>
        <v>44.077397031386177</v>
      </c>
      <c r="S26" s="6">
        <f>'enz raw 3'!Y2</f>
        <v>25.577575928105013</v>
      </c>
      <c r="T26" s="6">
        <f>'enz raw 3'!Z2</f>
        <v>20.675475609795509</v>
      </c>
    </row>
    <row r="27" spans="1:20">
      <c r="A27" s="4">
        <v>32</v>
      </c>
      <c r="B27">
        <v>9.64</v>
      </c>
      <c r="C27" s="11">
        <v>50</v>
      </c>
      <c r="D27">
        <v>1</v>
      </c>
      <c r="E27">
        <v>73.790000000000006</v>
      </c>
      <c r="F27">
        <f t="shared" si="0"/>
        <v>13.150000000000006</v>
      </c>
      <c r="G27" s="7">
        <f t="shared" si="1"/>
        <v>0.20823436262866199</v>
      </c>
      <c r="H27">
        <v>2.74</v>
      </c>
      <c r="I27" s="6">
        <f t="shared" si="2"/>
        <v>2.1694378463974662</v>
      </c>
      <c r="J27" t="s">
        <v>3</v>
      </c>
      <c r="K27" t="s">
        <v>7</v>
      </c>
      <c r="L27" t="s">
        <v>184</v>
      </c>
      <c r="M27">
        <v>5.48</v>
      </c>
      <c r="N27" s="71">
        <v>5.7841666666666711</v>
      </c>
      <c r="O27">
        <v>3</v>
      </c>
      <c r="P27">
        <v>2</v>
      </c>
      <c r="Q27" s="6">
        <f>'enz raw 3'!W3</f>
        <v>100.98113979572396</v>
      </c>
      <c r="R27" s="6">
        <f>'enz raw 3'!X3</f>
        <v>38.576857355807483</v>
      </c>
      <c r="S27" s="6">
        <f>'enz raw 3'!Y3</f>
        <v>27.010941002797267</v>
      </c>
      <c r="T27" s="6">
        <f>'enz raw 3'!Z3</f>
        <v>19.901123194956575</v>
      </c>
    </row>
    <row r="28" spans="1:20">
      <c r="A28" s="4">
        <v>33</v>
      </c>
      <c r="B28">
        <v>9.33</v>
      </c>
      <c r="C28" s="11">
        <v>50</v>
      </c>
      <c r="D28">
        <v>1</v>
      </c>
      <c r="E28">
        <v>73.41</v>
      </c>
      <c r="F28">
        <f t="shared" si="0"/>
        <v>13.079999999999998</v>
      </c>
      <c r="G28" s="7">
        <f t="shared" si="1"/>
        <v>0.20735573874445146</v>
      </c>
      <c r="H28">
        <v>2.71</v>
      </c>
      <c r="I28" s="6">
        <f t="shared" si="2"/>
        <v>2.1480659480025364</v>
      </c>
      <c r="J28" t="s">
        <v>4</v>
      </c>
      <c r="K28" t="s">
        <v>7</v>
      </c>
      <c r="L28" t="s">
        <v>184</v>
      </c>
      <c r="M28">
        <v>5.5</v>
      </c>
      <c r="N28" s="71">
        <v>5.7841666666666711</v>
      </c>
      <c r="O28">
        <v>3</v>
      </c>
      <c r="P28">
        <v>3</v>
      </c>
      <c r="Q28" s="6">
        <f>'enz raw 3'!W4</f>
        <v>107.42560290270016</v>
      </c>
      <c r="R28" s="6">
        <f>'enz raw 3'!X4</f>
        <v>42.350918466723783</v>
      </c>
      <c r="S28" s="6">
        <f>'enz raw 3'!Y4</f>
        <v>24.181465411856138</v>
      </c>
      <c r="T28" s="6">
        <f>'enz raw 3'!Z4</f>
        <v>20.481557303813695</v>
      </c>
    </row>
    <row r="29" spans="1:20">
      <c r="A29" s="4">
        <v>35</v>
      </c>
      <c r="B29">
        <v>9.69</v>
      </c>
      <c r="C29" s="11">
        <v>50</v>
      </c>
      <c r="D29">
        <v>1</v>
      </c>
      <c r="E29">
        <v>73.760000000000005</v>
      </c>
      <c r="F29">
        <f t="shared" si="0"/>
        <v>13.070000000000007</v>
      </c>
      <c r="G29" s="7">
        <f t="shared" si="1"/>
        <v>0.20723006183605527</v>
      </c>
      <c r="H29">
        <v>2.8</v>
      </c>
      <c r="I29" s="6">
        <f t="shared" si="2"/>
        <v>2.2197558268590449</v>
      </c>
      <c r="J29" t="s">
        <v>6</v>
      </c>
      <c r="K29" t="s">
        <v>7</v>
      </c>
      <c r="L29" t="s">
        <v>184</v>
      </c>
      <c r="M29">
        <v>5.49</v>
      </c>
      <c r="N29" s="71">
        <v>5.7841666666666711</v>
      </c>
      <c r="O29">
        <v>3</v>
      </c>
      <c r="P29">
        <v>4</v>
      </c>
      <c r="Q29" s="6">
        <f>'enz raw 3'!W5</f>
        <v>110.97228423373245</v>
      </c>
      <c r="R29" s="6">
        <f>'enz raw 3'!X5</f>
        <v>45.955534574910281</v>
      </c>
      <c r="S29" s="6">
        <f>'enz raw 3'!Y5</f>
        <v>26.174463572285475</v>
      </c>
      <c r="T29" s="6">
        <f>'enz raw 3'!Z5</f>
        <v>20.802406564444151</v>
      </c>
    </row>
    <row r="30" spans="1:20">
      <c r="A30" s="4">
        <v>36</v>
      </c>
      <c r="B30">
        <v>9.6300000000000008</v>
      </c>
      <c r="C30" s="11">
        <v>50</v>
      </c>
      <c r="D30">
        <v>0</v>
      </c>
      <c r="E30">
        <v>72.69</v>
      </c>
      <c r="F30">
        <f t="shared" si="0"/>
        <v>13.059999999999995</v>
      </c>
      <c r="G30" s="7">
        <f t="shared" si="1"/>
        <v>0.20710434506818898</v>
      </c>
      <c r="H30">
        <v>2.72</v>
      </c>
      <c r="I30" s="6">
        <f t="shared" si="2"/>
        <v>2.1566761814145261</v>
      </c>
      <c r="J30" t="s">
        <v>1</v>
      </c>
      <c r="K30" t="s">
        <v>7</v>
      </c>
      <c r="L30" t="s">
        <v>184</v>
      </c>
      <c r="M30">
        <v>5.49</v>
      </c>
      <c r="N30" s="71">
        <v>5.7841666666666711</v>
      </c>
      <c r="O30">
        <v>3</v>
      </c>
      <c r="P30">
        <v>5</v>
      </c>
      <c r="Q30" s="6">
        <f>'enz raw 3'!W6</f>
        <v>106.07959651209265</v>
      </c>
      <c r="R30" s="6">
        <f>'enz raw 3'!X6</f>
        <v>46.36532774249239</v>
      </c>
      <c r="S30" s="6">
        <f>'enz raw 3'!Y6</f>
        <v>29.465062876603927</v>
      </c>
      <c r="T30" s="6">
        <f>'enz raw 3'!Z6</f>
        <v>21.360524128867681</v>
      </c>
    </row>
    <row r="31" spans="1:20">
      <c r="A31" s="4">
        <v>37</v>
      </c>
      <c r="B31">
        <v>9.3800000000000008</v>
      </c>
      <c r="C31" s="11">
        <v>50</v>
      </c>
      <c r="D31">
        <v>1</v>
      </c>
      <c r="E31">
        <v>73.36</v>
      </c>
      <c r="F31">
        <f t="shared" si="0"/>
        <v>12.979999999999997</v>
      </c>
      <c r="G31" s="7">
        <f t="shared" si="1"/>
        <v>0.20609717370593836</v>
      </c>
      <c r="H31">
        <v>2.8</v>
      </c>
      <c r="I31" s="6">
        <f t="shared" si="2"/>
        <v>2.2229279136233724</v>
      </c>
      <c r="J31" t="s">
        <v>3</v>
      </c>
      <c r="K31" t="s">
        <v>7</v>
      </c>
      <c r="L31" t="s">
        <v>184</v>
      </c>
      <c r="M31">
        <v>5.48</v>
      </c>
      <c r="N31" s="71">
        <v>5.7841666666666711</v>
      </c>
      <c r="O31">
        <v>3</v>
      </c>
      <c r="P31">
        <v>6</v>
      </c>
      <c r="Q31" s="6">
        <f>'enz raw 3'!W7</f>
        <v>104.66473393807392</v>
      </c>
      <c r="R31" s="6">
        <f>'enz raw 3'!X7</f>
        <v>46.145945385560289</v>
      </c>
      <c r="S31" s="6">
        <f>'enz raw 3'!Y7</f>
        <v>29.325680771109873</v>
      </c>
      <c r="T31" s="6">
        <f>'enz raw 3'!Z7</f>
        <v>20.58029024488766</v>
      </c>
    </row>
    <row r="32" spans="1:20">
      <c r="A32" s="4">
        <v>38</v>
      </c>
      <c r="B32">
        <v>9.36</v>
      </c>
      <c r="C32" s="11">
        <v>50</v>
      </c>
      <c r="D32">
        <v>1</v>
      </c>
      <c r="E32">
        <v>73.349999999999994</v>
      </c>
      <c r="F32">
        <f t="shared" si="0"/>
        <v>12.989999999999995</v>
      </c>
      <c r="G32" s="7">
        <f t="shared" si="1"/>
        <v>0.20622321003333857</v>
      </c>
      <c r="H32">
        <v>2.75</v>
      </c>
      <c r="I32" s="6">
        <f t="shared" si="2"/>
        <v>2.1828861724083191</v>
      </c>
      <c r="J32" t="s">
        <v>4</v>
      </c>
      <c r="K32" t="s">
        <v>7</v>
      </c>
      <c r="L32" t="s">
        <v>184</v>
      </c>
      <c r="M32">
        <v>5.49</v>
      </c>
      <c r="N32" s="71">
        <v>5.7841666666666711</v>
      </c>
      <c r="O32">
        <v>3</v>
      </c>
      <c r="P32">
        <v>7</v>
      </c>
      <c r="Q32" s="6">
        <f>'enz raw 3'!W8</f>
        <v>105.85874695267853</v>
      </c>
      <c r="R32" s="6">
        <f>'enz raw 3'!X8</f>
        <v>47.058841675249433</v>
      </c>
      <c r="S32" s="6">
        <f>'enz raw 3'!Y8</f>
        <v>28.337334164750857</v>
      </c>
      <c r="T32" s="6">
        <f>'enz raw 3'!Z8</f>
        <v>19.791744775616589</v>
      </c>
    </row>
    <row r="33" spans="1:20">
      <c r="A33" s="4">
        <v>40</v>
      </c>
      <c r="B33">
        <v>9.56</v>
      </c>
      <c r="C33" s="11">
        <v>50</v>
      </c>
      <c r="D33">
        <v>1</v>
      </c>
      <c r="E33">
        <v>73.489999999999995</v>
      </c>
      <c r="F33">
        <f t="shared" si="0"/>
        <v>12.929999999999993</v>
      </c>
      <c r="G33" s="7">
        <f t="shared" si="1"/>
        <v>0.20546639122834887</v>
      </c>
      <c r="H33">
        <v>2.71</v>
      </c>
      <c r="I33" s="6">
        <f t="shared" si="2"/>
        <v>2.1531860797711744</v>
      </c>
      <c r="J33" t="s">
        <v>6</v>
      </c>
      <c r="K33" t="s">
        <v>7</v>
      </c>
      <c r="L33" t="s">
        <v>184</v>
      </c>
      <c r="M33">
        <v>5.55</v>
      </c>
      <c r="N33" s="71">
        <v>5.7841666666666711</v>
      </c>
      <c r="O33">
        <v>3</v>
      </c>
      <c r="P33">
        <v>8</v>
      </c>
      <c r="Q33" s="6">
        <f>'enz raw 3'!W9</f>
        <v>109.39698296571837</v>
      </c>
      <c r="R33" s="6">
        <f>'enz raw 3'!X9</f>
        <v>46.004655645834767</v>
      </c>
      <c r="S33" s="6">
        <f>'enz raw 3'!Y9</f>
        <v>29.719276656934259</v>
      </c>
      <c r="T33" s="6">
        <f>'enz raw 3'!Z9</f>
        <v>21.556687631244301</v>
      </c>
    </row>
    <row r="34" spans="1:20">
      <c r="A34">
        <v>41</v>
      </c>
      <c r="B34">
        <v>9.39</v>
      </c>
      <c r="C34" s="11">
        <v>50</v>
      </c>
      <c r="D34">
        <v>0</v>
      </c>
      <c r="E34">
        <v>72.34</v>
      </c>
      <c r="F34">
        <f t="shared" ref="F34:F65" si="3">E34-D34-B34-C34</f>
        <v>12.950000000000003</v>
      </c>
      <c r="G34" s="7">
        <f t="shared" ref="G34:G65" si="4">F34/(F34+C34)</f>
        <v>0.20571882446386025</v>
      </c>
      <c r="H34">
        <v>2.77</v>
      </c>
      <c r="I34" s="6">
        <f t="shared" ref="I34:I65" si="5">H34-(H34*G34)</f>
        <v>2.2001588562351069</v>
      </c>
      <c r="J34" t="s">
        <v>1</v>
      </c>
      <c r="K34" t="s">
        <v>2</v>
      </c>
      <c r="L34" t="s">
        <v>185</v>
      </c>
      <c r="M34" s="70">
        <v>5.85</v>
      </c>
      <c r="N34" s="71">
        <v>5.7841666666666711</v>
      </c>
      <c r="O34">
        <v>3</v>
      </c>
      <c r="P34">
        <v>9</v>
      </c>
      <c r="Q34" s="6">
        <f>'enz raw 3'!W10</f>
        <v>109.42478457802684</v>
      </c>
      <c r="R34" s="6">
        <f>'enz raw 3'!X10</f>
        <v>47.588454763403021</v>
      </c>
      <c r="S34" s="6">
        <f>'enz raw 3'!Y10</f>
        <v>32.777890930534859</v>
      </c>
      <c r="T34" s="6">
        <f>'enz raw 3'!Z10</f>
        <v>22.669336778405352</v>
      </c>
    </row>
    <row r="35" spans="1:20">
      <c r="A35">
        <v>42</v>
      </c>
      <c r="B35">
        <v>9.6199999999999992</v>
      </c>
      <c r="C35" s="11">
        <v>50</v>
      </c>
      <c r="D35">
        <v>1</v>
      </c>
      <c r="E35">
        <v>73.52</v>
      </c>
      <c r="F35">
        <f t="shared" si="3"/>
        <v>12.899999999999999</v>
      </c>
      <c r="G35" s="7">
        <f t="shared" si="4"/>
        <v>0.20508744038155802</v>
      </c>
      <c r="H35">
        <v>2.8</v>
      </c>
      <c r="I35" s="6">
        <f t="shared" si="5"/>
        <v>2.2257551669316373</v>
      </c>
      <c r="J35" t="s">
        <v>3</v>
      </c>
      <c r="K35" t="s">
        <v>2</v>
      </c>
      <c r="L35" t="s">
        <v>185</v>
      </c>
      <c r="M35">
        <v>6.14</v>
      </c>
      <c r="N35" s="71">
        <v>5.7841666666666711</v>
      </c>
      <c r="O35">
        <v>3</v>
      </c>
      <c r="P35">
        <v>10</v>
      </c>
      <c r="Q35" s="6">
        <f>'enz raw 3'!W11</f>
        <v>118.58816096620633</v>
      </c>
      <c r="R35" s="6">
        <f>'enz raw 3'!X11</f>
        <v>49.162800865558729</v>
      </c>
      <c r="S35" s="6">
        <f>'enz raw 3'!Y11</f>
        <v>32.591287044944742</v>
      </c>
      <c r="T35" s="6">
        <f>'enz raw 3'!Z11</f>
        <v>21.104052556982911</v>
      </c>
    </row>
    <row r="36" spans="1:20">
      <c r="A36">
        <v>43</v>
      </c>
      <c r="B36">
        <v>9.32</v>
      </c>
      <c r="C36" s="11">
        <v>50</v>
      </c>
      <c r="D36">
        <v>1</v>
      </c>
      <c r="E36">
        <v>73.16</v>
      </c>
      <c r="F36">
        <f t="shared" si="3"/>
        <v>12.839999999999996</v>
      </c>
      <c r="G36" s="7">
        <f t="shared" si="4"/>
        <v>0.20432845321451301</v>
      </c>
      <c r="H36">
        <v>2.7</v>
      </c>
      <c r="I36" s="6">
        <f t="shared" si="5"/>
        <v>2.1483131763208148</v>
      </c>
      <c r="J36" t="s">
        <v>4</v>
      </c>
      <c r="K36" t="s">
        <v>2</v>
      </c>
      <c r="L36" t="s">
        <v>185</v>
      </c>
      <c r="M36">
        <v>6.3</v>
      </c>
      <c r="N36" s="71">
        <v>5.7841666666666711</v>
      </c>
      <c r="O36">
        <v>3</v>
      </c>
      <c r="P36">
        <v>11</v>
      </c>
      <c r="Q36" s="6">
        <f>'enz raw 3'!W12</f>
        <v>116.56276662008273</v>
      </c>
      <c r="R36" s="6">
        <f>'enz raw 3'!X12</f>
        <v>50.474856495710831</v>
      </c>
      <c r="S36" s="6">
        <f>'enz raw 3'!Y12</f>
        <v>37.443614128610108</v>
      </c>
      <c r="T36" s="6">
        <f>'enz raw 3'!Z12</f>
        <v>22.849947084906795</v>
      </c>
    </row>
    <row r="37" spans="1:20">
      <c r="A37">
        <v>45</v>
      </c>
      <c r="B37">
        <v>9.2899999999999991</v>
      </c>
      <c r="C37" s="11">
        <v>50</v>
      </c>
      <c r="D37">
        <v>1</v>
      </c>
      <c r="E37">
        <v>73.14</v>
      </c>
      <c r="F37">
        <f t="shared" si="3"/>
        <v>12.850000000000001</v>
      </c>
      <c r="G37" s="7">
        <f t="shared" si="4"/>
        <v>0.20445505171042166</v>
      </c>
      <c r="H37">
        <v>2.8</v>
      </c>
      <c r="I37" s="6">
        <f t="shared" si="5"/>
        <v>2.2275258552108195</v>
      </c>
      <c r="J37" t="s">
        <v>6</v>
      </c>
      <c r="K37" t="s">
        <v>2</v>
      </c>
      <c r="L37" t="s">
        <v>185</v>
      </c>
      <c r="M37">
        <v>6.08</v>
      </c>
      <c r="N37" s="71">
        <v>5.7841666666666711</v>
      </c>
      <c r="O37">
        <v>3</v>
      </c>
      <c r="P37">
        <v>12</v>
      </c>
      <c r="Q37" s="6">
        <f>'enz raw 3'!W13</f>
        <v>107.77114742775315</v>
      </c>
      <c r="R37" s="6">
        <f>'enz raw 3'!X13</f>
        <v>47.620395007223323</v>
      </c>
      <c r="S37" s="6">
        <f>'enz raw 3'!Y13</f>
        <v>35.467399110733858</v>
      </c>
      <c r="T37" s="6">
        <f>'enz raw 3'!Z13</f>
        <v>20.165370170284479</v>
      </c>
    </row>
    <row r="38" spans="1:20">
      <c r="A38">
        <v>46</v>
      </c>
      <c r="B38">
        <v>9.59</v>
      </c>
      <c r="C38" s="11">
        <v>50</v>
      </c>
      <c r="D38">
        <v>0</v>
      </c>
      <c r="E38">
        <v>72.48</v>
      </c>
      <c r="F38">
        <f t="shared" si="3"/>
        <v>12.89</v>
      </c>
      <c r="G38" s="7">
        <f t="shared" si="4"/>
        <v>0.20496104309111146</v>
      </c>
      <c r="H38">
        <v>2.84</v>
      </c>
      <c r="I38" s="6">
        <f t="shared" si="5"/>
        <v>2.2579106376212432</v>
      </c>
      <c r="J38" t="s">
        <v>1</v>
      </c>
      <c r="K38" t="s">
        <v>2</v>
      </c>
      <c r="L38" t="s">
        <v>185</v>
      </c>
      <c r="M38">
        <v>6.14</v>
      </c>
      <c r="N38" s="71">
        <v>5.7841666666666711</v>
      </c>
      <c r="O38">
        <v>4</v>
      </c>
      <c r="P38">
        <v>1</v>
      </c>
      <c r="Q38" s="6">
        <f>'enz raw 4'!W2</f>
        <v>81.650329052663238</v>
      </c>
      <c r="R38" s="6">
        <f>'enz raw 4'!X2</f>
        <v>36.425511980984005</v>
      </c>
      <c r="S38" s="6">
        <f>'enz raw 4'!Y2</f>
        <v>32.83090092739743</v>
      </c>
      <c r="T38" s="6">
        <f>'enz raw 4'!Z2</f>
        <v>10.165940778073491</v>
      </c>
    </row>
    <row r="39" spans="1:20">
      <c r="A39">
        <v>47</v>
      </c>
      <c r="B39">
        <v>9.39</v>
      </c>
      <c r="C39" s="11">
        <v>50</v>
      </c>
      <c r="D39">
        <v>1</v>
      </c>
      <c r="E39">
        <v>73.34</v>
      </c>
      <c r="F39">
        <f t="shared" si="3"/>
        <v>12.950000000000003</v>
      </c>
      <c r="G39" s="7">
        <f t="shared" si="4"/>
        <v>0.20571882446386025</v>
      </c>
      <c r="H39">
        <v>2.73</v>
      </c>
      <c r="I39" s="6">
        <f t="shared" si="5"/>
        <v>2.1683876092136614</v>
      </c>
      <c r="J39" t="s">
        <v>3</v>
      </c>
      <c r="K39" t="s">
        <v>2</v>
      </c>
      <c r="L39" t="s">
        <v>185</v>
      </c>
      <c r="M39">
        <v>6.12</v>
      </c>
      <c r="N39" s="71">
        <v>5.7841666666666711</v>
      </c>
      <c r="O39">
        <v>4</v>
      </c>
      <c r="P39">
        <v>2</v>
      </c>
      <c r="Q39" s="6">
        <f>'enz raw 4'!W3</f>
        <v>89.284097137426187</v>
      </c>
      <c r="R39" s="6">
        <f>'enz raw 4'!X3</f>
        <v>39.158798940687205</v>
      </c>
      <c r="S39" s="6">
        <f>'enz raw 4'!Y3</f>
        <v>35.837480730259664</v>
      </c>
      <c r="T39" s="6">
        <f>'enz raw 4'!Z3</f>
        <v>8.3866114382512968</v>
      </c>
    </row>
    <row r="40" spans="1:20">
      <c r="A40">
        <v>48</v>
      </c>
      <c r="B40">
        <v>9.6300000000000008</v>
      </c>
      <c r="C40" s="11">
        <v>50</v>
      </c>
      <c r="D40">
        <v>1</v>
      </c>
      <c r="E40">
        <v>73.489999999999995</v>
      </c>
      <c r="F40">
        <f t="shared" si="3"/>
        <v>12.859999999999992</v>
      </c>
      <c r="G40" s="7">
        <f t="shared" si="4"/>
        <v>0.20458160992682142</v>
      </c>
      <c r="H40">
        <v>2.77</v>
      </c>
      <c r="I40" s="6">
        <f t="shared" si="5"/>
        <v>2.2033089405027049</v>
      </c>
      <c r="J40" t="s">
        <v>4</v>
      </c>
      <c r="K40" t="s">
        <v>2</v>
      </c>
      <c r="L40" t="s">
        <v>185</v>
      </c>
      <c r="M40">
        <v>6.06</v>
      </c>
      <c r="N40" s="71">
        <v>5.7841666666666711</v>
      </c>
      <c r="O40">
        <v>4</v>
      </c>
      <c r="P40">
        <v>3</v>
      </c>
      <c r="Q40" s="6">
        <f>'enz raw 4'!W4</f>
        <v>91.285095644130365</v>
      </c>
      <c r="R40" s="6">
        <f>'enz raw 4'!X4</f>
        <v>37.670922549804814</v>
      </c>
      <c r="S40" s="6">
        <f>'enz raw 4'!Y4</f>
        <v>34.502627630824364</v>
      </c>
      <c r="T40" s="6">
        <f>'enz raw 4'!Z4</f>
        <v>9.1816823741818911</v>
      </c>
    </row>
    <row r="41" spans="1:20">
      <c r="A41">
        <v>50</v>
      </c>
      <c r="B41">
        <v>9.56</v>
      </c>
      <c r="C41" s="11">
        <v>50</v>
      </c>
      <c r="D41">
        <v>1</v>
      </c>
      <c r="E41">
        <v>73.55</v>
      </c>
      <c r="F41">
        <f t="shared" si="3"/>
        <v>12.989999999999995</v>
      </c>
      <c r="G41" s="7">
        <f t="shared" si="4"/>
        <v>0.20622321003333857</v>
      </c>
      <c r="H41">
        <v>2.72</v>
      </c>
      <c r="I41" s="6">
        <f t="shared" si="5"/>
        <v>2.1590728687093192</v>
      </c>
      <c r="J41" t="s">
        <v>6</v>
      </c>
      <c r="K41" t="s">
        <v>2</v>
      </c>
      <c r="L41" t="s">
        <v>185</v>
      </c>
      <c r="M41">
        <v>6.11</v>
      </c>
      <c r="N41" s="71">
        <v>5.7841666666666711</v>
      </c>
      <c r="O41">
        <v>4</v>
      </c>
      <c r="P41">
        <v>4</v>
      </c>
      <c r="Q41" s="6">
        <f>'enz raw 4'!W5</f>
        <v>82.811700113868667</v>
      </c>
      <c r="R41" s="6">
        <f>'enz raw 4'!X5</f>
        <v>36.147269238118561</v>
      </c>
      <c r="S41" s="6">
        <f>'enz raw 4'!Y5</f>
        <v>35.326625320276221</v>
      </c>
      <c r="T41" s="6">
        <f>'enz raw 4'!Z5</f>
        <v>9.1006516517100806</v>
      </c>
    </row>
    <row r="42" spans="1:20">
      <c r="A42">
        <v>51</v>
      </c>
      <c r="B42">
        <v>9.77</v>
      </c>
      <c r="C42" s="11">
        <v>50</v>
      </c>
      <c r="D42">
        <v>0</v>
      </c>
      <c r="E42">
        <v>72.78</v>
      </c>
      <c r="F42">
        <f t="shared" si="3"/>
        <v>13.010000000000005</v>
      </c>
      <c r="G42" s="7">
        <f t="shared" si="4"/>
        <v>0.20647516267259172</v>
      </c>
      <c r="H42">
        <v>2.76</v>
      </c>
      <c r="I42" s="6">
        <f t="shared" si="5"/>
        <v>2.1901285510236468</v>
      </c>
      <c r="J42" t="s">
        <v>1</v>
      </c>
      <c r="K42" t="s">
        <v>2</v>
      </c>
      <c r="L42" t="s">
        <v>185</v>
      </c>
      <c r="M42">
        <v>6.14</v>
      </c>
      <c r="N42" s="71">
        <v>5.7841666666666711</v>
      </c>
      <c r="O42">
        <v>4</v>
      </c>
      <c r="P42">
        <v>5</v>
      </c>
      <c r="Q42" s="6">
        <f>'enz raw 4'!W6</f>
        <v>83.545996032671042</v>
      </c>
      <c r="R42" s="6">
        <f>'enz raw 4'!X6</f>
        <v>39.053368091028034</v>
      </c>
      <c r="S42" s="6">
        <f>'enz raw 4'!Y6</f>
        <v>40.477378969206839</v>
      </c>
      <c r="T42" s="6">
        <f>'enz raw 4'!Z6</f>
        <v>9.3002085738122116</v>
      </c>
    </row>
    <row r="43" spans="1:20">
      <c r="A43">
        <v>52</v>
      </c>
      <c r="B43">
        <v>9.73</v>
      </c>
      <c r="C43" s="11">
        <v>50</v>
      </c>
      <c r="D43">
        <v>1</v>
      </c>
      <c r="E43">
        <v>73.73</v>
      </c>
      <c r="F43">
        <f t="shared" si="3"/>
        <v>13</v>
      </c>
      <c r="G43" s="7">
        <f t="shared" si="4"/>
        <v>0.20634920634920634</v>
      </c>
      <c r="H43">
        <v>2.74</v>
      </c>
      <c r="I43" s="6">
        <f t="shared" si="5"/>
        <v>2.1746031746031749</v>
      </c>
      <c r="J43" t="s">
        <v>3</v>
      </c>
      <c r="K43" t="s">
        <v>2</v>
      </c>
      <c r="L43" t="s">
        <v>185</v>
      </c>
      <c r="M43">
        <v>6.09</v>
      </c>
      <c r="N43" s="71">
        <v>5.7841666666666711</v>
      </c>
      <c r="O43">
        <v>4</v>
      </c>
      <c r="P43">
        <v>6</v>
      </c>
      <c r="Q43" s="6">
        <f>'enz raw 4'!W7</f>
        <v>89.327520213652889</v>
      </c>
      <c r="R43" s="6">
        <f>'enz raw 4'!X7</f>
        <v>38.048717565762161</v>
      </c>
      <c r="S43" s="6">
        <f>'enz raw 4'!Y7</f>
        <v>42.301276359971176</v>
      </c>
      <c r="T43" s="6">
        <f>'enz raw 4'!Z7</f>
        <v>9.9830813339242699</v>
      </c>
    </row>
    <row r="44" spans="1:20">
      <c r="A44">
        <v>53</v>
      </c>
      <c r="B44">
        <v>9.3800000000000008</v>
      </c>
      <c r="C44" s="11">
        <v>50</v>
      </c>
      <c r="D44">
        <v>1</v>
      </c>
      <c r="E44">
        <v>73.39</v>
      </c>
      <c r="F44">
        <f t="shared" si="3"/>
        <v>13.009999999999998</v>
      </c>
      <c r="G44" s="7">
        <f t="shared" si="4"/>
        <v>0.20647516267259164</v>
      </c>
      <c r="H44">
        <v>2.72</v>
      </c>
      <c r="I44" s="6">
        <f t="shared" si="5"/>
        <v>2.1583875575305509</v>
      </c>
      <c r="J44" t="s">
        <v>4</v>
      </c>
      <c r="K44" t="s">
        <v>2</v>
      </c>
      <c r="L44" t="s">
        <v>185</v>
      </c>
      <c r="M44">
        <v>6.26</v>
      </c>
      <c r="N44" s="71">
        <v>5.7841666666666711</v>
      </c>
      <c r="O44">
        <v>4</v>
      </c>
      <c r="P44">
        <v>7</v>
      </c>
      <c r="Q44" s="6">
        <f>'enz raw 4'!W8</f>
        <v>92.851479730096401</v>
      </c>
      <c r="R44" s="6">
        <f>'enz raw 4'!X8</f>
        <v>38.43874374364875</v>
      </c>
      <c r="S44" s="6">
        <f>'enz raw 4'!Y8</f>
        <v>42.102943405131164</v>
      </c>
      <c r="T44" s="6">
        <f>'enz raw 4'!Z8</f>
        <v>10.45505095061853</v>
      </c>
    </row>
    <row r="45" spans="1:20">
      <c r="A45">
        <v>55</v>
      </c>
      <c r="B45">
        <v>9.41</v>
      </c>
      <c r="C45" s="11">
        <v>50</v>
      </c>
      <c r="D45">
        <v>1</v>
      </c>
      <c r="E45">
        <v>73.5</v>
      </c>
      <c r="F45">
        <f t="shared" si="3"/>
        <v>13.090000000000003</v>
      </c>
      <c r="G45" s="7">
        <f t="shared" si="4"/>
        <v>0.20748137581233164</v>
      </c>
      <c r="H45">
        <v>2.69</v>
      </c>
      <c r="I45" s="6">
        <f t="shared" si="5"/>
        <v>2.1318750990648279</v>
      </c>
      <c r="J45" t="s">
        <v>6</v>
      </c>
      <c r="K45" t="s">
        <v>2</v>
      </c>
      <c r="L45" t="s">
        <v>185</v>
      </c>
      <c r="M45">
        <v>6.06</v>
      </c>
      <c r="N45" s="71">
        <v>5.7841666666666711</v>
      </c>
      <c r="O45">
        <v>4</v>
      </c>
      <c r="P45">
        <v>8</v>
      </c>
      <c r="Q45" s="6">
        <f>'enz raw 4'!W9</f>
        <v>100.02570346128601</v>
      </c>
      <c r="R45" s="6">
        <f>'enz raw 4'!X9</f>
        <v>40.591821389089766</v>
      </c>
      <c r="S45" s="6">
        <f>'enz raw 4'!Y9</f>
        <v>42.859602143094655</v>
      </c>
      <c r="T45" s="6">
        <f>'enz raw 4'!Z9</f>
        <v>8.8131787021618653</v>
      </c>
    </row>
    <row r="46" spans="1:20">
      <c r="A46">
        <v>56</v>
      </c>
      <c r="B46">
        <v>9.34</v>
      </c>
      <c r="C46" s="11">
        <v>50</v>
      </c>
      <c r="D46">
        <v>0</v>
      </c>
      <c r="E46">
        <v>72.36</v>
      </c>
      <c r="F46">
        <f t="shared" si="3"/>
        <v>13.019999999999996</v>
      </c>
      <c r="G46" s="7">
        <f t="shared" si="4"/>
        <v>0.20660107902253247</v>
      </c>
      <c r="H46">
        <v>2.81</v>
      </c>
      <c r="I46" s="6">
        <f t="shared" si="5"/>
        <v>2.2294509679466836</v>
      </c>
      <c r="J46" t="s">
        <v>1</v>
      </c>
      <c r="K46" t="s">
        <v>2</v>
      </c>
      <c r="L46" t="s">
        <v>185</v>
      </c>
      <c r="M46">
        <v>6.13</v>
      </c>
      <c r="N46" s="71">
        <v>5.7841666666666711</v>
      </c>
      <c r="O46">
        <v>4</v>
      </c>
      <c r="P46">
        <v>9</v>
      </c>
      <c r="Q46" s="6">
        <f>'enz raw 4'!W10</f>
        <v>110.64587919879929</v>
      </c>
      <c r="R46" s="6">
        <f>'enz raw 4'!X10</f>
        <v>45.654079322339705</v>
      </c>
      <c r="S46" s="6">
        <f>'enz raw 4'!Y10</f>
        <v>44.279441772493556</v>
      </c>
      <c r="T46" s="6">
        <f>'enz raw 4'!Z10</f>
        <v>9.3040145077152161</v>
      </c>
    </row>
    <row r="47" spans="1:20">
      <c r="A47">
        <v>57</v>
      </c>
      <c r="B47">
        <v>9.67</v>
      </c>
      <c r="C47" s="11">
        <v>50</v>
      </c>
      <c r="D47">
        <v>1</v>
      </c>
      <c r="E47">
        <v>73.709999999999994</v>
      </c>
      <c r="F47">
        <f t="shared" si="3"/>
        <v>13.039999999999992</v>
      </c>
      <c r="G47" s="7">
        <f t="shared" si="4"/>
        <v>0.20685279187817249</v>
      </c>
      <c r="H47">
        <v>2.73</v>
      </c>
      <c r="I47" s="6">
        <f t="shared" si="5"/>
        <v>2.1652918781725892</v>
      </c>
      <c r="J47" t="s">
        <v>3</v>
      </c>
      <c r="K47" t="s">
        <v>2</v>
      </c>
      <c r="L47" t="s">
        <v>185</v>
      </c>
      <c r="M47">
        <v>6.14</v>
      </c>
      <c r="N47" s="71">
        <v>5.7841666666666711</v>
      </c>
      <c r="O47">
        <v>4</v>
      </c>
      <c r="P47">
        <v>10</v>
      </c>
      <c r="Q47" s="6">
        <f>'enz raw 4'!W11</f>
        <v>106.55193475048715</v>
      </c>
      <c r="R47" s="6">
        <f>'enz raw 4'!X11</f>
        <v>43.014200423696252</v>
      </c>
      <c r="S47" s="6">
        <f>'enz raw 4'!Y11</f>
        <v>39.42962868296128</v>
      </c>
      <c r="T47" s="6">
        <f>'enz raw 4'!Z11</f>
        <v>7.9617294191229959</v>
      </c>
    </row>
    <row r="48" spans="1:20">
      <c r="A48">
        <v>58</v>
      </c>
      <c r="B48">
        <v>9.36</v>
      </c>
      <c r="C48" s="11">
        <v>50</v>
      </c>
      <c r="D48">
        <v>1</v>
      </c>
      <c r="E48">
        <v>73.38</v>
      </c>
      <c r="F48">
        <f t="shared" si="3"/>
        <v>13.019999999999996</v>
      </c>
      <c r="G48" s="7">
        <f t="shared" si="4"/>
        <v>0.20660107902253247</v>
      </c>
      <c r="H48">
        <v>2.74</v>
      </c>
      <c r="I48" s="6">
        <f t="shared" si="5"/>
        <v>2.1739130434782612</v>
      </c>
      <c r="J48" t="s">
        <v>4</v>
      </c>
      <c r="K48" t="s">
        <v>2</v>
      </c>
      <c r="L48" t="s">
        <v>185</v>
      </c>
      <c r="M48">
        <v>6.26</v>
      </c>
      <c r="N48" s="71">
        <v>5.7841666666666711</v>
      </c>
      <c r="O48">
        <v>4</v>
      </c>
      <c r="P48">
        <v>11</v>
      </c>
      <c r="Q48" s="6">
        <f>'enz raw 4'!W12</f>
        <v>120.26509668166149</v>
      </c>
      <c r="R48" s="6">
        <f>'enz raw 4'!X12</f>
        <v>46.56649087181372</v>
      </c>
      <c r="S48" s="6">
        <f>'enz raw 4'!Y12</f>
        <v>41.399319773573012</v>
      </c>
      <c r="T48" s="6">
        <f>'enz raw 4'!Z12</f>
        <v>8.8486858782215965</v>
      </c>
    </row>
    <row r="49" spans="1:20">
      <c r="A49">
        <v>60</v>
      </c>
      <c r="B49">
        <v>9.41</v>
      </c>
      <c r="C49" s="11">
        <v>50</v>
      </c>
      <c r="D49">
        <v>1</v>
      </c>
      <c r="E49">
        <v>73.31</v>
      </c>
      <c r="F49">
        <f t="shared" si="3"/>
        <v>12.900000000000006</v>
      </c>
      <c r="G49" s="7">
        <f t="shared" si="4"/>
        <v>0.2050874403815581</v>
      </c>
      <c r="H49">
        <v>2.76</v>
      </c>
      <c r="I49" s="6">
        <f t="shared" si="5"/>
        <v>2.1939586645468996</v>
      </c>
      <c r="J49" t="s">
        <v>6</v>
      </c>
      <c r="K49" t="s">
        <v>2</v>
      </c>
      <c r="L49" t="s">
        <v>185</v>
      </c>
      <c r="M49">
        <v>6.1</v>
      </c>
      <c r="N49" s="71">
        <v>5.7841666666666711</v>
      </c>
      <c r="O49">
        <v>4</v>
      </c>
      <c r="P49">
        <v>12</v>
      </c>
      <c r="Q49" s="6">
        <f>'enz raw 4'!W13</f>
        <v>109.83814176660168</v>
      </c>
      <c r="R49" s="6">
        <f>'enz raw 4'!X13</f>
        <v>47.569170433455447</v>
      </c>
      <c r="S49" s="6">
        <f>'enz raw 4'!Y13</f>
        <v>45.678270083551993</v>
      </c>
      <c r="T49" s="6">
        <f>'enz raw 4'!Z13</f>
        <v>9.1852334474596695</v>
      </c>
    </row>
    <row r="50" spans="1:20">
      <c r="A50" s="4">
        <v>61</v>
      </c>
      <c r="B50">
        <v>9.35</v>
      </c>
      <c r="C50" s="11">
        <v>50</v>
      </c>
      <c r="D50">
        <v>0</v>
      </c>
      <c r="E50">
        <v>72.39</v>
      </c>
      <c r="F50">
        <f t="shared" si="3"/>
        <v>13.04</v>
      </c>
      <c r="G50" s="7">
        <f t="shared" si="4"/>
        <v>0.20685279187817257</v>
      </c>
      <c r="H50">
        <v>2.71</v>
      </c>
      <c r="I50" s="6">
        <f t="shared" si="5"/>
        <v>2.1494289340101522</v>
      </c>
      <c r="J50" t="s">
        <v>1</v>
      </c>
      <c r="K50" t="s">
        <v>7</v>
      </c>
      <c r="L50" t="s">
        <v>185</v>
      </c>
      <c r="M50">
        <v>5.82</v>
      </c>
      <c r="N50" s="71">
        <v>5.7841666666666711</v>
      </c>
      <c r="O50">
        <v>5</v>
      </c>
      <c r="P50">
        <v>1</v>
      </c>
      <c r="Q50" s="6">
        <f>'enz raw 5'!W2</f>
        <v>65.904022830604049</v>
      </c>
      <c r="R50" s="6">
        <f>'enz raw 5'!X2</f>
        <v>31.009700876760522</v>
      </c>
      <c r="S50" s="6">
        <f>'enz raw 5'!Y2</f>
        <v>22.476604024156043</v>
      </c>
      <c r="T50" s="6">
        <f>'enz raw 5'!Z2</f>
        <v>15.028290551016463</v>
      </c>
    </row>
    <row r="51" spans="1:20">
      <c r="A51" s="4">
        <v>62</v>
      </c>
      <c r="B51">
        <v>9.43</v>
      </c>
      <c r="C51" s="11">
        <v>50</v>
      </c>
      <c r="D51">
        <v>1</v>
      </c>
      <c r="E51">
        <v>73.48</v>
      </c>
      <c r="F51">
        <f t="shared" si="3"/>
        <v>13.050000000000004</v>
      </c>
      <c r="G51" s="7">
        <f t="shared" si="4"/>
        <v>0.20697858842188743</v>
      </c>
      <c r="H51">
        <v>2.71</v>
      </c>
      <c r="I51" s="6">
        <f t="shared" si="5"/>
        <v>2.1490880253766851</v>
      </c>
      <c r="J51" t="s">
        <v>3</v>
      </c>
      <c r="K51" t="s">
        <v>7</v>
      </c>
      <c r="L51" t="s">
        <v>185</v>
      </c>
      <c r="M51">
        <v>5.61</v>
      </c>
      <c r="N51" s="71">
        <v>5.7841666666666711</v>
      </c>
      <c r="O51">
        <v>5</v>
      </c>
      <c r="P51">
        <v>2</v>
      </c>
      <c r="Q51" s="6">
        <f>'enz raw 5'!W3</f>
        <v>70.909162856317067</v>
      </c>
      <c r="R51" s="6">
        <f>'enz raw 5'!X3</f>
        <v>30.09921438115752</v>
      </c>
      <c r="S51" s="6">
        <f>'enz raw 5'!Y3</f>
        <v>26.72834912397791</v>
      </c>
      <c r="T51" s="6">
        <f>'enz raw 5'!Z3</f>
        <v>14.028039981647783</v>
      </c>
    </row>
    <row r="52" spans="1:20">
      <c r="A52" s="4">
        <v>63</v>
      </c>
      <c r="B52">
        <v>9.77</v>
      </c>
      <c r="C52" s="11">
        <v>50</v>
      </c>
      <c r="D52">
        <v>1</v>
      </c>
      <c r="E52">
        <v>73.75</v>
      </c>
      <c r="F52">
        <f t="shared" si="3"/>
        <v>12.980000000000004</v>
      </c>
      <c r="G52" s="7">
        <f t="shared" si="4"/>
        <v>0.20609717370593844</v>
      </c>
      <c r="H52">
        <v>2.69</v>
      </c>
      <c r="I52" s="6">
        <f t="shared" si="5"/>
        <v>2.1355986027310254</v>
      </c>
      <c r="J52" t="s">
        <v>4</v>
      </c>
      <c r="K52" t="s">
        <v>7</v>
      </c>
      <c r="L52" t="s">
        <v>185</v>
      </c>
      <c r="M52">
        <v>5.45</v>
      </c>
      <c r="N52" s="71">
        <v>5.7841666666666711</v>
      </c>
      <c r="O52">
        <v>5</v>
      </c>
      <c r="P52">
        <v>3</v>
      </c>
      <c r="Q52" s="6">
        <f>'enz raw 5'!W4</f>
        <v>68.525157516533767</v>
      </c>
      <c r="R52" s="6">
        <f>'enz raw 5'!X4</f>
        <v>28.885815814556572</v>
      </c>
      <c r="S52" s="6">
        <f>'enz raw 5'!Y4</f>
        <v>24.669265590703024</v>
      </c>
      <c r="T52" s="6">
        <f>'enz raw 5'!Z4</f>
        <v>16.460238504003016</v>
      </c>
    </row>
    <row r="53" spans="1:20">
      <c r="A53" s="4">
        <v>65</v>
      </c>
      <c r="B53">
        <v>9.76</v>
      </c>
      <c r="C53" s="11">
        <v>50</v>
      </c>
      <c r="D53">
        <v>1</v>
      </c>
      <c r="E53">
        <v>73.83</v>
      </c>
      <c r="F53">
        <f t="shared" si="3"/>
        <v>13.07</v>
      </c>
      <c r="G53" s="7">
        <f t="shared" si="4"/>
        <v>0.20723006183605519</v>
      </c>
      <c r="H53">
        <v>2.72</v>
      </c>
      <c r="I53" s="6">
        <f t="shared" si="5"/>
        <v>2.1563342318059302</v>
      </c>
      <c r="J53" t="s">
        <v>6</v>
      </c>
      <c r="K53" t="s">
        <v>7</v>
      </c>
      <c r="L53" t="s">
        <v>185</v>
      </c>
      <c r="M53">
        <v>5.71</v>
      </c>
      <c r="N53" s="71">
        <v>5.7841666666666711</v>
      </c>
      <c r="O53">
        <v>5</v>
      </c>
      <c r="P53">
        <v>4</v>
      </c>
      <c r="Q53" s="6">
        <f>'enz raw 5'!W5</f>
        <v>65.080816301145788</v>
      </c>
      <c r="R53" s="6">
        <f>'enz raw 5'!X5</f>
        <v>28.604046971374594</v>
      </c>
      <c r="S53" s="6">
        <f>'enz raw 5'!Y5</f>
        <v>25.360411658981729</v>
      </c>
      <c r="T53" s="6">
        <f>'enz raw 5'!Z5</f>
        <v>13.871337217744374</v>
      </c>
    </row>
    <row r="54" spans="1:20">
      <c r="A54" s="4">
        <v>66</v>
      </c>
      <c r="B54">
        <v>9.69</v>
      </c>
      <c r="C54" s="11">
        <v>50</v>
      </c>
      <c r="D54">
        <v>0</v>
      </c>
      <c r="E54">
        <v>72.69</v>
      </c>
      <c r="F54">
        <f t="shared" si="3"/>
        <v>13</v>
      </c>
      <c r="G54" s="7">
        <f t="shared" si="4"/>
        <v>0.20634920634920634</v>
      </c>
      <c r="H54">
        <v>2.7</v>
      </c>
      <c r="I54" s="6">
        <f t="shared" si="5"/>
        <v>2.1428571428571432</v>
      </c>
      <c r="J54" t="s">
        <v>1</v>
      </c>
      <c r="K54" t="s">
        <v>7</v>
      </c>
      <c r="L54" t="s">
        <v>185</v>
      </c>
      <c r="M54">
        <v>5.72</v>
      </c>
      <c r="N54" s="71">
        <v>5.7841666666666711</v>
      </c>
      <c r="O54">
        <v>5</v>
      </c>
      <c r="P54">
        <v>5</v>
      </c>
      <c r="Q54" s="6">
        <f>'enz raw 5'!W6</f>
        <v>63.056397739927966</v>
      </c>
      <c r="R54" s="6">
        <f>'enz raw 5'!X6</f>
        <v>29.317458890209963</v>
      </c>
      <c r="S54" s="6">
        <f>'enz raw 5'!Y6</f>
        <v>25.843530347718271</v>
      </c>
      <c r="T54" s="6">
        <f>'enz raw 5'!Z6</f>
        <v>15.463305256267788</v>
      </c>
    </row>
    <row r="55" spans="1:20">
      <c r="A55" s="4">
        <v>67</v>
      </c>
      <c r="B55">
        <v>9.7799999999999994</v>
      </c>
      <c r="C55" s="11">
        <v>50</v>
      </c>
      <c r="D55">
        <v>1</v>
      </c>
      <c r="E55">
        <v>73.819999999999993</v>
      </c>
      <c r="F55">
        <f t="shared" si="3"/>
        <v>13.039999999999992</v>
      </c>
      <c r="G55" s="7">
        <f t="shared" si="4"/>
        <v>0.20685279187817249</v>
      </c>
      <c r="H55">
        <v>2.75</v>
      </c>
      <c r="I55" s="6">
        <f t="shared" si="5"/>
        <v>2.1811548223350257</v>
      </c>
      <c r="J55" t="s">
        <v>3</v>
      </c>
      <c r="K55" t="s">
        <v>7</v>
      </c>
      <c r="L55" t="s">
        <v>185</v>
      </c>
      <c r="M55">
        <v>5.6</v>
      </c>
      <c r="N55" s="71">
        <v>5.7841666666666711</v>
      </c>
      <c r="O55">
        <v>5</v>
      </c>
      <c r="P55">
        <v>6</v>
      </c>
      <c r="Q55" s="6">
        <f>'enz raw 5'!W7</f>
        <v>62.618475875968031</v>
      </c>
      <c r="R55" s="6">
        <f>'enz raw 5'!X7</f>
        <v>29.074051786381428</v>
      </c>
      <c r="S55" s="6">
        <f>'enz raw 5'!Y7</f>
        <v>29.326936683954223</v>
      </c>
      <c r="T55" s="6">
        <f>'enz raw 5'!Z7</f>
        <v>13.819325593259901</v>
      </c>
    </row>
    <row r="56" spans="1:20">
      <c r="A56" s="4">
        <v>68</v>
      </c>
      <c r="B56">
        <v>9.39</v>
      </c>
      <c r="C56" s="11">
        <v>50</v>
      </c>
      <c r="D56">
        <v>1</v>
      </c>
      <c r="E56">
        <v>73.489999999999995</v>
      </c>
      <c r="F56">
        <f t="shared" si="3"/>
        <v>13.099999999999994</v>
      </c>
      <c r="G56" s="7">
        <f t="shared" si="4"/>
        <v>0.20760697305863701</v>
      </c>
      <c r="H56">
        <v>2.71</v>
      </c>
      <c r="I56" s="6">
        <f t="shared" si="5"/>
        <v>2.1473851030110938</v>
      </c>
      <c r="J56" t="s">
        <v>4</v>
      </c>
      <c r="K56" t="s">
        <v>7</v>
      </c>
      <c r="L56" t="s">
        <v>185</v>
      </c>
      <c r="M56">
        <v>5.47</v>
      </c>
      <c r="N56" s="71">
        <v>5.7841666666666711</v>
      </c>
      <c r="O56">
        <v>5</v>
      </c>
      <c r="P56">
        <v>7</v>
      </c>
      <c r="Q56" s="6">
        <f>'enz raw 5'!W8</f>
        <v>62.659983554775017</v>
      </c>
      <c r="R56" s="6">
        <f>'enz raw 5'!X8</f>
        <v>30.969556618956009</v>
      </c>
      <c r="S56" s="6">
        <f>'enz raw 5'!Y8</f>
        <v>29.966869531269463</v>
      </c>
      <c r="T56" s="6">
        <f>'enz raw 5'!Z8</f>
        <v>18.575775787620852</v>
      </c>
    </row>
    <row r="57" spans="1:20">
      <c r="A57" s="4">
        <v>70</v>
      </c>
      <c r="B57">
        <v>9.31</v>
      </c>
      <c r="C57" s="11">
        <v>50</v>
      </c>
      <c r="D57">
        <v>1</v>
      </c>
      <c r="E57">
        <v>73.42</v>
      </c>
      <c r="F57">
        <f t="shared" si="3"/>
        <v>13.11</v>
      </c>
      <c r="G57" s="7">
        <f t="shared" si="4"/>
        <v>0.20773253050229756</v>
      </c>
      <c r="H57">
        <v>2.76</v>
      </c>
      <c r="I57" s="6">
        <f t="shared" si="5"/>
        <v>2.1866582158136585</v>
      </c>
      <c r="J57" t="s">
        <v>6</v>
      </c>
      <c r="K57" t="s">
        <v>7</v>
      </c>
      <c r="L57" t="s">
        <v>185</v>
      </c>
      <c r="M57">
        <v>5.74</v>
      </c>
      <c r="N57" s="71">
        <v>5.7841666666666711</v>
      </c>
      <c r="O57">
        <v>5</v>
      </c>
      <c r="P57">
        <v>8</v>
      </c>
      <c r="Q57" s="6">
        <f>'enz raw 5'!W9</f>
        <v>69.078255273110855</v>
      </c>
      <c r="R57" s="6">
        <f>'enz raw 5'!X9</f>
        <v>30.337983827763576</v>
      </c>
      <c r="S57" s="6">
        <f>'enz raw 5'!Y9</f>
        <v>29.609042440727194</v>
      </c>
      <c r="T57" s="6">
        <f>'enz raw 5'!Z9</f>
        <v>14.575241802429968</v>
      </c>
    </row>
    <row r="58" spans="1:20">
      <c r="A58" s="4">
        <v>71</v>
      </c>
      <c r="B58">
        <v>9.2899999999999991</v>
      </c>
      <c r="C58" s="11">
        <v>50</v>
      </c>
      <c r="D58">
        <v>0</v>
      </c>
      <c r="E58">
        <v>72.209999999999994</v>
      </c>
      <c r="F58">
        <f t="shared" si="3"/>
        <v>12.919999999999995</v>
      </c>
      <c r="G58" s="7">
        <f t="shared" si="4"/>
        <v>0.20534011443102346</v>
      </c>
      <c r="H58">
        <v>2.73</v>
      </c>
      <c r="I58" s="6">
        <f t="shared" si="5"/>
        <v>2.169421487603306</v>
      </c>
      <c r="J58" t="s">
        <v>1</v>
      </c>
      <c r="K58" t="s">
        <v>7</v>
      </c>
      <c r="L58" t="s">
        <v>185</v>
      </c>
      <c r="M58">
        <v>5.63</v>
      </c>
      <c r="N58" s="71">
        <v>5.7841666666666711</v>
      </c>
      <c r="O58">
        <v>5</v>
      </c>
      <c r="P58">
        <v>9</v>
      </c>
      <c r="Q58" s="6">
        <f>'enz raw 5'!W10</f>
        <v>68.57811326257729</v>
      </c>
      <c r="R58" s="6">
        <f>'enz raw 5'!X10</f>
        <v>31.106910689325243</v>
      </c>
      <c r="S58" s="6">
        <f>'enz raw 5'!Y10</f>
        <v>32.009568767154136</v>
      </c>
      <c r="T58" s="6">
        <f>'enz raw 5'!Z10</f>
        <v>16.652610325638918</v>
      </c>
    </row>
    <row r="59" spans="1:20">
      <c r="A59" s="4">
        <v>72</v>
      </c>
      <c r="B59">
        <v>9.68</v>
      </c>
      <c r="C59" s="11">
        <v>50</v>
      </c>
      <c r="D59">
        <v>1</v>
      </c>
      <c r="E59">
        <v>73.739999999999995</v>
      </c>
      <c r="F59">
        <f t="shared" si="3"/>
        <v>13.059999999999995</v>
      </c>
      <c r="G59" s="7">
        <f t="shared" si="4"/>
        <v>0.20710434506818898</v>
      </c>
      <c r="H59">
        <v>2.71</v>
      </c>
      <c r="I59" s="6">
        <f t="shared" si="5"/>
        <v>2.148747224865208</v>
      </c>
      <c r="J59" t="s">
        <v>3</v>
      </c>
      <c r="K59" t="s">
        <v>7</v>
      </c>
      <c r="L59" t="s">
        <v>185</v>
      </c>
      <c r="M59">
        <v>5.57</v>
      </c>
      <c r="N59" s="71">
        <v>5.7841666666666711</v>
      </c>
      <c r="O59">
        <v>5</v>
      </c>
      <c r="P59">
        <v>10</v>
      </c>
      <c r="Q59" s="6">
        <f>'enz raw 5'!W11</f>
        <v>71.454145757742921</v>
      </c>
      <c r="R59" s="6">
        <f>'enz raw 5'!X11</f>
        <v>34.548144517212592</v>
      </c>
      <c r="S59" s="6">
        <f>'enz raw 5'!Y11</f>
        <v>30.608105631967032</v>
      </c>
      <c r="T59" s="6">
        <f>'enz raw 5'!Z11</f>
        <v>15.809998191998524</v>
      </c>
    </row>
    <row r="60" spans="1:20">
      <c r="A60" s="4">
        <v>73</v>
      </c>
      <c r="B60">
        <v>9.68</v>
      </c>
      <c r="C60" s="11">
        <v>50</v>
      </c>
      <c r="D60">
        <v>1</v>
      </c>
      <c r="E60">
        <v>73.67</v>
      </c>
      <c r="F60">
        <f t="shared" si="3"/>
        <v>12.990000000000002</v>
      </c>
      <c r="G60" s="7">
        <f t="shared" si="4"/>
        <v>0.20622321003333866</v>
      </c>
      <c r="H60">
        <v>2.76</v>
      </c>
      <c r="I60" s="6">
        <f t="shared" si="5"/>
        <v>2.1908239403079852</v>
      </c>
      <c r="J60" t="s">
        <v>4</v>
      </c>
      <c r="K60" t="s">
        <v>7</v>
      </c>
      <c r="L60" t="s">
        <v>185</v>
      </c>
      <c r="M60">
        <v>5.41</v>
      </c>
      <c r="N60" s="71">
        <v>5.7841666666666711</v>
      </c>
      <c r="O60">
        <v>5</v>
      </c>
      <c r="P60">
        <v>11</v>
      </c>
      <c r="Q60" s="6">
        <f>'enz raw 5'!W12</f>
        <v>72.657705141211409</v>
      </c>
      <c r="R60" s="6">
        <f>'enz raw 5'!X12</f>
        <v>32.78249162527414</v>
      </c>
      <c r="S60" s="6">
        <f>'enz raw 5'!Y12</f>
        <v>35.10040344313019</v>
      </c>
      <c r="T60" s="6">
        <f>'enz raw 5'!Z12</f>
        <v>17.551843852392153</v>
      </c>
    </row>
    <row r="61" spans="1:20">
      <c r="A61" s="4">
        <v>75</v>
      </c>
      <c r="B61">
        <v>9.32</v>
      </c>
      <c r="C61" s="11">
        <v>50</v>
      </c>
      <c r="D61">
        <v>1</v>
      </c>
      <c r="E61">
        <v>73.42</v>
      </c>
      <c r="F61">
        <f t="shared" si="3"/>
        <v>13.100000000000001</v>
      </c>
      <c r="G61" s="7">
        <f t="shared" si="4"/>
        <v>0.2076069730586371</v>
      </c>
      <c r="H61">
        <v>2.72</v>
      </c>
      <c r="I61" s="6">
        <f t="shared" si="5"/>
        <v>2.1553090332805072</v>
      </c>
      <c r="J61" t="s">
        <v>6</v>
      </c>
      <c r="K61" t="s">
        <v>7</v>
      </c>
      <c r="L61" t="s">
        <v>185</v>
      </c>
      <c r="M61">
        <v>5.57</v>
      </c>
      <c r="N61" s="71">
        <v>5.7841666666666711</v>
      </c>
      <c r="O61">
        <v>5</v>
      </c>
      <c r="P61">
        <v>12</v>
      </c>
      <c r="Q61" s="6">
        <f>'enz raw 5'!W13</f>
        <v>90.088398128681163</v>
      </c>
      <c r="R61" s="6">
        <f>'enz raw 5'!X13</f>
        <v>43.156551458923275</v>
      </c>
      <c r="S61" s="6">
        <f>'enz raw 5'!Y13</f>
        <v>37.879694400721895</v>
      </c>
      <c r="T61" s="6">
        <f>'enz raw 5'!Z13</f>
        <v>19.982389160179586</v>
      </c>
    </row>
    <row r="62" spans="1:20">
      <c r="A62" s="4">
        <v>76</v>
      </c>
      <c r="B62">
        <v>9.3800000000000008</v>
      </c>
      <c r="C62" s="11">
        <v>50</v>
      </c>
      <c r="D62">
        <v>0</v>
      </c>
      <c r="E62">
        <v>72.3</v>
      </c>
      <c r="F62">
        <f t="shared" si="3"/>
        <v>12.919999999999995</v>
      </c>
      <c r="G62" s="7">
        <f t="shared" si="4"/>
        <v>0.20534011443102346</v>
      </c>
      <c r="H62">
        <v>2.77</v>
      </c>
      <c r="I62" s="6">
        <f t="shared" si="5"/>
        <v>2.2012078830260648</v>
      </c>
      <c r="J62" t="s">
        <v>1</v>
      </c>
      <c r="K62" t="s">
        <v>7</v>
      </c>
      <c r="L62" t="s">
        <v>185</v>
      </c>
      <c r="M62">
        <v>5.62</v>
      </c>
      <c r="N62" s="71">
        <v>5.7841666666666711</v>
      </c>
      <c r="O62">
        <v>6</v>
      </c>
      <c r="P62">
        <v>1</v>
      </c>
      <c r="Q62" s="6">
        <f>'enz raw 6'!W2</f>
        <v>68.649869647089176</v>
      </c>
      <c r="R62" s="6">
        <f>'enz raw 6'!X2</f>
        <v>29.059940386658095</v>
      </c>
      <c r="S62" s="6">
        <f>'enz raw 6'!Y2</f>
        <v>33.549622738622475</v>
      </c>
      <c r="T62" s="6">
        <f>'enz raw 6'!Z2</f>
        <v>14.184201559180018</v>
      </c>
    </row>
    <row r="63" spans="1:20">
      <c r="A63" s="4">
        <v>77</v>
      </c>
      <c r="B63">
        <v>9.7799999999999994</v>
      </c>
      <c r="C63" s="11">
        <v>50</v>
      </c>
      <c r="D63">
        <v>1</v>
      </c>
      <c r="E63">
        <v>73.87</v>
      </c>
      <c r="F63">
        <f t="shared" si="3"/>
        <v>13.090000000000003</v>
      </c>
      <c r="G63" s="7">
        <f t="shared" si="4"/>
        <v>0.20748137581233164</v>
      </c>
      <c r="H63">
        <v>2.82</v>
      </c>
      <c r="I63" s="6">
        <f t="shared" si="5"/>
        <v>2.2349025202092245</v>
      </c>
      <c r="J63" t="s">
        <v>3</v>
      </c>
      <c r="K63" t="s">
        <v>7</v>
      </c>
      <c r="L63" t="s">
        <v>185</v>
      </c>
      <c r="M63">
        <v>5.42</v>
      </c>
      <c r="N63" s="71">
        <v>5.7841666666666711</v>
      </c>
      <c r="O63">
        <v>6</v>
      </c>
      <c r="P63">
        <v>2</v>
      </c>
      <c r="Q63" s="6">
        <f>'enz raw 6'!W3</f>
        <v>76.313943390280713</v>
      </c>
      <c r="R63" s="6">
        <f>'enz raw 6'!X3</f>
        <v>34.492886149488669</v>
      </c>
      <c r="S63" s="6">
        <f>'enz raw 6'!Y3</f>
        <v>31.388681565807577</v>
      </c>
      <c r="T63" s="6">
        <f>'enz raw 6'!Z3</f>
        <v>15.73203804146981</v>
      </c>
    </row>
    <row r="64" spans="1:20">
      <c r="A64" s="4">
        <v>78</v>
      </c>
      <c r="B64">
        <v>9.75</v>
      </c>
      <c r="C64" s="11">
        <v>50</v>
      </c>
      <c r="D64">
        <v>1</v>
      </c>
      <c r="E64">
        <v>73.739999999999995</v>
      </c>
      <c r="F64">
        <f t="shared" si="3"/>
        <v>12.989999999999995</v>
      </c>
      <c r="G64" s="7">
        <f t="shared" si="4"/>
        <v>0.20622321003333857</v>
      </c>
      <c r="H64">
        <v>2.7</v>
      </c>
      <c r="I64" s="6">
        <f t="shared" si="5"/>
        <v>2.143197332909986</v>
      </c>
      <c r="J64" t="s">
        <v>4</v>
      </c>
      <c r="K64" t="s">
        <v>7</v>
      </c>
      <c r="L64" t="s">
        <v>185</v>
      </c>
      <c r="M64">
        <v>5.43</v>
      </c>
      <c r="N64" s="71">
        <v>5.7841666666666711</v>
      </c>
      <c r="O64">
        <v>6</v>
      </c>
      <c r="P64">
        <v>3</v>
      </c>
      <c r="Q64" s="6">
        <f>'enz raw 6'!W4</f>
        <v>76.060970249144091</v>
      </c>
      <c r="R64" s="6">
        <f>'enz raw 6'!X4</f>
        <v>28.530761061980868</v>
      </c>
      <c r="S64" s="6">
        <f>'enz raw 6'!Y4</f>
        <v>31.017925617918266</v>
      </c>
      <c r="T64" s="6">
        <f>'enz raw 6'!Z4</f>
        <v>12.138329180599499</v>
      </c>
    </row>
    <row r="65" spans="1:20">
      <c r="A65" s="4">
        <v>80</v>
      </c>
      <c r="B65">
        <v>9.65</v>
      </c>
      <c r="C65" s="11">
        <v>50</v>
      </c>
      <c r="D65">
        <v>1</v>
      </c>
      <c r="E65">
        <v>73.7</v>
      </c>
      <c r="F65">
        <f t="shared" si="3"/>
        <v>13.050000000000004</v>
      </c>
      <c r="G65" s="7">
        <f t="shared" si="4"/>
        <v>0.20697858842188743</v>
      </c>
      <c r="H65">
        <v>2.74</v>
      </c>
      <c r="I65" s="6">
        <f t="shared" si="5"/>
        <v>2.1728786677240288</v>
      </c>
      <c r="J65" t="s">
        <v>6</v>
      </c>
      <c r="K65" t="s">
        <v>7</v>
      </c>
      <c r="L65" t="s">
        <v>185</v>
      </c>
      <c r="M65">
        <v>5.57</v>
      </c>
      <c r="N65" s="71">
        <v>5.7841666666666711</v>
      </c>
      <c r="O65">
        <v>6</v>
      </c>
      <c r="P65">
        <v>4</v>
      </c>
      <c r="Q65" s="6">
        <f>'enz raw 6'!W5</f>
        <v>75.47101819078452</v>
      </c>
      <c r="R65" s="6">
        <f>'enz raw 6'!X5</f>
        <v>31.969660147132753</v>
      </c>
      <c r="S65" s="6">
        <f>'enz raw 6'!Y5</f>
        <v>33.30465939212533</v>
      </c>
      <c r="T65" s="6">
        <f>'enz raw 6'!Z5</f>
        <v>15.647291724557734</v>
      </c>
    </row>
    <row r="66" spans="1:20">
      <c r="A66">
        <v>81</v>
      </c>
      <c r="B66">
        <v>9.67</v>
      </c>
      <c r="C66" s="11">
        <v>50</v>
      </c>
      <c r="D66">
        <v>0</v>
      </c>
      <c r="E66">
        <v>72.459999999999994</v>
      </c>
      <c r="F66">
        <f t="shared" ref="F66:F97" si="6">E66-D66-B66-C66</f>
        <v>12.789999999999992</v>
      </c>
      <c r="G66" s="7">
        <f t="shared" ref="G66:G97" si="7">F66/(F66+C66)</f>
        <v>0.20369485586876881</v>
      </c>
      <c r="H66">
        <v>2.76</v>
      </c>
      <c r="I66" s="6">
        <f t="shared" ref="I66:I97" si="8">H66-(H66*G66)</f>
        <v>2.197802197802198</v>
      </c>
      <c r="J66" t="s">
        <v>1</v>
      </c>
      <c r="K66" t="s">
        <v>2</v>
      </c>
      <c r="L66" t="s">
        <v>186</v>
      </c>
      <c r="M66">
        <v>6</v>
      </c>
      <c r="N66" s="71">
        <v>5.7841666666666711</v>
      </c>
      <c r="O66">
        <v>6</v>
      </c>
      <c r="P66">
        <v>5</v>
      </c>
      <c r="Q66" s="6">
        <f>'enz raw 6'!W6</f>
        <v>80.116541914235171</v>
      </c>
      <c r="R66" s="6">
        <f>'enz raw 6'!X6</f>
        <v>34.753897309291787</v>
      </c>
      <c r="S66" s="6">
        <f>'enz raw 6'!Y6</f>
        <v>40.369069840377215</v>
      </c>
      <c r="T66" s="6">
        <f>'enz raw 6'!Z6</f>
        <v>17.521983611959392</v>
      </c>
    </row>
    <row r="67" spans="1:20">
      <c r="A67">
        <v>82</v>
      </c>
      <c r="B67" s="10">
        <v>9.76</v>
      </c>
      <c r="C67" s="11">
        <v>50</v>
      </c>
      <c r="D67">
        <v>1</v>
      </c>
      <c r="E67">
        <v>73.760000000000005</v>
      </c>
      <c r="F67">
        <f t="shared" si="6"/>
        <v>13.000000000000007</v>
      </c>
      <c r="G67" s="7">
        <f t="shared" si="7"/>
        <v>0.20634920634920645</v>
      </c>
      <c r="H67">
        <v>2.81</v>
      </c>
      <c r="I67" s="6">
        <f t="shared" si="8"/>
        <v>2.2301587301587298</v>
      </c>
      <c r="J67" t="s">
        <v>3</v>
      </c>
      <c r="K67" t="s">
        <v>2</v>
      </c>
      <c r="L67" t="s">
        <v>186</v>
      </c>
      <c r="M67">
        <v>6.09</v>
      </c>
      <c r="N67" s="71">
        <v>5.7841666666666711</v>
      </c>
      <c r="O67">
        <v>6</v>
      </c>
      <c r="P67">
        <v>6</v>
      </c>
      <c r="Q67" s="6">
        <f>'enz raw 6'!W7</f>
        <v>76.89264846509603</v>
      </c>
      <c r="R67" s="6">
        <f>'enz raw 6'!X7</f>
        <v>32.072713884534849</v>
      </c>
      <c r="S67" s="6">
        <f>'enz raw 6'!Y7</f>
        <v>44.607481159942488</v>
      </c>
      <c r="T67" s="6">
        <f>'enz raw 6'!Z7</f>
        <v>16.019932243953505</v>
      </c>
    </row>
    <row r="68" spans="1:20">
      <c r="A68">
        <v>83</v>
      </c>
      <c r="B68">
        <v>9.75</v>
      </c>
      <c r="C68" s="11">
        <v>50</v>
      </c>
      <c r="D68">
        <v>1</v>
      </c>
      <c r="E68">
        <v>73.72</v>
      </c>
      <c r="F68">
        <f t="shared" si="6"/>
        <v>12.969999999999999</v>
      </c>
      <c r="G68" s="7">
        <f t="shared" si="7"/>
        <v>0.20597109734794344</v>
      </c>
      <c r="H68">
        <v>2.74</v>
      </c>
      <c r="I68" s="6">
        <f t="shared" si="8"/>
        <v>2.175639193266635</v>
      </c>
      <c r="J68" t="s">
        <v>4</v>
      </c>
      <c r="K68" t="s">
        <v>2</v>
      </c>
      <c r="L68" t="s">
        <v>186</v>
      </c>
      <c r="M68">
        <v>6.15</v>
      </c>
      <c r="N68" s="71">
        <v>5.7841666666666711</v>
      </c>
      <c r="O68">
        <v>6</v>
      </c>
      <c r="P68">
        <v>7</v>
      </c>
      <c r="Q68" s="6">
        <f>'enz raw 6'!W8</f>
        <v>66.134655304527413</v>
      </c>
      <c r="R68" s="6">
        <f>'enz raw 6'!X8</f>
        <v>28.813404608343433</v>
      </c>
      <c r="S68" s="6">
        <f>'enz raw 6'!Y8</f>
        <v>35.59597404703792</v>
      </c>
      <c r="T68" s="6">
        <f>'enz raw 6'!Z8</f>
        <v>14.468842265932571</v>
      </c>
    </row>
    <row r="69" spans="1:20">
      <c r="A69">
        <v>85</v>
      </c>
      <c r="B69">
        <v>9.56</v>
      </c>
      <c r="C69" s="11">
        <v>50</v>
      </c>
      <c r="D69">
        <v>1</v>
      </c>
      <c r="E69">
        <v>73.48</v>
      </c>
      <c r="F69">
        <f t="shared" si="6"/>
        <v>12.920000000000002</v>
      </c>
      <c r="G69" s="7">
        <f t="shared" si="7"/>
        <v>0.20534011443102354</v>
      </c>
      <c r="H69">
        <v>2.77</v>
      </c>
      <c r="I69" s="6">
        <f t="shared" si="8"/>
        <v>2.2012078830260648</v>
      </c>
      <c r="J69" t="s">
        <v>6</v>
      </c>
      <c r="K69" t="s">
        <v>2</v>
      </c>
      <c r="L69" t="s">
        <v>186</v>
      </c>
      <c r="M69">
        <v>6.29</v>
      </c>
      <c r="N69" s="71">
        <v>5.7841666666666711</v>
      </c>
      <c r="O69">
        <v>6</v>
      </c>
      <c r="P69">
        <v>8</v>
      </c>
      <c r="Q69" s="6">
        <f>'enz raw 6'!W9</f>
        <v>75.911609248586629</v>
      </c>
      <c r="R69" s="6">
        <f>'enz raw 6'!X9</f>
        <v>30.126890269364392</v>
      </c>
      <c r="S69" s="6">
        <f>'enz raw 6'!Y9</f>
        <v>39.54865485753529</v>
      </c>
      <c r="T69" s="6">
        <f>'enz raw 6'!Z9</f>
        <v>14.61134253661737</v>
      </c>
    </row>
    <row r="70" spans="1:20">
      <c r="A70">
        <v>86</v>
      </c>
      <c r="B70">
        <v>9.24</v>
      </c>
      <c r="C70" s="11">
        <v>50</v>
      </c>
      <c r="D70">
        <v>0</v>
      </c>
      <c r="E70">
        <v>71.959999999999994</v>
      </c>
      <c r="F70">
        <f t="shared" si="6"/>
        <v>12.719999999999992</v>
      </c>
      <c r="G70" s="7">
        <f t="shared" si="7"/>
        <v>0.2028061224489795</v>
      </c>
      <c r="H70">
        <v>2.74</v>
      </c>
      <c r="I70" s="6">
        <f t="shared" si="8"/>
        <v>2.1843112244897962</v>
      </c>
      <c r="J70" t="s">
        <v>1</v>
      </c>
      <c r="K70" t="s">
        <v>2</v>
      </c>
      <c r="L70" t="s">
        <v>186</v>
      </c>
      <c r="M70">
        <v>6.02</v>
      </c>
      <c r="N70" s="71">
        <v>5.7841666666666711</v>
      </c>
      <c r="O70">
        <v>6</v>
      </c>
      <c r="P70">
        <v>9</v>
      </c>
      <c r="Q70" s="6">
        <f>'enz raw 6'!W10</f>
        <v>75.90449481567488</v>
      </c>
      <c r="R70" s="6">
        <f>'enz raw 6'!X10</f>
        <v>32.185619130517907</v>
      </c>
      <c r="S70" s="6">
        <f>'enz raw 6'!Y10</f>
        <v>37.169008348969136</v>
      </c>
      <c r="T70" s="6">
        <f>'enz raw 6'!Z10</f>
        <v>16.485117789571031</v>
      </c>
    </row>
    <row r="71" spans="1:20">
      <c r="A71">
        <v>87</v>
      </c>
      <c r="B71">
        <v>9.43</v>
      </c>
      <c r="C71" s="11">
        <v>50</v>
      </c>
      <c r="D71">
        <v>1</v>
      </c>
      <c r="E71">
        <v>73.459999999999994</v>
      </c>
      <c r="F71">
        <f t="shared" si="6"/>
        <v>13.029999999999994</v>
      </c>
      <c r="G71" s="7">
        <f t="shared" si="7"/>
        <v>0.20672695541805483</v>
      </c>
      <c r="H71">
        <v>2.82</v>
      </c>
      <c r="I71" s="6">
        <f t="shared" si="8"/>
        <v>2.2370299857210854</v>
      </c>
      <c r="J71" t="s">
        <v>3</v>
      </c>
      <c r="K71" t="s">
        <v>2</v>
      </c>
      <c r="L71" t="s">
        <v>186</v>
      </c>
      <c r="M71">
        <v>6.1</v>
      </c>
      <c r="N71" s="71">
        <v>5.7841666666666711</v>
      </c>
      <c r="O71">
        <v>6</v>
      </c>
      <c r="P71">
        <v>10</v>
      </c>
      <c r="Q71" s="6">
        <f>'enz raw 6'!W11</f>
        <v>71.946844167634879</v>
      </c>
      <c r="R71" s="6">
        <f>'enz raw 6'!X11</f>
        <v>30.127780945735996</v>
      </c>
      <c r="S71" s="6">
        <f>'enz raw 6'!Y11</f>
        <v>41.193106643302905</v>
      </c>
      <c r="T71" s="6">
        <f>'enz raw 6'!Z11</f>
        <v>15.393928086446293</v>
      </c>
    </row>
    <row r="72" spans="1:20">
      <c r="A72">
        <v>88</v>
      </c>
      <c r="B72">
        <v>9.61</v>
      </c>
      <c r="C72" s="11">
        <v>50</v>
      </c>
      <c r="D72">
        <v>1</v>
      </c>
      <c r="E72">
        <v>73.31</v>
      </c>
      <c r="F72">
        <f t="shared" si="6"/>
        <v>12.700000000000003</v>
      </c>
      <c r="G72" s="7">
        <f t="shared" si="7"/>
        <v>0.20255183413078154</v>
      </c>
      <c r="H72">
        <v>2.71</v>
      </c>
      <c r="I72" s="6">
        <f t="shared" si="8"/>
        <v>2.1610845295055823</v>
      </c>
      <c r="J72" t="s">
        <v>4</v>
      </c>
      <c r="K72" t="s">
        <v>2</v>
      </c>
      <c r="L72" t="s">
        <v>186</v>
      </c>
      <c r="M72">
        <v>6.17</v>
      </c>
      <c r="N72" s="71">
        <v>5.7841666666666711</v>
      </c>
      <c r="O72">
        <v>6</v>
      </c>
      <c r="P72">
        <v>11</v>
      </c>
      <c r="Q72" s="6">
        <f>'enz raw 6'!W12</f>
        <v>74.233628618207817</v>
      </c>
      <c r="R72" s="6">
        <f>'enz raw 6'!X12</f>
        <v>29.712299203197446</v>
      </c>
      <c r="S72" s="6">
        <f>'enz raw 6'!Y12</f>
        <v>39.067860530950995</v>
      </c>
      <c r="T72" s="6">
        <f>'enz raw 6'!Z12</f>
        <v>13.721777013901617</v>
      </c>
    </row>
    <row r="73" spans="1:20">
      <c r="A73">
        <v>90</v>
      </c>
      <c r="B73">
        <v>9.6300000000000008</v>
      </c>
      <c r="C73" s="11">
        <v>50</v>
      </c>
      <c r="D73">
        <v>1</v>
      </c>
      <c r="E73">
        <v>73.31</v>
      </c>
      <c r="F73">
        <f t="shared" si="6"/>
        <v>12.68</v>
      </c>
      <c r="G73" s="7">
        <f t="shared" si="7"/>
        <v>0.20229738353541799</v>
      </c>
      <c r="H73">
        <v>2.71</v>
      </c>
      <c r="I73" s="6">
        <f t="shared" si="8"/>
        <v>2.1617740906190175</v>
      </c>
      <c r="J73" t="s">
        <v>6</v>
      </c>
      <c r="K73" t="s">
        <v>2</v>
      </c>
      <c r="L73" t="s">
        <v>186</v>
      </c>
      <c r="M73">
        <v>6.2</v>
      </c>
      <c r="N73" s="71">
        <v>5.7841666666666711</v>
      </c>
      <c r="O73">
        <v>6</v>
      </c>
      <c r="P73">
        <v>12</v>
      </c>
      <c r="Q73" s="6">
        <f>'enz raw 6'!W13</f>
        <v>78.433743390665896</v>
      </c>
      <c r="R73" s="6">
        <f>'enz raw 6'!X13</f>
        <v>30.180916989574186</v>
      </c>
      <c r="S73" s="6">
        <f>'enz raw 6'!Y13</f>
        <v>39.026257216177356</v>
      </c>
      <c r="T73" s="6">
        <f>'enz raw 6'!Z13</f>
        <v>13.514202578055047</v>
      </c>
    </row>
    <row r="74" spans="1:20">
      <c r="A74">
        <v>91</v>
      </c>
      <c r="B74">
        <v>9.43</v>
      </c>
      <c r="C74" s="11">
        <v>50</v>
      </c>
      <c r="D74">
        <v>0</v>
      </c>
      <c r="E74">
        <v>72.459999999999994</v>
      </c>
      <c r="F74">
        <f t="shared" si="6"/>
        <v>13.029999999999994</v>
      </c>
      <c r="G74" s="7">
        <f t="shared" si="7"/>
        <v>0.20672695541805483</v>
      </c>
      <c r="H74">
        <v>2.7</v>
      </c>
      <c r="I74" s="6">
        <f t="shared" si="8"/>
        <v>2.1418372203712521</v>
      </c>
      <c r="J74" t="s">
        <v>1</v>
      </c>
      <c r="K74" t="s">
        <v>2</v>
      </c>
      <c r="L74" t="s">
        <v>186</v>
      </c>
      <c r="M74">
        <v>6.04</v>
      </c>
      <c r="N74" s="71">
        <v>5.7841666666666711</v>
      </c>
      <c r="O74">
        <v>7</v>
      </c>
      <c r="P74">
        <v>1</v>
      </c>
      <c r="Q74" s="6">
        <f>'enz raw 7'!W2</f>
        <v>76.390048048306312</v>
      </c>
      <c r="R74" s="6">
        <f>'enz raw 7'!X2</f>
        <v>38.467102677228993</v>
      </c>
      <c r="S74" s="6">
        <f>'enz raw 7'!Y2</f>
        <v>42.353959966220074</v>
      </c>
      <c r="T74" s="6">
        <f>'enz raw 7'!Z2</f>
        <v>20.371450662262877</v>
      </c>
    </row>
    <row r="75" spans="1:20">
      <c r="A75">
        <v>92</v>
      </c>
      <c r="B75">
        <v>9.35</v>
      </c>
      <c r="C75" s="11">
        <v>50</v>
      </c>
      <c r="D75">
        <v>1</v>
      </c>
      <c r="E75">
        <v>73.41</v>
      </c>
      <c r="F75">
        <f t="shared" si="6"/>
        <v>13.059999999999995</v>
      </c>
      <c r="G75" s="7">
        <f t="shared" si="7"/>
        <v>0.20710434506818898</v>
      </c>
      <c r="H75">
        <v>2.73</v>
      </c>
      <c r="I75" s="6">
        <f t="shared" si="8"/>
        <v>2.1646051379638442</v>
      </c>
      <c r="J75" t="s">
        <v>3</v>
      </c>
      <c r="K75" t="s">
        <v>2</v>
      </c>
      <c r="L75" t="s">
        <v>186</v>
      </c>
      <c r="M75">
        <v>6.1</v>
      </c>
      <c r="N75" s="71">
        <v>5.7841666666666711</v>
      </c>
      <c r="O75">
        <v>7</v>
      </c>
      <c r="P75">
        <v>2</v>
      </c>
      <c r="Q75" s="6">
        <f>'enz raw 7'!W3</f>
        <v>71.24507308440252</v>
      </c>
      <c r="R75" s="6">
        <f>'enz raw 7'!X3</f>
        <v>33.884290556786176</v>
      </c>
      <c r="S75" s="6">
        <f>'enz raw 7'!Y3</f>
        <v>42.246098803961338</v>
      </c>
      <c r="T75" s="6">
        <f>'enz raw 7'!Z3</f>
        <v>18.057847958282025</v>
      </c>
    </row>
    <row r="76" spans="1:20">
      <c r="A76">
        <v>93</v>
      </c>
      <c r="B76">
        <v>9.3699999999999992</v>
      </c>
      <c r="C76" s="11">
        <v>50</v>
      </c>
      <c r="D76">
        <v>1</v>
      </c>
      <c r="E76">
        <v>73.36</v>
      </c>
      <c r="F76">
        <f t="shared" si="6"/>
        <v>12.990000000000002</v>
      </c>
      <c r="G76" s="7">
        <f t="shared" si="7"/>
        <v>0.20622321003333866</v>
      </c>
      <c r="H76">
        <v>2.71</v>
      </c>
      <c r="I76" s="6">
        <f t="shared" si="8"/>
        <v>2.1511351008096522</v>
      </c>
      <c r="J76" t="s">
        <v>4</v>
      </c>
      <c r="K76" t="s">
        <v>2</v>
      </c>
      <c r="L76" t="s">
        <v>186</v>
      </c>
      <c r="M76">
        <v>6.15</v>
      </c>
      <c r="N76" s="71">
        <v>5.7841666666666711</v>
      </c>
      <c r="O76">
        <v>7</v>
      </c>
      <c r="P76">
        <v>3</v>
      </c>
      <c r="Q76" s="6">
        <f>'enz raw 7'!W4</f>
        <v>73.416634103829296</v>
      </c>
      <c r="R76" s="6">
        <f>'enz raw 7'!X4</f>
        <v>32.850290167283134</v>
      </c>
      <c r="S76" s="6">
        <f>'enz raw 7'!Y4</f>
        <v>35.305855417023757</v>
      </c>
      <c r="T76" s="6">
        <f>'enz raw 7'!Z4</f>
        <v>20.914102548093631</v>
      </c>
    </row>
    <row r="77" spans="1:20">
      <c r="A77">
        <v>95</v>
      </c>
      <c r="B77">
        <v>9.7200000000000006</v>
      </c>
      <c r="C77" s="11">
        <v>50</v>
      </c>
      <c r="D77">
        <v>1</v>
      </c>
      <c r="E77">
        <v>73.69</v>
      </c>
      <c r="F77">
        <f t="shared" si="6"/>
        <v>12.969999999999999</v>
      </c>
      <c r="G77" s="7">
        <f t="shared" si="7"/>
        <v>0.20597109734794344</v>
      </c>
      <c r="H77">
        <v>2.81</v>
      </c>
      <c r="I77" s="6">
        <f t="shared" si="8"/>
        <v>2.2312212164522789</v>
      </c>
      <c r="J77" t="s">
        <v>6</v>
      </c>
      <c r="K77" t="s">
        <v>2</v>
      </c>
      <c r="L77" t="s">
        <v>186</v>
      </c>
      <c r="M77">
        <v>6.22</v>
      </c>
      <c r="N77" s="71">
        <v>5.7841666666666711</v>
      </c>
      <c r="O77">
        <v>7</v>
      </c>
      <c r="P77">
        <v>4</v>
      </c>
      <c r="Q77" s="6">
        <f>'enz raw 7'!W5</f>
        <v>65.201894543474907</v>
      </c>
      <c r="R77" s="6">
        <f>'enz raw 7'!X5</f>
        <v>33.282828070064241</v>
      </c>
      <c r="S77" s="6">
        <f>'enz raw 7'!Y5</f>
        <v>37.543617245503597</v>
      </c>
      <c r="T77" s="6">
        <f>'enz raw 7'!Z5</f>
        <v>19.404973081624817</v>
      </c>
    </row>
    <row r="78" spans="1:20">
      <c r="A78">
        <v>96</v>
      </c>
      <c r="B78">
        <v>9.59</v>
      </c>
      <c r="C78" s="11">
        <v>50</v>
      </c>
      <c r="D78">
        <v>0</v>
      </c>
      <c r="E78">
        <v>72.55</v>
      </c>
      <c r="F78">
        <f t="shared" si="6"/>
        <v>12.959999999999994</v>
      </c>
      <c r="G78" s="7">
        <f t="shared" si="7"/>
        <v>0.20584498094027948</v>
      </c>
      <c r="H78">
        <v>2.81</v>
      </c>
      <c r="I78" s="6">
        <f t="shared" si="8"/>
        <v>2.2315756035578147</v>
      </c>
      <c r="J78" t="s">
        <v>1</v>
      </c>
      <c r="K78" t="s">
        <v>2</v>
      </c>
      <c r="L78" t="s">
        <v>186</v>
      </c>
      <c r="M78">
        <v>6.05</v>
      </c>
      <c r="N78" s="71">
        <v>5.7841666666666711</v>
      </c>
      <c r="O78">
        <v>7</v>
      </c>
      <c r="P78">
        <v>5</v>
      </c>
      <c r="Q78" s="6">
        <f>'enz raw 7'!W6</f>
        <v>62.044696113839734</v>
      </c>
      <c r="R78" s="6">
        <f>'enz raw 7'!X6</f>
        <v>32.182869753032811</v>
      </c>
      <c r="S78" s="6">
        <f>'enz raw 7'!Y6</f>
        <v>38.111914817192094</v>
      </c>
      <c r="T78" s="6">
        <f>'enz raw 7'!Z6</f>
        <v>16.676214419143339</v>
      </c>
    </row>
    <row r="79" spans="1:20">
      <c r="A79">
        <v>97</v>
      </c>
      <c r="B79">
        <v>9.41</v>
      </c>
      <c r="C79" s="11">
        <v>50</v>
      </c>
      <c r="D79">
        <v>1</v>
      </c>
      <c r="E79">
        <v>76.41</v>
      </c>
      <c r="F79">
        <f t="shared" si="6"/>
        <v>16</v>
      </c>
      <c r="G79" s="7">
        <f t="shared" si="7"/>
        <v>0.24242424242424243</v>
      </c>
      <c r="H79">
        <v>2.69</v>
      </c>
      <c r="I79" s="6">
        <f t="shared" si="8"/>
        <v>2.0378787878787881</v>
      </c>
      <c r="J79" t="s">
        <v>3</v>
      </c>
      <c r="K79" t="s">
        <v>2</v>
      </c>
      <c r="L79" t="s">
        <v>186</v>
      </c>
      <c r="M79">
        <v>6.08</v>
      </c>
      <c r="N79" s="71">
        <v>5.7841666666666711</v>
      </c>
      <c r="O79">
        <v>7</v>
      </c>
      <c r="P79">
        <v>6</v>
      </c>
      <c r="Q79" s="6">
        <f>'enz raw 7'!W7</f>
        <v>70.555125485030786</v>
      </c>
      <c r="R79" s="6">
        <f>'enz raw 7'!X7</f>
        <v>33.004988556880235</v>
      </c>
      <c r="S79" s="6">
        <f>'enz raw 7'!Y7</f>
        <v>39.035823710150169</v>
      </c>
      <c r="T79" s="6">
        <f>'enz raw 7'!Z7</f>
        <v>17.137563439011316</v>
      </c>
    </row>
    <row r="80" spans="1:20">
      <c r="A80">
        <v>98</v>
      </c>
      <c r="B80">
        <v>9.41</v>
      </c>
      <c r="C80" s="11">
        <v>50</v>
      </c>
      <c r="D80">
        <v>1</v>
      </c>
      <c r="E80">
        <v>73.38</v>
      </c>
      <c r="F80">
        <f t="shared" si="6"/>
        <v>12.969999999999999</v>
      </c>
      <c r="G80" s="7">
        <f t="shared" si="7"/>
        <v>0.20597109734794344</v>
      </c>
      <c r="H80">
        <v>2.81</v>
      </c>
      <c r="I80" s="6">
        <f t="shared" si="8"/>
        <v>2.2312212164522789</v>
      </c>
      <c r="J80" t="s">
        <v>4</v>
      </c>
      <c r="K80" t="s">
        <v>2</v>
      </c>
      <c r="L80" t="s">
        <v>186</v>
      </c>
      <c r="M80">
        <v>6.15</v>
      </c>
      <c r="N80" s="71">
        <v>5.7841666666666711</v>
      </c>
      <c r="O80">
        <v>7</v>
      </c>
      <c r="P80">
        <v>7</v>
      </c>
      <c r="Q80" s="6">
        <f>'enz raw 7'!W8</f>
        <v>58.462150086550473</v>
      </c>
      <c r="R80" s="6">
        <f>'enz raw 7'!X8</f>
        <v>27.406766080363258</v>
      </c>
      <c r="S80" s="6">
        <f>'enz raw 7'!Y8</f>
        <v>37.856312992841325</v>
      </c>
      <c r="T80" s="6">
        <f>'enz raw 7'!Z8</f>
        <v>16.209926948880796</v>
      </c>
    </row>
    <row r="81" spans="1:20">
      <c r="A81">
        <v>100</v>
      </c>
      <c r="B81">
        <v>9.66</v>
      </c>
      <c r="C81" s="11">
        <v>50</v>
      </c>
      <c r="D81">
        <v>1</v>
      </c>
      <c r="E81">
        <v>73.63</v>
      </c>
      <c r="F81">
        <f t="shared" si="6"/>
        <v>12.969999999999999</v>
      </c>
      <c r="G81" s="7">
        <f t="shared" si="7"/>
        <v>0.20597109734794344</v>
      </c>
      <c r="H81">
        <v>2.77</v>
      </c>
      <c r="I81" s="6">
        <f t="shared" si="8"/>
        <v>2.1994600603461967</v>
      </c>
      <c r="J81" t="s">
        <v>6</v>
      </c>
      <c r="K81" t="s">
        <v>2</v>
      </c>
      <c r="L81" t="s">
        <v>186</v>
      </c>
      <c r="M81">
        <v>6.21</v>
      </c>
      <c r="N81" s="71">
        <v>5.7841666666666711</v>
      </c>
      <c r="O81">
        <v>7</v>
      </c>
      <c r="P81">
        <v>8</v>
      </c>
      <c r="Q81" s="6">
        <f>'enz raw 7'!W9</f>
        <v>66.787689999753482</v>
      </c>
      <c r="R81" s="6">
        <f>'enz raw 7'!X9</f>
        <v>30.743264185636189</v>
      </c>
      <c r="S81" s="6">
        <f>'enz raw 7'!Y9</f>
        <v>37.51466285669909</v>
      </c>
      <c r="T81" s="6">
        <f>'enz raw 7'!Z9</f>
        <v>16.721909133708685</v>
      </c>
    </row>
    <row r="82" spans="1:20">
      <c r="A82" s="4">
        <v>101</v>
      </c>
      <c r="B82" s="10">
        <v>9.7899999999999991</v>
      </c>
      <c r="C82" s="11">
        <v>50</v>
      </c>
      <c r="D82">
        <v>0</v>
      </c>
      <c r="E82">
        <v>72.61</v>
      </c>
      <c r="F82">
        <f t="shared" si="6"/>
        <v>12.82</v>
      </c>
      <c r="G82" s="7">
        <f t="shared" si="7"/>
        <v>0.20407513530722701</v>
      </c>
      <c r="H82">
        <v>2.74</v>
      </c>
      <c r="I82" s="6">
        <f t="shared" si="8"/>
        <v>2.1808341292581983</v>
      </c>
      <c r="J82" t="s">
        <v>1</v>
      </c>
      <c r="K82" t="s">
        <v>7</v>
      </c>
      <c r="L82" t="s">
        <v>186</v>
      </c>
      <c r="M82">
        <v>5.76</v>
      </c>
      <c r="N82" s="71">
        <v>5.7841666666666711</v>
      </c>
      <c r="O82">
        <v>7</v>
      </c>
      <c r="P82">
        <v>9</v>
      </c>
      <c r="Q82" s="6">
        <f>'enz raw 7'!W10</f>
        <v>57.448959226004462</v>
      </c>
      <c r="R82" s="6">
        <f>'enz raw 7'!X10</f>
        <v>30.907146637354508</v>
      </c>
      <c r="S82" s="6">
        <f>'enz raw 7'!Y10</f>
        <v>33.670215352534235</v>
      </c>
      <c r="T82" s="6">
        <f>'enz raw 7'!Z10</f>
        <v>15.469561764364235</v>
      </c>
    </row>
    <row r="83" spans="1:20">
      <c r="A83" s="4">
        <v>102</v>
      </c>
      <c r="B83">
        <v>9.65</v>
      </c>
      <c r="C83" s="11">
        <v>50</v>
      </c>
      <c r="D83">
        <v>1</v>
      </c>
      <c r="E83">
        <v>73.36</v>
      </c>
      <c r="F83">
        <f t="shared" si="6"/>
        <v>12.71</v>
      </c>
      <c r="G83" s="7">
        <f t="shared" si="7"/>
        <v>0.20267899856482222</v>
      </c>
      <c r="H83">
        <v>2.77</v>
      </c>
      <c r="I83" s="6">
        <f t="shared" si="8"/>
        <v>2.2085791739754423</v>
      </c>
      <c r="J83" t="s">
        <v>3</v>
      </c>
      <c r="K83" t="s">
        <v>7</v>
      </c>
      <c r="L83" t="s">
        <v>186</v>
      </c>
      <c r="M83">
        <v>5.52</v>
      </c>
      <c r="N83" s="71">
        <v>5.7841666666666711</v>
      </c>
      <c r="O83">
        <v>7</v>
      </c>
      <c r="P83">
        <v>10</v>
      </c>
      <c r="Q83" s="6">
        <f>'enz raw 7'!W11</f>
        <v>56.689194969766334</v>
      </c>
      <c r="R83" s="6">
        <f>'enz raw 7'!X11</f>
        <v>28.601410637631037</v>
      </c>
      <c r="S83" s="6">
        <f>'enz raw 7'!Y11</f>
        <v>30.168322217281801</v>
      </c>
      <c r="T83" s="6">
        <f>'enz raw 7'!Z11</f>
        <v>12.09621778266493</v>
      </c>
    </row>
    <row r="84" spans="1:20">
      <c r="A84" s="4">
        <v>103</v>
      </c>
      <c r="B84">
        <v>9.64</v>
      </c>
      <c r="C84" s="11">
        <v>50</v>
      </c>
      <c r="D84">
        <v>1</v>
      </c>
      <c r="E84">
        <v>73.650000000000006</v>
      </c>
      <c r="F84">
        <f t="shared" si="6"/>
        <v>13.010000000000005</v>
      </c>
      <c r="G84" s="7">
        <f t="shared" si="7"/>
        <v>0.20647516267259172</v>
      </c>
      <c r="H84">
        <v>2.79</v>
      </c>
      <c r="I84" s="6">
        <f t="shared" si="8"/>
        <v>2.2139342961434689</v>
      </c>
      <c r="J84" t="s">
        <v>4</v>
      </c>
      <c r="K84" t="s">
        <v>7</v>
      </c>
      <c r="L84" t="s">
        <v>186</v>
      </c>
      <c r="M84">
        <v>5.53</v>
      </c>
      <c r="N84" s="71">
        <v>5.7841666666666711</v>
      </c>
      <c r="O84">
        <v>7</v>
      </c>
      <c r="P84">
        <v>11</v>
      </c>
      <c r="Q84" s="6">
        <f>'enz raw 7'!W12</f>
        <v>60.117240324255881</v>
      </c>
      <c r="R84" s="6">
        <f>'enz raw 7'!X12</f>
        <v>28.544186127199094</v>
      </c>
      <c r="S84" s="6">
        <f>'enz raw 7'!Y12</f>
        <v>31.22713696165464</v>
      </c>
      <c r="T84" s="6">
        <f>'enz raw 7'!Z12</f>
        <v>12.569275650406636</v>
      </c>
    </row>
    <row r="85" spans="1:20">
      <c r="A85" s="4">
        <v>105</v>
      </c>
      <c r="B85">
        <v>9.39</v>
      </c>
      <c r="C85" s="11">
        <v>50</v>
      </c>
      <c r="D85">
        <v>1</v>
      </c>
      <c r="E85">
        <v>72.81</v>
      </c>
      <c r="F85">
        <f t="shared" si="6"/>
        <v>12.420000000000002</v>
      </c>
      <c r="G85" s="7">
        <f t="shared" si="7"/>
        <v>0.19897468760012818</v>
      </c>
      <c r="H85">
        <v>2.75</v>
      </c>
      <c r="I85" s="6">
        <f t="shared" si="8"/>
        <v>2.2028196090996475</v>
      </c>
      <c r="J85" t="s">
        <v>6</v>
      </c>
      <c r="K85" t="s">
        <v>7</v>
      </c>
      <c r="L85" t="s">
        <v>186</v>
      </c>
      <c r="M85" s="72">
        <v>5.69</v>
      </c>
      <c r="N85" s="71">
        <v>5.7841666666666711</v>
      </c>
      <c r="O85">
        <v>7</v>
      </c>
      <c r="P85">
        <v>12</v>
      </c>
      <c r="Q85" s="6">
        <f>'enz raw 7'!W13</f>
        <v>57.550065776466049</v>
      </c>
      <c r="R85" s="6">
        <f>'enz raw 7'!X13</f>
        <v>30.953016623138769</v>
      </c>
      <c r="S85" s="6">
        <f>'enz raw 7'!Y13</f>
        <v>35.378319885300854</v>
      </c>
      <c r="T85" s="6">
        <f>'enz raw 7'!Z13</f>
        <v>14.320495744156636</v>
      </c>
    </row>
    <row r="86" spans="1:20">
      <c r="A86" s="4">
        <v>106</v>
      </c>
      <c r="B86">
        <v>9.69</v>
      </c>
      <c r="C86" s="11">
        <v>50</v>
      </c>
      <c r="D86">
        <v>0</v>
      </c>
      <c r="E86">
        <v>72.64</v>
      </c>
      <c r="F86">
        <f t="shared" si="6"/>
        <v>12.950000000000003</v>
      </c>
      <c r="G86" s="7">
        <f t="shared" si="7"/>
        <v>0.20571882446386025</v>
      </c>
      <c r="H86">
        <v>2.73</v>
      </c>
      <c r="I86" s="6">
        <f t="shared" si="8"/>
        <v>2.1683876092136614</v>
      </c>
      <c r="J86" t="s">
        <v>1</v>
      </c>
      <c r="K86" t="s">
        <v>7</v>
      </c>
      <c r="L86" t="s">
        <v>186</v>
      </c>
      <c r="M86">
        <v>5.71</v>
      </c>
      <c r="N86" s="71">
        <v>5.7841666666666711</v>
      </c>
      <c r="O86">
        <v>8</v>
      </c>
      <c r="P86">
        <v>1</v>
      </c>
      <c r="Q86" s="6">
        <f>'enz raw 8'!W2</f>
        <v>102.12879771785015</v>
      </c>
      <c r="R86" s="6">
        <f>'enz raw 8'!X2</f>
        <v>46.217748006636285</v>
      </c>
      <c r="S86" s="6">
        <f>'enz raw 8'!Y2</f>
        <v>30.836358654928333</v>
      </c>
      <c r="T86" s="6">
        <f>'enz raw 8'!Z2</f>
        <v>19.708198574595226</v>
      </c>
    </row>
    <row r="87" spans="1:20">
      <c r="A87" s="4">
        <v>107</v>
      </c>
      <c r="B87">
        <v>9.3699999999999992</v>
      </c>
      <c r="C87" s="11">
        <v>50</v>
      </c>
      <c r="D87">
        <v>1</v>
      </c>
      <c r="E87">
        <v>73.540000000000006</v>
      </c>
      <c r="F87">
        <f t="shared" si="6"/>
        <v>13.170000000000009</v>
      </c>
      <c r="G87" s="7">
        <f t="shared" si="7"/>
        <v>0.20848504036726306</v>
      </c>
      <c r="H87">
        <v>2.78</v>
      </c>
      <c r="I87" s="6">
        <f t="shared" si="8"/>
        <v>2.2004115877790085</v>
      </c>
      <c r="J87" t="s">
        <v>3</v>
      </c>
      <c r="K87" t="s">
        <v>7</v>
      </c>
      <c r="L87" t="s">
        <v>186</v>
      </c>
      <c r="M87">
        <v>5.53</v>
      </c>
      <c r="N87" s="71">
        <v>5.7841666666666711</v>
      </c>
      <c r="O87">
        <v>8</v>
      </c>
      <c r="P87">
        <v>2</v>
      </c>
      <c r="Q87" s="6">
        <f>'enz raw 8'!W3</f>
        <v>90.38909946107087</v>
      </c>
      <c r="R87" s="6">
        <f>'enz raw 8'!X3</f>
        <v>39.616592100660704</v>
      </c>
      <c r="S87" s="6">
        <f>'enz raw 8'!Y3</f>
        <v>21.032811216337262</v>
      </c>
      <c r="T87" s="6">
        <f>'enz raw 8'!Z3</f>
        <v>19.484359975159567</v>
      </c>
    </row>
    <row r="88" spans="1:20">
      <c r="A88" s="4">
        <v>108</v>
      </c>
      <c r="B88">
        <v>9.69</v>
      </c>
      <c r="C88" s="11">
        <v>50</v>
      </c>
      <c r="D88">
        <v>1</v>
      </c>
      <c r="E88">
        <v>73.7</v>
      </c>
      <c r="F88">
        <f t="shared" si="6"/>
        <v>13.010000000000005</v>
      </c>
      <c r="G88" s="7">
        <f t="shared" si="7"/>
        <v>0.20647516267259172</v>
      </c>
      <c r="H88">
        <v>2.77</v>
      </c>
      <c r="I88" s="6">
        <f t="shared" si="8"/>
        <v>2.198063799396921</v>
      </c>
      <c r="J88" t="s">
        <v>4</v>
      </c>
      <c r="K88" t="s">
        <v>7</v>
      </c>
      <c r="L88" t="s">
        <v>186</v>
      </c>
      <c r="M88">
        <v>5.51</v>
      </c>
      <c r="N88" s="71">
        <v>5.7841666666666711</v>
      </c>
      <c r="O88">
        <v>8</v>
      </c>
      <c r="P88">
        <v>3</v>
      </c>
      <c r="Q88" s="6">
        <f>'enz raw 8'!W4</f>
        <v>93.638356712531433</v>
      </c>
      <c r="R88" s="6">
        <f>'enz raw 8'!X4</f>
        <v>49.031960618415894</v>
      </c>
      <c r="S88" s="6">
        <f>'enz raw 8'!Y4</f>
        <v>24.20658254057798</v>
      </c>
      <c r="T88" s="6">
        <f>'enz raw 8'!Z4</f>
        <v>20.787736017338375</v>
      </c>
    </row>
    <row r="89" spans="1:20">
      <c r="A89" s="4">
        <v>110</v>
      </c>
      <c r="B89">
        <v>9.67</v>
      </c>
      <c r="C89" s="11">
        <v>50</v>
      </c>
      <c r="D89">
        <v>1</v>
      </c>
      <c r="E89">
        <v>73.790000000000006</v>
      </c>
      <c r="F89">
        <f t="shared" si="6"/>
        <v>13.120000000000005</v>
      </c>
      <c r="G89" s="7">
        <f t="shared" si="7"/>
        <v>0.20785804816223072</v>
      </c>
      <c r="H89">
        <v>2.8</v>
      </c>
      <c r="I89" s="6">
        <f t="shared" si="8"/>
        <v>2.2179974651457539</v>
      </c>
      <c r="J89" t="s">
        <v>6</v>
      </c>
      <c r="K89" t="s">
        <v>7</v>
      </c>
      <c r="L89" t="s">
        <v>186</v>
      </c>
      <c r="M89">
        <v>5.75</v>
      </c>
      <c r="N89" s="71">
        <v>5.7841666666666711</v>
      </c>
      <c r="O89">
        <v>8</v>
      </c>
      <c r="P89">
        <v>4</v>
      </c>
      <c r="Q89" s="6">
        <f>'enz raw 8'!W5</f>
        <v>94.363915385792168</v>
      </c>
      <c r="R89" s="6">
        <f>'enz raw 8'!X5</f>
        <v>45.884821339033714</v>
      </c>
      <c r="S89" s="6">
        <f>'enz raw 8'!Y5</f>
        <v>23.05766358042457</v>
      </c>
      <c r="T89" s="6">
        <f>'enz raw 8'!Z5</f>
        <v>19.891775169282393</v>
      </c>
    </row>
    <row r="90" spans="1:20">
      <c r="A90" s="4">
        <v>111</v>
      </c>
      <c r="B90">
        <v>9.31</v>
      </c>
      <c r="C90" s="11">
        <v>50</v>
      </c>
      <c r="D90">
        <v>0</v>
      </c>
      <c r="E90">
        <v>72.349999999999994</v>
      </c>
      <c r="F90">
        <f t="shared" si="6"/>
        <v>13.039999999999992</v>
      </c>
      <c r="G90" s="7">
        <f t="shared" si="7"/>
        <v>0.20685279187817249</v>
      </c>
      <c r="H90">
        <v>2.79</v>
      </c>
      <c r="I90" s="6">
        <f t="shared" si="8"/>
        <v>2.2128807106598987</v>
      </c>
      <c r="J90" t="s">
        <v>1</v>
      </c>
      <c r="K90" t="s">
        <v>7</v>
      </c>
      <c r="L90" t="s">
        <v>186</v>
      </c>
      <c r="M90">
        <v>5.66</v>
      </c>
      <c r="N90" s="71">
        <v>5.7841666666666711</v>
      </c>
      <c r="O90">
        <v>8</v>
      </c>
      <c r="P90">
        <v>5</v>
      </c>
      <c r="Q90" s="6">
        <f>'enz raw 8'!W6</f>
        <v>87.30635906059311</v>
      </c>
      <c r="R90" s="6">
        <f>'enz raw 8'!X6</f>
        <v>36.994158792390493</v>
      </c>
      <c r="S90" s="6">
        <f>'enz raw 8'!Y6</f>
        <v>25.888403771712017</v>
      </c>
      <c r="T90" s="6">
        <f>'enz raw 8'!Z6</f>
        <v>20.005623636893507</v>
      </c>
    </row>
    <row r="91" spans="1:20">
      <c r="A91" s="4">
        <v>112</v>
      </c>
      <c r="B91">
        <v>9.2899999999999991</v>
      </c>
      <c r="C91" s="11">
        <v>50</v>
      </c>
      <c r="D91">
        <v>1</v>
      </c>
      <c r="E91">
        <v>73.17</v>
      </c>
      <c r="F91">
        <f t="shared" si="6"/>
        <v>12.880000000000003</v>
      </c>
      <c r="G91" s="7">
        <f t="shared" si="7"/>
        <v>0.2048346055979644</v>
      </c>
      <c r="H91">
        <v>2.7</v>
      </c>
      <c r="I91" s="6">
        <f t="shared" si="8"/>
        <v>2.1469465648854964</v>
      </c>
      <c r="J91" t="s">
        <v>3</v>
      </c>
      <c r="K91" t="s">
        <v>7</v>
      </c>
      <c r="L91" t="s">
        <v>186</v>
      </c>
      <c r="M91">
        <v>5.55</v>
      </c>
      <c r="N91" s="71">
        <v>5.7841666666666711</v>
      </c>
      <c r="O91">
        <v>8</v>
      </c>
      <c r="P91">
        <v>6</v>
      </c>
      <c r="Q91" s="6">
        <f>'enz raw 8'!W7</f>
        <v>81.819293399748986</v>
      </c>
      <c r="R91" s="6">
        <f>'enz raw 8'!X7</f>
        <v>39.320038043811763</v>
      </c>
      <c r="S91" s="6">
        <f>'enz raw 8'!Y7</f>
        <v>15.36328777465555</v>
      </c>
      <c r="T91" s="6">
        <f>'enz raw 8'!Z7</f>
        <v>15.945447598046291</v>
      </c>
    </row>
    <row r="92" spans="1:20">
      <c r="A92" s="4">
        <v>113</v>
      </c>
      <c r="B92">
        <v>9.6300000000000008</v>
      </c>
      <c r="C92" s="11">
        <v>50</v>
      </c>
      <c r="D92">
        <v>1</v>
      </c>
      <c r="E92">
        <v>73.67</v>
      </c>
      <c r="F92">
        <f t="shared" si="6"/>
        <v>13.04</v>
      </c>
      <c r="G92" s="7">
        <f t="shared" si="7"/>
        <v>0.20685279187817257</v>
      </c>
      <c r="H92">
        <v>2.74</v>
      </c>
      <c r="I92" s="6">
        <f t="shared" si="8"/>
        <v>2.1732233502538074</v>
      </c>
      <c r="J92" t="s">
        <v>4</v>
      </c>
      <c r="K92" t="s">
        <v>7</v>
      </c>
      <c r="L92" t="s">
        <v>186</v>
      </c>
      <c r="M92">
        <v>5.5</v>
      </c>
      <c r="N92" s="71">
        <v>5.7841666666666711</v>
      </c>
      <c r="O92">
        <v>8</v>
      </c>
      <c r="P92">
        <v>7</v>
      </c>
      <c r="Q92" s="6">
        <f>'enz raw 8'!W8</f>
        <v>78.072289674459768</v>
      </c>
      <c r="R92" s="6">
        <f>'enz raw 8'!X8</f>
        <v>39.113613836530604</v>
      </c>
      <c r="S92" s="6">
        <f>'enz raw 8'!Y8</f>
        <v>25.063780957861617</v>
      </c>
      <c r="T92" s="6">
        <f>'enz raw 8'!Z8</f>
        <v>19.242074482955999</v>
      </c>
    </row>
    <row r="93" spans="1:20">
      <c r="A93" s="4">
        <v>115</v>
      </c>
      <c r="B93">
        <v>9.67</v>
      </c>
      <c r="C93" s="11">
        <v>50</v>
      </c>
      <c r="D93">
        <v>1</v>
      </c>
      <c r="E93">
        <v>73.77</v>
      </c>
      <c r="F93">
        <f t="shared" si="6"/>
        <v>13.099999999999994</v>
      </c>
      <c r="G93" s="7">
        <f t="shared" si="7"/>
        <v>0.20760697305863701</v>
      </c>
      <c r="H93">
        <v>2.75</v>
      </c>
      <c r="I93" s="6">
        <f t="shared" si="8"/>
        <v>2.1790808240887483</v>
      </c>
      <c r="J93" t="s">
        <v>6</v>
      </c>
      <c r="K93" t="s">
        <v>7</v>
      </c>
      <c r="L93" t="s">
        <v>186</v>
      </c>
      <c r="M93">
        <v>5.69</v>
      </c>
      <c r="N93" s="71">
        <v>5.7841666666666711</v>
      </c>
      <c r="O93">
        <v>8</v>
      </c>
      <c r="P93">
        <v>8</v>
      </c>
      <c r="Q93" s="6">
        <f>'enz raw 8'!W9</f>
        <v>79.168417600741478</v>
      </c>
      <c r="R93" s="6">
        <f>'enz raw 8'!X9</f>
        <v>36.941775769519843</v>
      </c>
      <c r="S93" s="6">
        <f>'enz raw 8'!Y9</f>
        <v>27.557194130070094</v>
      </c>
      <c r="T93" s="6">
        <f>'enz raw 8'!Z9</f>
        <v>18.833042830361325</v>
      </c>
    </row>
    <row r="94" spans="1:20">
      <c r="A94" s="4">
        <v>116</v>
      </c>
      <c r="B94">
        <v>9.36</v>
      </c>
      <c r="C94" s="11">
        <v>50</v>
      </c>
      <c r="D94">
        <v>0</v>
      </c>
      <c r="E94">
        <v>71.97</v>
      </c>
      <c r="F94">
        <f t="shared" si="6"/>
        <v>12.61</v>
      </c>
      <c r="G94" s="7">
        <f t="shared" si="7"/>
        <v>0.20140552627375818</v>
      </c>
      <c r="H94">
        <v>2.82</v>
      </c>
      <c r="I94" s="6">
        <f t="shared" si="8"/>
        <v>2.2520364159080017</v>
      </c>
      <c r="J94" t="s">
        <v>1</v>
      </c>
      <c r="K94" t="s">
        <v>7</v>
      </c>
      <c r="L94" t="s">
        <v>186</v>
      </c>
      <c r="M94">
        <v>5.6</v>
      </c>
      <c r="N94" s="71">
        <v>5.7841666666666711</v>
      </c>
      <c r="O94">
        <v>8</v>
      </c>
      <c r="P94">
        <v>9</v>
      </c>
      <c r="Q94" s="6">
        <f>'enz raw 8'!W10</f>
        <v>77.821750552065481</v>
      </c>
      <c r="R94" s="6">
        <f>'enz raw 8'!X10</f>
        <v>38.772202872227133</v>
      </c>
      <c r="S94" s="6">
        <f>'enz raw 8'!Y10</f>
        <v>27.971758268023265</v>
      </c>
      <c r="T94" s="6">
        <f>'enz raw 8'!Z10</f>
        <v>18.684986987536622</v>
      </c>
    </row>
    <row r="95" spans="1:20">
      <c r="A95" s="4">
        <v>117</v>
      </c>
      <c r="B95">
        <v>9.58</v>
      </c>
      <c r="C95" s="11">
        <v>50</v>
      </c>
      <c r="D95">
        <v>1</v>
      </c>
      <c r="E95">
        <v>73.64</v>
      </c>
      <c r="F95">
        <f t="shared" si="6"/>
        <v>13.060000000000002</v>
      </c>
      <c r="G95" s="7">
        <f t="shared" si="7"/>
        <v>0.20710434506818906</v>
      </c>
      <c r="H95">
        <v>2.73</v>
      </c>
      <c r="I95" s="6">
        <f t="shared" si="8"/>
        <v>2.1646051379638438</v>
      </c>
      <c r="J95" t="s">
        <v>3</v>
      </c>
      <c r="K95" t="s">
        <v>7</v>
      </c>
      <c r="L95" t="s">
        <v>186</v>
      </c>
      <c r="M95">
        <v>5.58</v>
      </c>
      <c r="N95" s="71">
        <v>5.7841666666666711</v>
      </c>
      <c r="O95">
        <v>8</v>
      </c>
      <c r="P95">
        <v>10</v>
      </c>
      <c r="Q95" s="6">
        <f>'enz raw 8'!W11</f>
        <v>76.599338156407782</v>
      </c>
      <c r="R95" s="6">
        <f>'enz raw 8'!X11</f>
        <v>34.031523751264267</v>
      </c>
      <c r="S95" s="6">
        <f>'enz raw 8'!Y11</f>
        <v>30.578010254952442</v>
      </c>
      <c r="T95" s="6">
        <f>'enz raw 8'!Z11</f>
        <v>17.690712079424145</v>
      </c>
    </row>
    <row r="96" spans="1:20">
      <c r="A96" s="4">
        <v>118</v>
      </c>
      <c r="B96">
        <v>9.69</v>
      </c>
      <c r="C96" s="11">
        <v>50</v>
      </c>
      <c r="D96">
        <v>1</v>
      </c>
      <c r="E96">
        <v>73.650000000000006</v>
      </c>
      <c r="F96">
        <f t="shared" si="6"/>
        <v>12.960000000000008</v>
      </c>
      <c r="G96" s="7">
        <f t="shared" si="7"/>
        <v>0.20584498094027964</v>
      </c>
      <c r="H96">
        <v>2.74</v>
      </c>
      <c r="I96" s="6">
        <f t="shared" si="8"/>
        <v>2.1759847522236342</v>
      </c>
      <c r="J96" t="s">
        <v>4</v>
      </c>
      <c r="K96" t="s">
        <v>7</v>
      </c>
      <c r="L96" t="s">
        <v>186</v>
      </c>
      <c r="M96">
        <v>5.49</v>
      </c>
      <c r="N96" s="71">
        <v>5.7841666666666711</v>
      </c>
      <c r="O96">
        <v>8</v>
      </c>
      <c r="P96">
        <v>11</v>
      </c>
      <c r="Q96" s="6">
        <f>'enz raw 8'!W12</f>
        <v>82.138815702928966</v>
      </c>
      <c r="R96" s="6">
        <f>'enz raw 8'!X12</f>
        <v>35.742374914856633</v>
      </c>
      <c r="S96" s="6">
        <f>'enz raw 8'!Y12</f>
        <v>30.458642774332947</v>
      </c>
      <c r="T96" s="6">
        <f>'enz raw 8'!Z12</f>
        <v>17.232722790265388</v>
      </c>
    </row>
    <row r="97" spans="1:20">
      <c r="A97" s="4">
        <v>120</v>
      </c>
      <c r="B97">
        <v>9.6</v>
      </c>
      <c r="C97" s="11">
        <v>50</v>
      </c>
      <c r="D97">
        <v>1</v>
      </c>
      <c r="E97">
        <v>73.510000000000005</v>
      </c>
      <c r="F97">
        <f t="shared" si="6"/>
        <v>12.910000000000004</v>
      </c>
      <c r="G97" s="7">
        <f t="shared" si="7"/>
        <v>0.20521379748847565</v>
      </c>
      <c r="H97">
        <v>2.81</v>
      </c>
      <c r="I97" s="6">
        <f t="shared" si="8"/>
        <v>2.2333492290573833</v>
      </c>
      <c r="J97" t="s">
        <v>6</v>
      </c>
      <c r="K97" t="s">
        <v>7</v>
      </c>
      <c r="L97" t="s">
        <v>186</v>
      </c>
      <c r="M97">
        <v>5.65</v>
      </c>
      <c r="N97" s="71">
        <v>5.7841666666666711</v>
      </c>
      <c r="O97">
        <v>8</v>
      </c>
      <c r="P97">
        <v>12</v>
      </c>
      <c r="Q97" s="6">
        <f>'enz raw 8'!W13</f>
        <v>81.068278501122236</v>
      </c>
      <c r="R97" s="6">
        <f>'enz raw 8'!X13</f>
        <v>34.243502575073585</v>
      </c>
      <c r="S97" s="6">
        <f>'enz raw 8'!Y13</f>
        <v>34.312617870320615</v>
      </c>
      <c r="T97" s="6">
        <f>'enz raw 8'!Z13</f>
        <v>15.402293925712758</v>
      </c>
    </row>
    <row r="98" spans="1:20">
      <c r="A98">
        <v>121</v>
      </c>
      <c r="B98">
        <v>9.68</v>
      </c>
      <c r="C98" s="11">
        <v>50</v>
      </c>
      <c r="D98">
        <v>0</v>
      </c>
      <c r="E98">
        <v>72.98</v>
      </c>
      <c r="F98">
        <f t="shared" ref="F98:F129" si="9">E98-D98-B98-C98</f>
        <v>13.300000000000004</v>
      </c>
      <c r="G98" s="7">
        <f t="shared" ref="G98:G129" si="10">F98/(F98+C98)</f>
        <v>0.2101105845181675</v>
      </c>
      <c r="H98">
        <v>2.75</v>
      </c>
      <c r="I98" s="6">
        <f t="shared" ref="I98:I129" si="11">H98-(H98*G98)</f>
        <v>2.1721958925750395</v>
      </c>
      <c r="J98" t="s">
        <v>1</v>
      </c>
      <c r="K98" t="s">
        <v>2</v>
      </c>
      <c r="L98" t="s">
        <v>187</v>
      </c>
      <c r="M98">
        <v>5.95</v>
      </c>
      <c r="N98" s="71">
        <v>5.7841666666666711</v>
      </c>
      <c r="O98">
        <v>9</v>
      </c>
      <c r="P98">
        <v>1</v>
      </c>
      <c r="Q98" s="6">
        <f>'enz raw 9'!W2</f>
        <v>71.712875523293121</v>
      </c>
      <c r="R98" s="6">
        <f>'enz raw 9'!X2</f>
        <v>32.346451584909239</v>
      </c>
      <c r="S98" s="6">
        <f>'enz raw 9'!Y2</f>
        <v>19.756058691029885</v>
      </c>
      <c r="T98" s="6">
        <f>'enz raw 9'!Z2</f>
        <v>13.492006435472742</v>
      </c>
    </row>
    <row r="99" spans="1:20">
      <c r="A99">
        <v>122</v>
      </c>
      <c r="B99">
        <v>9.61</v>
      </c>
      <c r="C99" s="11">
        <v>50</v>
      </c>
      <c r="D99">
        <v>1</v>
      </c>
      <c r="E99">
        <v>73.69</v>
      </c>
      <c r="F99">
        <f t="shared" si="9"/>
        <v>13.079999999999998</v>
      </c>
      <c r="G99" s="7">
        <f t="shared" si="10"/>
        <v>0.20735573874445146</v>
      </c>
      <c r="H99">
        <v>2.75</v>
      </c>
      <c r="I99" s="6">
        <f t="shared" si="11"/>
        <v>2.1797717184527583</v>
      </c>
      <c r="J99" t="s">
        <v>3</v>
      </c>
      <c r="K99" t="s">
        <v>2</v>
      </c>
      <c r="L99" t="s">
        <v>187</v>
      </c>
      <c r="M99">
        <v>5.81</v>
      </c>
      <c r="N99" s="71">
        <v>5.7841666666666711</v>
      </c>
      <c r="O99">
        <v>9</v>
      </c>
      <c r="P99">
        <v>2</v>
      </c>
      <c r="Q99" s="6">
        <f>'enz raw 9'!W3</f>
        <v>67.635136185529504</v>
      </c>
      <c r="R99" s="6">
        <f>'enz raw 9'!X3</f>
        <v>27.287558842089911</v>
      </c>
      <c r="S99" s="6">
        <f>'enz raw 9'!Y3</f>
        <v>22.06988201222411</v>
      </c>
      <c r="T99" s="6">
        <f>'enz raw 9'!Z3</f>
        <v>15.183285639058031</v>
      </c>
    </row>
    <row r="100" spans="1:20">
      <c r="A100">
        <v>123</v>
      </c>
      <c r="B100">
        <v>9.4600000000000009</v>
      </c>
      <c r="C100" s="11">
        <v>50</v>
      </c>
      <c r="D100">
        <v>1</v>
      </c>
      <c r="E100">
        <v>73.48</v>
      </c>
      <c r="F100">
        <f t="shared" si="9"/>
        <v>13.020000000000003</v>
      </c>
      <c r="G100" s="7">
        <f t="shared" si="10"/>
        <v>0.20660107902253258</v>
      </c>
      <c r="H100">
        <v>2.78</v>
      </c>
      <c r="I100" s="6">
        <f t="shared" si="11"/>
        <v>2.2056490003173592</v>
      </c>
      <c r="J100" t="s">
        <v>4</v>
      </c>
      <c r="K100" t="s">
        <v>2</v>
      </c>
      <c r="L100" t="s">
        <v>187</v>
      </c>
      <c r="M100">
        <v>5.75</v>
      </c>
      <c r="N100" s="71">
        <v>5.7841666666666711</v>
      </c>
      <c r="O100">
        <v>9</v>
      </c>
      <c r="P100">
        <v>3</v>
      </c>
      <c r="Q100" s="6">
        <f>'enz raw 9'!W4</f>
        <v>62.447175548620422</v>
      </c>
      <c r="R100" s="6">
        <f>'enz raw 9'!X4</f>
        <v>21.855178223831061</v>
      </c>
      <c r="S100" s="6">
        <f>'enz raw 9'!Y4</f>
        <v>20.867607058847916</v>
      </c>
      <c r="T100" s="6">
        <f>'enz raw 9'!Z4</f>
        <v>10.504809303629296</v>
      </c>
    </row>
    <row r="101" spans="1:20">
      <c r="A101">
        <v>125</v>
      </c>
      <c r="B101">
        <v>9.58</v>
      </c>
      <c r="C101" s="11">
        <v>50</v>
      </c>
      <c r="D101">
        <v>1</v>
      </c>
      <c r="E101">
        <v>73.52</v>
      </c>
      <c r="F101">
        <f t="shared" si="9"/>
        <v>12.939999999999998</v>
      </c>
      <c r="G101" s="7">
        <f t="shared" si="10"/>
        <v>0.20559262789958688</v>
      </c>
      <c r="H101">
        <v>2.77</v>
      </c>
      <c r="I101" s="6">
        <f t="shared" si="11"/>
        <v>2.2005084207181445</v>
      </c>
      <c r="J101" t="s">
        <v>6</v>
      </c>
      <c r="K101" t="s">
        <v>2</v>
      </c>
      <c r="L101" t="s">
        <v>187</v>
      </c>
      <c r="M101">
        <v>5.72</v>
      </c>
      <c r="N101" s="71">
        <v>5.7841666666666711</v>
      </c>
      <c r="O101">
        <v>9</v>
      </c>
      <c r="P101">
        <v>4</v>
      </c>
      <c r="Q101" s="6">
        <f>'enz raw 9'!W5</f>
        <v>72.573088622684523</v>
      </c>
      <c r="R101" s="6">
        <f>'enz raw 9'!X5</f>
        <v>31.294027103659534</v>
      </c>
      <c r="S101" s="6">
        <f>'enz raw 9'!Y5</f>
        <v>22.576780323784671</v>
      </c>
      <c r="T101" s="6">
        <f>'enz raw 9'!Z5</f>
        <v>15.669709425897748</v>
      </c>
    </row>
    <row r="102" spans="1:20">
      <c r="A102">
        <v>126</v>
      </c>
      <c r="B102">
        <v>9.59</v>
      </c>
      <c r="C102" s="11">
        <v>50</v>
      </c>
      <c r="D102">
        <v>0</v>
      </c>
      <c r="E102">
        <v>72.84</v>
      </c>
      <c r="F102">
        <f t="shared" si="9"/>
        <v>13.25</v>
      </c>
      <c r="G102" s="7">
        <f t="shared" si="10"/>
        <v>0.20948616600790515</v>
      </c>
      <c r="H102">
        <v>2.74</v>
      </c>
      <c r="I102" s="6">
        <f t="shared" si="11"/>
        <v>2.1660079051383399</v>
      </c>
      <c r="J102" t="s">
        <v>1</v>
      </c>
      <c r="K102" t="s">
        <v>2</v>
      </c>
      <c r="L102" t="s">
        <v>187</v>
      </c>
      <c r="M102">
        <v>5.97</v>
      </c>
      <c r="N102" s="71">
        <v>5.7841666666666711</v>
      </c>
      <c r="O102">
        <v>9</v>
      </c>
      <c r="P102">
        <v>5</v>
      </c>
      <c r="Q102" s="6">
        <f>'enz raw 9'!W6</f>
        <v>71.379429446860172</v>
      </c>
      <c r="R102" s="6">
        <f>'enz raw 9'!X6</f>
        <v>30.955570850356153</v>
      </c>
      <c r="S102" s="6">
        <f>'enz raw 9'!Y6</f>
        <v>23.264165352598912</v>
      </c>
      <c r="T102" s="6">
        <f>'enz raw 9'!Z6</f>
        <v>15.560292854805622</v>
      </c>
    </row>
    <row r="103" spans="1:20">
      <c r="A103">
        <v>127</v>
      </c>
      <c r="B103">
        <v>9.76</v>
      </c>
      <c r="C103" s="11">
        <v>50</v>
      </c>
      <c r="D103">
        <v>1</v>
      </c>
      <c r="E103">
        <v>73.88</v>
      </c>
      <c r="F103">
        <f t="shared" si="9"/>
        <v>13.119999999999997</v>
      </c>
      <c r="G103" s="7">
        <f t="shared" si="10"/>
        <v>0.20785804816223064</v>
      </c>
      <c r="H103">
        <v>2.78</v>
      </c>
      <c r="I103" s="6">
        <f t="shared" si="11"/>
        <v>2.2021546261089986</v>
      </c>
      <c r="J103" t="s">
        <v>3</v>
      </c>
      <c r="K103" t="s">
        <v>2</v>
      </c>
      <c r="L103" t="s">
        <v>187</v>
      </c>
      <c r="M103">
        <v>5.83</v>
      </c>
      <c r="N103" s="71">
        <v>5.7841666666666711</v>
      </c>
      <c r="O103">
        <v>9</v>
      </c>
      <c r="P103">
        <v>6</v>
      </c>
      <c r="Q103" s="6">
        <f>'enz raw 9'!W7</f>
        <v>64.53196137074535</v>
      </c>
      <c r="R103" s="6">
        <f>'enz raw 9'!X7</f>
        <v>28.931512826725314</v>
      </c>
      <c r="S103" s="6">
        <f>'enz raw 9'!Y7</f>
        <v>22.901435553162532</v>
      </c>
      <c r="T103" s="6">
        <f>'enz raw 9'!Z7</f>
        <v>15.88895218502212</v>
      </c>
    </row>
    <row r="104" spans="1:20">
      <c r="A104">
        <v>128</v>
      </c>
      <c r="B104">
        <v>9.36</v>
      </c>
      <c r="C104" s="11">
        <v>50</v>
      </c>
      <c r="D104">
        <v>1</v>
      </c>
      <c r="E104">
        <v>73.38</v>
      </c>
      <c r="F104">
        <f t="shared" si="9"/>
        <v>13.019999999999996</v>
      </c>
      <c r="G104" s="7">
        <f t="shared" si="10"/>
        <v>0.20660107902253247</v>
      </c>
      <c r="H104">
        <v>2.74</v>
      </c>
      <c r="I104" s="6">
        <f t="shared" si="11"/>
        <v>2.1739130434782612</v>
      </c>
      <c r="J104" t="s">
        <v>4</v>
      </c>
      <c r="K104" t="s">
        <v>2</v>
      </c>
      <c r="L104" t="s">
        <v>187</v>
      </c>
      <c r="M104">
        <v>5.74</v>
      </c>
      <c r="N104" s="71">
        <v>5.7841666666666711</v>
      </c>
      <c r="O104">
        <v>9</v>
      </c>
      <c r="P104">
        <v>7</v>
      </c>
      <c r="Q104" s="6">
        <f>'enz raw 9'!W8</f>
        <v>69.978892245223534</v>
      </c>
      <c r="R104" s="6">
        <f>'enz raw 9'!X8</f>
        <v>31.174297878592331</v>
      </c>
      <c r="S104" s="6">
        <f>'enz raw 9'!Y8</f>
        <v>24.341270160945772</v>
      </c>
      <c r="T104" s="6">
        <f>'enz raw 9'!Z8</f>
        <v>16.183560540489768</v>
      </c>
    </row>
    <row r="105" spans="1:20">
      <c r="A105">
        <v>130</v>
      </c>
      <c r="B105">
        <v>9.34</v>
      </c>
      <c r="C105" s="11">
        <v>50</v>
      </c>
      <c r="D105">
        <v>1</v>
      </c>
      <c r="E105">
        <v>73.25</v>
      </c>
      <c r="F105">
        <f t="shared" si="9"/>
        <v>12.909999999999997</v>
      </c>
      <c r="G105" s="7">
        <f t="shared" si="10"/>
        <v>0.20521379748847557</v>
      </c>
      <c r="H105">
        <v>2.75</v>
      </c>
      <c r="I105" s="6">
        <f t="shared" si="11"/>
        <v>2.1856620569066925</v>
      </c>
      <c r="J105" t="s">
        <v>6</v>
      </c>
      <c r="K105" t="s">
        <v>2</v>
      </c>
      <c r="L105" t="s">
        <v>187</v>
      </c>
      <c r="M105">
        <v>5.7</v>
      </c>
      <c r="N105" s="71">
        <v>5.7841666666666711</v>
      </c>
      <c r="O105">
        <v>9</v>
      </c>
      <c r="P105">
        <v>8</v>
      </c>
      <c r="Q105" s="6">
        <f>'enz raw 9'!W9</f>
        <v>65.033759162395313</v>
      </c>
      <c r="R105" s="6">
        <f>'enz raw 9'!X9</f>
        <v>29.36861271980484</v>
      </c>
      <c r="S105" s="6">
        <f>'enz raw 9'!Y9</f>
        <v>21.357096091353775</v>
      </c>
      <c r="T105" s="6">
        <f>'enz raw 9'!Z9</f>
        <v>15.840453724339485</v>
      </c>
    </row>
    <row r="106" spans="1:20">
      <c r="A106">
        <v>131</v>
      </c>
      <c r="B106">
        <v>9.6999999999999993</v>
      </c>
      <c r="C106" s="11">
        <v>50</v>
      </c>
      <c r="D106">
        <v>0</v>
      </c>
      <c r="E106">
        <v>72.790000000000006</v>
      </c>
      <c r="F106">
        <f t="shared" si="9"/>
        <v>13.090000000000003</v>
      </c>
      <c r="G106" s="7">
        <f t="shared" si="10"/>
        <v>0.20748137581233164</v>
      </c>
      <c r="H106">
        <v>2.74</v>
      </c>
      <c r="I106" s="6">
        <f t="shared" si="11"/>
        <v>2.1715010302742117</v>
      </c>
      <c r="J106" t="s">
        <v>1</v>
      </c>
      <c r="K106" t="s">
        <v>2</v>
      </c>
      <c r="L106" t="s">
        <v>187</v>
      </c>
      <c r="M106">
        <v>5.91</v>
      </c>
      <c r="N106" s="71">
        <v>5.7841666666666711</v>
      </c>
      <c r="O106">
        <v>9</v>
      </c>
      <c r="P106">
        <v>9</v>
      </c>
      <c r="Q106" s="6">
        <f>'enz raw 9'!W10</f>
        <v>73.00760312777183</v>
      </c>
      <c r="R106" s="6">
        <f>'enz raw 9'!X10</f>
        <v>33.700618898091818</v>
      </c>
      <c r="S106" s="6">
        <f>'enz raw 9'!Y10</f>
        <v>26.172494969831927</v>
      </c>
      <c r="T106" s="6">
        <f>'enz raw 9'!Z10</f>
        <v>16.678556689841272</v>
      </c>
    </row>
    <row r="107" spans="1:20">
      <c r="A107">
        <v>132</v>
      </c>
      <c r="B107">
        <v>9.5299999999999994</v>
      </c>
      <c r="C107" s="11">
        <v>50</v>
      </c>
      <c r="D107">
        <v>1</v>
      </c>
      <c r="E107">
        <v>73.55</v>
      </c>
      <c r="F107">
        <f t="shared" si="9"/>
        <v>13.019999999999996</v>
      </c>
      <c r="G107" s="7">
        <f t="shared" si="10"/>
        <v>0.20660107902253247</v>
      </c>
      <c r="H107">
        <v>2.73</v>
      </c>
      <c r="I107" s="6">
        <f t="shared" si="11"/>
        <v>2.1659790542684862</v>
      </c>
      <c r="J107" t="s">
        <v>3</v>
      </c>
      <c r="K107" t="s">
        <v>2</v>
      </c>
      <c r="L107" t="s">
        <v>187</v>
      </c>
      <c r="M107">
        <v>5.81</v>
      </c>
      <c r="N107" s="71">
        <v>5.7841666666666711</v>
      </c>
      <c r="O107">
        <v>9</v>
      </c>
      <c r="P107">
        <v>10</v>
      </c>
      <c r="Q107" s="6">
        <f>'enz raw 9'!W11</f>
        <v>73.9993801132822</v>
      </c>
      <c r="R107" s="6">
        <f>'enz raw 9'!X11</f>
        <v>34.075374453473422</v>
      </c>
      <c r="S107" s="6">
        <f>'enz raw 9'!Y11</f>
        <v>28.497123919341639</v>
      </c>
      <c r="T107" s="6">
        <f>'enz raw 9'!Z11</f>
        <v>18.781904543466027</v>
      </c>
    </row>
    <row r="108" spans="1:20">
      <c r="A108">
        <v>133</v>
      </c>
      <c r="B108">
        <v>9.41</v>
      </c>
      <c r="C108" s="11">
        <v>50</v>
      </c>
      <c r="D108">
        <v>1</v>
      </c>
      <c r="E108">
        <v>73.36</v>
      </c>
      <c r="F108">
        <f t="shared" si="9"/>
        <v>12.950000000000003</v>
      </c>
      <c r="G108" s="7">
        <f t="shared" si="10"/>
        <v>0.20571882446386025</v>
      </c>
      <c r="H108">
        <v>2.75</v>
      </c>
      <c r="I108" s="6">
        <f t="shared" si="11"/>
        <v>2.1842732327243843</v>
      </c>
      <c r="J108" t="s">
        <v>4</v>
      </c>
      <c r="K108" t="s">
        <v>2</v>
      </c>
      <c r="L108" t="s">
        <v>187</v>
      </c>
      <c r="M108">
        <v>5.76</v>
      </c>
      <c r="N108" s="71">
        <v>5.7841666666666711</v>
      </c>
      <c r="O108">
        <v>9</v>
      </c>
      <c r="P108">
        <v>11</v>
      </c>
      <c r="Q108" s="6">
        <f>'enz raw 9'!W12</f>
        <v>74.815513379914321</v>
      </c>
      <c r="R108" s="6">
        <f>'enz raw 9'!X12</f>
        <v>34.385471608924178</v>
      </c>
      <c r="S108" s="6">
        <f>'enz raw 9'!Y12</f>
        <v>31.515455953879176</v>
      </c>
      <c r="T108" s="6">
        <f>'enz raw 9'!Z12</f>
        <v>19.155514126259931</v>
      </c>
    </row>
    <row r="109" spans="1:20">
      <c r="A109">
        <v>135</v>
      </c>
      <c r="B109">
        <v>9.6999999999999993</v>
      </c>
      <c r="C109" s="11">
        <v>50</v>
      </c>
      <c r="D109">
        <v>1</v>
      </c>
      <c r="E109">
        <v>73.73</v>
      </c>
      <c r="F109">
        <f t="shared" si="9"/>
        <v>13.030000000000001</v>
      </c>
      <c r="G109" s="7">
        <f t="shared" si="10"/>
        <v>0.20672695541805491</v>
      </c>
      <c r="H109">
        <v>2.72</v>
      </c>
      <c r="I109" s="6">
        <f t="shared" si="11"/>
        <v>2.157702681262891</v>
      </c>
      <c r="J109" t="s">
        <v>6</v>
      </c>
      <c r="K109" t="s">
        <v>2</v>
      </c>
      <c r="L109" t="s">
        <v>187</v>
      </c>
      <c r="M109">
        <v>5.69</v>
      </c>
      <c r="N109" s="71">
        <v>5.7841666666666711</v>
      </c>
      <c r="O109">
        <v>9</v>
      </c>
      <c r="P109">
        <v>12</v>
      </c>
      <c r="Q109" s="6">
        <f>'enz raw 9'!W13</f>
        <v>81.426030760312386</v>
      </c>
      <c r="R109" s="6">
        <f>'enz raw 9'!X13</f>
        <v>39.704781163508258</v>
      </c>
      <c r="S109" s="6">
        <f>'enz raw 9'!Y13</f>
        <v>32.874614608326972</v>
      </c>
      <c r="T109" s="6">
        <f>'enz raw 9'!Z13</f>
        <v>20.15821147051734</v>
      </c>
    </row>
    <row r="110" spans="1:20">
      <c r="A110">
        <v>136</v>
      </c>
      <c r="B110">
        <v>9.64</v>
      </c>
      <c r="C110" s="11">
        <v>50</v>
      </c>
      <c r="D110">
        <v>0</v>
      </c>
      <c r="E110">
        <v>72.709999999999994</v>
      </c>
      <c r="F110">
        <f t="shared" si="9"/>
        <v>13.069999999999993</v>
      </c>
      <c r="G110" s="7">
        <f t="shared" si="10"/>
        <v>0.20723006183605508</v>
      </c>
      <c r="H110">
        <v>2.74</v>
      </c>
      <c r="I110" s="6">
        <f t="shared" si="11"/>
        <v>2.1721896305692092</v>
      </c>
      <c r="J110" t="s">
        <v>1</v>
      </c>
      <c r="K110" t="s">
        <v>2</v>
      </c>
      <c r="L110" t="s">
        <v>187</v>
      </c>
      <c r="M110">
        <v>5.88</v>
      </c>
      <c r="N110" s="71">
        <v>5.7841666666666711</v>
      </c>
      <c r="O110">
        <v>10</v>
      </c>
      <c r="P110">
        <v>1</v>
      </c>
      <c r="Q110" s="6">
        <f>'enz raw 10'!W2</f>
        <v>74.921107869724807</v>
      </c>
      <c r="R110" s="6">
        <f>'enz raw 10'!X2</f>
        <v>36.125012909097322</v>
      </c>
      <c r="S110" s="6">
        <f>'enz raw 10'!Y2</f>
        <v>30.995786126195409</v>
      </c>
      <c r="T110" s="6">
        <f>'enz raw 10'!Z2</f>
        <v>16.965270680384489</v>
      </c>
    </row>
    <row r="111" spans="1:20">
      <c r="A111">
        <v>137</v>
      </c>
      <c r="B111">
        <v>9.5500000000000007</v>
      </c>
      <c r="C111" s="11">
        <v>50</v>
      </c>
      <c r="D111">
        <v>1</v>
      </c>
      <c r="E111">
        <v>73.56</v>
      </c>
      <c r="F111">
        <f t="shared" si="9"/>
        <v>13.010000000000005</v>
      </c>
      <c r="G111" s="7">
        <f t="shared" si="10"/>
        <v>0.20647516267259172</v>
      </c>
      <c r="H111">
        <v>2.77</v>
      </c>
      <c r="I111" s="6">
        <f t="shared" si="11"/>
        <v>2.198063799396921</v>
      </c>
      <c r="J111" t="s">
        <v>3</v>
      </c>
      <c r="K111" t="s">
        <v>2</v>
      </c>
      <c r="L111" t="s">
        <v>187</v>
      </c>
      <c r="M111">
        <v>5.81</v>
      </c>
      <c r="N111" s="71">
        <v>5.7841666666666711</v>
      </c>
      <c r="O111">
        <v>10</v>
      </c>
      <c r="P111">
        <v>2</v>
      </c>
      <c r="Q111" s="6">
        <f>'enz raw 10'!W3</f>
        <v>73.43284139998083</v>
      </c>
      <c r="R111" s="6">
        <f>'enz raw 10'!X3</f>
        <v>35.667215506350942</v>
      </c>
      <c r="S111" s="6">
        <f>'enz raw 10'!Y3</f>
        <v>35.301738379391814</v>
      </c>
      <c r="T111" s="6">
        <f>'enz raw 10'!Z3</f>
        <v>17.102907838156984</v>
      </c>
    </row>
    <row r="112" spans="1:20">
      <c r="A112">
        <v>138</v>
      </c>
      <c r="B112">
        <v>9.69</v>
      </c>
      <c r="C112" s="11">
        <v>50</v>
      </c>
      <c r="D112">
        <v>1</v>
      </c>
      <c r="E112">
        <v>73.650000000000006</v>
      </c>
      <c r="F112">
        <f t="shared" si="9"/>
        <v>12.960000000000008</v>
      </c>
      <c r="G112" s="7">
        <f t="shared" si="10"/>
        <v>0.20584498094027964</v>
      </c>
      <c r="H112">
        <v>2.74</v>
      </c>
      <c r="I112" s="6">
        <f t="shared" si="11"/>
        <v>2.1759847522236342</v>
      </c>
      <c r="J112" t="s">
        <v>4</v>
      </c>
      <c r="K112" t="s">
        <v>2</v>
      </c>
      <c r="L112" t="s">
        <v>187</v>
      </c>
      <c r="M112">
        <v>5.75</v>
      </c>
      <c r="N112" s="71">
        <v>5.7841666666666711</v>
      </c>
      <c r="O112">
        <v>10</v>
      </c>
      <c r="P112">
        <v>3</v>
      </c>
      <c r="Q112" s="6">
        <f>'enz raw 10'!W4</f>
        <v>69.813533486276583</v>
      </c>
      <c r="R112" s="6">
        <f>'enz raw 10'!X4</f>
        <v>33.152826691264636</v>
      </c>
      <c r="S112" s="6">
        <f>'enz raw 10'!Y4</f>
        <v>32.287341609980842</v>
      </c>
      <c r="T112" s="6">
        <f>'enz raw 10'!Z4</f>
        <v>16.103389555271129</v>
      </c>
    </row>
    <row r="113" spans="1:20">
      <c r="A113">
        <v>140</v>
      </c>
      <c r="B113">
        <v>9.43</v>
      </c>
      <c r="C113" s="11">
        <v>50</v>
      </c>
      <c r="D113">
        <v>1</v>
      </c>
      <c r="E113">
        <v>73.42</v>
      </c>
      <c r="F113">
        <f t="shared" si="9"/>
        <v>12.990000000000002</v>
      </c>
      <c r="G113" s="7">
        <f t="shared" si="10"/>
        <v>0.20622321003333866</v>
      </c>
      <c r="H113">
        <v>2.77</v>
      </c>
      <c r="I113" s="6">
        <f t="shared" si="11"/>
        <v>2.1987617082076518</v>
      </c>
      <c r="J113" t="s">
        <v>6</v>
      </c>
      <c r="K113" t="s">
        <v>2</v>
      </c>
      <c r="L113" t="s">
        <v>187</v>
      </c>
      <c r="M113">
        <v>5.71</v>
      </c>
      <c r="N113" s="71">
        <v>5.7841666666666711</v>
      </c>
      <c r="O113">
        <v>10</v>
      </c>
      <c r="P113">
        <v>4</v>
      </c>
      <c r="Q113" s="6">
        <f>'enz raw 10'!W5</f>
        <v>69.368305276554935</v>
      </c>
      <c r="R113" s="6">
        <f>'enz raw 10'!X5</f>
        <v>33.450399908737914</v>
      </c>
      <c r="S113" s="6">
        <f>'enz raw 10'!Y5</f>
        <v>31.523579079748316</v>
      </c>
      <c r="T113" s="6">
        <f>'enz raw 10'!Z5</f>
        <v>16.354858411555782</v>
      </c>
    </row>
    <row r="114" spans="1:20">
      <c r="A114" s="4">
        <v>141</v>
      </c>
      <c r="B114">
        <v>9.6300000000000008</v>
      </c>
      <c r="C114" s="11">
        <v>50</v>
      </c>
      <c r="D114">
        <v>0</v>
      </c>
      <c r="E114">
        <v>72.58</v>
      </c>
      <c r="F114">
        <f t="shared" si="9"/>
        <v>12.949999999999996</v>
      </c>
      <c r="G114" s="7">
        <f t="shared" si="10"/>
        <v>0.20571882446386014</v>
      </c>
      <c r="H114">
        <v>2.77</v>
      </c>
      <c r="I114" s="6">
        <f t="shared" si="11"/>
        <v>2.2001588562351073</v>
      </c>
      <c r="J114" t="s">
        <v>1</v>
      </c>
      <c r="K114" t="s">
        <v>7</v>
      </c>
      <c r="L114" t="s">
        <v>187</v>
      </c>
      <c r="M114">
        <v>5.22</v>
      </c>
      <c r="N114" s="71">
        <v>5.7841666666666711</v>
      </c>
      <c r="O114">
        <v>10</v>
      </c>
      <c r="P114">
        <v>5</v>
      </c>
      <c r="Q114" s="6">
        <f>'enz raw 10'!W6</f>
        <v>65.778598355145974</v>
      </c>
      <c r="R114" s="6">
        <f>'enz raw 10'!X6</f>
        <v>31.8804450485949</v>
      </c>
      <c r="S114" s="6">
        <f>'enz raw 10'!Y6</f>
        <v>19.955817896331453</v>
      </c>
      <c r="T114" s="6">
        <f>'enz raw 10'!Z6</f>
        <v>15.467470576566523</v>
      </c>
    </row>
    <row r="115" spans="1:20">
      <c r="A115" s="4">
        <v>142</v>
      </c>
      <c r="B115">
        <v>9.33</v>
      </c>
      <c r="C115" s="11">
        <v>50</v>
      </c>
      <c r="D115">
        <v>1</v>
      </c>
      <c r="E115">
        <v>73.53</v>
      </c>
      <c r="F115">
        <f t="shared" si="9"/>
        <v>13.200000000000003</v>
      </c>
      <c r="G115" s="7">
        <f t="shared" si="10"/>
        <v>0.20886075949367092</v>
      </c>
      <c r="H115">
        <v>2.73</v>
      </c>
      <c r="I115" s="6">
        <f t="shared" si="11"/>
        <v>2.1598101265822782</v>
      </c>
      <c r="J115" t="s">
        <v>3</v>
      </c>
      <c r="K115" t="s">
        <v>7</v>
      </c>
      <c r="L115" t="s">
        <v>187</v>
      </c>
      <c r="M115">
        <v>5.29</v>
      </c>
      <c r="N115" s="71">
        <v>5.7841666666666711</v>
      </c>
      <c r="O115">
        <v>10</v>
      </c>
      <c r="P115">
        <v>6</v>
      </c>
      <c r="Q115" s="6">
        <f>'enz raw 10'!W7</f>
        <v>64.861713817177957</v>
      </c>
      <c r="R115" s="6">
        <f>'enz raw 10'!X7</f>
        <v>32.19528320403095</v>
      </c>
      <c r="S115" s="6">
        <f>'enz raw 10'!Y7</f>
        <v>20.986639722223376</v>
      </c>
      <c r="T115" s="6">
        <f>'enz raw 10'!Z7</f>
        <v>17.838185304919421</v>
      </c>
    </row>
    <row r="116" spans="1:20">
      <c r="A116" s="4">
        <v>143</v>
      </c>
      <c r="B116">
        <v>9.69</v>
      </c>
      <c r="C116" s="11">
        <v>50</v>
      </c>
      <c r="D116">
        <v>1</v>
      </c>
      <c r="E116">
        <v>73.900000000000006</v>
      </c>
      <c r="F116">
        <f t="shared" si="9"/>
        <v>13.210000000000008</v>
      </c>
      <c r="G116" s="7">
        <f t="shared" si="10"/>
        <v>0.20898591994937521</v>
      </c>
      <c r="H116">
        <v>2.73</v>
      </c>
      <c r="I116" s="6">
        <f t="shared" si="11"/>
        <v>2.1594684385382057</v>
      </c>
      <c r="J116" t="s">
        <v>4</v>
      </c>
      <c r="K116" t="s">
        <v>7</v>
      </c>
      <c r="L116" t="s">
        <v>187</v>
      </c>
      <c r="M116">
        <v>5.29</v>
      </c>
      <c r="N116" s="71">
        <v>5.7841666666666711</v>
      </c>
      <c r="O116">
        <v>10</v>
      </c>
      <c r="P116">
        <v>7</v>
      </c>
      <c r="Q116" s="6">
        <f>'enz raw 10'!W8</f>
        <v>65.223080212024456</v>
      </c>
      <c r="R116" s="6">
        <f>'enz raw 10'!X8</f>
        <v>34.450382801159996</v>
      </c>
      <c r="S116" s="6">
        <f>'enz raw 10'!Y8</f>
        <v>22.415534218542767</v>
      </c>
      <c r="T116" s="6">
        <f>'enz raw 10'!Z8</f>
        <v>18.372512805595974</v>
      </c>
    </row>
    <row r="117" spans="1:20">
      <c r="A117" s="4">
        <v>145</v>
      </c>
      <c r="B117">
        <v>9.5299999999999994</v>
      </c>
      <c r="C117" s="11">
        <v>50</v>
      </c>
      <c r="D117">
        <v>1</v>
      </c>
      <c r="E117">
        <v>72.599999999999994</v>
      </c>
      <c r="F117">
        <f t="shared" si="9"/>
        <v>12.069999999999993</v>
      </c>
      <c r="G117" s="7">
        <f t="shared" si="10"/>
        <v>0.19445787014660859</v>
      </c>
      <c r="H117">
        <v>2.74</v>
      </c>
      <c r="I117" s="6">
        <f t="shared" si="11"/>
        <v>2.2071854357982925</v>
      </c>
      <c r="J117" t="s">
        <v>6</v>
      </c>
      <c r="K117" t="s">
        <v>7</v>
      </c>
      <c r="L117" t="s">
        <v>187</v>
      </c>
      <c r="M117">
        <v>5.29</v>
      </c>
      <c r="N117" s="71">
        <v>5.7841666666666711</v>
      </c>
      <c r="O117">
        <v>10</v>
      </c>
      <c r="P117">
        <v>8</v>
      </c>
      <c r="Q117" s="6">
        <f>'enz raw 10'!W9</f>
        <v>59.288656454769921</v>
      </c>
      <c r="R117" s="6">
        <f>'enz raw 10'!X9</f>
        <v>31.732277024810241</v>
      </c>
      <c r="S117" s="6">
        <f>'enz raw 10'!Y9</f>
        <v>17.450546433471906</v>
      </c>
      <c r="T117" s="6">
        <f>'enz raw 10'!Z9</f>
        <v>16.109144527482677</v>
      </c>
    </row>
    <row r="118" spans="1:20">
      <c r="A118" s="4">
        <v>146</v>
      </c>
      <c r="B118">
        <v>9.32</v>
      </c>
      <c r="C118" s="11">
        <v>50</v>
      </c>
      <c r="D118">
        <v>0</v>
      </c>
      <c r="E118">
        <v>72.52</v>
      </c>
      <c r="F118">
        <f t="shared" si="9"/>
        <v>13.199999999999996</v>
      </c>
      <c r="G118" s="7">
        <f t="shared" si="10"/>
        <v>0.20886075949367083</v>
      </c>
      <c r="H118">
        <v>2.77</v>
      </c>
      <c r="I118" s="6">
        <f t="shared" si="11"/>
        <v>2.1914556962025316</v>
      </c>
      <c r="J118" t="s">
        <v>1</v>
      </c>
      <c r="K118" t="s">
        <v>7</v>
      </c>
      <c r="L118" t="s">
        <v>187</v>
      </c>
      <c r="M118">
        <v>5.23</v>
      </c>
      <c r="N118" s="71">
        <v>5.7841666666666711</v>
      </c>
      <c r="O118">
        <v>10</v>
      </c>
      <c r="P118">
        <v>9</v>
      </c>
      <c r="Q118" s="6">
        <f>'enz raw 10'!W10</f>
        <v>64.437708148465205</v>
      </c>
      <c r="R118" s="6">
        <f>'enz raw 10'!X10</f>
        <v>35.514480194821623</v>
      </c>
      <c r="S118" s="6">
        <f>'enz raw 10'!Y10</f>
        <v>22.790790822712143</v>
      </c>
      <c r="T118" s="6">
        <f>'enz raw 10'!Z10</f>
        <v>19.272975267006387</v>
      </c>
    </row>
    <row r="119" spans="1:20">
      <c r="A119" s="4">
        <v>147</v>
      </c>
      <c r="B119">
        <v>9.31</v>
      </c>
      <c r="C119" s="11">
        <v>50</v>
      </c>
      <c r="D119">
        <v>1</v>
      </c>
      <c r="E119">
        <v>73.540000000000006</v>
      </c>
      <c r="F119">
        <f t="shared" si="9"/>
        <v>13.230000000000004</v>
      </c>
      <c r="G119" s="7">
        <f t="shared" si="10"/>
        <v>0.20923612209394279</v>
      </c>
      <c r="H119">
        <v>2.73</v>
      </c>
      <c r="I119" s="6">
        <f t="shared" si="11"/>
        <v>2.1587853866835363</v>
      </c>
      <c r="J119" t="s">
        <v>3</v>
      </c>
      <c r="K119" t="s">
        <v>7</v>
      </c>
      <c r="L119" t="s">
        <v>187</v>
      </c>
      <c r="M119">
        <v>5.26</v>
      </c>
      <c r="N119" s="71">
        <v>5.7841666666666711</v>
      </c>
      <c r="O119">
        <v>10</v>
      </c>
      <c r="P119">
        <v>10</v>
      </c>
      <c r="Q119" s="6">
        <f>'enz raw 10'!W11</f>
        <v>61.64983675461729</v>
      </c>
      <c r="R119" s="6">
        <f>'enz raw 10'!X11</f>
        <v>30.205926393235014</v>
      </c>
      <c r="S119" s="6">
        <f>'enz raw 10'!Y11</f>
        <v>21.756381541194536</v>
      </c>
      <c r="T119" s="6">
        <f>'enz raw 10'!Z11</f>
        <v>15.824603049657076</v>
      </c>
    </row>
    <row r="120" spans="1:20">
      <c r="A120" s="4">
        <v>148</v>
      </c>
      <c r="B120">
        <v>9.57</v>
      </c>
      <c r="C120" s="11">
        <v>50</v>
      </c>
      <c r="D120">
        <v>1</v>
      </c>
      <c r="E120">
        <v>73.78</v>
      </c>
      <c r="F120">
        <f t="shared" si="9"/>
        <v>13.21</v>
      </c>
      <c r="G120" s="7">
        <f t="shared" si="10"/>
        <v>0.2089859199493751</v>
      </c>
      <c r="H120">
        <v>2.77</v>
      </c>
      <c r="I120" s="6">
        <f t="shared" si="11"/>
        <v>2.191109001740231</v>
      </c>
      <c r="J120" t="s">
        <v>4</v>
      </c>
      <c r="K120" t="s">
        <v>7</v>
      </c>
      <c r="L120" t="s">
        <v>187</v>
      </c>
      <c r="M120">
        <v>5.3</v>
      </c>
      <c r="N120" s="71">
        <v>5.7841666666666711</v>
      </c>
      <c r="O120">
        <v>10</v>
      </c>
      <c r="P120">
        <v>11</v>
      </c>
      <c r="Q120" s="6">
        <f>'enz raw 10'!W12</f>
        <v>61.527450843447482</v>
      </c>
      <c r="R120" s="6">
        <f>'enz raw 10'!X12</f>
        <v>32.696069697322955</v>
      </c>
      <c r="S120" s="6">
        <f>'enz raw 10'!Y12</f>
        <v>23.985835137516865</v>
      </c>
      <c r="T120" s="6">
        <f>'enz raw 10'!Z12</f>
        <v>16.990554178249862</v>
      </c>
    </row>
    <row r="121" spans="1:20">
      <c r="A121" s="4">
        <v>150</v>
      </c>
      <c r="B121">
        <v>9.2799999999999994</v>
      </c>
      <c r="C121" s="11">
        <v>50</v>
      </c>
      <c r="D121">
        <v>1</v>
      </c>
      <c r="E121">
        <v>72.19</v>
      </c>
      <c r="F121">
        <f t="shared" si="9"/>
        <v>11.909999999999997</v>
      </c>
      <c r="G121" s="7">
        <f t="shared" si="10"/>
        <v>0.19237602972056206</v>
      </c>
      <c r="H121">
        <v>2.75</v>
      </c>
      <c r="I121" s="6">
        <f t="shared" si="11"/>
        <v>2.2209659182684542</v>
      </c>
      <c r="J121" t="s">
        <v>6</v>
      </c>
      <c r="K121" t="s">
        <v>7</v>
      </c>
      <c r="L121" t="s">
        <v>187</v>
      </c>
      <c r="M121">
        <v>5.27</v>
      </c>
      <c r="N121" s="71">
        <v>5.7841666666666711</v>
      </c>
      <c r="O121">
        <v>10</v>
      </c>
      <c r="P121">
        <v>12</v>
      </c>
      <c r="Q121" s="6">
        <f>'enz raw 10'!W13</f>
        <v>63.235033441373865</v>
      </c>
      <c r="R121" s="6">
        <f>'enz raw 10'!X13</f>
        <v>29.766319020720324</v>
      </c>
      <c r="S121" s="6">
        <f>'enz raw 10'!Y13</f>
        <v>27.549989000019615</v>
      </c>
      <c r="T121" s="6">
        <f>'enz raw 10'!Z13</f>
        <v>9.913286148469016</v>
      </c>
    </row>
    <row r="122" spans="1:20">
      <c r="A122" s="4">
        <v>151</v>
      </c>
      <c r="B122">
        <v>9.2899999999999991</v>
      </c>
      <c r="C122" s="11">
        <v>50</v>
      </c>
      <c r="D122">
        <v>0</v>
      </c>
      <c r="E122">
        <v>72.27</v>
      </c>
      <c r="F122">
        <f t="shared" si="9"/>
        <v>12.979999999999997</v>
      </c>
      <c r="G122" s="7">
        <f t="shared" si="10"/>
        <v>0.20609717370593836</v>
      </c>
      <c r="H122">
        <v>2.79</v>
      </c>
      <c r="I122" s="6">
        <f t="shared" si="11"/>
        <v>2.214988885360432</v>
      </c>
      <c r="J122" t="s">
        <v>1</v>
      </c>
      <c r="K122" t="s">
        <v>7</v>
      </c>
      <c r="L122" t="s">
        <v>187</v>
      </c>
      <c r="M122" s="1">
        <v>5.26</v>
      </c>
      <c r="N122" s="71">
        <v>5.7841666666666711</v>
      </c>
      <c r="O122">
        <v>11</v>
      </c>
      <c r="P122">
        <v>1</v>
      </c>
      <c r="Q122" s="6">
        <f>'enz raw 11'!W2</f>
        <v>70.785715267179313</v>
      </c>
      <c r="R122" s="6">
        <f>'enz raw 11'!X2</f>
        <v>33.670824967370251</v>
      </c>
      <c r="S122" s="6">
        <f>'enz raw 11'!Y2</f>
        <v>26.037264280057236</v>
      </c>
      <c r="T122" s="6">
        <f>'enz raw 11'!Z2</f>
        <v>11.667590225872713</v>
      </c>
    </row>
    <row r="123" spans="1:20">
      <c r="A123" s="4">
        <v>152</v>
      </c>
      <c r="B123">
        <v>9.68</v>
      </c>
      <c r="C123" s="11">
        <v>50</v>
      </c>
      <c r="D123">
        <v>1</v>
      </c>
      <c r="E123">
        <v>73.900000000000006</v>
      </c>
      <c r="F123">
        <f t="shared" si="9"/>
        <v>13.220000000000006</v>
      </c>
      <c r="G123" s="7">
        <f t="shared" si="10"/>
        <v>0.20911104080987036</v>
      </c>
      <c r="H123">
        <v>2.78</v>
      </c>
      <c r="I123" s="6">
        <f t="shared" si="11"/>
        <v>2.1986713065485604</v>
      </c>
      <c r="J123" t="s">
        <v>3</v>
      </c>
      <c r="K123" t="s">
        <v>7</v>
      </c>
      <c r="L123" t="s">
        <v>187</v>
      </c>
      <c r="M123" s="1">
        <v>5.27</v>
      </c>
      <c r="N123" s="71">
        <v>5.7841666666666711</v>
      </c>
      <c r="O123">
        <v>11</v>
      </c>
      <c r="P123">
        <v>2</v>
      </c>
      <c r="Q123" s="6">
        <f>'enz raw 11'!W3</f>
        <v>67.700822730446063</v>
      </c>
      <c r="R123" s="6">
        <f>'enz raw 11'!X3</f>
        <v>28.855001265222675</v>
      </c>
      <c r="S123" s="6">
        <f>'enz raw 11'!Y3</f>
        <v>27.272130374406846</v>
      </c>
      <c r="T123" s="6">
        <f>'enz raw 11'!Z3</f>
        <v>10.535665006054829</v>
      </c>
    </row>
    <row r="124" spans="1:20">
      <c r="A124" s="4">
        <v>153</v>
      </c>
      <c r="B124">
        <v>9.68</v>
      </c>
      <c r="C124" s="11">
        <v>50</v>
      </c>
      <c r="D124">
        <v>1</v>
      </c>
      <c r="E124">
        <v>73.849999999999994</v>
      </c>
      <c r="F124">
        <f t="shared" si="9"/>
        <v>13.169999999999995</v>
      </c>
      <c r="G124" s="7">
        <f t="shared" si="10"/>
        <v>0.20848504036726287</v>
      </c>
      <c r="H124">
        <v>2.75</v>
      </c>
      <c r="I124" s="6">
        <f t="shared" si="11"/>
        <v>2.176666138990027</v>
      </c>
      <c r="J124" t="s">
        <v>4</v>
      </c>
      <c r="K124" t="s">
        <v>7</v>
      </c>
      <c r="L124" t="s">
        <v>187</v>
      </c>
      <c r="M124" s="1">
        <v>5.29</v>
      </c>
      <c r="N124" s="71">
        <v>5.7841666666666711</v>
      </c>
      <c r="O124">
        <v>11</v>
      </c>
      <c r="P124">
        <v>3</v>
      </c>
      <c r="Q124" s="6">
        <f>'enz raw 11'!W4</f>
        <v>67.210952309661465</v>
      </c>
      <c r="R124" s="6">
        <f>'enz raw 11'!X4</f>
        <v>30.16129473734723</v>
      </c>
      <c r="S124" s="6">
        <f>'enz raw 11'!Y4</f>
        <v>26.234999463424437</v>
      </c>
      <c r="T124" s="6">
        <f>'enz raw 11'!Z4</f>
        <v>10.353977804456154</v>
      </c>
    </row>
    <row r="125" spans="1:20">
      <c r="A125" s="4">
        <v>155</v>
      </c>
      <c r="B125">
        <v>9.44</v>
      </c>
      <c r="C125" s="11">
        <v>50</v>
      </c>
      <c r="D125">
        <v>1</v>
      </c>
      <c r="E125">
        <v>73.11</v>
      </c>
      <c r="F125">
        <f t="shared" si="9"/>
        <v>12.670000000000002</v>
      </c>
      <c r="G125" s="7">
        <f t="shared" si="10"/>
        <v>0.20217009733524816</v>
      </c>
      <c r="H125">
        <v>2.72</v>
      </c>
      <c r="I125" s="6">
        <f t="shared" si="11"/>
        <v>2.1700973352481254</v>
      </c>
      <c r="J125" t="s">
        <v>6</v>
      </c>
      <c r="K125" t="s">
        <v>7</v>
      </c>
      <c r="L125" t="s">
        <v>187</v>
      </c>
      <c r="M125" s="1">
        <v>5.32</v>
      </c>
      <c r="N125" s="71">
        <v>5.7841666666666711</v>
      </c>
      <c r="O125">
        <v>11</v>
      </c>
      <c r="P125">
        <v>4</v>
      </c>
      <c r="Q125" s="6">
        <f>'enz raw 11'!W5</f>
        <v>65.361469554723158</v>
      </c>
      <c r="R125" s="6">
        <f>'enz raw 11'!X5</f>
        <v>29.768707137221071</v>
      </c>
      <c r="S125" s="6">
        <f>'enz raw 11'!Y5</f>
        <v>25.460231301123873</v>
      </c>
      <c r="T125" s="6">
        <f>'enz raw 11'!Z5</f>
        <v>12.046169833900525</v>
      </c>
    </row>
    <row r="126" spans="1:20">
      <c r="A126" s="4">
        <v>156</v>
      </c>
      <c r="B126">
        <v>9.6999999999999993</v>
      </c>
      <c r="C126" s="11">
        <v>50</v>
      </c>
      <c r="D126">
        <v>0</v>
      </c>
      <c r="E126">
        <v>72.69</v>
      </c>
      <c r="F126">
        <f t="shared" si="9"/>
        <v>12.989999999999995</v>
      </c>
      <c r="G126" s="7">
        <f t="shared" si="10"/>
        <v>0.20622321003333857</v>
      </c>
      <c r="H126">
        <v>2.77</v>
      </c>
      <c r="I126" s="6">
        <f t="shared" si="11"/>
        <v>2.1987617082076523</v>
      </c>
      <c r="J126" t="s">
        <v>1</v>
      </c>
      <c r="K126" t="s">
        <v>7</v>
      </c>
      <c r="L126" t="s">
        <v>187</v>
      </c>
      <c r="M126" s="1">
        <v>5.24</v>
      </c>
      <c r="N126" s="71">
        <v>5.7841666666666711</v>
      </c>
      <c r="O126">
        <v>11</v>
      </c>
      <c r="P126">
        <v>5</v>
      </c>
      <c r="Q126" s="6">
        <f>'enz raw 11'!W6</f>
        <v>66.595878496803707</v>
      </c>
      <c r="R126" s="6">
        <f>'enz raw 11'!X6</f>
        <v>30.482421569016154</v>
      </c>
      <c r="S126" s="6">
        <f>'enz raw 11'!Y6</f>
        <v>25.393896163888581</v>
      </c>
      <c r="T126" s="6">
        <f>'enz raw 11'!Z6</f>
        <v>13.354324854694061</v>
      </c>
    </row>
    <row r="127" spans="1:20">
      <c r="A127" s="4">
        <v>157</v>
      </c>
      <c r="B127">
        <v>9.74</v>
      </c>
      <c r="C127" s="11">
        <v>50</v>
      </c>
      <c r="D127">
        <v>1</v>
      </c>
      <c r="E127">
        <v>73.92</v>
      </c>
      <c r="F127">
        <f t="shared" si="9"/>
        <v>13.18</v>
      </c>
      <c r="G127" s="7">
        <f t="shared" si="10"/>
        <v>0.20861031972143082</v>
      </c>
      <c r="H127">
        <v>2.74</v>
      </c>
      <c r="I127" s="6">
        <f t="shared" si="11"/>
        <v>2.1684077239632797</v>
      </c>
      <c r="J127" t="s">
        <v>3</v>
      </c>
      <c r="K127" t="s">
        <v>7</v>
      </c>
      <c r="L127" t="s">
        <v>187</v>
      </c>
      <c r="M127" s="1">
        <v>5.24</v>
      </c>
      <c r="N127" s="71">
        <v>5.7841666666666711</v>
      </c>
      <c r="O127">
        <v>11</v>
      </c>
      <c r="P127">
        <v>6</v>
      </c>
      <c r="Q127" s="6">
        <f>'enz raw 11'!W7</f>
        <v>66.078604278540354</v>
      </c>
      <c r="R127" s="6">
        <f>'enz raw 11'!X7</f>
        <v>28.826801920052858</v>
      </c>
      <c r="S127" s="6">
        <f>'enz raw 11'!Y7</f>
        <v>25.701938746618268</v>
      </c>
      <c r="T127" s="6">
        <f>'enz raw 11'!Z7</f>
        <v>12.672749308521833</v>
      </c>
    </row>
    <row r="128" spans="1:20">
      <c r="A128" s="4">
        <v>158</v>
      </c>
      <c r="B128">
        <v>9.35</v>
      </c>
      <c r="C128" s="11">
        <v>50</v>
      </c>
      <c r="D128">
        <v>1</v>
      </c>
      <c r="E128">
        <v>73.569999999999993</v>
      </c>
      <c r="F128">
        <f t="shared" si="9"/>
        <v>13.219999999999992</v>
      </c>
      <c r="G128" s="7">
        <f t="shared" si="10"/>
        <v>0.2091110408098702</v>
      </c>
      <c r="H128">
        <v>2.74</v>
      </c>
      <c r="I128" s="6">
        <f t="shared" si="11"/>
        <v>2.1670357481809557</v>
      </c>
      <c r="J128" t="s">
        <v>4</v>
      </c>
      <c r="K128" t="s">
        <v>7</v>
      </c>
      <c r="L128" t="s">
        <v>187</v>
      </c>
      <c r="M128" s="1">
        <v>5.33</v>
      </c>
      <c r="N128" s="71">
        <v>5.7841666666666711</v>
      </c>
      <c r="O128">
        <v>11</v>
      </c>
      <c r="P128">
        <v>7</v>
      </c>
      <c r="Q128" s="6">
        <f>'enz raw 11'!W8</f>
        <v>64.393854445672943</v>
      </c>
      <c r="R128" s="6">
        <f>'enz raw 11'!X8</f>
        <v>30.819999609654154</v>
      </c>
      <c r="S128" s="6">
        <f>'enz raw 11'!Y8</f>
        <v>25.610509521720907</v>
      </c>
      <c r="T128" s="6">
        <f>'enz raw 11'!Z8</f>
        <v>13.209832680740245</v>
      </c>
    </row>
    <row r="129" spans="1:20">
      <c r="A129" s="4">
        <v>160</v>
      </c>
      <c r="B129">
        <v>9.84</v>
      </c>
      <c r="C129" s="11">
        <v>50</v>
      </c>
      <c r="D129">
        <v>1</v>
      </c>
      <c r="E129">
        <v>73.83</v>
      </c>
      <c r="F129">
        <f t="shared" si="9"/>
        <v>12.989999999999995</v>
      </c>
      <c r="G129" s="7">
        <f t="shared" si="10"/>
        <v>0.20622321003333857</v>
      </c>
      <c r="H129">
        <v>2.72</v>
      </c>
      <c r="I129" s="6">
        <f t="shared" si="11"/>
        <v>2.1590728687093192</v>
      </c>
      <c r="J129" t="s">
        <v>6</v>
      </c>
      <c r="K129" t="s">
        <v>7</v>
      </c>
      <c r="L129" t="s">
        <v>187</v>
      </c>
      <c r="M129" s="1">
        <v>5.33</v>
      </c>
      <c r="N129" s="71">
        <v>5.7841666666666711</v>
      </c>
      <c r="O129">
        <v>11</v>
      </c>
      <c r="P129">
        <v>8</v>
      </c>
      <c r="Q129" s="6">
        <f>'enz raw 11'!W9</f>
        <v>66.359027460397712</v>
      </c>
      <c r="R129" s="6">
        <f>'enz raw 11'!X9</f>
        <v>30.794158493771363</v>
      </c>
      <c r="S129" s="6">
        <f>'enz raw 11'!Y9</f>
        <v>26.305260972554432</v>
      </c>
      <c r="T129" s="6">
        <f>'enz raw 11'!Z9</f>
        <v>12.907326156348711</v>
      </c>
    </row>
    <row r="130" spans="1:20">
      <c r="A130">
        <v>161</v>
      </c>
      <c r="C130" s="11"/>
      <c r="G130" s="7">
        <f>14.62/100</f>
        <v>0.1462</v>
      </c>
      <c r="H130">
        <v>2.71</v>
      </c>
      <c r="I130" s="6">
        <f t="shared" ref="I130:I161" si="12">H130-(H130*G130)</f>
        <v>2.3137979999999998</v>
      </c>
      <c r="J130" t="s">
        <v>1</v>
      </c>
      <c r="K130" t="s">
        <v>2</v>
      </c>
      <c r="L130" t="s">
        <v>188</v>
      </c>
      <c r="M130" s="1">
        <v>6.14</v>
      </c>
      <c r="N130" s="71">
        <v>5.7841666666666711</v>
      </c>
      <c r="O130">
        <v>11</v>
      </c>
      <c r="P130">
        <v>9</v>
      </c>
      <c r="Q130" s="6">
        <f>'enz raw 11'!W10</f>
        <v>59.846920602478221</v>
      </c>
      <c r="R130" s="6">
        <f>'enz raw 11'!X10</f>
        <v>26.851902802554761</v>
      </c>
      <c r="S130" s="6">
        <f>'enz raw 11'!Y10</f>
        <v>38.531724380164043</v>
      </c>
      <c r="T130" s="6">
        <f>'enz raw 11'!Z10</f>
        <v>16.90204334927045</v>
      </c>
    </row>
    <row r="131" spans="1:20">
      <c r="A131">
        <v>162</v>
      </c>
      <c r="C131" s="11"/>
      <c r="G131" s="7">
        <f>14.62/100</f>
        <v>0.1462</v>
      </c>
      <c r="H131">
        <v>2.75</v>
      </c>
      <c r="I131" s="6">
        <f t="shared" si="12"/>
        <v>2.34795</v>
      </c>
      <c r="J131" t="s">
        <v>1</v>
      </c>
      <c r="K131" t="s">
        <v>2</v>
      </c>
      <c r="L131" t="s">
        <v>188</v>
      </c>
      <c r="M131" s="1">
        <v>6.12</v>
      </c>
      <c r="N131" s="71">
        <v>5.7841666666666711</v>
      </c>
      <c r="O131">
        <v>11</v>
      </c>
      <c r="P131">
        <v>10</v>
      </c>
      <c r="Q131" s="6">
        <f>'enz raw 11'!W11</f>
        <v>62.713278852130543</v>
      </c>
      <c r="R131" s="6">
        <f>'enz raw 11'!X11</f>
        <v>31.759786596375253</v>
      </c>
      <c r="S131" s="6">
        <f>'enz raw 11'!Y11</f>
        <v>35.446199088571255</v>
      </c>
      <c r="T131" s="6">
        <f>'enz raw 11'!Z11</f>
        <v>15.732756161728624</v>
      </c>
    </row>
    <row r="132" spans="1:20">
      <c r="A132">
        <v>163</v>
      </c>
      <c r="C132" s="11"/>
      <c r="G132" s="7">
        <f>14.62/100</f>
        <v>0.1462</v>
      </c>
      <c r="H132">
        <v>2.74</v>
      </c>
      <c r="I132" s="6">
        <f t="shared" si="12"/>
        <v>2.3394120000000003</v>
      </c>
      <c r="J132" t="s">
        <v>1</v>
      </c>
      <c r="K132" t="s">
        <v>2</v>
      </c>
      <c r="L132" t="s">
        <v>188</v>
      </c>
      <c r="M132" s="1">
        <v>6.11</v>
      </c>
      <c r="N132" s="71">
        <v>5.7841666666666711</v>
      </c>
      <c r="O132">
        <v>11</v>
      </c>
      <c r="P132">
        <v>11</v>
      </c>
      <c r="Q132" s="6">
        <f>'enz raw 11'!W12</f>
        <v>66.272730328188118</v>
      </c>
      <c r="R132" s="6">
        <f>'enz raw 11'!X12</f>
        <v>31.642015461752187</v>
      </c>
      <c r="S132" s="6">
        <f>'enz raw 11'!Y12</f>
        <v>37.613631717988092</v>
      </c>
      <c r="T132" s="6">
        <f>'enz raw 11'!Z12</f>
        <v>15.269907071588893</v>
      </c>
    </row>
    <row r="133" spans="1:20">
      <c r="A133">
        <v>164</v>
      </c>
      <c r="C133" s="11"/>
      <c r="G133" s="7">
        <f>14.62/100</f>
        <v>0.1462</v>
      </c>
      <c r="H133">
        <v>2.76</v>
      </c>
      <c r="I133" s="6">
        <f t="shared" si="12"/>
        <v>2.3564879999999997</v>
      </c>
      <c r="J133" t="s">
        <v>1</v>
      </c>
      <c r="K133" t="s">
        <v>2</v>
      </c>
      <c r="L133" t="s">
        <v>188</v>
      </c>
      <c r="M133" s="1">
        <v>6.15</v>
      </c>
      <c r="N133" s="71">
        <v>5.7841666666666711</v>
      </c>
      <c r="O133">
        <v>11</v>
      </c>
      <c r="P133">
        <v>12</v>
      </c>
      <c r="Q133" s="6">
        <f>'enz raw 11'!W13</f>
        <v>72.686304006823178</v>
      </c>
      <c r="R133" s="6">
        <f>'enz raw 11'!X13</f>
        <v>29.208179889028923</v>
      </c>
      <c r="S133" s="6">
        <f>'enz raw 11'!Y13</f>
        <v>39.431335874003032</v>
      </c>
      <c r="T133" s="6">
        <f>'enz raw 11'!Z13</f>
        <v>16.408220148750303</v>
      </c>
    </row>
    <row r="134" spans="1:20">
      <c r="A134">
        <v>4</v>
      </c>
      <c r="B134">
        <v>9.4</v>
      </c>
      <c r="C134" s="11">
        <v>50</v>
      </c>
      <c r="D134">
        <v>1</v>
      </c>
      <c r="E134">
        <v>73.45</v>
      </c>
      <c r="F134">
        <f t="shared" ref="F134:F165" si="13">E134-D134-B134-C134</f>
        <v>13.050000000000004</v>
      </c>
      <c r="G134" s="7">
        <f t="shared" ref="G134:G165" si="14">F134/(F134+C134)</f>
        <v>0.20697858842188743</v>
      </c>
      <c r="H134">
        <v>2.7</v>
      </c>
      <c r="I134" s="6">
        <f t="shared" si="12"/>
        <v>2.141157811260904</v>
      </c>
      <c r="J134" t="s">
        <v>5</v>
      </c>
      <c r="K134" t="s">
        <v>2</v>
      </c>
      <c r="L134" t="s">
        <v>184</v>
      </c>
      <c r="M134" s="1">
        <v>6.89</v>
      </c>
      <c r="N134" s="71">
        <v>6.6484374999999982</v>
      </c>
      <c r="O134">
        <v>12</v>
      </c>
      <c r="P134">
        <v>1</v>
      </c>
      <c r="Q134" s="6">
        <f>'enz raw 12 '!W2</f>
        <v>57.644277120985329</v>
      </c>
      <c r="R134" s="6">
        <f>'enz raw 12 '!X2</f>
        <v>27.126084627641493</v>
      </c>
      <c r="S134" s="6">
        <f>'enz raw 12 '!Y2</f>
        <v>128.9145957687507</v>
      </c>
      <c r="T134" s="6">
        <f>'enz raw 12 '!Z2</f>
        <v>15.64883590942957</v>
      </c>
    </row>
    <row r="135" spans="1:20">
      <c r="A135">
        <v>9</v>
      </c>
      <c r="B135">
        <v>9.2899999999999991</v>
      </c>
      <c r="C135" s="11">
        <v>50</v>
      </c>
      <c r="D135">
        <v>1</v>
      </c>
      <c r="E135">
        <v>73.37</v>
      </c>
      <c r="F135">
        <f t="shared" si="13"/>
        <v>13.080000000000005</v>
      </c>
      <c r="G135" s="7">
        <f t="shared" si="14"/>
        <v>0.20735573874445157</v>
      </c>
      <c r="H135">
        <v>2.72</v>
      </c>
      <c r="I135" s="6">
        <f t="shared" si="12"/>
        <v>2.1559923906150917</v>
      </c>
      <c r="J135" t="s">
        <v>5</v>
      </c>
      <c r="K135" t="s">
        <v>2</v>
      </c>
      <c r="L135" t="s">
        <v>184</v>
      </c>
      <c r="M135" s="1">
        <v>6.96</v>
      </c>
      <c r="N135" s="71">
        <v>6.6484374999999982</v>
      </c>
      <c r="O135">
        <v>12</v>
      </c>
      <c r="P135">
        <v>2</v>
      </c>
      <c r="Q135" s="6">
        <f>'enz raw 12 '!W3</f>
        <v>65.000517928698542</v>
      </c>
      <c r="R135" s="6">
        <f>'enz raw 12 '!X3</f>
        <v>28.039287387566837</v>
      </c>
      <c r="S135" s="6">
        <f>'enz raw 12 '!Y3</f>
        <v>142.46333754076107</v>
      </c>
      <c r="T135" s="6">
        <f>'enz raw 12 '!Z3</f>
        <v>14.205226813600396</v>
      </c>
    </row>
    <row r="136" spans="1:20">
      <c r="A136">
        <v>14</v>
      </c>
      <c r="B136">
        <v>9.3699999999999992</v>
      </c>
      <c r="C136" s="11">
        <v>50</v>
      </c>
      <c r="D136">
        <v>1</v>
      </c>
      <c r="E136">
        <v>73.39</v>
      </c>
      <c r="F136">
        <f t="shared" si="13"/>
        <v>13.020000000000003</v>
      </c>
      <c r="G136" s="7">
        <f t="shared" si="14"/>
        <v>0.20660107902253258</v>
      </c>
      <c r="H136">
        <v>2.79</v>
      </c>
      <c r="I136" s="6">
        <f t="shared" si="12"/>
        <v>2.2135829895271342</v>
      </c>
      <c r="J136" t="s">
        <v>5</v>
      </c>
      <c r="K136" t="s">
        <v>2</v>
      </c>
      <c r="L136" t="s">
        <v>184</v>
      </c>
      <c r="M136" s="1">
        <v>6.94</v>
      </c>
      <c r="N136" s="71">
        <v>6.6484374999999982</v>
      </c>
      <c r="O136">
        <v>12</v>
      </c>
      <c r="P136">
        <v>3</v>
      </c>
      <c r="Q136" s="6">
        <f>'enz raw 12 '!W4</f>
        <v>63.986623021720106</v>
      </c>
      <c r="R136" s="6">
        <f>'enz raw 12 '!X4</f>
        <v>27.536271219889699</v>
      </c>
      <c r="S136" s="6">
        <f>'enz raw 12 '!Y4</f>
        <v>132.96851668298493</v>
      </c>
      <c r="T136" s="6">
        <f>'enz raw 12 '!Z4</f>
        <v>14.556227909766127</v>
      </c>
    </row>
    <row r="137" spans="1:20">
      <c r="A137">
        <v>19</v>
      </c>
      <c r="B137">
        <v>9.44</v>
      </c>
      <c r="C137" s="11">
        <v>50</v>
      </c>
      <c r="D137">
        <v>1</v>
      </c>
      <c r="E137">
        <v>73.569999999999993</v>
      </c>
      <c r="F137">
        <f t="shared" si="13"/>
        <v>13.129999999999995</v>
      </c>
      <c r="G137" s="7">
        <f t="shared" si="14"/>
        <v>0.20798352605734194</v>
      </c>
      <c r="H137">
        <v>2.71</v>
      </c>
      <c r="I137" s="6">
        <f t="shared" si="12"/>
        <v>2.1463646443846032</v>
      </c>
      <c r="J137" t="s">
        <v>5</v>
      </c>
      <c r="K137" t="s">
        <v>2</v>
      </c>
      <c r="L137" t="s">
        <v>184</v>
      </c>
      <c r="M137" s="1">
        <v>6.9</v>
      </c>
      <c r="N137" s="71">
        <v>6.6484374999999982</v>
      </c>
      <c r="O137">
        <v>12</v>
      </c>
      <c r="P137">
        <v>4</v>
      </c>
      <c r="Q137" s="6">
        <f>'enz raw 12 '!W5</f>
        <v>63.524199368765231</v>
      </c>
      <c r="R137" s="6">
        <f>'enz raw 12 '!X5</f>
        <v>25.735104147175662</v>
      </c>
      <c r="S137" s="6">
        <f>'enz raw 12 '!Y5</f>
        <v>131.75164237570584</v>
      </c>
      <c r="T137" s="6">
        <f>'enz raw 12 '!Z5</f>
        <v>14.530968897265774</v>
      </c>
    </row>
    <row r="138" spans="1:20">
      <c r="A138" s="4">
        <v>24</v>
      </c>
      <c r="B138">
        <v>9.6199999999999992</v>
      </c>
      <c r="C138" s="11">
        <v>50</v>
      </c>
      <c r="D138">
        <v>1</v>
      </c>
      <c r="E138">
        <v>73.709999999999994</v>
      </c>
      <c r="F138">
        <f t="shared" si="13"/>
        <v>13.089999999999996</v>
      </c>
      <c r="G138" s="7">
        <f t="shared" si="14"/>
        <v>0.20748137581233153</v>
      </c>
      <c r="H138">
        <v>2.72</v>
      </c>
      <c r="I138" s="6">
        <f t="shared" si="12"/>
        <v>2.1556506577904582</v>
      </c>
      <c r="J138" t="s">
        <v>5</v>
      </c>
      <c r="K138" t="s">
        <v>7</v>
      </c>
      <c r="L138" t="s">
        <v>184</v>
      </c>
      <c r="M138" s="1">
        <v>6.23</v>
      </c>
      <c r="N138" s="71">
        <v>6.6484374999999982</v>
      </c>
      <c r="O138">
        <v>12</v>
      </c>
      <c r="P138">
        <v>5</v>
      </c>
      <c r="Q138" s="6">
        <f>'enz raw 12 '!W6</f>
        <v>62.655278716123377</v>
      </c>
      <c r="R138" s="6">
        <f>'enz raw 12 '!X6</f>
        <v>25.614782824640479</v>
      </c>
      <c r="S138" s="6">
        <f>'enz raw 12 '!Y6</f>
        <v>124.13171208219869</v>
      </c>
      <c r="T138" s="6">
        <f>'enz raw 12 '!Z6</f>
        <v>13.380604437125145</v>
      </c>
    </row>
    <row r="139" spans="1:20">
      <c r="A139" s="4">
        <v>29</v>
      </c>
      <c r="B139">
        <v>9.43</v>
      </c>
      <c r="C139" s="11">
        <v>50</v>
      </c>
      <c r="D139">
        <v>1</v>
      </c>
      <c r="E139">
        <v>73.45</v>
      </c>
      <c r="F139">
        <f t="shared" si="13"/>
        <v>13.020000000000003</v>
      </c>
      <c r="G139" s="7">
        <f t="shared" si="14"/>
        <v>0.20660107902253258</v>
      </c>
      <c r="H139">
        <v>2.71</v>
      </c>
      <c r="I139" s="6">
        <f t="shared" si="12"/>
        <v>2.1501110758489368</v>
      </c>
      <c r="J139" t="s">
        <v>5</v>
      </c>
      <c r="K139" t="s">
        <v>7</v>
      </c>
      <c r="L139" t="s">
        <v>184</v>
      </c>
      <c r="M139" s="1">
        <v>6.19</v>
      </c>
      <c r="N139" s="71">
        <v>6.6484374999999982</v>
      </c>
      <c r="O139">
        <v>12</v>
      </c>
      <c r="P139">
        <v>6</v>
      </c>
      <c r="Q139" s="6">
        <f>'enz raw 12 '!W7</f>
        <v>64.737740089761488</v>
      </c>
      <c r="R139" s="6">
        <f>'enz raw 12 '!X7</f>
        <v>26.240046010445106</v>
      </c>
      <c r="S139" s="6">
        <f>'enz raw 12 '!Y7</f>
        <v>122.48189660303559</v>
      </c>
      <c r="T139" s="6">
        <f>'enz raw 12 '!Z7</f>
        <v>13.009660445542742</v>
      </c>
    </row>
    <row r="140" spans="1:20">
      <c r="A140" s="4">
        <v>34</v>
      </c>
      <c r="B140">
        <v>9.61</v>
      </c>
      <c r="C140" s="11">
        <v>50</v>
      </c>
      <c r="D140">
        <v>1</v>
      </c>
      <c r="E140">
        <v>73.66</v>
      </c>
      <c r="F140">
        <f t="shared" si="13"/>
        <v>13.049999999999997</v>
      </c>
      <c r="G140" s="7">
        <f t="shared" si="14"/>
        <v>0.20697858842188735</v>
      </c>
      <c r="H140">
        <v>2.8</v>
      </c>
      <c r="I140" s="6">
        <f t="shared" si="12"/>
        <v>2.2204599524187154</v>
      </c>
      <c r="J140" t="s">
        <v>5</v>
      </c>
      <c r="K140" t="s">
        <v>7</v>
      </c>
      <c r="L140" t="s">
        <v>184</v>
      </c>
      <c r="M140" s="1">
        <v>6.23</v>
      </c>
      <c r="N140" s="71">
        <v>6.6484374999999982</v>
      </c>
      <c r="O140">
        <v>12</v>
      </c>
      <c r="P140">
        <v>7</v>
      </c>
      <c r="Q140" s="6">
        <f>'enz raw 12 '!W8</f>
        <v>60.825250189296078</v>
      </c>
      <c r="R140" s="6">
        <f>'enz raw 12 '!X8</f>
        <v>27.174495946248584</v>
      </c>
      <c r="S140" s="6">
        <f>'enz raw 12 '!Y8</f>
        <v>118.76715176998046</v>
      </c>
      <c r="T140" s="6">
        <f>'enz raw 12 '!Z8</f>
        <v>14.8956211238348</v>
      </c>
    </row>
    <row r="141" spans="1:20">
      <c r="A141" s="4">
        <v>39</v>
      </c>
      <c r="B141">
        <v>9.65</v>
      </c>
      <c r="C141" s="11">
        <v>50</v>
      </c>
      <c r="D141">
        <v>1</v>
      </c>
      <c r="E141">
        <v>73.14</v>
      </c>
      <c r="F141">
        <f t="shared" si="13"/>
        <v>12.490000000000002</v>
      </c>
      <c r="G141" s="7">
        <f t="shared" si="14"/>
        <v>0.1998719795167227</v>
      </c>
      <c r="H141">
        <v>2.71</v>
      </c>
      <c r="I141" s="6">
        <f t="shared" si="12"/>
        <v>2.1683469355096814</v>
      </c>
      <c r="J141" t="s">
        <v>5</v>
      </c>
      <c r="K141" t="s">
        <v>7</v>
      </c>
      <c r="L141" t="s">
        <v>184</v>
      </c>
      <c r="M141" s="1">
        <v>6.11</v>
      </c>
      <c r="N141" s="71">
        <v>6.6484374999999982</v>
      </c>
      <c r="O141">
        <v>12</v>
      </c>
      <c r="P141">
        <v>8</v>
      </c>
      <c r="Q141" s="6">
        <f>'enz raw 12 '!W9</f>
        <v>66.439299895459655</v>
      </c>
      <c r="R141" s="6">
        <f>'enz raw 12 '!X9</f>
        <v>28.369547320768476</v>
      </c>
      <c r="S141" s="6">
        <f>'enz raw 12 '!Y9</f>
        <v>110.8026843158065</v>
      </c>
      <c r="T141" s="6">
        <f>'enz raw 12 '!Z9</f>
        <v>14.532322184031409</v>
      </c>
    </row>
    <row r="142" spans="1:20">
      <c r="A142">
        <v>44</v>
      </c>
      <c r="B142">
        <v>9.39</v>
      </c>
      <c r="C142" s="11">
        <v>50</v>
      </c>
      <c r="D142">
        <v>1</v>
      </c>
      <c r="E142">
        <v>73.290000000000006</v>
      </c>
      <c r="F142">
        <f t="shared" si="13"/>
        <v>12.900000000000006</v>
      </c>
      <c r="G142" s="7">
        <f t="shared" si="14"/>
        <v>0.2050874403815581</v>
      </c>
      <c r="H142">
        <v>2.73</v>
      </c>
      <c r="I142" s="6">
        <f t="shared" si="12"/>
        <v>2.1701112877583464</v>
      </c>
      <c r="J142" t="s">
        <v>5</v>
      </c>
      <c r="K142" t="s">
        <v>2</v>
      </c>
      <c r="L142" t="s">
        <v>185</v>
      </c>
      <c r="M142" s="1">
        <v>6.98</v>
      </c>
      <c r="N142" s="71">
        <v>6.6484374999999982</v>
      </c>
      <c r="O142">
        <v>12</v>
      </c>
      <c r="P142">
        <v>9</v>
      </c>
      <c r="Q142" s="6">
        <f>'enz raw 12 '!W10</f>
        <v>61.546717325478816</v>
      </c>
      <c r="R142" s="6">
        <f>'enz raw 12 '!X10</f>
        <v>25.269521309868594</v>
      </c>
      <c r="S142" s="6">
        <f>'enz raw 12 '!Y10</f>
        <v>125.09984386954309</v>
      </c>
      <c r="T142" s="6">
        <f>'enz raw 12 '!Z10</f>
        <v>14.556170656747961</v>
      </c>
    </row>
    <row r="143" spans="1:20">
      <c r="A143">
        <v>49</v>
      </c>
      <c r="B143">
        <v>9.35</v>
      </c>
      <c r="C143" s="11">
        <v>50</v>
      </c>
      <c r="D143">
        <v>1</v>
      </c>
      <c r="E143">
        <v>73.290000000000006</v>
      </c>
      <c r="F143">
        <f t="shared" si="13"/>
        <v>12.940000000000005</v>
      </c>
      <c r="G143" s="7">
        <f t="shared" si="14"/>
        <v>0.20559262789958696</v>
      </c>
      <c r="H143">
        <v>2.72</v>
      </c>
      <c r="I143" s="6">
        <f t="shared" si="12"/>
        <v>2.1607880521131237</v>
      </c>
      <c r="J143" t="s">
        <v>5</v>
      </c>
      <c r="K143" t="s">
        <v>2</v>
      </c>
      <c r="L143" t="s">
        <v>185</v>
      </c>
      <c r="M143" s="1">
        <v>7.05</v>
      </c>
      <c r="N143" s="71">
        <v>6.6484374999999982</v>
      </c>
      <c r="O143">
        <v>12</v>
      </c>
      <c r="P143">
        <v>10</v>
      </c>
      <c r="Q143" s="6">
        <f>'enz raw 12 '!W11</f>
        <v>66.463647708014747</v>
      </c>
      <c r="R143" s="6">
        <f>'enz raw 12 '!X11</f>
        <v>27.988866594068906</v>
      </c>
      <c r="S143" s="6">
        <f>'enz raw 12 '!Y11</f>
        <v>135.95438482245615</v>
      </c>
      <c r="T143" s="6">
        <f>'enz raw 12 '!Z11</f>
        <v>15.099654207525644</v>
      </c>
    </row>
    <row r="144" spans="1:20">
      <c r="A144">
        <v>54</v>
      </c>
      <c r="B144">
        <v>9.44</v>
      </c>
      <c r="C144" s="11">
        <v>50</v>
      </c>
      <c r="D144">
        <v>1</v>
      </c>
      <c r="E144">
        <v>73.36</v>
      </c>
      <c r="F144">
        <f t="shared" si="13"/>
        <v>12.920000000000002</v>
      </c>
      <c r="G144" s="7">
        <f t="shared" si="14"/>
        <v>0.20534011443102354</v>
      </c>
      <c r="H144">
        <v>2.71</v>
      </c>
      <c r="I144" s="6">
        <f t="shared" si="12"/>
        <v>2.1535282898919261</v>
      </c>
      <c r="J144" t="s">
        <v>5</v>
      </c>
      <c r="K144" t="s">
        <v>2</v>
      </c>
      <c r="L144" t="s">
        <v>185</v>
      </c>
      <c r="M144" s="1">
        <v>7.08</v>
      </c>
      <c r="N144" s="71">
        <v>6.6484374999999982</v>
      </c>
      <c r="O144">
        <v>12</v>
      </c>
      <c r="P144">
        <v>11</v>
      </c>
      <c r="Q144" s="6">
        <f>'enz raw 12 '!W12</f>
        <v>70.082075885873209</v>
      </c>
      <c r="R144" s="6">
        <f>'enz raw 12 '!X12</f>
        <v>29.599296683254355</v>
      </c>
      <c r="S144" s="6">
        <f>'enz raw 12 '!Y12</f>
        <v>135.34304435634263</v>
      </c>
      <c r="T144" s="6">
        <f>'enz raw 12 '!Z12</f>
        <v>15.815184114661776</v>
      </c>
    </row>
    <row r="145" spans="1:20">
      <c r="A145">
        <v>59</v>
      </c>
      <c r="B145">
        <v>9.67</v>
      </c>
      <c r="C145" s="11">
        <v>50</v>
      </c>
      <c r="D145">
        <v>1</v>
      </c>
      <c r="E145">
        <v>73.64</v>
      </c>
      <c r="F145">
        <f t="shared" si="13"/>
        <v>12.969999999999999</v>
      </c>
      <c r="G145" s="7">
        <f t="shared" si="14"/>
        <v>0.20597109734794344</v>
      </c>
      <c r="H145">
        <v>2.71</v>
      </c>
      <c r="I145" s="6">
        <f t="shared" si="12"/>
        <v>2.1518183261870734</v>
      </c>
      <c r="J145" t="s">
        <v>5</v>
      </c>
      <c r="K145" t="s">
        <v>2</v>
      </c>
      <c r="L145" t="s">
        <v>185</v>
      </c>
      <c r="M145" s="1">
        <v>7.07</v>
      </c>
      <c r="N145" s="71">
        <v>6.6484374999999982</v>
      </c>
      <c r="O145">
        <v>12</v>
      </c>
      <c r="P145">
        <v>12</v>
      </c>
      <c r="Q145" s="6">
        <f>'enz raw 12 '!W13</f>
        <v>68.210486314283884</v>
      </c>
      <c r="R145" s="6">
        <f>'enz raw 12 '!X13</f>
        <v>31.013226670510093</v>
      </c>
      <c r="S145" s="6">
        <f>'enz raw 12 '!Y13</f>
        <v>139.13575627282174</v>
      </c>
      <c r="T145" s="6">
        <f>'enz raw 12 '!Z13</f>
        <v>17.134143054530842</v>
      </c>
    </row>
    <row r="146" spans="1:20">
      <c r="A146" s="4">
        <v>64</v>
      </c>
      <c r="B146">
        <v>9.2799999999999994</v>
      </c>
      <c r="C146" s="11">
        <v>50</v>
      </c>
      <c r="D146">
        <v>1</v>
      </c>
      <c r="E146">
        <v>73.38</v>
      </c>
      <c r="F146">
        <f t="shared" si="13"/>
        <v>13.099999999999994</v>
      </c>
      <c r="G146" s="7">
        <f t="shared" si="14"/>
        <v>0.20760697305863701</v>
      </c>
      <c r="H146">
        <v>2.77</v>
      </c>
      <c r="I146" s="6">
        <f t="shared" si="12"/>
        <v>2.1949286846275755</v>
      </c>
      <c r="J146" t="s">
        <v>5</v>
      </c>
      <c r="K146" t="s">
        <v>7</v>
      </c>
      <c r="L146" t="s">
        <v>185</v>
      </c>
      <c r="M146" s="1">
        <v>6.41</v>
      </c>
      <c r="N146" s="71">
        <v>6.6484374999999982</v>
      </c>
      <c r="O146">
        <v>13</v>
      </c>
      <c r="P146">
        <v>1</v>
      </c>
      <c r="Q146" s="6">
        <f>'enz raw 13'!W2</f>
        <v>110.29828912689504</v>
      </c>
      <c r="R146" s="6">
        <f>'enz raw 13'!X2</f>
        <v>51.56913436858855</v>
      </c>
      <c r="S146" s="6">
        <f>'enz raw 13'!Y2</f>
        <v>211.53656059544275</v>
      </c>
      <c r="T146" s="6">
        <f>'enz raw 13'!Z2</f>
        <v>27.760017574680507</v>
      </c>
    </row>
    <row r="147" spans="1:20">
      <c r="A147" s="4">
        <v>69</v>
      </c>
      <c r="B147">
        <v>9.4600000000000009</v>
      </c>
      <c r="C147" s="11">
        <v>50</v>
      </c>
      <c r="D147">
        <v>1</v>
      </c>
      <c r="E147">
        <v>73.459999999999994</v>
      </c>
      <c r="F147">
        <f t="shared" si="13"/>
        <v>12.999999999999993</v>
      </c>
      <c r="G147" s="7">
        <f t="shared" si="14"/>
        <v>0.20634920634920625</v>
      </c>
      <c r="H147">
        <v>2.76</v>
      </c>
      <c r="I147" s="6">
        <f t="shared" si="12"/>
        <v>2.1904761904761907</v>
      </c>
      <c r="J147" t="s">
        <v>5</v>
      </c>
      <c r="K147" t="s">
        <v>7</v>
      </c>
      <c r="L147" t="s">
        <v>185</v>
      </c>
      <c r="M147" s="1">
        <v>6.48</v>
      </c>
      <c r="N147" s="71">
        <v>6.6484374999999982</v>
      </c>
      <c r="O147">
        <v>13</v>
      </c>
      <c r="P147">
        <v>2</v>
      </c>
      <c r="Q147" s="6">
        <f>'enz raw 13'!W3</f>
        <v>110.81433558883893</v>
      </c>
      <c r="R147" s="6">
        <f>'enz raw 13'!X3</f>
        <v>49.71939089945738</v>
      </c>
      <c r="S147" s="6">
        <f>'enz raw 13'!Y3</f>
        <v>212.44987604956629</v>
      </c>
      <c r="T147" s="6">
        <f>'enz raw 13'!Z3</f>
        <v>26.74383150533394</v>
      </c>
    </row>
    <row r="148" spans="1:20">
      <c r="A148" s="4">
        <v>74</v>
      </c>
      <c r="B148">
        <v>9.6</v>
      </c>
      <c r="C148" s="11">
        <v>50</v>
      </c>
      <c r="D148">
        <v>1</v>
      </c>
      <c r="E148">
        <v>73.66</v>
      </c>
      <c r="F148">
        <f t="shared" si="13"/>
        <v>13.059999999999995</v>
      </c>
      <c r="G148" s="7">
        <f t="shared" si="14"/>
        <v>0.20710434506818898</v>
      </c>
      <c r="H148">
        <v>2.79</v>
      </c>
      <c r="I148" s="6">
        <f t="shared" si="12"/>
        <v>2.2121788772597526</v>
      </c>
      <c r="J148" t="s">
        <v>5</v>
      </c>
      <c r="K148" t="s">
        <v>7</v>
      </c>
      <c r="L148" t="s">
        <v>185</v>
      </c>
      <c r="M148" s="1">
        <v>6.48</v>
      </c>
      <c r="N148" s="71">
        <v>6.6484374999999982</v>
      </c>
      <c r="O148">
        <v>13</v>
      </c>
      <c r="P148">
        <v>3</v>
      </c>
      <c r="Q148" s="6">
        <f>'enz raw 13'!W4</f>
        <v>115.93333811551307</v>
      </c>
      <c r="R148" s="6">
        <f>'enz raw 13'!X4</f>
        <v>51.369653003321034</v>
      </c>
      <c r="S148" s="6">
        <f>'enz raw 13'!Y4</f>
        <v>239.12446940189145</v>
      </c>
      <c r="T148" s="6">
        <f>'enz raw 13'!Z4</f>
        <v>26.283485191524349</v>
      </c>
    </row>
    <row r="149" spans="1:20">
      <c r="A149" s="4">
        <v>79</v>
      </c>
      <c r="B149">
        <v>9.3699999999999992</v>
      </c>
      <c r="C149" s="11">
        <v>50</v>
      </c>
      <c r="D149">
        <v>1</v>
      </c>
      <c r="E149">
        <v>73.45</v>
      </c>
      <c r="F149">
        <f t="shared" si="13"/>
        <v>13.080000000000005</v>
      </c>
      <c r="G149" s="7">
        <f t="shared" si="14"/>
        <v>0.20735573874445157</v>
      </c>
      <c r="H149">
        <v>2.78</v>
      </c>
      <c r="I149" s="6">
        <f t="shared" si="12"/>
        <v>2.2035510462904244</v>
      </c>
      <c r="J149" t="s">
        <v>5</v>
      </c>
      <c r="K149" t="s">
        <v>7</v>
      </c>
      <c r="L149" t="s">
        <v>185</v>
      </c>
      <c r="M149" s="1">
        <v>6.52</v>
      </c>
      <c r="N149" s="71">
        <v>6.6484374999999982</v>
      </c>
      <c r="O149">
        <v>13</v>
      </c>
      <c r="P149">
        <v>4</v>
      </c>
      <c r="Q149" s="6">
        <f>'enz raw 13'!W5</f>
        <v>124.20696130166117</v>
      </c>
      <c r="R149" s="6">
        <f>'enz raw 13'!X5</f>
        <v>49.866588471732527</v>
      </c>
      <c r="S149" s="6">
        <f>'enz raw 13'!Y5</f>
        <v>206.95969467651369</v>
      </c>
      <c r="T149" s="6">
        <f>'enz raw 13'!Z5</f>
        <v>26.837841399604255</v>
      </c>
    </row>
    <row r="150" spans="1:20">
      <c r="A150">
        <v>84</v>
      </c>
      <c r="B150">
        <v>9.3699999999999992</v>
      </c>
      <c r="C150" s="11">
        <v>50</v>
      </c>
      <c r="D150">
        <v>1</v>
      </c>
      <c r="E150">
        <v>73.36</v>
      </c>
      <c r="F150">
        <f t="shared" si="13"/>
        <v>12.990000000000002</v>
      </c>
      <c r="G150" s="7">
        <f t="shared" si="14"/>
        <v>0.20622321003333866</v>
      </c>
      <c r="H150">
        <v>2.75</v>
      </c>
      <c r="I150" s="6">
        <f t="shared" si="12"/>
        <v>2.1828861724083186</v>
      </c>
      <c r="J150" t="s">
        <v>5</v>
      </c>
      <c r="K150" t="s">
        <v>2</v>
      </c>
      <c r="L150" t="s">
        <v>186</v>
      </c>
      <c r="M150" s="1">
        <v>7.25</v>
      </c>
      <c r="N150" s="71">
        <v>6.6484374999999982</v>
      </c>
      <c r="O150">
        <v>13</v>
      </c>
      <c r="P150">
        <v>5</v>
      </c>
      <c r="Q150" s="6">
        <f>'enz raw 13'!W6</f>
        <v>104.94709551959404</v>
      </c>
      <c r="R150" s="6">
        <f>'enz raw 13'!X6</f>
        <v>41.505019529046777</v>
      </c>
      <c r="S150" s="6">
        <f>'enz raw 13'!Y6</f>
        <v>207.11003430199582</v>
      </c>
      <c r="T150" s="6">
        <f>'enz raw 13'!Z6</f>
        <v>21.793001951290016</v>
      </c>
    </row>
    <row r="151" spans="1:20">
      <c r="A151">
        <v>89</v>
      </c>
      <c r="B151">
        <v>9.8000000000000007</v>
      </c>
      <c r="C151" s="11">
        <v>50</v>
      </c>
      <c r="D151">
        <v>1</v>
      </c>
      <c r="E151">
        <v>73.400000000000006</v>
      </c>
      <c r="F151">
        <f t="shared" si="13"/>
        <v>12.600000000000009</v>
      </c>
      <c r="G151" s="7">
        <f t="shared" si="14"/>
        <v>0.20127795527156561</v>
      </c>
      <c r="H151">
        <v>2.72</v>
      </c>
      <c r="I151" s="6">
        <f t="shared" si="12"/>
        <v>2.1725239616613417</v>
      </c>
      <c r="J151" t="s">
        <v>5</v>
      </c>
      <c r="K151" t="s">
        <v>2</v>
      </c>
      <c r="L151" t="s">
        <v>186</v>
      </c>
      <c r="M151" s="1">
        <v>7.09</v>
      </c>
      <c r="N151" s="71">
        <v>6.6484374999999982</v>
      </c>
      <c r="O151">
        <v>13</v>
      </c>
      <c r="P151">
        <v>6</v>
      </c>
      <c r="Q151" s="6">
        <f>'enz raw 13'!W7</f>
        <v>105.78172459635884</v>
      </c>
      <c r="R151" s="6">
        <f>'enz raw 13'!X7</f>
        <v>42.378122684472174</v>
      </c>
      <c r="S151" s="6">
        <f>'enz raw 13'!Y7</f>
        <v>207.00747334617199</v>
      </c>
      <c r="T151" s="6">
        <f>'enz raw 13'!Z7</f>
        <v>22.235203365941761</v>
      </c>
    </row>
    <row r="152" spans="1:20">
      <c r="A152">
        <v>94</v>
      </c>
      <c r="B152">
        <v>9.5399999999999991</v>
      </c>
      <c r="C152" s="11">
        <v>50</v>
      </c>
      <c r="D152">
        <v>1</v>
      </c>
      <c r="E152">
        <v>73.44</v>
      </c>
      <c r="F152">
        <f t="shared" si="13"/>
        <v>12.899999999999999</v>
      </c>
      <c r="G152" s="7">
        <f t="shared" si="14"/>
        <v>0.20508744038155802</v>
      </c>
      <c r="H152">
        <v>2.7</v>
      </c>
      <c r="I152" s="6">
        <f t="shared" si="12"/>
        <v>2.1462639109697936</v>
      </c>
      <c r="J152" t="s">
        <v>5</v>
      </c>
      <c r="K152" t="s">
        <v>2</v>
      </c>
      <c r="L152" t="s">
        <v>186</v>
      </c>
      <c r="M152" s="1">
        <v>7.18</v>
      </c>
      <c r="N152" s="71">
        <v>6.6484374999999982</v>
      </c>
      <c r="O152">
        <v>13</v>
      </c>
      <c r="P152">
        <v>7</v>
      </c>
      <c r="Q152" s="6">
        <f>'enz raw 13'!W8</f>
        <v>106.82498405895109</v>
      </c>
      <c r="R152" s="6">
        <f>'enz raw 13'!X8</f>
        <v>43.148970846348078</v>
      </c>
      <c r="S152" s="6">
        <f>'enz raw 13'!Y8</f>
        <v>205.09629925238235</v>
      </c>
      <c r="T152" s="6">
        <f>'enz raw 13'!Z8</f>
        <v>22.374121520814718</v>
      </c>
    </row>
    <row r="153" spans="1:20">
      <c r="A153">
        <v>99</v>
      </c>
      <c r="B153">
        <v>9.4499999999999993</v>
      </c>
      <c r="C153" s="11">
        <v>50</v>
      </c>
      <c r="D153">
        <v>1</v>
      </c>
      <c r="E153">
        <v>73.44</v>
      </c>
      <c r="F153">
        <f t="shared" si="13"/>
        <v>12.989999999999995</v>
      </c>
      <c r="G153" s="7">
        <f t="shared" si="14"/>
        <v>0.20622321003333857</v>
      </c>
      <c r="H153">
        <v>2.72</v>
      </c>
      <c r="I153" s="6">
        <f t="shared" si="12"/>
        <v>2.1590728687093192</v>
      </c>
      <c r="J153" t="s">
        <v>5</v>
      </c>
      <c r="K153" t="s">
        <v>2</v>
      </c>
      <c r="L153" t="s">
        <v>186</v>
      </c>
      <c r="M153" s="1">
        <v>7.29</v>
      </c>
      <c r="N153" s="71">
        <v>6.6484374999999982</v>
      </c>
      <c r="O153">
        <v>13</v>
      </c>
      <c r="P153">
        <v>8</v>
      </c>
      <c r="Q153" s="6">
        <f>'enz raw 13'!W9</f>
        <v>104.88984980065214</v>
      </c>
      <c r="R153" s="6">
        <f>'enz raw 13'!X9</f>
        <v>41.79803420578753</v>
      </c>
      <c r="S153" s="6">
        <f>'enz raw 13'!Y9</f>
        <v>204.39952567550196</v>
      </c>
      <c r="T153" s="6">
        <f>'enz raw 13'!Z9</f>
        <v>21.716256510248073</v>
      </c>
    </row>
    <row r="154" spans="1:20">
      <c r="A154" s="4">
        <v>104</v>
      </c>
      <c r="B154">
        <v>9.34</v>
      </c>
      <c r="C154" s="11">
        <v>50</v>
      </c>
      <c r="D154">
        <v>1</v>
      </c>
      <c r="E154">
        <v>73.38</v>
      </c>
      <c r="F154">
        <f t="shared" si="13"/>
        <v>13.039999999999992</v>
      </c>
      <c r="G154" s="7">
        <f t="shared" si="14"/>
        <v>0.20685279187817249</v>
      </c>
      <c r="H154">
        <v>2.7</v>
      </c>
      <c r="I154" s="6">
        <f t="shared" si="12"/>
        <v>2.1414974619289344</v>
      </c>
      <c r="J154" t="s">
        <v>5</v>
      </c>
      <c r="K154" t="s">
        <v>7</v>
      </c>
      <c r="L154" t="s">
        <v>186</v>
      </c>
      <c r="M154" s="1">
        <v>6.62</v>
      </c>
      <c r="N154" s="71">
        <v>6.6484374999999982</v>
      </c>
      <c r="O154">
        <v>13</v>
      </c>
      <c r="P154">
        <v>9</v>
      </c>
      <c r="Q154" s="6">
        <f>'enz raw 13'!W10</f>
        <v>108.03026670147352</v>
      </c>
      <c r="R154" s="6">
        <f>'enz raw 13'!X10</f>
        <v>43.076982486053346</v>
      </c>
      <c r="S154" s="6">
        <f>'enz raw 13'!Y10</f>
        <v>229.70147082265979</v>
      </c>
      <c r="T154" s="6">
        <f>'enz raw 13'!Z10</f>
        <v>23.616602983930079</v>
      </c>
    </row>
    <row r="155" spans="1:20">
      <c r="A155" s="4">
        <v>109</v>
      </c>
      <c r="B155">
        <v>9.36</v>
      </c>
      <c r="C155" s="11">
        <v>50</v>
      </c>
      <c r="D155">
        <v>1</v>
      </c>
      <c r="E155">
        <v>73.41</v>
      </c>
      <c r="F155">
        <f t="shared" si="13"/>
        <v>13.049999999999997</v>
      </c>
      <c r="G155" s="7">
        <f t="shared" si="14"/>
        <v>0.20697858842188735</v>
      </c>
      <c r="H155">
        <v>2.79</v>
      </c>
      <c r="I155" s="6">
        <f t="shared" si="12"/>
        <v>2.2125297383029343</v>
      </c>
      <c r="J155" t="s">
        <v>5</v>
      </c>
      <c r="K155" t="s">
        <v>7</v>
      </c>
      <c r="L155" t="s">
        <v>186</v>
      </c>
      <c r="M155" s="1">
        <v>6.62</v>
      </c>
      <c r="N155" s="71">
        <v>6.6484374999999982</v>
      </c>
      <c r="O155">
        <v>13</v>
      </c>
      <c r="P155">
        <v>10</v>
      </c>
      <c r="Q155" s="6">
        <f>'enz raw 13'!W11</f>
        <v>102.00348741740369</v>
      </c>
      <c r="R155" s="6">
        <f>'enz raw 13'!X11</f>
        <v>40.933792774943306</v>
      </c>
      <c r="S155" s="6">
        <f>'enz raw 13'!Y11</f>
        <v>224.56594855824082</v>
      </c>
      <c r="T155" s="6">
        <f>'enz raw 13'!Z11</f>
        <v>20.734671753528975</v>
      </c>
    </row>
    <row r="156" spans="1:20">
      <c r="A156" s="4">
        <v>114</v>
      </c>
      <c r="B156">
        <v>9.33</v>
      </c>
      <c r="C156" s="11">
        <v>50</v>
      </c>
      <c r="D156">
        <v>1</v>
      </c>
      <c r="E156">
        <v>73.38</v>
      </c>
      <c r="F156">
        <f t="shared" si="13"/>
        <v>13.049999999999997</v>
      </c>
      <c r="G156" s="7">
        <f t="shared" si="14"/>
        <v>0.20697858842188735</v>
      </c>
      <c r="H156">
        <v>2.76</v>
      </c>
      <c r="I156" s="6">
        <f t="shared" si="12"/>
        <v>2.188739095955591</v>
      </c>
      <c r="J156" t="s">
        <v>5</v>
      </c>
      <c r="K156" t="s">
        <v>7</v>
      </c>
      <c r="L156" t="s">
        <v>186</v>
      </c>
      <c r="M156" s="1">
        <v>6.56</v>
      </c>
      <c r="N156" s="71">
        <v>6.6484374999999982</v>
      </c>
      <c r="O156">
        <v>13</v>
      </c>
      <c r="P156">
        <v>11</v>
      </c>
      <c r="Q156" s="6">
        <f>'enz raw 13'!W12</f>
        <v>98.804602808287157</v>
      </c>
      <c r="R156" s="6">
        <f>'enz raw 13'!X12</f>
        <v>41.095770777152197</v>
      </c>
      <c r="S156" s="6">
        <f>'enz raw 13'!Y12</f>
        <v>222.9396225506741</v>
      </c>
      <c r="T156" s="6">
        <f>'enz raw 13'!Z12</f>
        <v>22.943360113757468</v>
      </c>
    </row>
    <row r="157" spans="1:20">
      <c r="A157" s="4">
        <v>119</v>
      </c>
      <c r="B157">
        <v>9.2899999999999991</v>
      </c>
      <c r="C157" s="11">
        <v>50</v>
      </c>
      <c r="D157">
        <v>1</v>
      </c>
      <c r="E157">
        <v>73.239999999999995</v>
      </c>
      <c r="F157">
        <f t="shared" si="13"/>
        <v>12.949999999999996</v>
      </c>
      <c r="G157" s="7">
        <f t="shared" si="14"/>
        <v>0.20571882446386014</v>
      </c>
      <c r="H157">
        <v>2.74</v>
      </c>
      <c r="I157" s="6">
        <f t="shared" si="12"/>
        <v>2.1763304209690233</v>
      </c>
      <c r="J157" t="s">
        <v>5</v>
      </c>
      <c r="K157" t="s">
        <v>7</v>
      </c>
      <c r="L157" t="s">
        <v>186</v>
      </c>
      <c r="M157" s="1">
        <v>6.46</v>
      </c>
      <c r="N157" s="71">
        <v>6.6484374999999982</v>
      </c>
      <c r="O157">
        <v>13</v>
      </c>
      <c r="P157">
        <v>12</v>
      </c>
      <c r="Q157" s="6">
        <f>'enz raw 13'!W13</f>
        <v>94.131455313426343</v>
      </c>
      <c r="R157" s="6">
        <f>'enz raw 13'!X13</f>
        <v>40.223325188171323</v>
      </c>
      <c r="S157" s="6">
        <f>'enz raw 13'!Y13</f>
        <v>189.31486012578816</v>
      </c>
      <c r="T157" s="6">
        <f>'enz raw 13'!Z13</f>
        <v>21.332923941350796</v>
      </c>
    </row>
    <row r="158" spans="1:20">
      <c r="A158">
        <v>124</v>
      </c>
      <c r="B158">
        <v>9.6199999999999992</v>
      </c>
      <c r="C158" s="11">
        <v>50</v>
      </c>
      <c r="D158">
        <v>1</v>
      </c>
      <c r="E158">
        <v>73.760000000000005</v>
      </c>
      <c r="F158">
        <f t="shared" si="13"/>
        <v>13.140000000000008</v>
      </c>
      <c r="G158" s="7">
        <f t="shared" si="14"/>
        <v>0.20810896420652528</v>
      </c>
      <c r="H158">
        <v>2.75</v>
      </c>
      <c r="I158" s="6">
        <f t="shared" si="12"/>
        <v>2.1777003484320554</v>
      </c>
      <c r="J158" t="s">
        <v>5</v>
      </c>
      <c r="K158" t="s">
        <v>2</v>
      </c>
      <c r="L158" t="s">
        <v>187</v>
      </c>
      <c r="M158" s="1">
        <v>6.39</v>
      </c>
      <c r="N158" s="71">
        <v>6.6484374999999982</v>
      </c>
      <c r="O158">
        <v>14</v>
      </c>
      <c r="P158">
        <v>1</v>
      </c>
      <c r="Q158" s="6">
        <f>'enz raw 14'!W2</f>
        <v>68.800204660878293</v>
      </c>
      <c r="R158" s="6">
        <f>'enz raw 14'!X2</f>
        <v>26.657324618885347</v>
      </c>
      <c r="S158" s="6">
        <f>'enz raw 14'!Y2</f>
        <v>199.98593956139905</v>
      </c>
      <c r="T158" s="6">
        <f>'enz raw 14'!Z2</f>
        <v>12.749243898624977</v>
      </c>
    </row>
    <row r="159" spans="1:20">
      <c r="A159">
        <v>129</v>
      </c>
      <c r="B159">
        <v>9.3699999999999992</v>
      </c>
      <c r="C159" s="11">
        <v>50</v>
      </c>
      <c r="D159">
        <v>1</v>
      </c>
      <c r="E159">
        <v>73.45</v>
      </c>
      <c r="F159">
        <f t="shared" si="13"/>
        <v>13.080000000000005</v>
      </c>
      <c r="G159" s="7">
        <f t="shared" si="14"/>
        <v>0.20735573874445157</v>
      </c>
      <c r="H159">
        <v>2.72</v>
      </c>
      <c r="I159" s="6">
        <f t="shared" si="12"/>
        <v>2.1559923906150917</v>
      </c>
      <c r="J159" t="s">
        <v>5</v>
      </c>
      <c r="K159" t="s">
        <v>2</v>
      </c>
      <c r="L159" t="s">
        <v>187</v>
      </c>
      <c r="M159" s="1">
        <v>6.43</v>
      </c>
      <c r="N159" s="71">
        <v>6.6484374999999982</v>
      </c>
      <c r="O159">
        <v>14</v>
      </c>
      <c r="P159">
        <v>2</v>
      </c>
      <c r="Q159" s="6">
        <f>'enz raw 14'!W3</f>
        <v>71.936050518727058</v>
      </c>
      <c r="R159" s="6">
        <f>'enz raw 14'!X3</f>
        <v>27.10847603547834</v>
      </c>
      <c r="S159" s="6">
        <f>'enz raw 14'!Y3</f>
        <v>205.75339328450804</v>
      </c>
      <c r="T159" s="6">
        <f>'enz raw 14'!Z3</f>
        <v>11.95061888905815</v>
      </c>
    </row>
    <row r="160" spans="1:20">
      <c r="A160">
        <v>134</v>
      </c>
      <c r="B160">
        <v>9.6300000000000008</v>
      </c>
      <c r="C160" s="11">
        <v>50</v>
      </c>
      <c r="D160">
        <v>1</v>
      </c>
      <c r="E160">
        <v>73.72</v>
      </c>
      <c r="F160">
        <f t="shared" si="13"/>
        <v>13.089999999999996</v>
      </c>
      <c r="G160" s="7">
        <f t="shared" si="14"/>
        <v>0.20748137581233153</v>
      </c>
      <c r="H160">
        <v>2.78</v>
      </c>
      <c r="I160" s="6">
        <f t="shared" si="12"/>
        <v>2.2032017752417183</v>
      </c>
      <c r="J160" t="s">
        <v>5</v>
      </c>
      <c r="K160" t="s">
        <v>2</v>
      </c>
      <c r="L160" t="s">
        <v>187</v>
      </c>
      <c r="M160" s="1">
        <v>6.45</v>
      </c>
      <c r="N160" s="71">
        <v>6.6484374999999982</v>
      </c>
      <c r="O160">
        <v>14</v>
      </c>
      <c r="P160">
        <v>3</v>
      </c>
      <c r="Q160" s="6">
        <f>'enz raw 14'!W4</f>
        <v>66.949248113085488</v>
      </c>
      <c r="R160" s="6">
        <f>'enz raw 14'!X4</f>
        <v>24.786689755783723</v>
      </c>
      <c r="S160" s="6">
        <f>'enz raw 14'!Y4</f>
        <v>198.49064692701279</v>
      </c>
      <c r="T160" s="6">
        <f>'enz raw 14'!Z4</f>
        <v>11.563362335106909</v>
      </c>
    </row>
    <row r="161" spans="1:40">
      <c r="A161">
        <v>139</v>
      </c>
      <c r="B161">
        <v>9.44</v>
      </c>
      <c r="C161" s="11">
        <v>50</v>
      </c>
      <c r="D161">
        <v>1</v>
      </c>
      <c r="E161">
        <v>73.599999999999994</v>
      </c>
      <c r="F161">
        <f t="shared" si="13"/>
        <v>13.159999999999997</v>
      </c>
      <c r="G161" s="7">
        <f t="shared" si="14"/>
        <v>0.20835972134262187</v>
      </c>
      <c r="H161">
        <v>2.72</v>
      </c>
      <c r="I161" s="6">
        <f t="shared" si="12"/>
        <v>2.1532615579480687</v>
      </c>
      <c r="J161" t="s">
        <v>5</v>
      </c>
      <c r="K161" t="s">
        <v>2</v>
      </c>
      <c r="L161" t="s">
        <v>187</v>
      </c>
      <c r="M161" s="1">
        <v>6.47</v>
      </c>
      <c r="N161" s="71">
        <v>6.6484374999999982</v>
      </c>
      <c r="O161">
        <v>14</v>
      </c>
      <c r="P161">
        <v>4</v>
      </c>
      <c r="Q161" s="6">
        <f>'enz raw 14'!W5</f>
        <v>69.834837129850555</v>
      </c>
      <c r="R161" s="6">
        <f>'enz raw 14'!X5</f>
        <v>27.025767800726705</v>
      </c>
      <c r="S161" s="6">
        <f>'enz raw 14'!Y5</f>
        <v>203.03388374058477</v>
      </c>
      <c r="T161" s="6">
        <f>'enz raw 14'!Z5</f>
        <v>12.851160529268977</v>
      </c>
    </row>
    <row r="162" spans="1:40">
      <c r="A162" s="4">
        <v>144</v>
      </c>
      <c r="B162">
        <v>9.59</v>
      </c>
      <c r="C162" s="11">
        <v>50</v>
      </c>
      <c r="D162">
        <v>1</v>
      </c>
      <c r="E162">
        <v>73.75</v>
      </c>
      <c r="F162">
        <f t="shared" si="13"/>
        <v>13.159999999999997</v>
      </c>
      <c r="G162" s="7">
        <f t="shared" si="14"/>
        <v>0.20835972134262187</v>
      </c>
      <c r="H162">
        <v>2.76</v>
      </c>
      <c r="I162" s="6">
        <f t="shared" ref="I162:I165" si="15">H162-(H162*G162)</f>
        <v>2.1849271690943635</v>
      </c>
      <c r="J162" t="s">
        <v>5</v>
      </c>
      <c r="K162" t="s">
        <v>7</v>
      </c>
      <c r="L162" t="s">
        <v>187</v>
      </c>
      <c r="M162">
        <v>6.35</v>
      </c>
      <c r="N162" s="71">
        <v>6.6484374999999982</v>
      </c>
      <c r="O162">
        <v>14</v>
      </c>
      <c r="P162">
        <v>5</v>
      </c>
      <c r="Q162" s="6">
        <f>'enz raw 14'!W6</f>
        <v>68.37468791211225</v>
      </c>
      <c r="R162" s="6">
        <f>'enz raw 14'!X6</f>
        <v>30.053907233798046</v>
      </c>
      <c r="S162" s="6">
        <f>'enz raw 14'!Y6</f>
        <v>209.50957095367175</v>
      </c>
      <c r="T162" s="6">
        <f>'enz raw 14'!Z6</f>
        <v>15.182235505176916</v>
      </c>
    </row>
    <row r="163" spans="1:40">
      <c r="A163" s="4">
        <v>149</v>
      </c>
      <c r="B163">
        <v>9.48</v>
      </c>
      <c r="C163" s="11">
        <v>50</v>
      </c>
      <c r="D163">
        <v>1</v>
      </c>
      <c r="E163">
        <v>73.62</v>
      </c>
      <c r="F163">
        <f t="shared" si="13"/>
        <v>13.14</v>
      </c>
      <c r="G163" s="7">
        <f t="shared" si="14"/>
        <v>0.20810896420652519</v>
      </c>
      <c r="H163">
        <v>2.73</v>
      </c>
      <c r="I163" s="6">
        <f t="shared" si="15"/>
        <v>2.1618625277161865</v>
      </c>
      <c r="J163" t="s">
        <v>5</v>
      </c>
      <c r="K163" t="s">
        <v>7</v>
      </c>
      <c r="L163" t="s">
        <v>187</v>
      </c>
      <c r="M163">
        <v>6.39</v>
      </c>
      <c r="N163" s="71">
        <v>6.6484374999999982</v>
      </c>
      <c r="O163">
        <v>14</v>
      </c>
      <c r="P163">
        <v>6</v>
      </c>
      <c r="Q163" s="6">
        <f>'enz raw 14'!W7</f>
        <v>74.351049077652263</v>
      </c>
      <c r="R163" s="6">
        <f>'enz raw 14'!X7</f>
        <v>27.705720599759289</v>
      </c>
      <c r="S163" s="6">
        <f>'enz raw 14'!Y7</f>
        <v>202.28632496077631</v>
      </c>
      <c r="T163" s="6">
        <f>'enz raw 14'!Z7</f>
        <v>12.533508126028622</v>
      </c>
    </row>
    <row r="164" spans="1:40">
      <c r="A164" s="4">
        <v>154</v>
      </c>
      <c r="B164">
        <v>9.36</v>
      </c>
      <c r="C164" s="11">
        <v>50</v>
      </c>
      <c r="D164">
        <v>1</v>
      </c>
      <c r="E164">
        <v>73.55</v>
      </c>
      <c r="F164">
        <f t="shared" si="13"/>
        <v>13.189999999999998</v>
      </c>
      <c r="G164" s="7">
        <f t="shared" si="14"/>
        <v>0.20873555942395947</v>
      </c>
      <c r="H164">
        <v>2.73</v>
      </c>
      <c r="I164" s="6">
        <f t="shared" si="15"/>
        <v>2.1601519227725907</v>
      </c>
      <c r="J164" t="s">
        <v>5</v>
      </c>
      <c r="K164" t="s">
        <v>7</v>
      </c>
      <c r="L164" t="s">
        <v>187</v>
      </c>
      <c r="M164">
        <v>6.39</v>
      </c>
      <c r="N164" s="71">
        <v>6.6484374999999982</v>
      </c>
      <c r="O164">
        <v>14</v>
      </c>
      <c r="P164">
        <v>7</v>
      </c>
      <c r="Q164" s="6">
        <f>'enz raw 14'!W8</f>
        <v>76.323545324404392</v>
      </c>
      <c r="R164" s="6">
        <f>'enz raw 14'!X8</f>
        <v>28.26463132670802</v>
      </c>
      <c r="S164" s="6">
        <f>'enz raw 14'!Y8</f>
        <v>202.92593075027196</v>
      </c>
      <c r="T164" s="6">
        <f>'enz raw 14'!Z8</f>
        <v>13.118933637224542</v>
      </c>
    </row>
    <row r="165" spans="1:40">
      <c r="A165" s="4">
        <v>159</v>
      </c>
      <c r="B165">
        <v>9.43</v>
      </c>
      <c r="C165" s="11">
        <v>50</v>
      </c>
      <c r="D165">
        <v>1</v>
      </c>
      <c r="E165">
        <v>73.61</v>
      </c>
      <c r="F165">
        <f t="shared" si="13"/>
        <v>13.18</v>
      </c>
      <c r="G165" s="7">
        <f t="shared" si="14"/>
        <v>0.20861031972143082</v>
      </c>
      <c r="H165">
        <v>2.78</v>
      </c>
      <c r="I165" s="6">
        <f t="shared" si="15"/>
        <v>2.2000633111744223</v>
      </c>
      <c r="J165" t="s">
        <v>5</v>
      </c>
      <c r="K165" t="s">
        <v>7</v>
      </c>
      <c r="L165" t="s">
        <v>187</v>
      </c>
      <c r="M165">
        <v>6.29</v>
      </c>
      <c r="N165" s="71">
        <v>6.6484374999999982</v>
      </c>
      <c r="O165">
        <v>14</v>
      </c>
      <c r="P165">
        <v>8</v>
      </c>
      <c r="Q165" s="6">
        <f>'enz raw 14'!W9</f>
        <v>74.069308188659051</v>
      </c>
      <c r="R165" s="6">
        <f>'enz raw 14'!X9</f>
        <v>27.720339115229134</v>
      </c>
      <c r="S165" s="6">
        <f>'enz raw 14'!Y9</f>
        <v>189.54751121939049</v>
      </c>
      <c r="T165" s="6">
        <f>'enz raw 14'!Z9</f>
        <v>14.356039960872433</v>
      </c>
    </row>
    <row r="166" spans="1:40">
      <c r="M166" s="6"/>
      <c r="Q166" s="6"/>
      <c r="R166" s="6"/>
      <c r="S166" s="6"/>
      <c r="T166" s="6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</row>
    <row r="167" spans="1:40"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</row>
    <row r="168" spans="1:40">
      <c r="L168" s="3"/>
      <c r="M168" s="71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</row>
    <row r="169" spans="1:40">
      <c r="A169" s="13" t="s">
        <v>199</v>
      </c>
      <c r="L169" s="3"/>
      <c r="M169" s="71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</row>
    <row r="170" spans="1:40">
      <c r="A170" t="s">
        <v>200</v>
      </c>
      <c r="L170" s="3" t="s">
        <v>190</v>
      </c>
      <c r="M170" s="71" t="s">
        <v>191</v>
      </c>
      <c r="N170" s="3" t="s">
        <v>192</v>
      </c>
    </row>
    <row r="171" spans="1:40">
      <c r="A171" s="14" t="s">
        <v>39</v>
      </c>
      <c r="L171" s="3" t="s">
        <v>189</v>
      </c>
      <c r="M171" s="71">
        <v>5.7841666666666711</v>
      </c>
      <c r="N171" s="3">
        <f>132*100/1000</f>
        <v>13.2</v>
      </c>
    </row>
    <row r="172" spans="1:40">
      <c r="A172" s="15" t="s">
        <v>18</v>
      </c>
      <c r="B172" s="16"/>
      <c r="C172" s="16"/>
      <c r="D172" s="16"/>
      <c r="L172" s="3" t="s">
        <v>5</v>
      </c>
      <c r="M172" s="71">
        <v>6.6484374999999982</v>
      </c>
      <c r="N172" s="3">
        <f>32*100/1000</f>
        <v>3.2</v>
      </c>
    </row>
    <row r="173" spans="1:40" ht="15" customHeight="1">
      <c r="A173" s="15" t="s">
        <v>201</v>
      </c>
    </row>
    <row r="175" spans="1:40">
      <c r="A175" s="17" t="s">
        <v>19</v>
      </c>
      <c r="E175" s="13" t="s">
        <v>198</v>
      </c>
      <c r="K175" s="13" t="s">
        <v>42</v>
      </c>
      <c r="L175" s="3" t="s">
        <v>48</v>
      </c>
      <c r="M175" s="3" t="s">
        <v>49</v>
      </c>
      <c r="N175" s="3" t="s">
        <v>47</v>
      </c>
      <c r="O175" s="13" t="s">
        <v>43</v>
      </c>
      <c r="P175" s="13" t="s">
        <v>44</v>
      </c>
      <c r="Q175" s="13" t="s">
        <v>45</v>
      </c>
      <c r="R175" s="13" t="s">
        <v>46</v>
      </c>
      <c r="S175" s="13" t="s">
        <v>171</v>
      </c>
      <c r="T175" s="13" t="s">
        <v>172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 t="s">
        <v>173</v>
      </c>
      <c r="AH175" s="13" t="s">
        <v>174</v>
      </c>
      <c r="AI175" s="13" t="s">
        <v>175</v>
      </c>
    </row>
    <row r="176" spans="1:40" ht="16">
      <c r="A176" s="15"/>
      <c r="B176" s="18" t="s">
        <v>20</v>
      </c>
      <c r="C176" s="18" t="s">
        <v>21</v>
      </c>
      <c r="E176" s="14" t="s">
        <v>202</v>
      </c>
      <c r="K176" s="37">
        <v>1</v>
      </c>
      <c r="L176" s="38">
        <v>1</v>
      </c>
      <c r="M176" s="73">
        <v>45194</v>
      </c>
      <c r="N176" s="95" t="s">
        <v>195</v>
      </c>
      <c r="O176" s="74">
        <v>45194.481944444444</v>
      </c>
      <c r="P176" s="74">
        <v>45194.616666666669</v>
      </c>
      <c r="Q176" s="76">
        <f>(P176-O176)</f>
        <v>0.13472222222480923</v>
      </c>
      <c r="R176" s="39">
        <f>Q176*24</f>
        <v>3.2333333333954215</v>
      </c>
      <c r="S176">
        <f>5*12</f>
        <v>60</v>
      </c>
      <c r="T176">
        <v>400</v>
      </c>
      <c r="AG176">
        <f>S176*T176/1000</f>
        <v>24</v>
      </c>
      <c r="AH176">
        <f>AG176/11</f>
        <v>2.1818181818181817</v>
      </c>
      <c r="AI176">
        <f>ROUNDUP(AH176,0)+ROUNDUP(AH181,0)+ROUNDUP(AH186,0)</f>
        <v>8</v>
      </c>
    </row>
    <row r="177" spans="1:34" ht="16">
      <c r="A177" s="19" t="s">
        <v>22</v>
      </c>
      <c r="B177" s="20">
        <v>100</v>
      </c>
      <c r="C177" s="21">
        <v>0.02</v>
      </c>
      <c r="E177" s="13" t="s">
        <v>177</v>
      </c>
      <c r="K177" s="40">
        <v>2</v>
      </c>
      <c r="L177">
        <v>1</v>
      </c>
      <c r="M177" s="73">
        <f>M176</f>
        <v>45194</v>
      </c>
      <c r="N177" s="96"/>
      <c r="O177" s="75">
        <v>45194.482638888891</v>
      </c>
      <c r="P177" s="75">
        <v>45194.617361111108</v>
      </c>
      <c r="Q177" s="76">
        <f t="shared" ref="Q177:Q180" si="16">(P177-O177)</f>
        <v>0.13472222221753327</v>
      </c>
      <c r="R177" s="39">
        <f t="shared" ref="R177:R189" si="17">Q177*24</f>
        <v>3.2333333332207985</v>
      </c>
    </row>
    <row r="178" spans="1:34" ht="16">
      <c r="A178" s="22" t="s">
        <v>23</v>
      </c>
      <c r="B178" s="23">
        <v>50</v>
      </c>
      <c r="C178" s="24">
        <v>0.01</v>
      </c>
      <c r="F178" s="13" t="s">
        <v>34</v>
      </c>
      <c r="G178" s="33" t="s">
        <v>40</v>
      </c>
      <c r="H178" s="33" t="s">
        <v>41</v>
      </c>
      <c r="I178" s="34"/>
      <c r="K178" s="40">
        <v>3</v>
      </c>
      <c r="L178">
        <v>1</v>
      </c>
      <c r="M178" s="73">
        <f t="shared" ref="M178:M180" si="18">M177</f>
        <v>45194</v>
      </c>
      <c r="N178" s="96"/>
      <c r="O178" s="75">
        <v>45194.48333333333</v>
      </c>
      <c r="P178" s="75">
        <v>45194.618055555555</v>
      </c>
      <c r="Q178" s="76">
        <f t="shared" si="16"/>
        <v>0.13472222222480923</v>
      </c>
      <c r="R178" s="39">
        <f t="shared" si="17"/>
        <v>3.2333333333954215</v>
      </c>
    </row>
    <row r="179" spans="1:34" ht="16">
      <c r="A179" s="22" t="s">
        <v>24</v>
      </c>
      <c r="B179" s="23">
        <v>25</v>
      </c>
      <c r="C179" s="24">
        <v>5.0000000000000001E-3</v>
      </c>
      <c r="F179" s="34" t="s">
        <v>35</v>
      </c>
      <c r="G179" s="35">
        <v>0</v>
      </c>
      <c r="H179" s="36">
        <f>STDEV(F200:Q200)</f>
        <v>107.57863931266107</v>
      </c>
      <c r="I179" s="34"/>
      <c r="K179" s="41">
        <v>4</v>
      </c>
      <c r="L179">
        <v>1</v>
      </c>
      <c r="M179" s="73">
        <f t="shared" si="18"/>
        <v>45194</v>
      </c>
      <c r="N179" s="96"/>
      <c r="O179" s="77">
        <v>45194.484027777777</v>
      </c>
      <c r="P179" s="77">
        <v>45194.619444444441</v>
      </c>
      <c r="Q179" s="76">
        <f t="shared" si="16"/>
        <v>0.13541666666424135</v>
      </c>
      <c r="R179" s="39">
        <f t="shared" si="17"/>
        <v>3.2499999999417923</v>
      </c>
    </row>
    <row r="180" spans="1:34" ht="16">
      <c r="A180" s="22" t="s">
        <v>25</v>
      </c>
      <c r="B180" s="23">
        <v>10</v>
      </c>
      <c r="C180" s="24">
        <v>2E-3</v>
      </c>
      <c r="F180" s="34" t="s">
        <v>36</v>
      </c>
      <c r="G180" s="35">
        <v>0</v>
      </c>
      <c r="H180" s="36">
        <f>STDEV(F201:Q201)</f>
        <v>28.822734082664677</v>
      </c>
      <c r="I180" s="34"/>
      <c r="K180" s="42">
        <v>5</v>
      </c>
      <c r="L180" s="43">
        <v>1</v>
      </c>
      <c r="M180" s="73">
        <f t="shared" si="18"/>
        <v>45194</v>
      </c>
      <c r="N180" s="97"/>
      <c r="O180" s="78">
        <v>45194.484722222223</v>
      </c>
      <c r="P180" s="78">
        <v>45194.620138888888</v>
      </c>
      <c r="Q180" s="76">
        <f t="shared" si="16"/>
        <v>0.13541666666424135</v>
      </c>
      <c r="R180" s="39">
        <f t="shared" si="17"/>
        <v>3.2499999999417923</v>
      </c>
    </row>
    <row r="181" spans="1:34" ht="16">
      <c r="A181" s="25" t="s">
        <v>26</v>
      </c>
      <c r="B181" s="16">
        <v>5</v>
      </c>
      <c r="C181" s="24">
        <v>1E-3</v>
      </c>
      <c r="D181" s="17"/>
      <c r="F181" s="34" t="s">
        <v>37</v>
      </c>
      <c r="G181" s="35">
        <f>AVERAGE(F202:Q202)</f>
        <v>389</v>
      </c>
      <c r="H181" s="36">
        <f>STDEV(F202:Q202)</f>
        <v>23.718040697862346</v>
      </c>
      <c r="I181" s="34"/>
      <c r="K181" s="37">
        <v>6</v>
      </c>
      <c r="L181" s="38">
        <v>2</v>
      </c>
      <c r="M181" s="73">
        <v>45195</v>
      </c>
      <c r="N181" s="95" t="s">
        <v>196</v>
      </c>
      <c r="O181" s="74">
        <v>45195.477777777778</v>
      </c>
      <c r="P181" s="74">
        <v>45195.609027777777</v>
      </c>
      <c r="Q181" s="76">
        <f>(P181-O181)</f>
        <v>0.13124999999854481</v>
      </c>
      <c r="R181" s="39">
        <f>Q181*24</f>
        <v>3.1499999999650754</v>
      </c>
      <c r="S181">
        <f>5*12</f>
        <v>60</v>
      </c>
      <c r="T181">
        <v>400</v>
      </c>
      <c r="AG181">
        <f>S181*T181/1000</f>
        <v>24</v>
      </c>
      <c r="AH181">
        <f>AG181/11</f>
        <v>2.1818181818181817</v>
      </c>
    </row>
    <row r="182" spans="1:34" ht="16">
      <c r="A182" s="25" t="s">
        <v>27</v>
      </c>
      <c r="B182" s="23">
        <v>2.5</v>
      </c>
      <c r="C182" s="24">
        <v>5.0000000000000001E-4</v>
      </c>
      <c r="F182" s="34" t="s">
        <v>38</v>
      </c>
      <c r="G182" s="35">
        <v>0</v>
      </c>
      <c r="H182" s="36">
        <f>STDEV(F203:Q203)</f>
        <v>5.0475016322209072</v>
      </c>
      <c r="I182" s="34"/>
      <c r="K182" s="40">
        <v>7</v>
      </c>
      <c r="L182">
        <v>2</v>
      </c>
      <c r="M182" s="73">
        <f>M181</f>
        <v>45195</v>
      </c>
      <c r="N182" s="96"/>
      <c r="O182" s="75">
        <f>O181+TIME(0,1,0)</f>
        <v>45195.478472222225</v>
      </c>
      <c r="P182" s="75">
        <f>P181+TIME(0,1,0)</f>
        <v>45195.609722222223</v>
      </c>
      <c r="Q182" s="76">
        <f t="shared" ref="Q182:Q185" si="19">(P182-O182)</f>
        <v>0.13124999999854481</v>
      </c>
      <c r="R182" s="39">
        <f t="shared" si="17"/>
        <v>3.1499999999650754</v>
      </c>
    </row>
    <row r="183" spans="1:34" ht="15" customHeight="1">
      <c r="A183" s="22" t="s">
        <v>8</v>
      </c>
      <c r="B183" s="16">
        <v>0</v>
      </c>
      <c r="C183" s="24">
        <v>0</v>
      </c>
      <c r="D183" s="16"/>
      <c r="E183" s="14"/>
      <c r="F183" s="34"/>
      <c r="G183" s="35"/>
      <c r="H183" s="36"/>
      <c r="I183" s="34"/>
      <c r="K183" s="40">
        <v>8</v>
      </c>
      <c r="L183">
        <v>2</v>
      </c>
      <c r="M183" s="73">
        <f t="shared" ref="M183:M185" si="20">M182</f>
        <v>45195</v>
      </c>
      <c r="N183" s="96"/>
      <c r="O183" s="75">
        <f t="shared" ref="O183:P189" si="21">O182+TIME(0,1,0)</f>
        <v>45195.479166666672</v>
      </c>
      <c r="P183" s="75">
        <f>P182+TIME(0,2,0)</f>
        <v>45195.611111111109</v>
      </c>
      <c r="Q183" s="76">
        <f t="shared" si="19"/>
        <v>0.13194444443797693</v>
      </c>
      <c r="R183" s="39">
        <f t="shared" si="17"/>
        <v>3.1666666665114462</v>
      </c>
    </row>
    <row r="184" spans="1:34" ht="16">
      <c r="A184" s="26" t="s">
        <v>28</v>
      </c>
      <c r="B184" s="27" t="s">
        <v>29</v>
      </c>
      <c r="C184" s="28"/>
      <c r="E184" s="13" t="s">
        <v>179</v>
      </c>
      <c r="I184" s="34"/>
      <c r="K184" s="40">
        <v>9</v>
      </c>
      <c r="L184">
        <v>2</v>
      </c>
      <c r="M184" s="73">
        <f t="shared" si="20"/>
        <v>45195</v>
      </c>
      <c r="N184" s="96"/>
      <c r="O184" s="75">
        <f t="shared" si="21"/>
        <v>45195.479861111118</v>
      </c>
      <c r="P184" s="75">
        <f t="shared" si="21"/>
        <v>45195.611805555556</v>
      </c>
      <c r="Q184" s="76">
        <f t="shared" si="19"/>
        <v>0.13194444443797693</v>
      </c>
      <c r="R184" s="39">
        <f t="shared" si="17"/>
        <v>3.1666666665114462</v>
      </c>
    </row>
    <row r="185" spans="1:34" ht="16">
      <c r="A185" s="15"/>
      <c r="F185" s="13" t="s">
        <v>34</v>
      </c>
      <c r="G185" s="33" t="s">
        <v>40</v>
      </c>
      <c r="H185" s="33" t="s">
        <v>41</v>
      </c>
      <c r="I185" s="34"/>
      <c r="K185" s="42">
        <v>10</v>
      </c>
      <c r="L185" s="43">
        <v>2</v>
      </c>
      <c r="M185" s="73">
        <f t="shared" si="20"/>
        <v>45195</v>
      </c>
      <c r="N185" s="97"/>
      <c r="O185" s="75">
        <f t="shared" si="21"/>
        <v>45195.480555555565</v>
      </c>
      <c r="P185" s="75">
        <f t="shared" si="21"/>
        <v>45195.612500000003</v>
      </c>
      <c r="Q185" s="76">
        <f t="shared" si="19"/>
        <v>0.13194444443797693</v>
      </c>
      <c r="R185" s="39">
        <f t="shared" si="17"/>
        <v>3.1666666665114462</v>
      </c>
    </row>
    <row r="186" spans="1:34" ht="16">
      <c r="A186" s="17" t="s">
        <v>30</v>
      </c>
      <c r="F186" s="34" t="s">
        <v>35</v>
      </c>
      <c r="G186" s="35">
        <v>0</v>
      </c>
      <c r="H186" s="36">
        <f>STDEV(F207:Q207)</f>
        <v>81.423090686670108</v>
      </c>
      <c r="I186" s="34"/>
      <c r="K186" s="37">
        <f>K185+1</f>
        <v>11</v>
      </c>
      <c r="L186" s="38">
        <v>3</v>
      </c>
      <c r="M186" s="73">
        <v>45196</v>
      </c>
      <c r="N186" s="98" t="s">
        <v>197</v>
      </c>
      <c r="O186" s="74">
        <v>45196.433333333334</v>
      </c>
      <c r="P186" s="74">
        <v>45196.563888888886</v>
      </c>
      <c r="Q186" s="76">
        <f t="shared" ref="Q186:Q189" si="22">(P186-O186)</f>
        <v>0.13055555555183673</v>
      </c>
      <c r="R186" s="39">
        <f t="shared" si="17"/>
        <v>3.1333333332440816</v>
      </c>
      <c r="S186">
        <f>4*12</f>
        <v>48</v>
      </c>
      <c r="T186">
        <v>400</v>
      </c>
      <c r="AG186">
        <f>S186*T186/1000</f>
        <v>19.2</v>
      </c>
      <c r="AH186">
        <f>AG186/11</f>
        <v>1.7454545454545454</v>
      </c>
    </row>
    <row r="187" spans="1:34" ht="15" customHeight="1">
      <c r="A187" s="15"/>
      <c r="B187" s="18" t="s">
        <v>31</v>
      </c>
      <c r="C187" s="18" t="s">
        <v>32</v>
      </c>
      <c r="F187" s="34" t="s">
        <v>36</v>
      </c>
      <c r="G187" s="35">
        <v>0</v>
      </c>
      <c r="H187" s="36">
        <f>STDEV(F208:Q208)</f>
        <v>12.647912751505579</v>
      </c>
      <c r="K187" s="40">
        <f>K186+1</f>
        <v>12</v>
      </c>
      <c r="L187">
        <v>3</v>
      </c>
      <c r="M187" s="73">
        <v>45196</v>
      </c>
      <c r="N187" s="99"/>
      <c r="O187" s="75">
        <f>O186+TIME(0,1,0)</f>
        <v>45196.434027777781</v>
      </c>
      <c r="P187" s="75">
        <f>P186+TIME(0,2,0)</f>
        <v>45196.565277777772</v>
      </c>
      <c r="Q187" s="76">
        <f t="shared" si="22"/>
        <v>0.13124999999126885</v>
      </c>
      <c r="R187" s="39">
        <f t="shared" si="17"/>
        <v>3.1499999997904524</v>
      </c>
    </row>
    <row r="188" spans="1:34" ht="16">
      <c r="A188" s="19" t="s">
        <v>22</v>
      </c>
      <c r="B188" s="20">
        <v>0</v>
      </c>
      <c r="C188" s="29">
        <v>0</v>
      </c>
      <c r="F188" s="34" t="s">
        <v>37</v>
      </c>
      <c r="G188" s="35">
        <f>AVERAGE(F209:Q209)</f>
        <v>325.75</v>
      </c>
      <c r="H188" s="36">
        <f>STDEV(F209:Q209)</f>
        <v>10.506491499847304</v>
      </c>
      <c r="K188" s="40">
        <f>K187+1</f>
        <v>13</v>
      </c>
      <c r="L188">
        <v>3</v>
      </c>
      <c r="M188" s="73">
        <v>45196</v>
      </c>
      <c r="N188" s="99"/>
      <c r="O188" s="75">
        <f t="shared" si="21"/>
        <v>45196.434722222228</v>
      </c>
      <c r="P188" s="75">
        <f>P187+TIME(0,1,0)</f>
        <v>45196.565972222219</v>
      </c>
      <c r="Q188" s="76">
        <f t="shared" si="22"/>
        <v>0.13124999999126885</v>
      </c>
      <c r="R188" s="39">
        <f t="shared" si="17"/>
        <v>3.1499999997904524</v>
      </c>
    </row>
    <row r="189" spans="1:34" ht="16">
      <c r="A189" s="22" t="s">
        <v>23</v>
      </c>
      <c r="B189" s="23">
        <v>2.5</v>
      </c>
      <c r="C189" s="14">
        <v>5.0000000000000001E-4</v>
      </c>
      <c r="F189" s="34" t="s">
        <v>38</v>
      </c>
      <c r="G189" s="35">
        <v>0</v>
      </c>
      <c r="H189" s="36">
        <f>STDEV(F210:Q210)</f>
        <v>2.1742292260184359</v>
      </c>
      <c r="K189" s="42">
        <f>K188+1</f>
        <v>14</v>
      </c>
      <c r="L189" s="43">
        <v>3</v>
      </c>
      <c r="M189" s="73">
        <v>45196</v>
      </c>
      <c r="N189" s="100"/>
      <c r="O189" s="75">
        <f t="shared" si="21"/>
        <v>45196.435416666674</v>
      </c>
      <c r="P189" s="75">
        <f>P188+TIME(0,2,0)</f>
        <v>45196.567361111105</v>
      </c>
      <c r="Q189" s="76">
        <f t="shared" si="22"/>
        <v>0.13194444443070097</v>
      </c>
      <c r="R189" s="39">
        <f t="shared" si="17"/>
        <v>3.1666666663368233</v>
      </c>
    </row>
    <row r="190" spans="1:34">
      <c r="A190" s="22" t="s">
        <v>24</v>
      </c>
      <c r="B190" s="23">
        <v>5</v>
      </c>
      <c r="C190" s="14">
        <v>1E-3</v>
      </c>
      <c r="D190" s="16"/>
    </row>
    <row r="191" spans="1:34">
      <c r="A191" s="22" t="s">
        <v>25</v>
      </c>
      <c r="B191" s="23">
        <v>10</v>
      </c>
      <c r="C191" s="14">
        <v>2E-3</v>
      </c>
      <c r="D191" s="23"/>
      <c r="E191" s="13" t="s">
        <v>179</v>
      </c>
    </row>
    <row r="192" spans="1:34">
      <c r="A192" s="25" t="s">
        <v>26</v>
      </c>
      <c r="B192" s="16">
        <v>25</v>
      </c>
      <c r="C192" s="14">
        <v>5.0000000000000001E-3</v>
      </c>
      <c r="D192" s="23"/>
      <c r="F192" s="13" t="s">
        <v>34</v>
      </c>
      <c r="G192" s="33" t="s">
        <v>40</v>
      </c>
      <c r="H192" s="33" t="s">
        <v>41</v>
      </c>
    </row>
    <row r="193" spans="1:17">
      <c r="A193" s="25" t="s">
        <v>27</v>
      </c>
      <c r="B193" s="23">
        <v>50</v>
      </c>
      <c r="C193" s="14">
        <v>0.01</v>
      </c>
      <c r="D193" s="23"/>
      <c r="F193" s="34" t="s">
        <v>35</v>
      </c>
      <c r="G193" s="35">
        <v>0</v>
      </c>
      <c r="H193" s="36">
        <f>STDEV(N214:Q215)</f>
        <v>11.732129267224137</v>
      </c>
    </row>
    <row r="194" spans="1:17">
      <c r="A194" s="22" t="s">
        <v>8</v>
      </c>
      <c r="B194" s="16">
        <v>100</v>
      </c>
      <c r="C194" s="14">
        <v>0.02</v>
      </c>
      <c r="D194" s="23"/>
      <c r="F194" s="34" t="s">
        <v>36</v>
      </c>
      <c r="G194" s="35">
        <v>0</v>
      </c>
      <c r="H194" s="36">
        <f>STDEV(N216:Q217)</f>
        <v>2.9154759474226504</v>
      </c>
    </row>
    <row r="195" spans="1:17">
      <c r="A195" s="26" t="s">
        <v>28</v>
      </c>
      <c r="B195" s="27" t="s">
        <v>29</v>
      </c>
      <c r="C195" s="28"/>
      <c r="F195" s="34" t="s">
        <v>37</v>
      </c>
      <c r="G195" s="35">
        <f>AVERAGE(N218:Q219)</f>
        <v>350.125</v>
      </c>
      <c r="H195" s="36">
        <f>STDEV(N218:Q219)</f>
        <v>18.566001954417342</v>
      </c>
    </row>
    <row r="196" spans="1:17">
      <c r="A196" s="15"/>
      <c r="F196" s="34" t="s">
        <v>38</v>
      </c>
      <c r="G196" s="35">
        <v>0</v>
      </c>
      <c r="H196" s="36">
        <f>STDEV(N220:Q221)</f>
        <v>3.6425069859723185</v>
      </c>
    </row>
    <row r="197" spans="1:17">
      <c r="A197" s="17" t="s">
        <v>33</v>
      </c>
    </row>
    <row r="198" spans="1:17">
      <c r="A198" s="15"/>
      <c r="B198" s="14" t="s">
        <v>34</v>
      </c>
      <c r="E198" t="s">
        <v>176</v>
      </c>
    </row>
    <row r="199" spans="1:17">
      <c r="A199" s="19" t="s">
        <v>22</v>
      </c>
      <c r="B199" s="21" t="s">
        <v>35</v>
      </c>
      <c r="F199">
        <v>1</v>
      </c>
      <c r="G199">
        <v>2</v>
      </c>
      <c r="H199">
        <v>3</v>
      </c>
      <c r="I199">
        <v>4</v>
      </c>
      <c r="J199">
        <v>5</v>
      </c>
      <c r="K199">
        <v>6</v>
      </c>
      <c r="L199">
        <v>7</v>
      </c>
      <c r="M199">
        <v>8</v>
      </c>
      <c r="N199">
        <v>9</v>
      </c>
      <c r="O199">
        <v>10</v>
      </c>
      <c r="P199">
        <v>11</v>
      </c>
      <c r="Q199">
        <v>12</v>
      </c>
    </row>
    <row r="200" spans="1:17">
      <c r="A200" s="22" t="s">
        <v>23</v>
      </c>
      <c r="B200" s="24" t="s">
        <v>35</v>
      </c>
      <c r="D200" s="17"/>
      <c r="E200" s="15" t="s">
        <v>22</v>
      </c>
      <c r="F200" s="81">
        <v>454</v>
      </c>
      <c r="G200" s="82">
        <v>554</v>
      </c>
      <c r="H200" s="83">
        <v>601</v>
      </c>
      <c r="I200" s="82">
        <v>554</v>
      </c>
      <c r="J200" s="84"/>
      <c r="K200" s="85">
        <v>344</v>
      </c>
      <c r="L200" s="86">
        <v>274</v>
      </c>
      <c r="M200" s="87">
        <v>419</v>
      </c>
      <c r="N200" s="87">
        <v>408</v>
      </c>
      <c r="O200" s="82">
        <v>559</v>
      </c>
      <c r="P200" s="82">
        <v>524</v>
      </c>
      <c r="Q200" s="83">
        <v>587</v>
      </c>
    </row>
    <row r="201" spans="1:17">
      <c r="A201" s="22" t="s">
        <v>24</v>
      </c>
      <c r="B201" s="24" t="s">
        <v>36</v>
      </c>
      <c r="E201" s="15" t="s">
        <v>23</v>
      </c>
      <c r="F201" s="88">
        <v>61</v>
      </c>
      <c r="G201" s="89">
        <v>122</v>
      </c>
      <c r="H201" s="89">
        <v>105</v>
      </c>
      <c r="I201" s="90">
        <v>164</v>
      </c>
      <c r="J201" s="90">
        <v>156</v>
      </c>
      <c r="K201" s="90">
        <v>129</v>
      </c>
      <c r="L201" s="89">
        <v>93</v>
      </c>
      <c r="M201" s="90">
        <v>144</v>
      </c>
      <c r="N201" s="90">
        <v>131</v>
      </c>
      <c r="O201" s="90">
        <v>131</v>
      </c>
      <c r="P201" s="89">
        <v>122</v>
      </c>
      <c r="Q201" s="90">
        <v>151</v>
      </c>
    </row>
    <row r="202" spans="1:17">
      <c r="A202" s="22" t="s">
        <v>25</v>
      </c>
      <c r="B202" s="24" t="s">
        <v>36</v>
      </c>
      <c r="D202" s="16"/>
      <c r="E202" s="15" t="s">
        <v>24</v>
      </c>
      <c r="F202" s="85">
        <v>359</v>
      </c>
      <c r="G202" s="85">
        <v>372</v>
      </c>
      <c r="H202" s="87">
        <v>426</v>
      </c>
      <c r="I202" s="85">
        <v>376</v>
      </c>
      <c r="J202" s="87">
        <v>414</v>
      </c>
      <c r="K202" s="87">
        <v>407</v>
      </c>
      <c r="L202" s="87">
        <v>407</v>
      </c>
      <c r="M202" s="85">
        <v>378</v>
      </c>
      <c r="N202" s="85">
        <v>384</v>
      </c>
      <c r="O202" s="85">
        <v>357</v>
      </c>
      <c r="P202" s="85">
        <v>372</v>
      </c>
      <c r="Q202" s="87">
        <v>416</v>
      </c>
    </row>
    <row r="203" spans="1:17">
      <c r="A203" s="25" t="s">
        <v>26</v>
      </c>
      <c r="B203" s="30" t="s">
        <v>37</v>
      </c>
      <c r="E203" s="15" t="s">
        <v>25</v>
      </c>
      <c r="F203" s="88">
        <v>38</v>
      </c>
      <c r="G203" s="88">
        <v>41</v>
      </c>
      <c r="H203" s="88">
        <v>37</v>
      </c>
      <c r="I203" s="88">
        <v>43</v>
      </c>
      <c r="J203" s="88">
        <v>43</v>
      </c>
      <c r="K203" s="88">
        <v>41</v>
      </c>
      <c r="L203" s="88">
        <v>46</v>
      </c>
      <c r="M203" s="88">
        <v>49</v>
      </c>
      <c r="N203" s="88">
        <v>52</v>
      </c>
      <c r="O203" s="88">
        <v>41</v>
      </c>
      <c r="P203" s="88">
        <v>51</v>
      </c>
      <c r="Q203" s="88">
        <v>49</v>
      </c>
    </row>
    <row r="204" spans="1:17">
      <c r="A204" s="25" t="s">
        <v>27</v>
      </c>
      <c r="B204" s="30" t="s">
        <v>37</v>
      </c>
    </row>
    <row r="205" spans="1:17">
      <c r="A205" s="22" t="s">
        <v>8</v>
      </c>
      <c r="B205" s="31" t="s">
        <v>38</v>
      </c>
      <c r="C205" s="16"/>
      <c r="E205" t="s">
        <v>178</v>
      </c>
    </row>
    <row r="206" spans="1:17">
      <c r="A206" s="26" t="s">
        <v>28</v>
      </c>
      <c r="B206" s="32" t="s">
        <v>38</v>
      </c>
      <c r="F206">
        <v>1</v>
      </c>
      <c r="G206">
        <v>2</v>
      </c>
      <c r="H206">
        <v>3</v>
      </c>
      <c r="I206">
        <v>4</v>
      </c>
      <c r="J206">
        <v>5</v>
      </c>
      <c r="K206">
        <v>6</v>
      </c>
      <c r="L206">
        <v>7</v>
      </c>
      <c r="M206">
        <v>8</v>
      </c>
      <c r="N206">
        <v>9</v>
      </c>
      <c r="O206">
        <v>10</v>
      </c>
      <c r="P206">
        <v>11</v>
      </c>
      <c r="Q206">
        <v>12</v>
      </c>
    </row>
    <row r="207" spans="1:17">
      <c r="E207" s="15" t="s">
        <v>22</v>
      </c>
      <c r="F207" s="87">
        <v>262</v>
      </c>
      <c r="G207" s="83">
        <v>361</v>
      </c>
      <c r="H207" s="83">
        <v>358</v>
      </c>
      <c r="I207" s="83">
        <v>355</v>
      </c>
      <c r="J207" s="82">
        <v>317</v>
      </c>
      <c r="K207" s="87">
        <v>259</v>
      </c>
      <c r="L207" s="85">
        <v>234</v>
      </c>
      <c r="M207" s="85">
        <v>220</v>
      </c>
      <c r="N207" s="85">
        <v>240</v>
      </c>
      <c r="O207" s="84">
        <v>476</v>
      </c>
      <c r="P207" s="92">
        <v>417</v>
      </c>
      <c r="Q207" s="93">
        <v>384</v>
      </c>
    </row>
    <row r="208" spans="1:17">
      <c r="E208" s="15" t="s">
        <v>23</v>
      </c>
      <c r="F208" s="89">
        <v>60</v>
      </c>
      <c r="G208" s="90">
        <v>81</v>
      </c>
      <c r="H208" s="89">
        <v>72</v>
      </c>
      <c r="I208" s="90">
        <v>96</v>
      </c>
      <c r="J208" s="90">
        <v>82</v>
      </c>
      <c r="K208" s="89">
        <v>65</v>
      </c>
      <c r="L208" s="89">
        <v>56</v>
      </c>
      <c r="M208" s="89">
        <v>73</v>
      </c>
      <c r="N208" s="89">
        <v>68</v>
      </c>
      <c r="O208" s="90">
        <v>88</v>
      </c>
      <c r="P208" s="89">
        <v>76</v>
      </c>
      <c r="Q208" s="90">
        <v>93</v>
      </c>
    </row>
    <row r="209" spans="5:17">
      <c r="E209" s="15" t="s">
        <v>24</v>
      </c>
      <c r="F209" s="82">
        <v>328</v>
      </c>
      <c r="G209" s="82">
        <v>324</v>
      </c>
      <c r="H209" s="82">
        <v>333</v>
      </c>
      <c r="I209" s="81">
        <v>306</v>
      </c>
      <c r="J209" s="82">
        <v>330</v>
      </c>
      <c r="K209" s="82">
        <v>329</v>
      </c>
      <c r="L209" s="82">
        <v>330</v>
      </c>
      <c r="M209" s="82">
        <v>321</v>
      </c>
      <c r="N209" s="82">
        <v>325</v>
      </c>
      <c r="O209" s="82">
        <v>317</v>
      </c>
      <c r="P209" s="82">
        <v>317</v>
      </c>
      <c r="Q209" s="83">
        <v>349</v>
      </c>
    </row>
    <row r="210" spans="5:17">
      <c r="E210" s="15" t="s">
        <v>25</v>
      </c>
      <c r="F210" s="88">
        <v>31</v>
      </c>
      <c r="G210" s="88">
        <v>33</v>
      </c>
      <c r="H210" s="88">
        <v>32</v>
      </c>
      <c r="I210" s="88">
        <v>28</v>
      </c>
      <c r="J210" s="88">
        <v>32</v>
      </c>
      <c r="K210" s="88">
        <v>30</v>
      </c>
      <c r="L210" s="88">
        <v>33</v>
      </c>
      <c r="M210" s="88">
        <v>30</v>
      </c>
      <c r="N210" s="88">
        <v>32</v>
      </c>
      <c r="O210" s="88">
        <v>32</v>
      </c>
      <c r="P210" s="88">
        <v>36</v>
      </c>
      <c r="Q210" s="88">
        <v>35</v>
      </c>
    </row>
    <row r="212" spans="5:17">
      <c r="E212" t="s">
        <v>178</v>
      </c>
    </row>
    <row r="213" spans="5:17">
      <c r="F213">
        <v>1</v>
      </c>
      <c r="G213">
        <v>2</v>
      </c>
      <c r="H213">
        <v>3</v>
      </c>
      <c r="I213">
        <v>4</v>
      </c>
      <c r="J213">
        <v>5</v>
      </c>
      <c r="K213">
        <v>6</v>
      </c>
      <c r="L213">
        <v>7</v>
      </c>
      <c r="M213">
        <v>8</v>
      </c>
      <c r="N213">
        <v>9</v>
      </c>
      <c r="O213">
        <v>10</v>
      </c>
      <c r="P213">
        <v>11</v>
      </c>
      <c r="Q213">
        <v>12</v>
      </c>
    </row>
    <row r="214" spans="5:17">
      <c r="E214" s="15" t="s">
        <v>22</v>
      </c>
      <c r="K214" s="14"/>
      <c r="L214" s="67"/>
      <c r="M214" s="44"/>
      <c r="N214" s="88">
        <v>35</v>
      </c>
      <c r="O214" s="88">
        <v>35</v>
      </c>
      <c r="P214" s="88">
        <v>32</v>
      </c>
      <c r="Q214" s="88">
        <v>32</v>
      </c>
    </row>
    <row r="215" spans="5:17">
      <c r="E215" s="15" t="s">
        <v>23</v>
      </c>
      <c r="K215" s="14"/>
      <c r="L215" s="44"/>
      <c r="M215" s="68"/>
      <c r="N215" s="88">
        <v>67</v>
      </c>
      <c r="O215" s="88">
        <v>33</v>
      </c>
      <c r="P215" s="88">
        <v>36</v>
      </c>
      <c r="Q215" s="88">
        <v>36</v>
      </c>
    </row>
    <row r="216" spans="5:17">
      <c r="E216" s="15" t="s">
        <v>24</v>
      </c>
      <c r="K216" s="14"/>
      <c r="L216" s="68"/>
      <c r="M216" s="68"/>
      <c r="N216" s="88">
        <v>35</v>
      </c>
      <c r="O216" s="88">
        <v>32</v>
      </c>
      <c r="P216" s="88">
        <v>38</v>
      </c>
      <c r="Q216" s="88">
        <v>29</v>
      </c>
    </row>
    <row r="217" spans="5:17">
      <c r="E217" s="15" t="s">
        <v>25</v>
      </c>
      <c r="K217" s="14"/>
      <c r="L217" s="69"/>
      <c r="M217" s="68"/>
      <c r="N217" s="88">
        <v>34</v>
      </c>
      <c r="O217" s="88">
        <v>31</v>
      </c>
      <c r="P217" s="88">
        <v>35</v>
      </c>
      <c r="Q217" s="88">
        <v>36</v>
      </c>
    </row>
    <row r="218" spans="5:17">
      <c r="E218" s="15" t="s">
        <v>26</v>
      </c>
      <c r="N218" s="88">
        <v>378</v>
      </c>
      <c r="O218" s="88">
        <v>328</v>
      </c>
      <c r="P218" s="88">
        <v>364</v>
      </c>
      <c r="Q218" s="88">
        <v>345</v>
      </c>
    </row>
    <row r="219" spans="5:17">
      <c r="E219" s="15" t="s">
        <v>27</v>
      </c>
      <c r="N219" s="88">
        <v>349</v>
      </c>
      <c r="O219" s="88">
        <v>329</v>
      </c>
      <c r="P219" s="88">
        <v>369</v>
      </c>
      <c r="Q219" s="88">
        <v>339</v>
      </c>
    </row>
    <row r="220" spans="5:17">
      <c r="E220" s="15" t="s">
        <v>8</v>
      </c>
      <c r="N220" s="88">
        <v>48</v>
      </c>
      <c r="O220" s="88">
        <v>41</v>
      </c>
      <c r="P220" s="88">
        <v>44</v>
      </c>
      <c r="Q220" s="88">
        <v>44</v>
      </c>
    </row>
    <row r="221" spans="5:17">
      <c r="N221" s="88">
        <v>50</v>
      </c>
      <c r="O221" s="88">
        <v>45</v>
      </c>
      <c r="P221" s="88">
        <v>49</v>
      </c>
      <c r="Q221" s="88">
        <v>40</v>
      </c>
    </row>
  </sheetData>
  <sortState xmlns:xlrd2="http://schemas.microsoft.com/office/spreadsheetml/2017/richdata2" ref="A2:N133">
    <sortCondition ref="A2:A133"/>
  </sortState>
  <mergeCells count="3">
    <mergeCell ref="N176:N180"/>
    <mergeCell ref="N181:N185"/>
    <mergeCell ref="N186:N18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103B-07F6-A540-A7DB-9DD26D434BF3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I1" sqref="I1:J1048576"/>
      <selection pane="topRight" activeCell="I1" sqref="I1:J1048576"/>
      <selection pane="bottomLeft" activeCell="I1" sqref="I1:J1048576"/>
      <selection pane="bottomRight" activeCell="T24" sqref="T24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1</v>
      </c>
      <c r="B2" s="55" t="s">
        <v>67</v>
      </c>
      <c r="C2" s="79">
        <v>528</v>
      </c>
      <c r="D2" s="56" t="s">
        <v>35</v>
      </c>
      <c r="E2" s="80">
        <v>24</v>
      </c>
      <c r="F2" s="80">
        <v>30</v>
      </c>
      <c r="G2" s="57">
        <v>0</v>
      </c>
      <c r="H2" s="58"/>
      <c r="I2" s="59" t="s">
        <v>68</v>
      </c>
      <c r="J2" s="59" t="s">
        <v>68</v>
      </c>
      <c r="K2" s="60">
        <f>I3</f>
        <v>1.0157183700922944E-5</v>
      </c>
      <c r="L2" s="60">
        <f>I5</f>
        <v>-8.0646930535662603E-5</v>
      </c>
      <c r="M2" s="60">
        <f>(C2-$O$2)*K2+L2</f>
        <v>5.2823460635516521E-3</v>
      </c>
      <c r="N2" s="47" t="str">
        <f>'enzyme setup and metadata'!F179</f>
        <v>BG</v>
      </c>
      <c r="O2" s="47">
        <f>'enzyme setup and metadata'!G179</f>
        <v>0</v>
      </c>
      <c r="P2" s="14">
        <f>'enzyme setup and metadata'!A2</f>
        <v>1</v>
      </c>
      <c r="Q2" s="66">
        <f>'enzyme setup and metadata'!I2</f>
        <v>2.2271714922048993</v>
      </c>
      <c r="R2" s="14">
        <f>'enzyme setup and metadata'!R176</f>
        <v>3.2333333333954215</v>
      </c>
      <c r="S2" s="14">
        <f>(((M2+M3)/2)*91)/(R2*Q2*0.8)</f>
        <v>8.6648824168713903E-2</v>
      </c>
      <c r="T2" s="14">
        <f>(((M4+M5)/2)*91)/(R2*Q2*0.8)</f>
        <v>3.618952391236635E-2</v>
      </c>
      <c r="U2" s="14">
        <f>(((M6+M7)/2)*91)/(R2*Q2*0.8)</f>
        <v>3.8716026469327765E-2</v>
      </c>
      <c r="V2" s="14">
        <f>(((M8+M9)/2)*91)/(R2*Q2*0.8)</f>
        <v>2.0145231303034854E-2</v>
      </c>
      <c r="W2" s="14">
        <f>S2*1000</f>
        <v>86.648824168713901</v>
      </c>
      <c r="X2" s="14">
        <f>T2*1000</f>
        <v>36.189523912366347</v>
      </c>
      <c r="Y2" s="14">
        <f>U2*1000</f>
        <v>38.716026469327765</v>
      </c>
      <c r="Z2" s="14">
        <f>V2*1000</f>
        <v>20.145231303034855</v>
      </c>
    </row>
    <row r="3" spans="1:26" ht="14">
      <c r="A3" s="55">
        <f t="shared" ref="A3:A9" si="0">A2</f>
        <v>1</v>
      </c>
      <c r="B3" s="55" t="s">
        <v>69</v>
      </c>
      <c r="C3" s="79">
        <v>568</v>
      </c>
      <c r="D3" s="56" t="s">
        <v>35</v>
      </c>
      <c r="E3" s="80">
        <v>66</v>
      </c>
      <c r="F3" s="80">
        <v>276</v>
      </c>
      <c r="G3" s="57">
        <v>5.0000000000000001E-4</v>
      </c>
      <c r="H3" s="58"/>
      <c r="I3" s="59">
        <f>SLOPE(G2:G8, E2:E8)</f>
        <v>1.0157183700922944E-5</v>
      </c>
      <c r="J3" s="59">
        <f>SLOPE(G2:G8, F2:F8)</f>
        <v>1.8900984852952378E-6</v>
      </c>
      <c r="K3" s="60">
        <f>I3</f>
        <v>1.0157183700922944E-5</v>
      </c>
      <c r="L3" s="60">
        <f>I5</f>
        <v>-8.0646930535662603E-5</v>
      </c>
      <c r="M3" s="60">
        <f>(C3-$O$2)*K3+L3</f>
        <v>5.688633411588569E-3</v>
      </c>
      <c r="N3" s="47" t="str">
        <f>'enzyme setup and metadata'!F180</f>
        <v>CB</v>
      </c>
      <c r="O3" s="47">
        <f>'enzyme setup and metadata'!G180</f>
        <v>0</v>
      </c>
      <c r="P3" s="14">
        <f>'enzyme setup and metadata'!A3</f>
        <v>2</v>
      </c>
      <c r="Q3" s="66">
        <f>'enzyme setup and metadata'!I3</f>
        <v>2.1249603552172536</v>
      </c>
      <c r="R3" s="14">
        <f>R2</f>
        <v>3.2333333333954215</v>
      </c>
      <c r="S3" s="14">
        <f>(((M10+M11)/2)*91)/(R3*Q3*0.8)</f>
        <v>9.8462157945650802E-2</v>
      </c>
      <c r="T3" s="14">
        <f>(((M12+M13)/2)*91)/(R3*Q3*0.8)</f>
        <v>3.6158960734979484E-2</v>
      </c>
      <c r="U3" s="14">
        <f>(((M14+M15)/2)*91)/(R3*Q3*0.8)</f>
        <v>3.8137388801520809E-2</v>
      </c>
      <c r="V3" s="14">
        <f>(((M16+M17)/2)*91)/(R3*Q3*0.8)</f>
        <v>1.6957049425341361E-2</v>
      </c>
      <c r="W3" s="14">
        <f>S3*1000</f>
        <v>98.462157945650802</v>
      </c>
      <c r="X3" s="14">
        <f t="shared" ref="X3:X13" si="1">T3*1000</f>
        <v>36.158960734979487</v>
      </c>
      <c r="Y3" s="14">
        <f t="shared" ref="Y3:Y13" si="2">U3*1000</f>
        <v>38.137388801520807</v>
      </c>
      <c r="Z3" s="14">
        <f t="shared" ref="Z3:Z13" si="3">V3*1000</f>
        <v>16.95704942534136</v>
      </c>
    </row>
    <row r="4" spans="1:26" ht="14">
      <c r="A4" s="55">
        <f t="shared" si="0"/>
        <v>1</v>
      </c>
      <c r="B4" s="55" t="s">
        <v>70</v>
      </c>
      <c r="C4" s="79">
        <v>239</v>
      </c>
      <c r="D4" s="56" t="s">
        <v>36</v>
      </c>
      <c r="E4" s="80">
        <v>113</v>
      </c>
      <c r="F4" s="80">
        <v>572</v>
      </c>
      <c r="G4" s="57">
        <v>1E-3</v>
      </c>
      <c r="H4" s="58"/>
      <c r="I4" s="59" t="s">
        <v>71</v>
      </c>
      <c r="J4" s="59" t="s">
        <v>71</v>
      </c>
      <c r="K4" s="60">
        <f>I3</f>
        <v>1.0157183700922944E-5</v>
      </c>
      <c r="L4" s="60">
        <f>I5</f>
        <v>-8.0646930535662603E-5</v>
      </c>
      <c r="M4" s="60">
        <f>(C4-$O$3)*K4 + L4</f>
        <v>2.3469199739849208E-3</v>
      </c>
      <c r="N4" s="47" t="str">
        <f>'enzyme setup and metadata'!F181</f>
        <v>LAP</v>
      </c>
      <c r="O4" s="47">
        <f>'enzyme setup and metadata'!G181</f>
        <v>389</v>
      </c>
      <c r="P4" s="14">
        <f>'enzyme setup and metadata'!A4</f>
        <v>3</v>
      </c>
      <c r="Q4" s="66">
        <f>'enzyme setup and metadata'!I4</f>
        <v>2.2363203806502776</v>
      </c>
      <c r="R4" s="14">
        <f t="shared" ref="R4:R13" si="4">R3</f>
        <v>3.2333333333954215</v>
      </c>
      <c r="S4" s="14">
        <f>(((M18+M19)/2)*91)/(R4*Q4*0.8)</f>
        <v>9.2697375523257658E-2</v>
      </c>
      <c r="T4" s="14">
        <f>(((M20+M21)/2)*91)/(R4*Q4*0.8)</f>
        <v>3.5816602837258148E-2</v>
      </c>
      <c r="U4" s="14">
        <f>(((M22+M23)/2)*91)/(R4*Q4*0.8)</f>
        <v>3.7752103053232108E-2</v>
      </c>
      <c r="V4" s="14">
        <f>(((M24+M25)/2)*91)/(R4*Q4*0.8)</f>
        <v>1.6306047562377048E-2</v>
      </c>
      <c r="W4" s="14">
        <f>S4*1000</f>
        <v>92.697375523257662</v>
      </c>
      <c r="X4" s="14">
        <f t="shared" si="1"/>
        <v>35.816602837258145</v>
      </c>
      <c r="Y4" s="14">
        <f t="shared" si="2"/>
        <v>37.752103053232105</v>
      </c>
      <c r="Z4" s="14">
        <f t="shared" si="3"/>
        <v>16.306047562377049</v>
      </c>
    </row>
    <row r="5" spans="1:26" ht="14">
      <c r="A5" s="55">
        <f t="shared" si="0"/>
        <v>1</v>
      </c>
      <c r="B5" s="55" t="s">
        <v>72</v>
      </c>
      <c r="C5" s="79">
        <v>228</v>
      </c>
      <c r="D5" s="56" t="s">
        <v>36</v>
      </c>
      <c r="E5" s="80">
        <v>198</v>
      </c>
      <c r="F5" s="80">
        <v>1154</v>
      </c>
      <c r="G5" s="57">
        <v>2E-3</v>
      </c>
      <c r="H5" s="58"/>
      <c r="I5" s="59">
        <f>INTERCEPT(G2:G8, E2:E8)</f>
        <v>-8.0646930535662603E-5</v>
      </c>
      <c r="J5" s="59">
        <f>INTERCEPT(G2:G8, F2:F8)</f>
        <v>-1.0819221994029862E-4</v>
      </c>
      <c r="K5" s="60">
        <f>I3</f>
        <v>1.0157183700922944E-5</v>
      </c>
      <c r="L5" s="60">
        <f>I5</f>
        <v>-8.0646930535662603E-5</v>
      </c>
      <c r="M5" s="60">
        <f>(C5-$O$3)*K5+ L5</f>
        <v>2.2351909532747688E-3</v>
      </c>
      <c r="N5" s="47" t="str">
        <f>'enzyme setup and metadata'!F182</f>
        <v>XYL</v>
      </c>
      <c r="O5" s="47">
        <f>'enzyme setup and metadata'!G182</f>
        <v>0</v>
      </c>
      <c r="P5" s="14">
        <f>'enzyme setup and metadata'!A5</f>
        <v>5</v>
      </c>
      <c r="Q5" s="66">
        <f>'enzyme setup and metadata'!I5</f>
        <v>2.1818470326880353</v>
      </c>
      <c r="R5" s="14">
        <f t="shared" si="4"/>
        <v>3.2333333333954215</v>
      </c>
      <c r="S5" s="14">
        <f>(((M26+M27)/2)*91)/(R5*Q5*0.8)</f>
        <v>0.10233583775096908</v>
      </c>
      <c r="T5" s="14">
        <f>(((M28+M29)/2)*91)/(R5*Q5*0.8)</f>
        <v>3.6376982298828762E-2</v>
      </c>
      <c r="U5" s="14">
        <f>(((M30+M31)/2)*91)/(R5*Q5*0.8)</f>
        <v>4.0197597816725938E-2</v>
      </c>
      <c r="V5" s="14">
        <f>(((M32+M33)/2)*91)/(R5*Q5*0.8)</f>
        <v>1.74736448814257E-2</v>
      </c>
      <c r="W5" s="14">
        <f t="shared" ref="W5:W13" si="5">S5*1000</f>
        <v>102.33583775096908</v>
      </c>
      <c r="X5" s="14">
        <f t="shared" si="1"/>
        <v>36.376982298828764</v>
      </c>
      <c r="Y5" s="14">
        <f t="shared" si="2"/>
        <v>40.197597816725938</v>
      </c>
      <c r="Z5" s="14">
        <f t="shared" si="3"/>
        <v>17.473644881425699</v>
      </c>
    </row>
    <row r="6" spans="1:26" ht="14">
      <c r="A6" s="55">
        <f t="shared" si="0"/>
        <v>1</v>
      </c>
      <c r="B6" s="55" t="s">
        <v>73</v>
      </c>
      <c r="C6" s="79">
        <v>1724</v>
      </c>
      <c r="D6" s="56" t="s">
        <v>37</v>
      </c>
      <c r="E6" s="80">
        <v>453</v>
      </c>
      <c r="F6" s="80">
        <v>2783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1.8900984852952378E-6</v>
      </c>
      <c r="L6" s="60">
        <f>J5</f>
        <v>-1.0819221994029862E-4</v>
      </c>
      <c r="M6" s="60">
        <f>(C6-$O$4)*K6 + L6</f>
        <v>2.4150892579288437E-3</v>
      </c>
      <c r="P6" s="14">
        <f>'enzyme setup and metadata'!A6</f>
        <v>6</v>
      </c>
      <c r="Q6" s="66">
        <f>'enzyme setup and metadata'!I6</f>
        <v>2.1403840100723959</v>
      </c>
      <c r="R6" s="14">
        <f t="shared" si="4"/>
        <v>3.2333333333954215</v>
      </c>
      <c r="S6" s="14">
        <f>(((M34+M35)/2)*91)/(R6*Q6*0.8)</f>
        <v>9.97569599279782E-2</v>
      </c>
      <c r="T6" s="14">
        <f>(((M36+M37)/2)*91)/(R6*Q6*0.8)</f>
        <v>4.1198868939411451E-2</v>
      </c>
      <c r="U6" s="14">
        <f>(((M38+M39)/2)*91)/(R6*Q6*0.8)</f>
        <v>4.776289555326383E-2</v>
      </c>
      <c r="V6" s="14">
        <f>(((M40+M41)/2)*91)/(R6*Q6*0.8)</f>
        <v>2.2126112520524308E-2</v>
      </c>
      <c r="W6" s="14">
        <f t="shared" si="5"/>
        <v>99.756959927978201</v>
      </c>
      <c r="X6" s="14">
        <f t="shared" si="1"/>
        <v>41.198868939411454</v>
      </c>
      <c r="Y6" s="14">
        <f t="shared" si="2"/>
        <v>47.762895553263832</v>
      </c>
      <c r="Z6" s="14">
        <f t="shared" si="3"/>
        <v>22.126112520524309</v>
      </c>
    </row>
    <row r="7" spans="1:26" ht="14">
      <c r="A7" s="55">
        <f t="shared" si="0"/>
        <v>1</v>
      </c>
      <c r="B7" s="55" t="s">
        <v>75</v>
      </c>
      <c r="C7" s="79">
        <v>1762</v>
      </c>
      <c r="D7" s="56" t="s">
        <v>37</v>
      </c>
      <c r="E7" s="80">
        <v>1017</v>
      </c>
      <c r="F7" s="80">
        <v>5331</v>
      </c>
      <c r="G7" s="57">
        <v>0.01</v>
      </c>
      <c r="H7" s="58"/>
      <c r="I7" s="61">
        <f>RSQ(G2:G8, E2:E8)</f>
        <v>0.99894386890960851</v>
      </c>
      <c r="J7" s="61">
        <f>RSQ(G2:G8, F2:F8)</f>
        <v>0.99987100028390585</v>
      </c>
      <c r="K7" s="60">
        <f>J3</f>
        <v>1.8900984852952378E-6</v>
      </c>
      <c r="L7" s="60">
        <f>J5</f>
        <v>-1.0819221994029862E-4</v>
      </c>
      <c r="M7" s="60">
        <f>(C7-$O$4)*K7 + L7</f>
        <v>2.4869130003700628E-3</v>
      </c>
      <c r="P7" s="14">
        <f>'enzyme setup and metadata'!A7</f>
        <v>7</v>
      </c>
      <c r="Q7" s="66">
        <f>'enzyme setup and metadata'!I7</f>
        <v>2.154967517033751</v>
      </c>
      <c r="R7" s="14">
        <f t="shared" si="4"/>
        <v>3.2333333333954215</v>
      </c>
      <c r="S7" s="14">
        <f>(((M42+M43)/2)*91)/(R7*Q7*0.8)</f>
        <v>0.10172937354666037</v>
      </c>
      <c r="T7" s="14">
        <f>(((M44+M45)/2)*91)/(R7*Q7*0.8)</f>
        <v>4.0892186101868316E-2</v>
      </c>
      <c r="U7" s="14">
        <f>(((M46+M47)/2)*91)/(R7*Q7*0.8)</f>
        <v>4.5777243203151428E-2</v>
      </c>
      <c r="V7" s="14">
        <f>(((M48+M49)/2)*91)/(R7*Q7*0.8)</f>
        <v>1.9938020387849035E-2</v>
      </c>
      <c r="W7" s="14">
        <f t="shared" si="5"/>
        <v>101.72937354666037</v>
      </c>
      <c r="X7" s="14">
        <f t="shared" si="1"/>
        <v>40.892186101868319</v>
      </c>
      <c r="Y7" s="14">
        <f t="shared" si="2"/>
        <v>45.777243203151428</v>
      </c>
      <c r="Z7" s="14">
        <f t="shared" si="3"/>
        <v>19.938020387849036</v>
      </c>
    </row>
    <row r="8" spans="1:26" ht="14">
      <c r="A8" s="55">
        <f t="shared" si="0"/>
        <v>1</v>
      </c>
      <c r="B8" s="55" t="s">
        <v>76</v>
      </c>
      <c r="C8" s="79">
        <v>123</v>
      </c>
      <c r="D8" s="56" t="s">
        <v>38</v>
      </c>
      <c r="E8" s="80">
        <v>1975</v>
      </c>
      <c r="F8" s="80">
        <v>10624</v>
      </c>
      <c r="G8" s="57">
        <v>0.02</v>
      </c>
      <c r="H8" s="58"/>
      <c r="I8" s="58"/>
      <c r="J8" s="58"/>
      <c r="K8" s="60">
        <f>I3</f>
        <v>1.0157183700922944E-5</v>
      </c>
      <c r="L8" s="60">
        <f>I5</f>
        <v>-8.0646930535662603E-5</v>
      </c>
      <c r="M8" s="60">
        <f>(C8-$O$5)*K8 + L8</f>
        <v>1.1686866646778596E-3</v>
      </c>
      <c r="P8" s="14">
        <f>'enzyme setup and metadata'!A8</f>
        <v>8</v>
      </c>
      <c r="Q8" s="66">
        <f>'enzyme setup and metadata'!I8</f>
        <v>2.1966693100713721</v>
      </c>
      <c r="R8" s="14">
        <f t="shared" si="4"/>
        <v>3.2333333333954215</v>
      </c>
      <c r="S8" s="14">
        <f>(((M50+M51)/2)*91)/(R8*Q8*0.8)</f>
        <v>9.6743122434844703E-2</v>
      </c>
      <c r="T8" s="14">
        <f>(((M52+M53)/2)*91)/(R8*Q8*0.8)</f>
        <v>4.1586204925634196E-2</v>
      </c>
      <c r="U8" s="14">
        <f>(((M54+M55)/2)*91)/(R8*Q8*0.8)</f>
        <v>4.4642827341054611E-2</v>
      </c>
      <c r="V8" s="14">
        <f>(((M56+M57)/2)*91)/(R8*Q8*0.8)</f>
        <v>1.9999723282057374E-2</v>
      </c>
      <c r="W8" s="14">
        <f t="shared" si="5"/>
        <v>96.743122434844707</v>
      </c>
      <c r="X8" s="14">
        <f t="shared" si="1"/>
        <v>41.586204925634199</v>
      </c>
      <c r="Y8" s="14">
        <f t="shared" si="2"/>
        <v>44.642827341054613</v>
      </c>
      <c r="Z8" s="14">
        <f t="shared" si="3"/>
        <v>19.999723282057374</v>
      </c>
    </row>
    <row r="9" spans="1:26" ht="14">
      <c r="A9" s="55">
        <f t="shared" si="0"/>
        <v>1</v>
      </c>
      <c r="B9" s="55" t="s">
        <v>77</v>
      </c>
      <c r="C9" s="79">
        <v>144</v>
      </c>
      <c r="D9" s="56" t="s">
        <v>38</v>
      </c>
      <c r="E9" s="80">
        <v>16</v>
      </c>
      <c r="F9" s="80">
        <v>16</v>
      </c>
      <c r="G9" s="56"/>
      <c r="H9" s="58"/>
      <c r="I9" s="58"/>
      <c r="J9" s="58"/>
      <c r="K9" s="60">
        <f>I3</f>
        <v>1.0157183700922944E-5</v>
      </c>
      <c r="L9" s="60">
        <f>I5</f>
        <v>-8.0646930535662603E-5</v>
      </c>
      <c r="M9" s="60">
        <f>(C9-$O$5)*K9 + L9</f>
        <v>1.3819875223972412E-3</v>
      </c>
      <c r="P9" s="14">
        <f>'enzyme setup and metadata'!A9</f>
        <v>10</v>
      </c>
      <c r="Q9" s="66">
        <f>'enzyme setup and metadata'!I9</f>
        <v>2.1328893117665717</v>
      </c>
      <c r="R9" s="14">
        <f t="shared" si="4"/>
        <v>3.2333333333954215</v>
      </c>
      <c r="S9" s="14">
        <f>(((M58+M59)/2)*91)/(R9*Q9*0.8)</f>
        <v>0.11095271765907577</v>
      </c>
      <c r="T9" s="14">
        <f>(((M60+M61)/2)*91)/(R9*Q9*0.8)</f>
        <v>4.3475318371546397E-2</v>
      </c>
      <c r="U9" s="14">
        <f>(((M62+M63)/2)*91)/(R9*Q9*0.8)</f>
        <v>4.6143869275256155E-2</v>
      </c>
      <c r="V9" s="14">
        <f>(((M64+M65)/2)*91)/(R9*Q9*0.8)</f>
        <v>2.0153636590142226E-2</v>
      </c>
      <c r="W9" s="14">
        <f t="shared" si="5"/>
        <v>110.95271765907577</v>
      </c>
      <c r="X9" s="14">
        <f t="shared" si="1"/>
        <v>43.475318371546393</v>
      </c>
      <c r="Y9" s="14">
        <f t="shared" si="2"/>
        <v>46.143869275256158</v>
      </c>
      <c r="Z9" s="14">
        <f t="shared" si="3"/>
        <v>20.153636590142227</v>
      </c>
    </row>
    <row r="10" spans="1:26" ht="14">
      <c r="A10" s="55">
        <f>P3</f>
        <v>2</v>
      </c>
      <c r="B10" s="55" t="s">
        <v>78</v>
      </c>
      <c r="C10" s="79">
        <v>582</v>
      </c>
      <c r="D10" s="56" t="s">
        <v>35</v>
      </c>
      <c r="E10" s="80">
        <v>24</v>
      </c>
      <c r="F10" s="80">
        <v>28</v>
      </c>
      <c r="G10" s="57">
        <v>0</v>
      </c>
      <c r="H10" s="58"/>
      <c r="I10" s="59" t="s">
        <v>68</v>
      </c>
      <c r="J10" s="59" t="s">
        <v>68</v>
      </c>
      <c r="K10" s="60">
        <f>I11</f>
        <v>9.9556229514232191E-6</v>
      </c>
      <c r="L10" s="60">
        <f>I13</f>
        <v>-1.5052714085777782E-4</v>
      </c>
      <c r="M10" s="60">
        <f>(C10-$O$2)*K10+L10</f>
        <v>5.6436454168705356E-3</v>
      </c>
      <c r="P10" s="14">
        <f>'enzyme setup and metadata'!A10</f>
        <v>11</v>
      </c>
      <c r="Q10" s="66">
        <f>'enzyme setup and metadata'!I10</f>
        <v>2.2451946373768372</v>
      </c>
      <c r="R10" s="14">
        <f t="shared" si="4"/>
        <v>3.2333333333954215</v>
      </c>
      <c r="S10" s="14">
        <f>(((M66+M67)/2)*91)/(R10*Q10*0.8)</f>
        <v>0.10711191420825164</v>
      </c>
      <c r="T10" s="14">
        <f>(((M68+M69)/2)*91)/(R10*Q10*0.8)</f>
        <v>4.3629910511727453E-2</v>
      </c>
      <c r="U10" s="14">
        <f>(((M70+M71)/2)*91)/(R10*Q10*0.8)</f>
        <v>4.1077679748881213E-2</v>
      </c>
      <c r="V10" s="14">
        <f>(((M72+M73)/2)*91)/(R10*Q10*0.8)</f>
        <v>1.9689358721305523E-2</v>
      </c>
      <c r="W10" s="14">
        <f t="shared" si="5"/>
        <v>107.11191420825165</v>
      </c>
      <c r="X10" s="14">
        <f t="shared" si="1"/>
        <v>43.629910511727452</v>
      </c>
      <c r="Y10" s="14">
        <f t="shared" si="2"/>
        <v>41.077679748881209</v>
      </c>
      <c r="Z10" s="14">
        <f t="shared" si="3"/>
        <v>19.689358721305524</v>
      </c>
    </row>
    <row r="11" spans="1:26" ht="14">
      <c r="A11" s="55">
        <f t="shared" ref="A11:A17" si="6">A10</f>
        <v>2</v>
      </c>
      <c r="B11" s="55" t="s">
        <v>79</v>
      </c>
      <c r="C11" s="79">
        <v>643</v>
      </c>
      <c r="D11" s="56" t="s">
        <v>35</v>
      </c>
      <c r="E11" s="80">
        <v>75</v>
      </c>
      <c r="F11" s="80">
        <v>313</v>
      </c>
      <c r="G11" s="57">
        <v>5.0000000000000001E-4</v>
      </c>
      <c r="H11" s="58"/>
      <c r="I11" s="59">
        <f>SLOPE(G10:G16, E10:E16)</f>
        <v>9.9556229514232191E-6</v>
      </c>
      <c r="J11" s="59">
        <f>SLOPE(G10:G16, F10:F16)</f>
        <v>1.7879284468399343E-6</v>
      </c>
      <c r="K11" s="60">
        <f>I11</f>
        <v>9.9556229514232191E-6</v>
      </c>
      <c r="L11" s="60">
        <f>I13</f>
        <v>-1.5052714085777782E-4</v>
      </c>
      <c r="M11" s="60">
        <f>(C11-$O$2)*K11+L11</f>
        <v>6.2509384169073517E-3</v>
      </c>
      <c r="P11" s="14">
        <f>'enzyme setup and metadata'!A11</f>
        <v>12</v>
      </c>
      <c r="Q11" s="66">
        <f>'enzyme setup and metadata'!I11</f>
        <v>2.2254475084663765</v>
      </c>
      <c r="R11" s="14">
        <f t="shared" si="4"/>
        <v>3.2333333333954215</v>
      </c>
      <c r="S11" s="14">
        <f>(((M74+M75)/2)*91)/(R11*Q11*0.8)</f>
        <v>0.1163037078250883</v>
      </c>
      <c r="T11" s="14">
        <f>(((M76+M77)/2)*91)/(R11*Q11*0.8)</f>
        <v>4.6357860895556421E-2</v>
      </c>
      <c r="U11" s="14">
        <f>(((M78+M79)/2)*91)/(R11*Q11*0.8)</f>
        <v>4.6978798331720466E-2</v>
      </c>
      <c r="V11" s="14">
        <f>(((M80+M81)/2)*91)/(R11*Q11*0.8)</f>
        <v>2.1827449865981188E-2</v>
      </c>
      <c r="W11" s="14">
        <f t="shared" si="5"/>
        <v>116.3037078250883</v>
      </c>
      <c r="X11" s="14">
        <f t="shared" si="1"/>
        <v>46.357860895556421</v>
      </c>
      <c r="Y11" s="14">
        <f t="shared" si="2"/>
        <v>46.978798331720469</v>
      </c>
      <c r="Z11" s="14">
        <f t="shared" si="3"/>
        <v>21.827449865981187</v>
      </c>
    </row>
    <row r="12" spans="1:26" ht="14">
      <c r="A12" s="55">
        <f t="shared" si="6"/>
        <v>2</v>
      </c>
      <c r="B12" s="55" t="s">
        <v>80</v>
      </c>
      <c r="C12" s="79">
        <v>234</v>
      </c>
      <c r="D12" s="56" t="s">
        <v>36</v>
      </c>
      <c r="E12" s="80">
        <v>118</v>
      </c>
      <c r="F12" s="80">
        <v>659</v>
      </c>
      <c r="G12" s="57">
        <v>1E-3</v>
      </c>
      <c r="H12" s="58"/>
      <c r="I12" s="59" t="s">
        <v>71</v>
      </c>
      <c r="J12" s="59" t="s">
        <v>71</v>
      </c>
      <c r="K12" s="60">
        <f>I11</f>
        <v>9.9556229514232191E-6</v>
      </c>
      <c r="L12" s="60">
        <f>I13</f>
        <v>-1.5052714085777782E-4</v>
      </c>
      <c r="M12" s="60">
        <f>(C12-$O$3)*K12 + L12</f>
        <v>2.1790886297752554E-3</v>
      </c>
      <c r="P12" s="14">
        <f>'enzyme setup and metadata'!A12</f>
        <v>13</v>
      </c>
      <c r="Q12" s="66">
        <f>'enzyme setup and metadata'!I12</f>
        <v>2.1966693100713717</v>
      </c>
      <c r="R12" s="14">
        <f t="shared" si="4"/>
        <v>3.2333333333954215</v>
      </c>
      <c r="S12" s="14">
        <f>(((M82+M83)/2)*91)/(R12*Q12*0.8)</f>
        <v>0.12088271255244026</v>
      </c>
      <c r="T12" s="14">
        <f>(((M84+M85)/2)*91)/(R12*Q12*0.8)</f>
        <v>4.9029795880416921E-2</v>
      </c>
      <c r="U12" s="14">
        <f>(((M86+M87)/2)*91)/(R12*Q12*0.8)</f>
        <v>4.8548728976841905E-2</v>
      </c>
      <c r="V12" s="14">
        <f>(((M88+M89)/2)*91)/(R12*Q12*0.8)</f>
        <v>2.197837417757317E-2</v>
      </c>
      <c r="W12" s="14">
        <f t="shared" si="5"/>
        <v>120.88271255244027</v>
      </c>
      <c r="X12" s="14">
        <f t="shared" si="1"/>
        <v>49.02979588041692</v>
      </c>
      <c r="Y12" s="14">
        <f t="shared" si="2"/>
        <v>48.548728976841907</v>
      </c>
      <c r="Z12" s="14">
        <f t="shared" si="3"/>
        <v>21.978374177573169</v>
      </c>
    </row>
    <row r="13" spans="1:26" ht="14">
      <c r="A13" s="55">
        <f t="shared" si="6"/>
        <v>2</v>
      </c>
      <c r="B13" s="55" t="s">
        <v>81</v>
      </c>
      <c r="C13" s="79">
        <v>235</v>
      </c>
      <c r="D13" s="56" t="s">
        <v>36</v>
      </c>
      <c r="E13" s="80">
        <v>206</v>
      </c>
      <c r="F13" s="80">
        <v>1287</v>
      </c>
      <c r="G13" s="57">
        <v>2E-3</v>
      </c>
      <c r="H13" s="58"/>
      <c r="I13" s="59">
        <f>INTERCEPT(G10:G16, E10:E16)</f>
        <v>-1.5052714085777782E-4</v>
      </c>
      <c r="J13" s="59">
        <f>INTERCEPT(G10:G16, F10:F16)</f>
        <v>-2.0221465367164723E-4</v>
      </c>
      <c r="K13" s="60">
        <f>I11</f>
        <v>9.9556229514232191E-6</v>
      </c>
      <c r="L13" s="60">
        <f>I13</f>
        <v>-1.5052714085777782E-4</v>
      </c>
      <c r="M13" s="60">
        <f>(C13-$O$3)*K13+ L13</f>
        <v>2.1890442527266788E-3</v>
      </c>
      <c r="P13" s="14">
        <f>'enzyme setup and metadata'!A13</f>
        <v>15</v>
      </c>
      <c r="Q13" s="66">
        <f>'enzyme setup and metadata'!I13</f>
        <v>2.1322130627774256</v>
      </c>
      <c r="R13" s="14">
        <f t="shared" si="4"/>
        <v>3.2333333333954215</v>
      </c>
      <c r="S13" s="14">
        <f>(((M90+M91)/2)*91)/(R13*Q13*0.8)</f>
        <v>0.12676362217751311</v>
      </c>
      <c r="T13" s="14">
        <f>(((M92)/1)*91)/(R13*Q13*0.8)</f>
        <v>5.3075971109412548E-2</v>
      </c>
      <c r="U13" s="14">
        <f>(((M94+M95)/2)*91)/(R13*Q13*0.8)</f>
        <v>4.444268428926397E-2</v>
      </c>
      <c r="V13" s="14">
        <f>(((M96+M97)/2)*91)/(R13*Q13*0.8)</f>
        <v>2.2105798921370268E-2</v>
      </c>
      <c r="W13" s="14">
        <f t="shared" si="5"/>
        <v>126.76362217751311</v>
      </c>
      <c r="X13" s="14">
        <f t="shared" si="1"/>
        <v>53.075971109412549</v>
      </c>
      <c r="Y13" s="14">
        <f t="shared" si="2"/>
        <v>44.442684289263973</v>
      </c>
      <c r="Z13" s="14">
        <f t="shared" si="3"/>
        <v>22.105798921370269</v>
      </c>
    </row>
    <row r="14" spans="1:26" ht="14">
      <c r="A14" s="55">
        <f t="shared" si="6"/>
        <v>2</v>
      </c>
      <c r="B14" s="55" t="s">
        <v>82</v>
      </c>
      <c r="C14" s="79">
        <v>1761</v>
      </c>
      <c r="D14" s="56" t="s">
        <v>37</v>
      </c>
      <c r="E14" s="80">
        <v>512</v>
      </c>
      <c r="F14" s="80">
        <v>2948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1.7879284468399343E-6</v>
      </c>
      <c r="L14" s="60">
        <f>J13</f>
        <v>-2.0221465367164723E-4</v>
      </c>
      <c r="M14" s="60">
        <f>(C14-$O$4)*K14 + L14</f>
        <v>2.2508231753927428E-3</v>
      </c>
    </row>
    <row r="15" spans="1:26" ht="14">
      <c r="A15" s="55">
        <f t="shared" si="6"/>
        <v>2</v>
      </c>
      <c r="B15" s="55" t="s">
        <v>83</v>
      </c>
      <c r="C15" s="79">
        <v>1820</v>
      </c>
      <c r="D15" s="56" t="s">
        <v>37</v>
      </c>
      <c r="E15" s="80">
        <v>1005</v>
      </c>
      <c r="F15" s="80">
        <v>5914</v>
      </c>
      <c r="G15" s="57">
        <v>0.01</v>
      </c>
      <c r="H15" s="58"/>
      <c r="I15" s="61">
        <f>RSQ(G10:G16, E10:E16)</f>
        <v>0.99981336177150093</v>
      </c>
      <c r="J15" s="61">
        <f>RSQ(G10:G16, F10:F16)</f>
        <v>0.99923026497457446</v>
      </c>
      <c r="K15" s="60">
        <f>J11</f>
        <v>1.7879284468399343E-6</v>
      </c>
      <c r="L15" s="60">
        <f>J13</f>
        <v>-2.0221465367164723E-4</v>
      </c>
      <c r="M15" s="60">
        <f>(C15-$O$4)*K15 + L15</f>
        <v>2.3563109537562987E-3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6"/>
        <v>2</v>
      </c>
      <c r="B16" s="55" t="s">
        <v>84</v>
      </c>
      <c r="C16" s="79">
        <v>118</v>
      </c>
      <c r="D16" s="56" t="s">
        <v>38</v>
      </c>
      <c r="E16" s="80">
        <v>2033</v>
      </c>
      <c r="F16" s="80">
        <v>11176</v>
      </c>
      <c r="G16" s="57">
        <v>0.02</v>
      </c>
      <c r="H16" s="58"/>
      <c r="I16" s="58"/>
      <c r="J16" s="58"/>
      <c r="K16" s="60">
        <f>I11</f>
        <v>9.9556229514232191E-6</v>
      </c>
      <c r="L16" s="60">
        <f>I13</f>
        <v>-1.5052714085777782E-4</v>
      </c>
      <c r="M16" s="60">
        <f>(C16-$O$5)*K16 + L16</f>
        <v>1.024236367410162E-3</v>
      </c>
    </row>
    <row r="17" spans="1:13" ht="14">
      <c r="A17" s="55">
        <f t="shared" si="6"/>
        <v>2</v>
      </c>
      <c r="B17" s="55" t="s">
        <v>85</v>
      </c>
      <c r="C17" s="79">
        <v>118</v>
      </c>
      <c r="D17" s="56" t="s">
        <v>38</v>
      </c>
      <c r="E17" s="80">
        <v>14</v>
      </c>
      <c r="F17" s="80">
        <v>15</v>
      </c>
      <c r="G17" s="56"/>
      <c r="H17" s="58"/>
      <c r="I17" s="58"/>
      <c r="J17" s="58"/>
      <c r="K17" s="60">
        <f>I11</f>
        <v>9.9556229514232191E-6</v>
      </c>
      <c r="L17" s="60">
        <f>I13</f>
        <v>-1.5052714085777782E-4</v>
      </c>
      <c r="M17" s="60">
        <f>(C17-$O$5)*K17 + L17</f>
        <v>1.024236367410162E-3</v>
      </c>
    </row>
    <row r="18" spans="1:13" ht="14">
      <c r="A18" s="55">
        <f>P4</f>
        <v>3</v>
      </c>
      <c r="B18" s="55" t="s">
        <v>86</v>
      </c>
      <c r="C18" s="79">
        <v>604</v>
      </c>
      <c r="D18" s="56" t="s">
        <v>35</v>
      </c>
      <c r="E18" s="80">
        <v>29</v>
      </c>
      <c r="F18" s="80">
        <v>27</v>
      </c>
      <c r="G18" s="57">
        <v>0</v>
      </c>
      <c r="H18" s="58"/>
      <c r="I18" s="59" t="s">
        <v>68</v>
      </c>
      <c r="J18" s="59" t="s">
        <v>68</v>
      </c>
      <c r="K18" s="60">
        <f>I19</f>
        <v>9.5402416067314681E-6</v>
      </c>
      <c r="L18" s="60">
        <f>I21</f>
        <v>-2.3232231398750795E-4</v>
      </c>
      <c r="M18" s="60">
        <f>(C18-$O$2)*K18+L18</f>
        <v>5.5299836164782986E-3</v>
      </c>
    </row>
    <row r="19" spans="1:13" ht="14">
      <c r="A19" s="55">
        <f t="shared" ref="A19:A25" si="7">A18</f>
        <v>3</v>
      </c>
      <c r="B19" s="55" t="s">
        <v>87</v>
      </c>
      <c r="C19" s="79">
        <v>680</v>
      </c>
      <c r="D19" s="56" t="s">
        <v>35</v>
      </c>
      <c r="E19" s="80">
        <v>77</v>
      </c>
      <c r="F19" s="80">
        <v>326</v>
      </c>
      <c r="G19" s="57">
        <v>5.0000000000000001E-4</v>
      </c>
      <c r="H19" s="58"/>
      <c r="I19" s="59">
        <f>SLOPE(G18:G24, E18:E24)</f>
        <v>9.5402416067314681E-6</v>
      </c>
      <c r="J19" s="59">
        <f>SLOPE(G18:G24, F18:F24)</f>
        <v>1.7008057578365123E-6</v>
      </c>
      <c r="K19" s="60">
        <f>I19</f>
        <v>9.5402416067314681E-6</v>
      </c>
      <c r="L19" s="60">
        <f>I21</f>
        <v>-2.3232231398750795E-4</v>
      </c>
      <c r="M19" s="60">
        <f>(C19-$O$2)*K19+L19</f>
        <v>6.2550419785898908E-3</v>
      </c>
    </row>
    <row r="20" spans="1:13" ht="14">
      <c r="A20" s="55">
        <f t="shared" si="7"/>
        <v>3</v>
      </c>
      <c r="B20" s="55" t="s">
        <v>88</v>
      </c>
      <c r="C20" s="79">
        <v>261</v>
      </c>
      <c r="D20" s="56" t="s">
        <v>36</v>
      </c>
      <c r="E20" s="80">
        <v>129</v>
      </c>
      <c r="F20" s="80">
        <v>703</v>
      </c>
      <c r="G20" s="57">
        <v>1E-3</v>
      </c>
      <c r="H20" s="58"/>
      <c r="I20" s="59" t="s">
        <v>71</v>
      </c>
      <c r="J20" s="59" t="s">
        <v>71</v>
      </c>
      <c r="K20" s="60">
        <f>I19</f>
        <v>9.5402416067314681E-6</v>
      </c>
      <c r="L20" s="60">
        <f>I21</f>
        <v>-2.3232231398750795E-4</v>
      </c>
      <c r="M20" s="60">
        <f>(C20-$O$3)*K20 + L20</f>
        <v>2.2576807453694053E-3</v>
      </c>
    </row>
    <row r="21" spans="1:13" ht="14">
      <c r="A21" s="55">
        <f t="shared" si="7"/>
        <v>3</v>
      </c>
      <c r="B21" s="55" t="s">
        <v>89</v>
      </c>
      <c r="C21" s="79">
        <v>265</v>
      </c>
      <c r="D21" s="56" t="s">
        <v>36</v>
      </c>
      <c r="E21" s="80">
        <v>230</v>
      </c>
      <c r="F21" s="80">
        <v>1345</v>
      </c>
      <c r="G21" s="57">
        <v>2E-3</v>
      </c>
      <c r="H21" s="58"/>
      <c r="I21" s="59">
        <f>INTERCEPT(G18:G24, E18:E24)</f>
        <v>-2.3232231398750795E-4</v>
      </c>
      <c r="J21" s="59">
        <f>INTERCEPT(G18:G24, F18:F24)</f>
        <v>-1.4205864324594916E-4</v>
      </c>
      <c r="K21" s="60">
        <f>I19</f>
        <v>9.5402416067314681E-6</v>
      </c>
      <c r="L21" s="60">
        <f>I21</f>
        <v>-2.3232231398750795E-4</v>
      </c>
      <c r="M21" s="60">
        <f>(C21-$O$3)*K21+ L21</f>
        <v>2.2958417117963309E-3</v>
      </c>
    </row>
    <row r="22" spans="1:13" ht="14">
      <c r="A22" s="55">
        <f t="shared" si="7"/>
        <v>3</v>
      </c>
      <c r="B22" s="55" t="s">
        <v>90</v>
      </c>
      <c r="C22" s="79">
        <v>1924</v>
      </c>
      <c r="D22" s="56" t="s">
        <v>37</v>
      </c>
      <c r="E22" s="80">
        <v>548</v>
      </c>
      <c r="F22" s="80">
        <v>3066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1.7008057578365123E-6</v>
      </c>
      <c r="L22" s="60">
        <f>J21</f>
        <v>-1.4205864324594916E-4</v>
      </c>
      <c r="M22" s="60">
        <f>(C22-$O$4)*K22 + L22</f>
        <v>2.4686781950330971E-3</v>
      </c>
    </row>
    <row r="23" spans="1:13" ht="14">
      <c r="A23" s="55">
        <f t="shared" si="7"/>
        <v>3</v>
      </c>
      <c r="B23" s="55" t="s">
        <v>91</v>
      </c>
      <c r="C23" s="79">
        <v>1843</v>
      </c>
      <c r="D23" s="56" t="s">
        <v>37</v>
      </c>
      <c r="E23" s="80">
        <v>1071</v>
      </c>
      <c r="F23" s="80">
        <v>5902</v>
      </c>
      <c r="G23" s="57">
        <v>0.01</v>
      </c>
      <c r="H23" s="58"/>
      <c r="I23" s="61">
        <f>RSQ(G18:G24, E18:E24)</f>
        <v>0.99998805626350618</v>
      </c>
      <c r="J23" s="61">
        <f>RSQ(G18:G24, F18:F24)</f>
        <v>0.99982013325779928</v>
      </c>
      <c r="K23" s="60">
        <f>J19</f>
        <v>1.7008057578365123E-6</v>
      </c>
      <c r="L23" s="60">
        <f>J21</f>
        <v>-1.4205864324594916E-4</v>
      </c>
      <c r="M23" s="60">
        <f>(C23-$O$4)*K23 + L23</f>
        <v>2.3309129286483397E-3</v>
      </c>
    </row>
    <row r="24" spans="1:13" ht="14">
      <c r="A24" s="55">
        <f t="shared" si="7"/>
        <v>3</v>
      </c>
      <c r="B24" s="55" t="s">
        <v>92</v>
      </c>
      <c r="C24" s="79">
        <v>129</v>
      </c>
      <c r="D24" s="56" t="s">
        <v>38</v>
      </c>
      <c r="E24" s="80">
        <v>2122</v>
      </c>
      <c r="F24" s="80">
        <v>11852</v>
      </c>
      <c r="G24" s="57">
        <v>0.02</v>
      </c>
      <c r="H24" s="58"/>
      <c r="I24" s="58"/>
      <c r="J24" s="58"/>
      <c r="K24" s="60">
        <f>I19</f>
        <v>9.5402416067314681E-6</v>
      </c>
      <c r="L24" s="60">
        <f>I21</f>
        <v>-2.3232231398750795E-4</v>
      </c>
      <c r="M24" s="60">
        <f>(C24-$O$5)*K24 + L24</f>
        <v>9.9836885328085149E-4</v>
      </c>
    </row>
    <row r="25" spans="1:13" ht="14">
      <c r="A25" s="55">
        <f t="shared" si="7"/>
        <v>3</v>
      </c>
      <c r="B25" s="55" t="s">
        <v>93</v>
      </c>
      <c r="C25" s="79">
        <v>137</v>
      </c>
      <c r="D25" s="56" t="s">
        <v>38</v>
      </c>
      <c r="E25" s="80">
        <v>16</v>
      </c>
      <c r="F25" s="80">
        <v>23</v>
      </c>
      <c r="G25" s="56"/>
      <c r="H25" s="58"/>
      <c r="I25" s="58"/>
      <c r="J25" s="58"/>
      <c r="K25" s="60">
        <f>I19</f>
        <v>9.5402416067314681E-6</v>
      </c>
      <c r="L25" s="60">
        <f>I21</f>
        <v>-2.3232231398750795E-4</v>
      </c>
      <c r="M25" s="60">
        <f>(C25-$O$5)*K25 + L25</f>
        <v>1.0746907861347032E-3</v>
      </c>
    </row>
    <row r="26" spans="1:13" ht="14">
      <c r="A26" s="55">
        <f>P5</f>
        <v>5</v>
      </c>
      <c r="B26" s="55" t="s">
        <v>94</v>
      </c>
      <c r="C26" s="79">
        <v>665</v>
      </c>
      <c r="D26" s="56" t="s">
        <v>35</v>
      </c>
      <c r="E26" s="80">
        <v>27</v>
      </c>
      <c r="F26" s="80">
        <v>31</v>
      </c>
      <c r="G26" s="57">
        <v>0</v>
      </c>
      <c r="H26" s="58"/>
      <c r="I26" s="59" t="s">
        <v>68</v>
      </c>
      <c r="J26" s="59" t="s">
        <v>68</v>
      </c>
      <c r="K26" s="60">
        <f>I27</f>
        <v>1.0063196071818258E-5</v>
      </c>
      <c r="L26" s="60">
        <f>I29</f>
        <v>-2.5471055364121187E-4</v>
      </c>
      <c r="M26" s="60">
        <f>(C26-$O$2)*K26+L26</f>
        <v>6.4373148341179296E-3</v>
      </c>
    </row>
    <row r="27" spans="1:13" ht="14">
      <c r="A27" s="55">
        <f t="shared" ref="A27:A33" si="8">A26</f>
        <v>5</v>
      </c>
      <c r="B27" s="55" t="s">
        <v>95</v>
      </c>
      <c r="C27" s="79">
        <v>647</v>
      </c>
      <c r="D27" s="56" t="s">
        <v>35</v>
      </c>
      <c r="E27" s="80">
        <v>68</v>
      </c>
      <c r="F27" s="80">
        <v>310</v>
      </c>
      <c r="G27" s="57">
        <v>5.0000000000000001E-4</v>
      </c>
      <c r="H27" s="58"/>
      <c r="I27" s="59">
        <f>SLOPE(G26:G32, E26:E32)</f>
        <v>1.0063196071818258E-5</v>
      </c>
      <c r="J27" s="59">
        <f>SLOPE(G26:G32, F26:F32)</f>
        <v>1.7170903415636732E-6</v>
      </c>
      <c r="K27" s="60">
        <f>I27</f>
        <v>1.0063196071818258E-5</v>
      </c>
      <c r="L27" s="60">
        <f>I29</f>
        <v>-2.5471055364121187E-4</v>
      </c>
      <c r="M27" s="60">
        <f>(C27-$O$2)*K27+L27</f>
        <v>6.2561773048252006E-3</v>
      </c>
    </row>
    <row r="28" spans="1:13" ht="14">
      <c r="A28" s="55">
        <f t="shared" si="8"/>
        <v>5</v>
      </c>
      <c r="B28" s="55" t="s">
        <v>96</v>
      </c>
      <c r="C28" s="79">
        <v>248</v>
      </c>
      <c r="D28" s="56" t="s">
        <v>36</v>
      </c>
      <c r="E28" s="80">
        <v>118</v>
      </c>
      <c r="F28" s="80">
        <v>629</v>
      </c>
      <c r="G28" s="57">
        <v>1E-3</v>
      </c>
      <c r="H28" s="58"/>
      <c r="I28" s="59" t="s">
        <v>71</v>
      </c>
      <c r="J28" s="59" t="s">
        <v>71</v>
      </c>
      <c r="K28" s="60">
        <f>I27</f>
        <v>1.0063196071818258E-5</v>
      </c>
      <c r="L28" s="60">
        <f>I29</f>
        <v>-2.5471055364121187E-4</v>
      </c>
      <c r="M28" s="60">
        <f>(C28-$O$3)*K28 + L28</f>
        <v>2.2409620721697159E-3</v>
      </c>
    </row>
    <row r="29" spans="1:13" ht="14">
      <c r="A29" s="55">
        <f t="shared" si="8"/>
        <v>5</v>
      </c>
      <c r="B29" s="55" t="s">
        <v>97</v>
      </c>
      <c r="C29" s="79">
        <v>251</v>
      </c>
      <c r="D29" s="56" t="s">
        <v>36</v>
      </c>
      <c r="E29" s="80">
        <v>210</v>
      </c>
      <c r="F29" s="80">
        <v>1286</v>
      </c>
      <c r="G29" s="57">
        <v>2E-3</v>
      </c>
      <c r="H29" s="58"/>
      <c r="I29" s="59">
        <f>INTERCEPT(G26:G32, E26:E32)</f>
        <v>-2.5471055364121187E-4</v>
      </c>
      <c r="J29" s="59">
        <f>INTERCEPT(G26:G32, F26:F32)</f>
        <v>-8.8638464549309001E-5</v>
      </c>
      <c r="K29" s="60">
        <f>I27</f>
        <v>1.0063196071818258E-5</v>
      </c>
      <c r="L29" s="60">
        <f>I29</f>
        <v>-2.5471055364121187E-4</v>
      </c>
      <c r="M29" s="60">
        <f>(C29-$O$3)*K29+ L29</f>
        <v>2.2711516603851709E-3</v>
      </c>
    </row>
    <row r="30" spans="1:13" ht="14">
      <c r="A30" s="55">
        <f t="shared" si="8"/>
        <v>5</v>
      </c>
      <c r="B30" s="55" t="s">
        <v>98</v>
      </c>
      <c r="C30" s="79">
        <v>1939</v>
      </c>
      <c r="D30" s="56" t="s">
        <v>37</v>
      </c>
      <c r="E30" s="80">
        <v>521</v>
      </c>
      <c r="F30" s="80">
        <v>2981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1.7170903415636732E-6</v>
      </c>
      <c r="L30" s="60">
        <f>J29</f>
        <v>-8.8638464549309001E-5</v>
      </c>
      <c r="M30" s="60">
        <f>(C30-$O$4)*K30 + L30</f>
        <v>2.5728515648743844E-3</v>
      </c>
    </row>
    <row r="31" spans="1:13" ht="14">
      <c r="A31" s="55">
        <f t="shared" si="8"/>
        <v>5</v>
      </c>
      <c r="B31" s="55" t="s">
        <v>99</v>
      </c>
      <c r="C31" s="79">
        <v>1846</v>
      </c>
      <c r="D31" s="56" t="s">
        <v>37</v>
      </c>
      <c r="E31" s="80">
        <v>1073</v>
      </c>
      <c r="F31" s="80">
        <v>5840</v>
      </c>
      <c r="G31" s="57">
        <v>0.01</v>
      </c>
      <c r="H31" s="58"/>
      <c r="I31" s="61">
        <f>RSQ(G26:G32, E26:E32)</f>
        <v>0.99875246288292296</v>
      </c>
      <c r="J31" s="61">
        <f>RSQ(G26:G32, F26:F32)</f>
        <v>0.99992613047520107</v>
      </c>
      <c r="K31" s="60">
        <f>J27</f>
        <v>1.7170903415636732E-6</v>
      </c>
      <c r="L31" s="60">
        <f>J29</f>
        <v>-8.8638464549309001E-5</v>
      </c>
      <c r="M31" s="60">
        <f>(C31-$O$4)*K31 + L31</f>
        <v>2.4131621631089629E-3</v>
      </c>
    </row>
    <row r="32" spans="1:13" ht="14">
      <c r="A32" s="55">
        <f t="shared" si="8"/>
        <v>5</v>
      </c>
      <c r="B32" s="55" t="s">
        <v>100</v>
      </c>
      <c r="C32" s="79">
        <v>129</v>
      </c>
      <c r="D32" s="56" t="s">
        <v>38</v>
      </c>
      <c r="E32" s="80">
        <v>1986</v>
      </c>
      <c r="F32" s="80">
        <v>11706</v>
      </c>
      <c r="G32" s="57">
        <v>0.02</v>
      </c>
      <c r="H32" s="58"/>
      <c r="I32" s="58"/>
      <c r="J32" s="58"/>
      <c r="K32" s="60">
        <f>I27</f>
        <v>1.0063196071818258E-5</v>
      </c>
      <c r="L32" s="60">
        <f>I29</f>
        <v>-2.5471055364121187E-4</v>
      </c>
      <c r="M32" s="60">
        <f>(C32-$O$5)*K32 + L32</f>
        <v>1.0434417396233435E-3</v>
      </c>
    </row>
    <row r="33" spans="1:26" ht="14">
      <c r="A33" s="55">
        <f t="shared" si="8"/>
        <v>5</v>
      </c>
      <c r="B33" s="55" t="s">
        <v>101</v>
      </c>
      <c r="C33" s="79">
        <v>137</v>
      </c>
      <c r="D33" s="56" t="s">
        <v>38</v>
      </c>
      <c r="E33" s="80">
        <v>14</v>
      </c>
      <c r="F33" s="80">
        <v>15</v>
      </c>
      <c r="G33" s="56"/>
      <c r="H33" s="58"/>
      <c r="I33" s="58"/>
      <c r="J33" s="58"/>
      <c r="K33" s="60">
        <f>I27</f>
        <v>1.0063196071818258E-5</v>
      </c>
      <c r="L33" s="60">
        <f>I29</f>
        <v>-2.5471055364121187E-4</v>
      </c>
      <c r="M33" s="60">
        <f>(C33-$O$5)*K33 + L33</f>
        <v>1.1239473081978894E-3</v>
      </c>
    </row>
    <row r="34" spans="1:26" ht="14">
      <c r="A34" s="55">
        <f>P6</f>
        <v>6</v>
      </c>
      <c r="B34" s="55" t="s">
        <v>102</v>
      </c>
      <c r="C34" s="79">
        <v>636</v>
      </c>
      <c r="D34" s="56" t="s">
        <v>35</v>
      </c>
      <c r="E34" s="80">
        <v>29</v>
      </c>
      <c r="F34" s="80">
        <v>45</v>
      </c>
      <c r="G34" s="57">
        <v>0</v>
      </c>
      <c r="H34" s="58"/>
      <c r="I34" s="59" t="s">
        <v>68</v>
      </c>
      <c r="J34" s="59" t="s">
        <v>68</v>
      </c>
      <c r="K34" s="60">
        <f>I35</f>
        <v>9.5900056747476384E-6</v>
      </c>
      <c r="L34" s="60">
        <f>I37</f>
        <v>-1.4029333756228855E-4</v>
      </c>
      <c r="M34" s="60">
        <f>(C34-$O$2)*K34+L34</f>
        <v>5.9589502715772097E-3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9">A34</f>
        <v>6</v>
      </c>
      <c r="B35" s="55" t="s">
        <v>103</v>
      </c>
      <c r="C35" s="79">
        <v>659</v>
      </c>
      <c r="D35" s="56" t="s">
        <v>35</v>
      </c>
      <c r="E35" s="80">
        <v>70</v>
      </c>
      <c r="F35" s="80">
        <v>352</v>
      </c>
      <c r="G35" s="57">
        <v>5.0000000000000001E-4</v>
      </c>
      <c r="H35" s="58"/>
      <c r="I35" s="59">
        <f>SLOPE(G34:G40, E34:E40)</f>
        <v>9.5900056747476384E-6</v>
      </c>
      <c r="J35" s="59">
        <f>SLOPE(G34:G40, F34:F40)</f>
        <v>1.7193262945825902E-6</v>
      </c>
      <c r="K35" s="60">
        <f>I35</f>
        <v>9.5900056747476384E-6</v>
      </c>
      <c r="L35" s="60">
        <f>I37</f>
        <v>-1.4029333756228855E-4</v>
      </c>
      <c r="M35" s="60">
        <f>(C35-$O$2)*K35+L35</f>
        <v>6.1795204020964048E-3</v>
      </c>
    </row>
    <row r="36" spans="1:26" ht="14">
      <c r="A36" s="55">
        <f t="shared" si="9"/>
        <v>6</v>
      </c>
      <c r="B36" s="55" t="s">
        <v>104</v>
      </c>
      <c r="C36" s="79">
        <v>261</v>
      </c>
      <c r="D36" s="56" t="s">
        <v>36</v>
      </c>
      <c r="E36" s="80">
        <v>131</v>
      </c>
      <c r="F36" s="80">
        <v>661</v>
      </c>
      <c r="G36" s="57">
        <v>1E-3</v>
      </c>
      <c r="H36" s="58"/>
      <c r="I36" s="59" t="s">
        <v>71</v>
      </c>
      <c r="J36" s="59" t="s">
        <v>71</v>
      </c>
      <c r="K36" s="60">
        <f>I35</f>
        <v>9.5900056747476384E-6</v>
      </c>
      <c r="L36" s="60">
        <f>I37</f>
        <v>-1.4029333756228855E-4</v>
      </c>
      <c r="M36" s="60">
        <f>(C36-$O$3)*K36 + L36</f>
        <v>2.3626981435468449E-3</v>
      </c>
    </row>
    <row r="37" spans="1:26" ht="14">
      <c r="A37" s="55">
        <f t="shared" si="9"/>
        <v>6</v>
      </c>
      <c r="B37" s="55" t="s">
        <v>105</v>
      </c>
      <c r="C37" s="79">
        <v>291</v>
      </c>
      <c r="D37" s="56" t="s">
        <v>36</v>
      </c>
      <c r="E37" s="80">
        <v>204</v>
      </c>
      <c r="F37" s="80">
        <v>1304</v>
      </c>
      <c r="G37" s="57">
        <v>2E-3</v>
      </c>
      <c r="H37" s="58"/>
      <c r="I37" s="59">
        <f>INTERCEPT(G34:G40, E34:E40)</f>
        <v>-1.4029333756228855E-4</v>
      </c>
      <c r="J37" s="59">
        <f>INTERCEPT(G34:G40, F34:F40)</f>
        <v>-1.880226185633745E-4</v>
      </c>
      <c r="K37" s="60">
        <f>I35</f>
        <v>9.5900056747476384E-6</v>
      </c>
      <c r="L37" s="60">
        <f>I37</f>
        <v>-1.4029333756228855E-4</v>
      </c>
      <c r="M37" s="60">
        <f>(C37-$O$3)*K37+ L37</f>
        <v>2.6503983137892741E-3</v>
      </c>
    </row>
    <row r="38" spans="1:26" ht="14">
      <c r="A38" s="55">
        <f t="shared" si="9"/>
        <v>6</v>
      </c>
      <c r="B38" s="55" t="s">
        <v>106</v>
      </c>
      <c r="C38" s="79">
        <v>2101</v>
      </c>
      <c r="D38" s="56" t="s">
        <v>37</v>
      </c>
      <c r="E38" s="80">
        <v>506</v>
      </c>
      <c r="F38" s="80">
        <v>3167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1.7193262945825902E-6</v>
      </c>
      <c r="L38" s="60">
        <f>J37</f>
        <v>-1.880226185633745E-4</v>
      </c>
      <c r="M38" s="60">
        <f>(C38-$O$4)*K38 + L38</f>
        <v>2.7554639977620198E-3</v>
      </c>
    </row>
    <row r="39" spans="1:26" ht="14">
      <c r="A39" s="55">
        <f t="shared" si="9"/>
        <v>6</v>
      </c>
      <c r="B39" s="55" t="s">
        <v>107</v>
      </c>
      <c r="C39" s="79">
        <v>2276</v>
      </c>
      <c r="D39" s="56" t="s">
        <v>37</v>
      </c>
      <c r="E39" s="80">
        <v>1081</v>
      </c>
      <c r="F39" s="80">
        <v>5930</v>
      </c>
      <c r="G39" s="57">
        <v>0.01</v>
      </c>
      <c r="H39" s="58"/>
      <c r="I39" s="61">
        <f>RSQ(G34:G40, E34:E40)</f>
        <v>0.99936289905089926</v>
      </c>
      <c r="J39" s="61">
        <f>RSQ(G34:G40, F34:F40)</f>
        <v>0.99969782047109712</v>
      </c>
      <c r="K39" s="60">
        <f>J35</f>
        <v>1.7193262945825902E-6</v>
      </c>
      <c r="L39" s="60">
        <f>J37</f>
        <v>-1.880226185633745E-4</v>
      </c>
      <c r="M39" s="60">
        <f>(C39-$O$4)*K39 + L39</f>
        <v>3.056346099313973E-3</v>
      </c>
    </row>
    <row r="40" spans="1:26" ht="14">
      <c r="A40" s="55">
        <f t="shared" si="9"/>
        <v>6</v>
      </c>
      <c r="B40" s="55" t="s">
        <v>108</v>
      </c>
      <c r="C40" s="79">
        <v>154</v>
      </c>
      <c r="D40" s="56" t="s">
        <v>38</v>
      </c>
      <c r="E40" s="80">
        <v>2096</v>
      </c>
      <c r="F40" s="80">
        <v>11699</v>
      </c>
      <c r="G40" s="57">
        <v>0.02</v>
      </c>
      <c r="H40" s="58"/>
      <c r="I40" s="58"/>
      <c r="J40" s="58"/>
      <c r="K40" s="60">
        <f>I35</f>
        <v>9.5900056747476384E-6</v>
      </c>
      <c r="L40" s="60">
        <f>I37</f>
        <v>-1.4029333756228855E-4</v>
      </c>
      <c r="M40" s="60">
        <f>(C40-$O$5)*K40 + L40</f>
        <v>1.3365675363488478E-3</v>
      </c>
    </row>
    <row r="41" spans="1:26" ht="14">
      <c r="A41" s="55">
        <f t="shared" si="9"/>
        <v>6</v>
      </c>
      <c r="B41" s="55" t="s">
        <v>109</v>
      </c>
      <c r="C41" s="79">
        <v>156</v>
      </c>
      <c r="D41" s="56" t="s">
        <v>38</v>
      </c>
      <c r="E41" s="80">
        <v>16</v>
      </c>
      <c r="F41" s="80">
        <v>17</v>
      </c>
      <c r="G41" s="56"/>
      <c r="H41" s="58"/>
      <c r="I41" s="58"/>
      <c r="J41" s="58"/>
      <c r="K41" s="60">
        <f>I35</f>
        <v>9.5900056747476384E-6</v>
      </c>
      <c r="L41" s="60">
        <f>I37</f>
        <v>-1.4029333756228855E-4</v>
      </c>
      <c r="M41" s="60">
        <f>(C41-$O$5)*K41 + L41</f>
        <v>1.3557475476983431E-3</v>
      </c>
    </row>
    <row r="42" spans="1:26" ht="14">
      <c r="A42" s="55">
        <f>P7</f>
        <v>7</v>
      </c>
      <c r="B42" s="55" t="s">
        <v>110</v>
      </c>
      <c r="C42" s="79">
        <v>666</v>
      </c>
      <c r="D42" s="56" t="s">
        <v>35</v>
      </c>
      <c r="E42" s="80">
        <v>27</v>
      </c>
      <c r="F42" s="80">
        <v>50</v>
      </c>
      <c r="G42" s="57">
        <v>0</v>
      </c>
      <c r="H42" s="58"/>
      <c r="I42" s="62" t="s">
        <v>68</v>
      </c>
      <c r="J42" s="62" t="s">
        <v>68</v>
      </c>
      <c r="K42" s="60">
        <f>I43</f>
        <v>9.5430652270190493E-6</v>
      </c>
      <c r="L42" s="60">
        <f>I45</f>
        <v>-1.4813131936284533E-4</v>
      </c>
      <c r="M42" s="60">
        <f>(C42-$O$2)*K42+L42</f>
        <v>6.2075501218318415E-3</v>
      </c>
    </row>
    <row r="43" spans="1:26" ht="14">
      <c r="A43" s="55">
        <f t="shared" ref="A43:A49" si="10">A42</f>
        <v>7</v>
      </c>
      <c r="B43" s="55" t="s">
        <v>111</v>
      </c>
      <c r="C43" s="79">
        <v>671</v>
      </c>
      <c r="D43" s="56" t="s">
        <v>35</v>
      </c>
      <c r="E43" s="80">
        <v>76</v>
      </c>
      <c r="F43" s="80">
        <v>346</v>
      </c>
      <c r="G43" s="57">
        <v>5.0000000000000001E-4</v>
      </c>
      <c r="H43" s="58"/>
      <c r="I43" s="58">
        <f>SLOPE(G42:G48, E42:E48)</f>
        <v>9.5430652270190493E-6</v>
      </c>
      <c r="J43" s="58">
        <f>SLOPE(G42:G48, F42:F48)</f>
        <v>1.6989092091573002E-6</v>
      </c>
      <c r="K43" s="60">
        <f>I43</f>
        <v>9.5430652270190493E-6</v>
      </c>
      <c r="L43" s="60">
        <f>I45</f>
        <v>-1.4813131936284533E-4</v>
      </c>
      <c r="M43" s="60">
        <f>(C43-$O$2)*K43+L43</f>
        <v>6.2552654479669364E-3</v>
      </c>
    </row>
    <row r="44" spans="1:26" ht="14">
      <c r="A44" s="55">
        <f t="shared" si="10"/>
        <v>7</v>
      </c>
      <c r="B44" s="55" t="s">
        <v>112</v>
      </c>
      <c r="C44" s="79">
        <v>269</v>
      </c>
      <c r="D44" s="56" t="s">
        <v>36</v>
      </c>
      <c r="E44" s="80">
        <v>125</v>
      </c>
      <c r="F44" s="80">
        <v>706</v>
      </c>
      <c r="G44" s="57">
        <v>1E-3</v>
      </c>
      <c r="H44" s="58"/>
      <c r="I44" s="62" t="s">
        <v>71</v>
      </c>
      <c r="J44" s="62" t="s">
        <v>71</v>
      </c>
      <c r="K44" s="60">
        <f>I43</f>
        <v>9.5430652270190493E-6</v>
      </c>
      <c r="L44" s="60">
        <f>I45</f>
        <v>-1.4813131936284533E-4</v>
      </c>
      <c r="M44" s="60">
        <f>(C44-$O$3)*K44 + L44</f>
        <v>2.4189532267052788E-3</v>
      </c>
    </row>
    <row r="45" spans="1:26" ht="14">
      <c r="A45" s="55">
        <f t="shared" si="10"/>
        <v>7</v>
      </c>
      <c r="B45" s="55" t="s">
        <v>113</v>
      </c>
      <c r="C45" s="79">
        <v>287</v>
      </c>
      <c r="D45" s="56" t="s">
        <v>36</v>
      </c>
      <c r="E45" s="80">
        <v>206</v>
      </c>
      <c r="F45" s="80">
        <v>1287</v>
      </c>
      <c r="G45" s="57">
        <v>2E-3</v>
      </c>
      <c r="H45" s="58"/>
      <c r="I45" s="58">
        <f>INTERCEPT(G42:G48, E42:E48)</f>
        <v>-1.4813131936284533E-4</v>
      </c>
      <c r="J45" s="58">
        <f>INTERCEPT(G42:G48, F42:F48)</f>
        <v>-2.2678024275366374E-4</v>
      </c>
      <c r="K45" s="60">
        <f>I43</f>
        <v>9.5430652270190493E-6</v>
      </c>
      <c r="L45" s="60">
        <f>I45</f>
        <v>-1.4813131936284533E-4</v>
      </c>
      <c r="M45" s="60">
        <f>(C45-$O$3)*K45+ L45</f>
        <v>2.5907284007916217E-3</v>
      </c>
    </row>
    <row r="46" spans="1:26" ht="14">
      <c r="A46" s="55">
        <f t="shared" si="10"/>
        <v>7</v>
      </c>
      <c r="B46" s="55" t="s">
        <v>114</v>
      </c>
      <c r="C46" s="79">
        <v>2180</v>
      </c>
      <c r="D46" s="56" t="s">
        <v>37</v>
      </c>
      <c r="E46" s="80">
        <v>536</v>
      </c>
      <c r="F46" s="80">
        <v>3212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1.6989092091573002E-6</v>
      </c>
      <c r="L46" s="60">
        <f>J45</f>
        <v>-2.2678024275366374E-4</v>
      </c>
      <c r="M46" s="60">
        <f>(C46-$O$4)*K46 + L46</f>
        <v>2.815966150847061E-3</v>
      </c>
    </row>
    <row r="47" spans="1:26" ht="14">
      <c r="A47" s="55">
        <f t="shared" si="10"/>
        <v>7</v>
      </c>
      <c r="B47" s="55" t="s">
        <v>115</v>
      </c>
      <c r="C47" s="79">
        <v>2166</v>
      </c>
      <c r="D47" s="56" t="s">
        <v>37</v>
      </c>
      <c r="E47" s="80">
        <v>1056</v>
      </c>
      <c r="F47" s="80">
        <v>6233</v>
      </c>
      <c r="G47" s="57">
        <v>0.01</v>
      </c>
      <c r="H47" s="58"/>
      <c r="I47" s="61">
        <f>RSQ(G42:G48, E42:E48)</f>
        <v>0.99980462175128759</v>
      </c>
      <c r="J47" s="61">
        <f>RSQ(G42:G48, F42:F48)</f>
        <v>0.99910263554539436</v>
      </c>
      <c r="K47" s="60">
        <f>J43</f>
        <v>1.6989092091573002E-6</v>
      </c>
      <c r="L47" s="60">
        <f>J45</f>
        <v>-2.2678024275366374E-4</v>
      </c>
      <c r="M47" s="60">
        <f>(C47-$O$4)*K47 + L47</f>
        <v>2.7921814219188587E-3</v>
      </c>
    </row>
    <row r="48" spans="1:26" ht="14">
      <c r="A48" s="55">
        <f t="shared" si="10"/>
        <v>7</v>
      </c>
      <c r="B48" s="55" t="s">
        <v>116</v>
      </c>
      <c r="C48" s="79">
        <v>136</v>
      </c>
      <c r="D48" s="56" t="s">
        <v>38</v>
      </c>
      <c r="E48" s="80">
        <v>2117</v>
      </c>
      <c r="F48" s="80">
        <v>11762</v>
      </c>
      <c r="G48" s="57">
        <v>0.02</v>
      </c>
      <c r="H48" s="58"/>
      <c r="I48" s="58"/>
      <c r="J48" s="58"/>
      <c r="K48" s="60">
        <f>I43</f>
        <v>9.5430652270190493E-6</v>
      </c>
      <c r="L48" s="60">
        <f>I45</f>
        <v>-1.4813131936284533E-4</v>
      </c>
      <c r="M48" s="60">
        <f>(C48-$O$5)*K48 + L48</f>
        <v>1.1497255515117454E-3</v>
      </c>
    </row>
    <row r="49" spans="1:13" ht="14">
      <c r="A49" s="55">
        <f t="shared" si="10"/>
        <v>7</v>
      </c>
      <c r="B49" s="55" t="s">
        <v>117</v>
      </c>
      <c r="C49" s="79">
        <v>151</v>
      </c>
      <c r="D49" s="56" t="s">
        <v>38</v>
      </c>
      <c r="E49" s="80">
        <v>15</v>
      </c>
      <c r="F49" s="80">
        <v>15</v>
      </c>
      <c r="G49" s="56"/>
      <c r="H49" s="58"/>
      <c r="I49" s="58"/>
      <c r="J49" s="58"/>
      <c r="K49" s="60">
        <f>I43</f>
        <v>9.5430652270190493E-6</v>
      </c>
      <c r="L49" s="60">
        <f>I45</f>
        <v>-1.4813131936284533E-4</v>
      </c>
      <c r="M49" s="60">
        <f>(C49-$O$5)*K49 + L49</f>
        <v>1.2928715299170312E-3</v>
      </c>
    </row>
    <row r="50" spans="1:13" ht="14">
      <c r="A50" s="55">
        <f>P8</f>
        <v>8</v>
      </c>
      <c r="B50" s="55" t="s">
        <v>118</v>
      </c>
      <c r="C50" s="79">
        <v>648</v>
      </c>
      <c r="D50" s="56" t="s">
        <v>35</v>
      </c>
      <c r="E50" s="80">
        <v>26</v>
      </c>
      <c r="F50" s="80">
        <v>25</v>
      </c>
      <c r="G50" s="57">
        <v>0</v>
      </c>
      <c r="H50" s="58"/>
      <c r="I50" s="62" t="s">
        <v>68</v>
      </c>
      <c r="J50" s="62" t="s">
        <v>68</v>
      </c>
      <c r="K50" s="60">
        <f>I51</f>
        <v>9.5933280435037681E-6</v>
      </c>
      <c r="L50" s="60">
        <f>I53</f>
        <v>-1.4224736501500072E-4</v>
      </c>
      <c r="M50" s="60">
        <f>(C50-$O$2)*K50+L50</f>
        <v>6.0742292071754413E-3</v>
      </c>
    </row>
    <row r="51" spans="1:13" ht="14">
      <c r="A51" s="55">
        <f t="shared" ref="A51:A57" si="11">A50</f>
        <v>8</v>
      </c>
      <c r="B51" s="55" t="s">
        <v>119</v>
      </c>
      <c r="C51" s="79">
        <v>641</v>
      </c>
      <c r="D51" s="56" t="s">
        <v>35</v>
      </c>
      <c r="E51" s="80">
        <v>73</v>
      </c>
      <c r="F51" s="80">
        <v>355</v>
      </c>
      <c r="G51" s="57">
        <v>5.0000000000000001E-4</v>
      </c>
      <c r="H51" s="58"/>
      <c r="I51" s="58">
        <f>SLOPE(G50:G56, E50:E56)</f>
        <v>9.5933280435037681E-6</v>
      </c>
      <c r="J51" s="58">
        <f>SLOPE(G50:G56, F50:F56)</f>
        <v>1.778269658826041E-6</v>
      </c>
      <c r="K51" s="60">
        <f>I51</f>
        <v>9.5933280435037681E-6</v>
      </c>
      <c r="L51" s="60">
        <f>I53</f>
        <v>-1.4224736501500072E-4</v>
      </c>
      <c r="M51" s="60">
        <f>(C51-$O$2)*K51+L51</f>
        <v>6.0070759108709149E-3</v>
      </c>
    </row>
    <row r="52" spans="1:13" ht="14">
      <c r="A52" s="55">
        <f t="shared" si="11"/>
        <v>8</v>
      </c>
      <c r="B52" s="55" t="s">
        <v>120</v>
      </c>
      <c r="C52" s="79">
        <v>279</v>
      </c>
      <c r="D52" s="56" t="s">
        <v>36</v>
      </c>
      <c r="E52" s="80">
        <v>123</v>
      </c>
      <c r="F52" s="80">
        <v>682</v>
      </c>
      <c r="G52" s="57">
        <v>1E-3</v>
      </c>
      <c r="H52" s="58"/>
      <c r="I52" s="62" t="s">
        <v>71</v>
      </c>
      <c r="J52" s="62" t="s">
        <v>71</v>
      </c>
      <c r="K52" s="60">
        <f>I51</f>
        <v>9.5933280435037681E-6</v>
      </c>
      <c r="L52" s="60">
        <f>I53</f>
        <v>-1.4224736501500072E-4</v>
      </c>
      <c r="M52" s="60">
        <f>(C52-$O$3)*K52 + L52</f>
        <v>2.5342911591225504E-3</v>
      </c>
    </row>
    <row r="53" spans="1:13" ht="14">
      <c r="A53" s="55">
        <f t="shared" si="11"/>
        <v>8</v>
      </c>
      <c r="B53" s="55" t="s">
        <v>121</v>
      </c>
      <c r="C53" s="79">
        <v>292</v>
      </c>
      <c r="D53" s="56" t="s">
        <v>36</v>
      </c>
      <c r="E53" s="80">
        <v>201</v>
      </c>
      <c r="F53" s="80">
        <v>1325</v>
      </c>
      <c r="G53" s="57">
        <v>2E-3</v>
      </c>
      <c r="H53" s="58"/>
      <c r="I53" s="58">
        <f>INTERCEPT(G50:G56, E50:E56)</f>
        <v>-1.4224736501500072E-4</v>
      </c>
      <c r="J53" s="58">
        <f>INTERCEPT(G50:G56, F50:F56)</f>
        <v>-2.6845273470898698E-4</v>
      </c>
      <c r="K53" s="60">
        <f>I51</f>
        <v>9.5933280435037681E-6</v>
      </c>
      <c r="L53" s="60">
        <f>I53</f>
        <v>-1.4224736501500072E-4</v>
      </c>
      <c r="M53" s="60">
        <f>(C53-$O$3)*K53+ L53</f>
        <v>2.6590044236880998E-3</v>
      </c>
    </row>
    <row r="54" spans="1:13" ht="14">
      <c r="A54" s="55">
        <f t="shared" si="11"/>
        <v>8</v>
      </c>
      <c r="B54" s="55" t="s">
        <v>122</v>
      </c>
      <c r="C54" s="79">
        <v>2153</v>
      </c>
      <c r="D54" s="56" t="s">
        <v>37</v>
      </c>
      <c r="E54" s="80">
        <v>531</v>
      </c>
      <c r="F54" s="80">
        <v>3108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1.778269658826041E-6</v>
      </c>
      <c r="L54" s="60">
        <f>J53</f>
        <v>-2.6845273470898698E-4</v>
      </c>
      <c r="M54" s="60">
        <f>(C54-$O$4)*K54 + L54</f>
        <v>2.8684149434601491E-3</v>
      </c>
    </row>
    <row r="55" spans="1:13" ht="14">
      <c r="A55" s="55">
        <f t="shared" si="11"/>
        <v>8</v>
      </c>
      <c r="B55" s="55" t="s">
        <v>123</v>
      </c>
      <c r="C55" s="79">
        <v>2062</v>
      </c>
      <c r="D55" s="56" t="s">
        <v>37</v>
      </c>
      <c r="E55" s="80">
        <v>1064</v>
      </c>
      <c r="F55" s="80">
        <v>5946</v>
      </c>
      <c r="G55" s="57">
        <v>0.01</v>
      </c>
      <c r="H55" s="58"/>
      <c r="I55" s="61">
        <f>RSQ(G50:G56, E50:E56)</f>
        <v>0.99978441993099088</v>
      </c>
      <c r="J55" s="61">
        <f>RSQ(G50:G56, F50:F56)</f>
        <v>0.99907488546307865</v>
      </c>
      <c r="K55" s="60">
        <f>J51</f>
        <v>1.778269658826041E-6</v>
      </c>
      <c r="L55" s="60">
        <f>J53</f>
        <v>-2.6845273470898698E-4</v>
      </c>
      <c r="M55" s="60">
        <f>(C55-$O$4)*K55 + L55</f>
        <v>2.7065924045069794E-3</v>
      </c>
    </row>
    <row r="56" spans="1:13" ht="14">
      <c r="A56" s="55">
        <f t="shared" si="11"/>
        <v>8</v>
      </c>
      <c r="B56" s="55" t="s">
        <v>124</v>
      </c>
      <c r="C56" s="79">
        <v>141</v>
      </c>
      <c r="D56" s="56" t="s">
        <v>38</v>
      </c>
      <c r="E56" s="80">
        <v>2099</v>
      </c>
      <c r="F56" s="80">
        <v>11266</v>
      </c>
      <c r="G56" s="57">
        <v>0.02</v>
      </c>
      <c r="H56" s="58"/>
      <c r="I56" s="58"/>
      <c r="J56" s="58"/>
      <c r="K56" s="60">
        <f>I51</f>
        <v>9.5933280435037681E-6</v>
      </c>
      <c r="L56" s="60">
        <f>I53</f>
        <v>-1.4224736501500072E-4</v>
      </c>
      <c r="M56" s="60">
        <f>(C56-$O$5)*K56 + L56</f>
        <v>1.2104118891190306E-3</v>
      </c>
    </row>
    <row r="57" spans="1:13" ht="14">
      <c r="A57" s="55">
        <f t="shared" si="11"/>
        <v>8</v>
      </c>
      <c r="B57" s="55" t="s">
        <v>125</v>
      </c>
      <c r="C57" s="79">
        <v>149</v>
      </c>
      <c r="D57" s="56" t="s">
        <v>38</v>
      </c>
      <c r="E57" s="80">
        <v>15</v>
      </c>
      <c r="F57" s="80">
        <v>15</v>
      </c>
      <c r="G57" s="56"/>
      <c r="H57" s="58"/>
      <c r="I57" s="58"/>
      <c r="J57" s="58"/>
      <c r="K57" s="60">
        <f>I51</f>
        <v>9.5933280435037681E-6</v>
      </c>
      <c r="L57" s="60">
        <f>I53</f>
        <v>-1.4224736501500072E-4</v>
      </c>
      <c r="M57" s="60">
        <f>(C57-$O$5)*K57 + L57</f>
        <v>1.2871585134670608E-3</v>
      </c>
    </row>
    <row r="58" spans="1:13" ht="14">
      <c r="A58" s="55">
        <f>P9</f>
        <v>10</v>
      </c>
      <c r="B58" s="55" t="s">
        <v>126</v>
      </c>
      <c r="C58" s="79">
        <v>718</v>
      </c>
      <c r="D58" s="56" t="s">
        <v>35</v>
      </c>
      <c r="E58" s="80">
        <v>27</v>
      </c>
      <c r="F58" s="80">
        <v>25</v>
      </c>
      <c r="G58" s="57">
        <v>0</v>
      </c>
      <c r="H58" s="58"/>
      <c r="I58" s="62" t="s">
        <v>68</v>
      </c>
      <c r="J58" s="62" t="s">
        <v>68</v>
      </c>
      <c r="K58" s="60">
        <f>I59</f>
        <v>9.4261858521680695E-6</v>
      </c>
      <c r="L58" s="60">
        <f>I61</f>
        <v>-1.9206965673063299E-4</v>
      </c>
      <c r="M58" s="60">
        <f>(C58-$O$2)*K58+L58</f>
        <v>6.5759317851260407E-3</v>
      </c>
    </row>
    <row r="59" spans="1:13" ht="14">
      <c r="A59" s="55">
        <f t="shared" ref="A59:A65" si="12">A58</f>
        <v>10</v>
      </c>
      <c r="B59" s="55" t="s">
        <v>127</v>
      </c>
      <c r="C59" s="79">
        <v>750</v>
      </c>
      <c r="D59" s="56" t="s">
        <v>35</v>
      </c>
      <c r="E59" s="80">
        <v>84</v>
      </c>
      <c r="F59" s="80">
        <v>379</v>
      </c>
      <c r="G59" s="57">
        <v>5.0000000000000001E-4</v>
      </c>
      <c r="H59" s="58"/>
      <c r="I59" s="58">
        <f>SLOPE(G58:G64, E58:E64)</f>
        <v>9.4261858521680695E-6</v>
      </c>
      <c r="J59" s="58">
        <f>SLOPE(G58:G64, F58:F64)</f>
        <v>1.7000979808383211E-6</v>
      </c>
      <c r="K59" s="60">
        <f>I59</f>
        <v>9.4261858521680695E-6</v>
      </c>
      <c r="L59" s="60">
        <f>I61</f>
        <v>-1.9206965673063299E-4</v>
      </c>
      <c r="M59" s="60">
        <f>(C59-$O$2)*K59+L59</f>
        <v>6.8775697323954195E-3</v>
      </c>
    </row>
    <row r="60" spans="1:13" ht="14">
      <c r="A60" s="55">
        <f t="shared" si="12"/>
        <v>10</v>
      </c>
      <c r="B60" s="55" t="s">
        <v>128</v>
      </c>
      <c r="C60" s="79">
        <v>286</v>
      </c>
      <c r="D60" s="56" t="s">
        <v>36</v>
      </c>
      <c r="E60" s="80">
        <v>119</v>
      </c>
      <c r="F60" s="80">
        <v>714</v>
      </c>
      <c r="G60" s="57">
        <v>1E-3</v>
      </c>
      <c r="H60" s="58"/>
      <c r="I60" s="62" t="s">
        <v>71</v>
      </c>
      <c r="J60" s="62" t="s">
        <v>71</v>
      </c>
      <c r="K60" s="60">
        <f>I59</f>
        <v>9.4261858521680695E-6</v>
      </c>
      <c r="L60" s="60">
        <f>I61</f>
        <v>-1.9206965673063299E-4</v>
      </c>
      <c r="M60" s="60">
        <f>(C60-$O$3)*K60 + L60</f>
        <v>2.5038194969894349E-3</v>
      </c>
    </row>
    <row r="61" spans="1:13" ht="14">
      <c r="A61" s="55">
        <f t="shared" si="12"/>
        <v>10</v>
      </c>
      <c r="B61" s="55" t="s">
        <v>129</v>
      </c>
      <c r="C61" s="79">
        <v>314</v>
      </c>
      <c r="D61" s="56" t="s">
        <v>36</v>
      </c>
      <c r="E61" s="80">
        <v>213</v>
      </c>
      <c r="F61" s="80">
        <v>1474</v>
      </c>
      <c r="G61" s="57">
        <v>2E-3</v>
      </c>
      <c r="H61" s="58"/>
      <c r="I61" s="58">
        <f>INTERCEPT(G58:G64, E58:E64)</f>
        <v>-1.9206965673063299E-4</v>
      </c>
      <c r="J61" s="58">
        <f>INTERCEPT(G58:G64, F58:F64)</f>
        <v>-2.7620432546825516E-4</v>
      </c>
      <c r="K61" s="60">
        <f>I59</f>
        <v>9.4261858521680695E-6</v>
      </c>
      <c r="L61" s="60">
        <f>I61</f>
        <v>-1.9206965673063299E-4</v>
      </c>
      <c r="M61" s="60">
        <f>(C61-$O$3)*K61+ L61</f>
        <v>2.767752700850141E-3</v>
      </c>
    </row>
    <row r="62" spans="1:13" ht="14">
      <c r="A62" s="55">
        <f t="shared" si="12"/>
        <v>10</v>
      </c>
      <c r="B62" s="55" t="s">
        <v>130</v>
      </c>
      <c r="C62" s="79">
        <v>2181</v>
      </c>
      <c r="D62" s="56" t="s">
        <v>37</v>
      </c>
      <c r="E62" s="80">
        <v>548</v>
      </c>
      <c r="F62" s="80">
        <v>3284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1.7000979808383211E-6</v>
      </c>
      <c r="L62" s="60">
        <f>J61</f>
        <v>-2.7620432546825516E-4</v>
      </c>
      <c r="M62" s="60">
        <f>(C62-$O$4)*K62 + L62</f>
        <v>2.7703712561940163E-3</v>
      </c>
    </row>
    <row r="63" spans="1:13" ht="14">
      <c r="A63" s="55">
        <f t="shared" si="12"/>
        <v>10</v>
      </c>
      <c r="B63" s="55" t="s">
        <v>131</v>
      </c>
      <c r="C63" s="79">
        <v>2213</v>
      </c>
      <c r="D63" s="56" t="s">
        <v>37</v>
      </c>
      <c r="E63" s="80">
        <v>1102</v>
      </c>
      <c r="F63" s="80">
        <v>6040</v>
      </c>
      <c r="G63" s="57">
        <v>0.01</v>
      </c>
      <c r="H63" s="58"/>
      <c r="I63" s="61">
        <f>RSQ(G58:G64, E58:E64)</f>
        <v>0.99969362262938499</v>
      </c>
      <c r="J63" s="61">
        <f>RSQ(G58:G64, F58:F64)</f>
        <v>0.99926795134329005</v>
      </c>
      <c r="K63" s="60">
        <f>J59</f>
        <v>1.7000979808383211E-6</v>
      </c>
      <c r="L63" s="60">
        <f>J61</f>
        <v>-2.7620432546825516E-4</v>
      </c>
      <c r="M63" s="60">
        <f>(C63-$O$4)*K63 + L63</f>
        <v>2.8247743915808428E-3</v>
      </c>
    </row>
    <row r="64" spans="1:13" ht="14">
      <c r="A64" s="55">
        <f t="shared" si="12"/>
        <v>10</v>
      </c>
      <c r="B64" s="55" t="s">
        <v>132</v>
      </c>
      <c r="C64" s="79">
        <v>156</v>
      </c>
      <c r="D64" s="56" t="s">
        <v>38</v>
      </c>
      <c r="E64" s="80">
        <v>2134</v>
      </c>
      <c r="F64" s="80">
        <v>11867</v>
      </c>
      <c r="G64" s="57">
        <v>0.02</v>
      </c>
      <c r="H64" s="58"/>
      <c r="I64" s="58"/>
      <c r="J64" s="58"/>
      <c r="K64" s="60">
        <f>I59</f>
        <v>9.4261858521680695E-6</v>
      </c>
      <c r="L64" s="60">
        <f>I61</f>
        <v>-1.9206965673063299E-4</v>
      </c>
      <c r="M64" s="60">
        <f>(C64-$O$5)*K64 + L64</f>
        <v>1.2784153362075858E-3</v>
      </c>
    </row>
    <row r="65" spans="1:26" ht="14">
      <c r="A65" s="55">
        <f t="shared" si="12"/>
        <v>10</v>
      </c>
      <c r="B65" s="55" t="s">
        <v>133</v>
      </c>
      <c r="C65" s="79">
        <v>144</v>
      </c>
      <c r="D65" s="56" t="s">
        <v>38</v>
      </c>
      <c r="E65" s="80">
        <v>16</v>
      </c>
      <c r="F65" s="80">
        <v>18</v>
      </c>
      <c r="G65" s="56"/>
      <c r="H65" s="58"/>
      <c r="I65" s="58"/>
      <c r="J65" s="58"/>
      <c r="K65" s="60">
        <f>I59</f>
        <v>9.4261858521680695E-6</v>
      </c>
      <c r="L65" s="60">
        <f>I61</f>
        <v>-1.9206965673063299E-4</v>
      </c>
      <c r="M65" s="60">
        <f>(C65-$O$5)*K65 + L65</f>
        <v>1.1653011059815691E-3</v>
      </c>
    </row>
    <row r="66" spans="1:26" ht="14">
      <c r="A66" s="55">
        <f>P10</f>
        <v>11</v>
      </c>
      <c r="B66" s="55" t="s">
        <v>134</v>
      </c>
      <c r="C66" s="79">
        <v>756</v>
      </c>
      <c r="D66" s="56" t="s">
        <v>35</v>
      </c>
      <c r="E66" s="80">
        <v>27</v>
      </c>
      <c r="F66" s="80">
        <v>28</v>
      </c>
      <c r="G66" s="57">
        <v>0</v>
      </c>
      <c r="H66" s="58"/>
      <c r="I66" s="62" t="s">
        <v>68</v>
      </c>
      <c r="J66" s="62" t="s">
        <v>68</v>
      </c>
      <c r="K66" s="60">
        <f>I67</f>
        <v>9.1764137837755134E-6</v>
      </c>
      <c r="L66" s="60">
        <f>I69</f>
        <v>-1.841328809215172E-4</v>
      </c>
      <c r="M66" s="60">
        <f>(C66-$O$2)*K66+L66</f>
        <v>6.7532359396127711E-3</v>
      </c>
    </row>
    <row r="67" spans="1:26" ht="14">
      <c r="A67" s="55">
        <f t="shared" ref="A67:A73" si="13">A66</f>
        <v>11</v>
      </c>
      <c r="B67" s="55" t="s">
        <v>135</v>
      </c>
      <c r="C67" s="79">
        <v>774</v>
      </c>
      <c r="D67" s="56" t="s">
        <v>35</v>
      </c>
      <c r="E67" s="80">
        <v>78</v>
      </c>
      <c r="F67" s="80">
        <v>353</v>
      </c>
      <c r="G67" s="57">
        <v>5.0000000000000001E-4</v>
      </c>
      <c r="H67" s="58"/>
      <c r="I67" s="58">
        <f>SLOPE(G66:G72, E66:E72)</f>
        <v>9.1764137837755134E-6</v>
      </c>
      <c r="J67" s="58">
        <f>SLOPE(G66:G72, F66:F72)</f>
        <v>1.6632916405066919E-6</v>
      </c>
      <c r="K67" s="60">
        <f>I67</f>
        <v>9.1764137837755134E-6</v>
      </c>
      <c r="L67" s="60">
        <f>I69</f>
        <v>-1.841328809215172E-4</v>
      </c>
      <c r="M67" s="60">
        <f>(C67-$O$2)*K67+L67</f>
        <v>6.9184113877207298E-3</v>
      </c>
    </row>
    <row r="68" spans="1:26" ht="14">
      <c r="A68" s="55">
        <f t="shared" si="13"/>
        <v>11</v>
      </c>
      <c r="B68" s="55" t="s">
        <v>136</v>
      </c>
      <c r="C68" s="79">
        <v>320</v>
      </c>
      <c r="D68" s="56" t="s">
        <v>36</v>
      </c>
      <c r="E68" s="80">
        <v>141</v>
      </c>
      <c r="F68" s="80">
        <v>715</v>
      </c>
      <c r="G68" s="57">
        <v>1E-3</v>
      </c>
      <c r="H68" s="58"/>
      <c r="I68" s="62" t="s">
        <v>71</v>
      </c>
      <c r="J68" s="62" t="s">
        <v>71</v>
      </c>
      <c r="K68" s="60">
        <f>I67</f>
        <v>9.1764137837755134E-6</v>
      </c>
      <c r="L68" s="60">
        <f>I69</f>
        <v>-1.841328809215172E-4</v>
      </c>
      <c r="M68" s="60">
        <f>(C68-$O$3)*K68 + L68</f>
        <v>2.7523195298866472E-3</v>
      </c>
    </row>
    <row r="69" spans="1:26" ht="14">
      <c r="A69" s="55">
        <f t="shared" si="13"/>
        <v>11</v>
      </c>
      <c r="B69" s="55" t="s">
        <v>137</v>
      </c>
      <c r="C69" s="79">
        <v>327</v>
      </c>
      <c r="D69" s="56" t="s">
        <v>36</v>
      </c>
      <c r="E69" s="80">
        <v>208</v>
      </c>
      <c r="F69" s="80">
        <v>1364</v>
      </c>
      <c r="G69" s="57">
        <v>2E-3</v>
      </c>
      <c r="H69" s="58"/>
      <c r="I69" s="58">
        <f>INTERCEPT(G66:G72, E66:E72)</f>
        <v>-1.841328809215172E-4</v>
      </c>
      <c r="J69" s="58">
        <f>INTERCEPT(G66:G72, F66:F72)</f>
        <v>-2.0437748766344993E-4</v>
      </c>
      <c r="K69" s="60">
        <f>I67</f>
        <v>9.1764137837755134E-6</v>
      </c>
      <c r="L69" s="60">
        <f>I69</f>
        <v>-1.841328809215172E-4</v>
      </c>
      <c r="M69" s="60">
        <f>(C69-$O$3)*K69+ L69</f>
        <v>2.8165544263730755E-3</v>
      </c>
    </row>
    <row r="70" spans="1:26" ht="14">
      <c r="A70" s="55">
        <f t="shared" si="13"/>
        <v>11</v>
      </c>
      <c r="B70" s="55" t="s">
        <v>138</v>
      </c>
      <c r="C70" s="79">
        <v>2109</v>
      </c>
      <c r="D70" s="56" t="s">
        <v>37</v>
      </c>
      <c r="E70" s="80">
        <v>570</v>
      </c>
      <c r="F70" s="80">
        <v>3427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1.6632916405066919E-6</v>
      </c>
      <c r="L70" s="60">
        <f>J69</f>
        <v>-2.0437748766344993E-4</v>
      </c>
      <c r="M70" s="60">
        <f>(C70-$O$4)*K70 + L70</f>
        <v>2.65648413400806E-3</v>
      </c>
    </row>
    <row r="71" spans="1:26" ht="14">
      <c r="A71" s="55">
        <f t="shared" si="13"/>
        <v>11</v>
      </c>
      <c r="B71" s="55" t="s">
        <v>139</v>
      </c>
      <c r="C71" s="79">
        <v>2067</v>
      </c>
      <c r="D71" s="56" t="s">
        <v>37</v>
      </c>
      <c r="E71" s="80">
        <v>1114</v>
      </c>
      <c r="F71" s="80">
        <v>5984</v>
      </c>
      <c r="G71" s="57">
        <v>0.01</v>
      </c>
      <c r="H71" s="58"/>
      <c r="I71" s="61">
        <f>RSQ(G66:G72, E66:E72)</f>
        <v>0.99969609252572245</v>
      </c>
      <c r="J71" s="61">
        <f>RSQ(G66:G72, F66:F72)</f>
        <v>0.99889410307553539</v>
      </c>
      <c r="K71" s="60">
        <f>J67</f>
        <v>1.6632916405066919E-6</v>
      </c>
      <c r="L71" s="60">
        <f>J69</f>
        <v>-2.0437748766344993E-4</v>
      </c>
      <c r="M71" s="60">
        <f>(C71-$O$4)*K71 + L71</f>
        <v>2.5866258851067791E-3</v>
      </c>
    </row>
    <row r="72" spans="1:26" ht="14">
      <c r="A72" s="55">
        <f t="shared" si="13"/>
        <v>11</v>
      </c>
      <c r="B72" s="55" t="s">
        <v>140</v>
      </c>
      <c r="C72" s="79">
        <v>162</v>
      </c>
      <c r="D72" s="56" t="s">
        <v>38</v>
      </c>
      <c r="E72" s="80">
        <v>2198</v>
      </c>
      <c r="F72" s="80">
        <v>12136</v>
      </c>
      <c r="G72" s="57">
        <v>0.02</v>
      </c>
      <c r="H72" s="58"/>
      <c r="I72" s="58"/>
      <c r="J72" s="58"/>
      <c r="K72" s="60">
        <f>I67</f>
        <v>9.1764137837755134E-6</v>
      </c>
      <c r="L72" s="60">
        <f>I69</f>
        <v>-1.841328809215172E-4</v>
      </c>
      <c r="M72" s="60">
        <f>(C72-$O$5)*K72 + L72</f>
        <v>1.3024461520501161E-3</v>
      </c>
    </row>
    <row r="73" spans="1:26" ht="14">
      <c r="A73" s="55">
        <f t="shared" si="13"/>
        <v>11</v>
      </c>
      <c r="B73" s="55" t="s">
        <v>141</v>
      </c>
      <c r="C73" s="79">
        <v>152</v>
      </c>
      <c r="D73" s="56" t="s">
        <v>38</v>
      </c>
      <c r="E73" s="80">
        <v>17</v>
      </c>
      <c r="F73" s="80">
        <v>15</v>
      </c>
      <c r="G73" s="56"/>
      <c r="H73" s="58"/>
      <c r="I73" s="58"/>
      <c r="J73" s="58"/>
      <c r="K73" s="60">
        <f>I67</f>
        <v>9.1764137837755134E-6</v>
      </c>
      <c r="L73" s="60">
        <f>I69</f>
        <v>-1.841328809215172E-4</v>
      </c>
      <c r="M73" s="60">
        <f>(C73-$O$5)*K73 + L73</f>
        <v>1.2106820142123609E-3</v>
      </c>
    </row>
    <row r="74" spans="1:26" ht="14">
      <c r="A74" s="55">
        <f>P11</f>
        <v>12</v>
      </c>
      <c r="B74" s="55" t="s">
        <v>142</v>
      </c>
      <c r="C74" s="79">
        <v>757</v>
      </c>
      <c r="D74" s="56" t="s">
        <v>35</v>
      </c>
      <c r="E74" s="80">
        <v>22</v>
      </c>
      <c r="F74" s="80">
        <v>23</v>
      </c>
      <c r="G74" s="57">
        <v>0</v>
      </c>
      <c r="H74" s="58"/>
      <c r="I74" s="62" t="s">
        <v>68</v>
      </c>
      <c r="J74" s="62" t="s">
        <v>68</v>
      </c>
      <c r="K74" s="60">
        <f>I75</f>
        <v>9.6083480820092679E-6</v>
      </c>
      <c r="L74" s="60">
        <f>I77</f>
        <v>-1.4696342991230276E-4</v>
      </c>
      <c r="M74" s="60">
        <f>(C74-$O$2)*K74+L74</f>
        <v>7.1265560681687129E-3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4">A74</f>
        <v>12</v>
      </c>
      <c r="B75" s="55" t="s">
        <v>143</v>
      </c>
      <c r="C75" s="79">
        <v>805</v>
      </c>
      <c r="D75" s="56" t="s">
        <v>35</v>
      </c>
      <c r="E75" s="80">
        <v>72</v>
      </c>
      <c r="F75" s="80">
        <v>338</v>
      </c>
      <c r="G75" s="57">
        <v>5.0000000000000001E-4</v>
      </c>
      <c r="H75" s="58"/>
      <c r="I75" s="58">
        <f>SLOPE(G74:G80, E74:E80)</f>
        <v>9.6083480820092679E-6</v>
      </c>
      <c r="J75" s="58">
        <f>SLOPE(G74:G80, F74:F80)</f>
        <v>1.6621234702437309E-6</v>
      </c>
      <c r="K75" s="60">
        <f>I75</f>
        <v>9.6083480820092679E-6</v>
      </c>
      <c r="L75" s="60">
        <f>I77</f>
        <v>-1.4696342991230276E-4</v>
      </c>
      <c r="M75" s="60">
        <f>(C75-$O$2)*K75+L75</f>
        <v>7.5877567761051578E-3</v>
      </c>
    </row>
    <row r="76" spans="1:26" ht="14">
      <c r="A76" s="55">
        <f t="shared" si="14"/>
        <v>12</v>
      </c>
      <c r="B76" s="55" t="s">
        <v>144</v>
      </c>
      <c r="C76" s="79">
        <v>317</v>
      </c>
      <c r="D76" s="56" t="s">
        <v>36</v>
      </c>
      <c r="E76" s="80">
        <v>133</v>
      </c>
      <c r="F76" s="80">
        <v>770</v>
      </c>
      <c r="G76" s="57">
        <v>1E-3</v>
      </c>
      <c r="H76" s="58"/>
      <c r="I76" s="62" t="s">
        <v>71</v>
      </c>
      <c r="J76" s="62" t="s">
        <v>71</v>
      </c>
      <c r="K76" s="60">
        <f>I75</f>
        <v>9.6083480820092679E-6</v>
      </c>
      <c r="L76" s="60">
        <f>I77</f>
        <v>-1.4696342991230276E-4</v>
      </c>
      <c r="M76" s="60">
        <f>(C76-$O$3)*K76 + L76</f>
        <v>2.898882912084635E-3</v>
      </c>
    </row>
    <row r="77" spans="1:26" ht="14">
      <c r="A77" s="55">
        <f t="shared" si="14"/>
        <v>12</v>
      </c>
      <c r="B77" s="55" t="s">
        <v>145</v>
      </c>
      <c r="C77" s="79">
        <v>324</v>
      </c>
      <c r="D77" s="56" t="s">
        <v>36</v>
      </c>
      <c r="E77" s="80">
        <v>205</v>
      </c>
      <c r="F77" s="80">
        <v>1403</v>
      </c>
      <c r="G77" s="57">
        <v>2E-3</v>
      </c>
      <c r="H77" s="58"/>
      <c r="I77" s="58">
        <f>INTERCEPT(G74:G80, E74:E80)</f>
        <v>-1.4696342991230276E-4</v>
      </c>
      <c r="J77" s="58">
        <f>INTERCEPT(G74:G80, F74:F80)</f>
        <v>-2.0535753471662317E-4</v>
      </c>
      <c r="K77" s="60">
        <f>I75</f>
        <v>9.6083480820092679E-6</v>
      </c>
      <c r="L77" s="60">
        <f>I77</f>
        <v>-1.4696342991230276E-4</v>
      </c>
      <c r="M77" s="60">
        <f>(C77-$O$3)*K77+ L77</f>
        <v>2.9661413486587003E-3</v>
      </c>
    </row>
    <row r="78" spans="1:26" ht="14">
      <c r="A78" s="55">
        <f t="shared" si="14"/>
        <v>12</v>
      </c>
      <c r="B78" s="55" t="s">
        <v>146</v>
      </c>
      <c r="C78" s="79">
        <v>2341</v>
      </c>
      <c r="D78" s="56" t="s">
        <v>37</v>
      </c>
      <c r="E78" s="80">
        <v>546</v>
      </c>
      <c r="F78" s="80">
        <v>3316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1.6621234702437309E-6</v>
      </c>
      <c r="L78" s="60">
        <f>J77</f>
        <v>-2.0535753471662317E-4</v>
      </c>
      <c r="M78" s="60">
        <f>(C78-$O$4)*K78 + L78</f>
        <v>3.0391074791991397E-3</v>
      </c>
    </row>
    <row r="79" spans="1:26" ht="14">
      <c r="A79" s="55">
        <f t="shared" si="14"/>
        <v>12</v>
      </c>
      <c r="B79" s="55" t="s">
        <v>147</v>
      </c>
      <c r="C79" s="79">
        <v>2260</v>
      </c>
      <c r="D79" s="56" t="s">
        <v>37</v>
      </c>
      <c r="E79" s="80">
        <v>1027</v>
      </c>
      <c r="F79" s="80">
        <v>6023</v>
      </c>
      <c r="G79" s="57">
        <v>0.01</v>
      </c>
      <c r="H79" s="58"/>
      <c r="I79" s="61">
        <f>RSQ(G74:G80, E74:E80)</f>
        <v>0.99950954051218499</v>
      </c>
      <c r="J79" s="61">
        <f>RSQ(G74:G80, F74:F80)</f>
        <v>0.99936673995335845</v>
      </c>
      <c r="K79" s="60">
        <f>J75</f>
        <v>1.6621234702437309E-6</v>
      </c>
      <c r="L79" s="60">
        <f>J77</f>
        <v>-2.0535753471662317E-4</v>
      </c>
      <c r="M79" s="60">
        <f>(C79-$O$4)*K79 + L79</f>
        <v>2.9044754781093972E-3</v>
      </c>
    </row>
    <row r="80" spans="1:26" ht="14">
      <c r="A80" s="55">
        <f t="shared" si="14"/>
        <v>12</v>
      </c>
      <c r="B80" s="55" t="s">
        <v>148</v>
      </c>
      <c r="C80" s="79">
        <v>153</v>
      </c>
      <c r="D80" s="56" t="s">
        <v>38</v>
      </c>
      <c r="E80" s="80">
        <v>2109</v>
      </c>
      <c r="F80" s="80">
        <v>12155</v>
      </c>
      <c r="G80" s="57">
        <v>0.02</v>
      </c>
      <c r="H80" s="58"/>
      <c r="I80" s="58"/>
      <c r="J80" s="58"/>
      <c r="K80" s="60">
        <f>I75</f>
        <v>9.6083480820092679E-6</v>
      </c>
      <c r="L80" s="60">
        <f>I77</f>
        <v>-1.4696342991230276E-4</v>
      </c>
      <c r="M80" s="60">
        <f>(C80-$O$5)*K80 + L80</f>
        <v>1.3231138266351153E-3</v>
      </c>
    </row>
    <row r="81" spans="1:13" ht="14">
      <c r="A81" s="55">
        <f t="shared" si="14"/>
        <v>12</v>
      </c>
      <c r="B81" s="55" t="s">
        <v>149</v>
      </c>
      <c r="C81" s="79">
        <v>165</v>
      </c>
      <c r="D81" s="56" t="s">
        <v>38</v>
      </c>
      <c r="E81" s="80">
        <v>16</v>
      </c>
      <c r="F81" s="80">
        <v>15</v>
      </c>
      <c r="G81" s="56"/>
      <c r="H81" s="58"/>
      <c r="I81" s="58"/>
      <c r="J81" s="58"/>
      <c r="K81" s="60">
        <f>I75</f>
        <v>9.6083480820092679E-6</v>
      </c>
      <c r="L81" s="60">
        <f>I77</f>
        <v>-1.4696342991230276E-4</v>
      </c>
      <c r="M81" s="60">
        <f>(C81-$O$5)*K81 + L81</f>
        <v>1.4384140036192265E-3</v>
      </c>
    </row>
    <row r="82" spans="1:13" ht="14">
      <c r="A82" s="55">
        <f>P12</f>
        <v>13</v>
      </c>
      <c r="B82" s="55" t="s">
        <v>150</v>
      </c>
      <c r="C82" s="79">
        <v>821</v>
      </c>
      <c r="D82" s="56" t="s">
        <v>35</v>
      </c>
      <c r="E82" s="80">
        <v>23</v>
      </c>
      <c r="F82" s="80">
        <v>25</v>
      </c>
      <c r="G82" s="57">
        <v>0</v>
      </c>
      <c r="H82" s="58"/>
      <c r="I82" s="62" t="s">
        <v>68</v>
      </c>
      <c r="J82" s="62" t="s">
        <v>68</v>
      </c>
      <c r="K82" s="60">
        <f>I83</f>
        <v>9.6796224925787796E-6</v>
      </c>
      <c r="L82" s="60">
        <f>I85</f>
        <v>-1.2800907782794732E-4</v>
      </c>
      <c r="M82" s="60">
        <f>(C82-$O$2)*K82+L82</f>
        <v>7.8189609885792304E-3</v>
      </c>
    </row>
    <row r="83" spans="1:13" ht="14">
      <c r="A83" s="55">
        <f t="shared" ref="A83:A89" si="15">A82</f>
        <v>13</v>
      </c>
      <c r="B83" s="55" t="s">
        <v>151</v>
      </c>
      <c r="C83" s="79">
        <v>765</v>
      </c>
      <c r="D83" s="56" t="s">
        <v>35</v>
      </c>
      <c r="E83" s="80">
        <v>68</v>
      </c>
      <c r="F83" s="80">
        <v>376</v>
      </c>
      <c r="G83" s="57">
        <v>5.0000000000000001E-4</v>
      </c>
      <c r="H83" s="58"/>
      <c r="I83" s="58">
        <f>SLOPE(G82:G88, E82:E88)</f>
        <v>9.6796224925787796E-6</v>
      </c>
      <c r="J83" s="58">
        <f>SLOPE(G82:G88, F82:F88)</f>
        <v>1.6110646471541343E-6</v>
      </c>
      <c r="K83" s="60">
        <f>I83</f>
        <v>9.6796224925787796E-6</v>
      </c>
      <c r="L83" s="60">
        <f>I85</f>
        <v>-1.2800907782794732E-4</v>
      </c>
      <c r="M83" s="60">
        <f>(C83-$O$2)*K83+L83</f>
        <v>7.2769021289948192E-3</v>
      </c>
    </row>
    <row r="84" spans="1:13" ht="14">
      <c r="A84" s="55">
        <f t="shared" si="15"/>
        <v>13</v>
      </c>
      <c r="B84" s="55" t="s">
        <v>152</v>
      </c>
      <c r="C84" s="79">
        <v>328</v>
      </c>
      <c r="D84" s="56" t="s">
        <v>36</v>
      </c>
      <c r="E84" s="80">
        <v>113</v>
      </c>
      <c r="F84" s="80">
        <v>780</v>
      </c>
      <c r="G84" s="57">
        <v>1E-3</v>
      </c>
      <c r="H84" s="58"/>
      <c r="I84" s="62" t="s">
        <v>71</v>
      </c>
      <c r="J84" s="62" t="s">
        <v>71</v>
      </c>
      <c r="K84" s="60">
        <f>I83</f>
        <v>9.6796224925787796E-6</v>
      </c>
      <c r="L84" s="60">
        <f>I85</f>
        <v>-1.2800907782794732E-4</v>
      </c>
      <c r="M84" s="60">
        <f>(C84-$O$3)*K84 + L84</f>
        <v>3.0469070997378926E-3</v>
      </c>
    </row>
    <row r="85" spans="1:13" ht="14">
      <c r="A85" s="55">
        <f t="shared" si="15"/>
        <v>13</v>
      </c>
      <c r="B85" s="55" t="s">
        <v>153</v>
      </c>
      <c r="C85" s="79">
        <v>331</v>
      </c>
      <c r="D85" s="56" t="s">
        <v>36</v>
      </c>
      <c r="E85" s="80">
        <v>198</v>
      </c>
      <c r="F85" s="80">
        <v>1464</v>
      </c>
      <c r="G85" s="57">
        <v>2E-3</v>
      </c>
      <c r="H85" s="58"/>
      <c r="I85" s="58">
        <f>INTERCEPT(G82:G88, E82:E88)</f>
        <v>-1.2800907782794732E-4</v>
      </c>
      <c r="J85" s="58">
        <f>INTERCEPT(G82:G88, F82:F88)</f>
        <v>-2.5035002987800533E-4</v>
      </c>
      <c r="K85" s="60">
        <f>I83</f>
        <v>9.6796224925787796E-6</v>
      </c>
      <c r="L85" s="60">
        <f>I85</f>
        <v>-1.2800907782794732E-4</v>
      </c>
      <c r="M85" s="60">
        <f>(C85-$O$3)*K85+ L85</f>
        <v>3.0759459672156288E-3</v>
      </c>
    </row>
    <row r="86" spans="1:13" ht="14">
      <c r="A86" s="55">
        <f t="shared" si="15"/>
        <v>13</v>
      </c>
      <c r="B86" s="55" t="s">
        <v>154</v>
      </c>
      <c r="C86" s="79">
        <v>2445</v>
      </c>
      <c r="D86" s="56" t="s">
        <v>37</v>
      </c>
      <c r="E86" s="80">
        <v>551</v>
      </c>
      <c r="F86" s="80">
        <v>3423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1.6110646471541343E-6</v>
      </c>
      <c r="L86" s="60">
        <f>J85</f>
        <v>-2.5035002987800533E-4</v>
      </c>
      <c r="M86" s="60">
        <f>(C86-$O$4)*K86 + L86</f>
        <v>3.0619988846708945E-3</v>
      </c>
    </row>
    <row r="87" spans="1:13" ht="14">
      <c r="A87" s="55">
        <f t="shared" si="15"/>
        <v>13</v>
      </c>
      <c r="B87" s="55" t="s">
        <v>155</v>
      </c>
      <c r="C87" s="79">
        <v>2407</v>
      </c>
      <c r="D87" s="56" t="s">
        <v>37</v>
      </c>
      <c r="E87" s="80">
        <v>1036</v>
      </c>
      <c r="F87" s="80">
        <v>6435</v>
      </c>
      <c r="G87" s="57">
        <v>0.01</v>
      </c>
      <c r="H87" s="58"/>
      <c r="I87" s="61">
        <f>RSQ(G82:G88, E82:E88)</f>
        <v>0.99966035368412509</v>
      </c>
      <c r="J87" s="61">
        <f>RSQ(G82:G88, F82:F88)</f>
        <v>0.99943419689475343</v>
      </c>
      <c r="K87" s="60">
        <f>J83</f>
        <v>1.6110646471541343E-6</v>
      </c>
      <c r="L87" s="60">
        <f>J85</f>
        <v>-2.5035002987800533E-4</v>
      </c>
      <c r="M87" s="60">
        <f>(C87-$O$4)*K87 + L87</f>
        <v>3.0007784280790374E-3</v>
      </c>
    </row>
    <row r="88" spans="1:13" ht="14">
      <c r="A88" s="55">
        <f t="shared" si="15"/>
        <v>13</v>
      </c>
      <c r="B88" s="55" t="s">
        <v>156</v>
      </c>
      <c r="C88" s="79">
        <v>150</v>
      </c>
      <c r="D88" s="56" t="s">
        <v>38</v>
      </c>
      <c r="E88" s="80">
        <v>2081</v>
      </c>
      <c r="F88" s="80">
        <v>12482</v>
      </c>
      <c r="G88" s="57">
        <v>0.02</v>
      </c>
      <c r="H88" s="58"/>
      <c r="I88" s="58"/>
      <c r="J88" s="58"/>
      <c r="K88" s="60">
        <f>I83</f>
        <v>9.6796224925787796E-6</v>
      </c>
      <c r="L88" s="60">
        <f>I85</f>
        <v>-1.2800907782794732E-4</v>
      </c>
      <c r="M88" s="60">
        <f>(C88-$O$5)*K88 + L88</f>
        <v>1.3239342960588696E-3</v>
      </c>
    </row>
    <row r="89" spans="1:13" ht="14">
      <c r="A89" s="55">
        <f t="shared" si="15"/>
        <v>13</v>
      </c>
      <c r="B89" s="55" t="s">
        <v>157</v>
      </c>
      <c r="C89" s="79">
        <v>160</v>
      </c>
      <c r="D89" s="56" t="s">
        <v>38</v>
      </c>
      <c r="E89" s="80">
        <v>16</v>
      </c>
      <c r="F89" s="80">
        <v>17</v>
      </c>
      <c r="G89" s="56"/>
      <c r="H89" s="58"/>
      <c r="I89" s="58"/>
      <c r="J89" s="58"/>
      <c r="K89" s="60">
        <f>I83</f>
        <v>9.6796224925787796E-6</v>
      </c>
      <c r="L89" s="60">
        <f>I85</f>
        <v>-1.2800907782794732E-4</v>
      </c>
      <c r="M89" s="60">
        <f>(C89-$O$5)*K89 + L89</f>
        <v>1.4207305209846574E-3</v>
      </c>
    </row>
    <row r="90" spans="1:13" ht="14">
      <c r="A90" s="55">
        <f>P13</f>
        <v>15</v>
      </c>
      <c r="B90" s="55" t="s">
        <v>158</v>
      </c>
      <c r="C90" s="79">
        <v>748</v>
      </c>
      <c r="D90" s="56" t="s">
        <v>35</v>
      </c>
      <c r="E90" s="80">
        <v>27</v>
      </c>
      <c r="F90" s="80">
        <v>53</v>
      </c>
      <c r="G90" s="57">
        <v>0</v>
      </c>
      <c r="H90" s="58"/>
      <c r="I90" s="62" t="s">
        <v>68</v>
      </c>
      <c r="J90" s="62" t="s">
        <v>68</v>
      </c>
      <c r="K90" s="60">
        <f>I91</f>
        <v>9.9577665240198704E-6</v>
      </c>
      <c r="L90" s="60">
        <f>I93</f>
        <v>-2.2856082746114566E-4</v>
      </c>
      <c r="M90" s="60">
        <f>(C90-$O$2)*K90+L90</f>
        <v>7.2198485325057175E-3</v>
      </c>
    </row>
    <row r="91" spans="1:13" ht="14">
      <c r="A91" s="55">
        <f t="shared" ref="A91:A97" si="16">A90</f>
        <v>15</v>
      </c>
      <c r="B91" s="55" t="s">
        <v>159</v>
      </c>
      <c r="C91" s="79">
        <v>841</v>
      </c>
      <c r="D91" s="56" t="s">
        <v>35</v>
      </c>
      <c r="E91" s="80">
        <v>73</v>
      </c>
      <c r="F91" s="80">
        <v>893</v>
      </c>
      <c r="G91" s="57">
        <v>5.0000000000000001E-4</v>
      </c>
      <c r="H91" s="58"/>
      <c r="I91" s="58">
        <f>SLOPE(G90:G96, E90:E96)</f>
        <v>9.9577665240198704E-6</v>
      </c>
      <c r="J91" s="58">
        <f>SLOPE(G90:G96, F90:F96)</f>
        <v>1.7029244669328053E-6</v>
      </c>
      <c r="K91" s="60">
        <f>I91</f>
        <v>9.9577665240198704E-6</v>
      </c>
      <c r="L91" s="60">
        <f>I93</f>
        <v>-2.2856082746114566E-4</v>
      </c>
      <c r="M91" s="60">
        <f>(C91-$O$2)*K91+L91</f>
        <v>8.145920819239566E-3</v>
      </c>
    </row>
    <row r="92" spans="1:13" ht="14">
      <c r="A92" s="55">
        <f t="shared" si="16"/>
        <v>15</v>
      </c>
      <c r="B92" s="55" t="s">
        <v>160</v>
      </c>
      <c r="C92" s="79">
        <v>346</v>
      </c>
      <c r="D92" s="56" t="s">
        <v>36</v>
      </c>
      <c r="E92" s="80">
        <v>125</v>
      </c>
      <c r="F92" s="80">
        <v>837</v>
      </c>
      <c r="G92" s="57">
        <v>1E-3</v>
      </c>
      <c r="H92" s="58"/>
      <c r="I92" s="62" t="s">
        <v>71</v>
      </c>
      <c r="J92" s="62" t="s">
        <v>71</v>
      </c>
      <c r="K92" s="60">
        <f>I91</f>
        <v>9.9577665240198704E-6</v>
      </c>
      <c r="L92" s="60">
        <f>I93</f>
        <v>-2.2856082746114566E-4</v>
      </c>
      <c r="M92" s="60">
        <f>(C92-$O$3)*K92 + L92</f>
        <v>3.2168263898497296E-3</v>
      </c>
    </row>
    <row r="93" spans="1:13" ht="14">
      <c r="A93" s="55">
        <f t="shared" si="16"/>
        <v>15</v>
      </c>
      <c r="B93" s="55" t="s">
        <v>161</v>
      </c>
      <c r="C93" s="79">
        <v>571</v>
      </c>
      <c r="D93" s="56" t="s">
        <v>36</v>
      </c>
      <c r="E93" s="80">
        <v>206</v>
      </c>
      <c r="F93" s="80">
        <v>1502</v>
      </c>
      <c r="G93" s="57">
        <v>2E-3</v>
      </c>
      <c r="H93" s="58"/>
      <c r="I93" s="58">
        <f>INTERCEPT(G90:G96, E90:E96)</f>
        <v>-2.2856082746114566E-4</v>
      </c>
      <c r="J93" s="58">
        <f>INTERCEPT(G90:G96, F90:F96)</f>
        <v>-6.6969534369755272E-4</v>
      </c>
      <c r="K93" s="60">
        <f>I91</f>
        <v>9.9577665240198704E-6</v>
      </c>
      <c r="L93" s="60">
        <f>I93</f>
        <v>-2.2856082746114566E-4</v>
      </c>
      <c r="M93" s="60">
        <f>(C93-$O$3)*K93+ L93</f>
        <v>5.4573238577542002E-3</v>
      </c>
    </row>
    <row r="94" spans="1:13" ht="14">
      <c r="A94" s="55">
        <f t="shared" si="16"/>
        <v>15</v>
      </c>
      <c r="B94" s="55" t="s">
        <v>162</v>
      </c>
      <c r="C94" s="79">
        <v>2418</v>
      </c>
      <c r="D94" s="56" t="s">
        <v>37</v>
      </c>
      <c r="E94" s="80">
        <v>548</v>
      </c>
      <c r="F94" s="80">
        <v>3577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1.7029244669328053E-6</v>
      </c>
      <c r="L94" s="60">
        <f>J93</f>
        <v>-6.6969534369755272E-4</v>
      </c>
      <c r="M94" s="60">
        <f>(C94-$O$4)*K94 + L94</f>
        <v>2.7855383997091093E-3</v>
      </c>
    </row>
    <row r="95" spans="1:13" ht="14">
      <c r="A95" s="55">
        <f t="shared" si="16"/>
        <v>15</v>
      </c>
      <c r="B95" s="55" t="s">
        <v>163</v>
      </c>
      <c r="C95" s="79">
        <v>2310</v>
      </c>
      <c r="D95" s="56" t="s">
        <v>37</v>
      </c>
      <c r="E95" s="80">
        <v>1015</v>
      </c>
      <c r="F95" s="80">
        <v>6643</v>
      </c>
      <c r="G95" s="57">
        <v>0.01</v>
      </c>
      <c r="H95" s="58"/>
      <c r="I95" s="61">
        <f>RSQ(G90:G96, E90:E96)</f>
        <v>0.99968472403621766</v>
      </c>
      <c r="J95" s="61">
        <f>RSQ(G90:G96, F90:F96)</f>
        <v>0.99575367016692284</v>
      </c>
      <c r="K95" s="60">
        <f>J91</f>
        <v>1.7029244669328053E-6</v>
      </c>
      <c r="L95" s="60">
        <f>J93</f>
        <v>-6.6969534369755272E-4</v>
      </c>
      <c r="M95" s="60">
        <f>(C95-$O$4)*K95 + L95</f>
        <v>2.601622557280366E-3</v>
      </c>
    </row>
    <row r="96" spans="1:13" ht="14">
      <c r="A96" s="55">
        <f t="shared" si="16"/>
        <v>15</v>
      </c>
      <c r="B96" s="55" t="s">
        <v>164</v>
      </c>
      <c r="C96" s="79">
        <v>157</v>
      </c>
      <c r="D96" s="56" t="s">
        <v>38</v>
      </c>
      <c r="E96" s="80">
        <v>2033</v>
      </c>
      <c r="F96" s="80">
        <v>11856</v>
      </c>
      <c r="G96" s="57">
        <v>0.02</v>
      </c>
      <c r="I96" s="58"/>
      <c r="J96" s="58"/>
      <c r="K96" s="60">
        <f>I91</f>
        <v>9.9577665240198704E-6</v>
      </c>
      <c r="L96" s="60">
        <f>I93</f>
        <v>-2.2856082746114566E-4</v>
      </c>
      <c r="M96" s="60">
        <f>(C96-$O$5)*K96 + L96</f>
        <v>1.334808516809974E-3</v>
      </c>
    </row>
    <row r="97" spans="1:13" ht="14">
      <c r="A97" s="55">
        <f t="shared" si="16"/>
        <v>15</v>
      </c>
      <c r="B97" s="55" t="s">
        <v>165</v>
      </c>
      <c r="C97" s="79">
        <v>158</v>
      </c>
      <c r="D97" s="56" t="s">
        <v>38</v>
      </c>
      <c r="E97" s="80">
        <v>17</v>
      </c>
      <c r="F97" s="80">
        <v>15</v>
      </c>
      <c r="G97" s="56"/>
      <c r="I97" s="58"/>
      <c r="J97" s="58"/>
      <c r="K97" s="60">
        <f>I91</f>
        <v>9.9577665240198704E-6</v>
      </c>
      <c r="L97" s="60">
        <f>I93</f>
        <v>-2.2856082746114566E-4</v>
      </c>
      <c r="M97" s="60">
        <f>(C97-$O$5)*K97 + L97</f>
        <v>1.3447662833339939E-3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7">AVERAGE(C2,C10,C18,C26,C34,C42,C50,C58,C66,C74,C82,C90)</f>
        <v>677.41666666666663</v>
      </c>
      <c r="D100" s="56" t="s">
        <v>35</v>
      </c>
      <c r="I100" s="58"/>
      <c r="J100" s="58"/>
    </row>
    <row r="101" spans="1:13" ht="14">
      <c r="C101" s="63">
        <f t="shared" si="17"/>
        <v>703.66666666666663</v>
      </c>
      <c r="D101" s="56" t="s">
        <v>35</v>
      </c>
      <c r="I101" s="58"/>
      <c r="J101" s="58"/>
    </row>
    <row r="102" spans="1:13" ht="14">
      <c r="C102" s="63">
        <f t="shared" si="17"/>
        <v>282.33333333333331</v>
      </c>
      <c r="D102" s="56" t="s">
        <v>36</v>
      </c>
      <c r="I102" s="58"/>
      <c r="J102" s="58"/>
    </row>
    <row r="103" spans="1:13" ht="14">
      <c r="C103" s="63">
        <f t="shared" si="17"/>
        <v>309.66666666666669</v>
      </c>
      <c r="D103" s="56" t="s">
        <v>36</v>
      </c>
      <c r="I103" s="58"/>
      <c r="J103" s="58"/>
    </row>
    <row r="104" spans="1:13" ht="14">
      <c r="C104" s="63">
        <f t="shared" si="17"/>
        <v>2106.3333333333335</v>
      </c>
      <c r="D104" s="56" t="s">
        <v>37</v>
      </c>
      <c r="I104" s="58"/>
      <c r="J104" s="58"/>
    </row>
    <row r="105" spans="1:13" ht="14">
      <c r="C105" s="63">
        <f t="shared" si="17"/>
        <v>2086</v>
      </c>
      <c r="D105" s="56" t="s">
        <v>37</v>
      </c>
      <c r="I105" s="58"/>
      <c r="J105" s="58"/>
    </row>
    <row r="106" spans="1:13" ht="14">
      <c r="C106" s="63">
        <f t="shared" si="17"/>
        <v>142.33333333333334</v>
      </c>
      <c r="D106" s="56" t="s">
        <v>38</v>
      </c>
      <c r="I106" s="58"/>
      <c r="J106" s="58"/>
    </row>
    <row r="107" spans="1:13" ht="14">
      <c r="C107" s="63">
        <f t="shared" si="17"/>
        <v>147.58333333333334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6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13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1640-0841-0040-8B80-193AD64E9E4E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I1" sqref="I1:J1048576"/>
      <selection pane="topRight" activeCell="I1" sqref="I1:J1048576"/>
      <selection pane="bottomLeft" activeCell="I1" sqref="I1:J1048576"/>
      <selection pane="bottomRight" activeCell="T3" sqref="T3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16</v>
      </c>
      <c r="B2" s="55" t="s">
        <v>67</v>
      </c>
      <c r="C2" s="80">
        <v>348</v>
      </c>
      <c r="D2" s="56" t="s">
        <v>35</v>
      </c>
      <c r="E2" s="80">
        <v>27</v>
      </c>
      <c r="F2" s="80">
        <v>30</v>
      </c>
      <c r="G2" s="57">
        <v>0</v>
      </c>
      <c r="H2" s="58"/>
      <c r="I2" s="59" t="s">
        <v>68</v>
      </c>
      <c r="J2" s="59" t="s">
        <v>68</v>
      </c>
      <c r="K2" s="60">
        <f>I3</f>
        <v>1.0422287769984916E-5</v>
      </c>
      <c r="L2" s="60">
        <f>I5</f>
        <v>-6.1034974413379586E-5</v>
      </c>
      <c r="M2" s="60">
        <f>(C2-$O$2)*K2+L2</f>
        <v>3.5659211695413711E-3</v>
      </c>
      <c r="N2" s="47" t="str">
        <f>'enzyme setup and metadata'!F179</f>
        <v>BG</v>
      </c>
      <c r="O2" s="47">
        <f>'enzyme setup and metadata'!G179</f>
        <v>0</v>
      </c>
      <c r="P2" s="14">
        <f>'enzyme setup and metadata'!A14</f>
        <v>16</v>
      </c>
      <c r="Q2" s="66">
        <f>'enzyme setup and metadata'!I14</f>
        <v>2.1944577927278552</v>
      </c>
      <c r="R2" s="14">
        <f>'enzyme setup and metadata'!R177</f>
        <v>3.2333333332207985</v>
      </c>
      <c r="S2" s="14">
        <f>(((M2+M3)/2)*91)/(R2*Q2*0.8)</f>
        <v>5.8587224097697559E-2</v>
      </c>
      <c r="T2" s="14">
        <f>(((M4+M5)/2)*91)/(R2*Q2*0.8)</f>
        <v>3.3190345565956673E-2</v>
      </c>
      <c r="U2" s="14">
        <f>(((M6+M7)/2)*91)/(R2*Q2*0.8)</f>
        <v>2.6960233928728792E-2</v>
      </c>
      <c r="V2" s="14">
        <f>(((M8+M9)/2)*91)/(R2*Q2*0.8)</f>
        <v>1.9155228482626182E-2</v>
      </c>
      <c r="W2" s="14">
        <f>S2*1000</f>
        <v>58.587224097697558</v>
      </c>
      <c r="X2" s="14">
        <f>T2*1000</f>
        <v>33.190345565956676</v>
      </c>
      <c r="Y2" s="14">
        <f>U2*1000</f>
        <v>26.96023392872879</v>
      </c>
      <c r="Z2" s="14">
        <f>V2*1000</f>
        <v>19.155228482626182</v>
      </c>
    </row>
    <row r="3" spans="1:26" ht="14">
      <c r="A3" s="55">
        <f t="shared" ref="A3:A9" si="0">A2</f>
        <v>16</v>
      </c>
      <c r="B3" s="55" t="s">
        <v>69</v>
      </c>
      <c r="C3" s="80">
        <v>365</v>
      </c>
      <c r="D3" s="56" t="s">
        <v>35</v>
      </c>
      <c r="E3" s="80">
        <v>76</v>
      </c>
      <c r="F3" s="80">
        <v>320</v>
      </c>
      <c r="G3" s="57">
        <v>5.0000000000000001E-4</v>
      </c>
      <c r="H3" s="58"/>
      <c r="I3" s="59">
        <f>SLOPE(G2:G8, E2:E8)</f>
        <v>1.0422287769984916E-5</v>
      </c>
      <c r="J3" s="59">
        <f>SLOPE(G2:G8, F2:F8)</f>
        <v>1.7955166606585091E-6</v>
      </c>
      <c r="K3" s="60">
        <f>I3</f>
        <v>1.0422287769984916E-5</v>
      </c>
      <c r="L3" s="60">
        <f>I5</f>
        <v>-6.1034974413379586E-5</v>
      </c>
      <c r="M3" s="60">
        <f>(C3-$O$2)*K3+L3</f>
        <v>3.7431000616311148E-3</v>
      </c>
      <c r="N3" s="47" t="str">
        <f>'enzyme setup and metadata'!F180</f>
        <v>CB</v>
      </c>
      <c r="O3" s="47">
        <f>'enzyme setup and metadata'!G180</f>
        <v>0</v>
      </c>
      <c r="P3" s="14">
        <f>'enzyme setup and metadata'!A15</f>
        <v>17</v>
      </c>
      <c r="Q3" s="66">
        <f>'enzyme setup and metadata'!I15</f>
        <v>2.2349025202092245</v>
      </c>
      <c r="R3" s="14">
        <f>R2</f>
        <v>3.2333333332207985</v>
      </c>
      <c r="S3" s="14">
        <f>(((M10+M11)/2)*91)/(R3*Q3*0.8)</f>
        <v>5.780821878660878E-2</v>
      </c>
      <c r="T3" s="14">
        <f>(((M12+M13)/2)*91)/(R3*Q3*0.8)</f>
        <v>2.9106898690493582E-2</v>
      </c>
      <c r="U3" s="14">
        <f>(((M14+M15)/2)*91)/(R3*Q3*0.8)</f>
        <v>2.7834714925401554E-2</v>
      </c>
      <c r="V3" s="14">
        <f>(((M16+M17)/2)*91)/(R3*Q3*0.8)</f>
        <v>1.5152665715586745E-2</v>
      </c>
      <c r="W3" s="14">
        <f>S3*1000</f>
        <v>57.808218786608776</v>
      </c>
      <c r="X3" s="14">
        <f t="shared" ref="X3:Z13" si="1">T3*1000</f>
        <v>29.10689869049358</v>
      </c>
      <c r="Y3" s="14">
        <f t="shared" si="1"/>
        <v>27.834714925401553</v>
      </c>
      <c r="Z3" s="14">
        <f t="shared" si="1"/>
        <v>15.152665715586746</v>
      </c>
    </row>
    <row r="4" spans="1:26" ht="14">
      <c r="A4" s="55">
        <f t="shared" si="0"/>
        <v>16</v>
      </c>
      <c r="B4" s="55" t="s">
        <v>70</v>
      </c>
      <c r="C4" s="80">
        <v>168</v>
      </c>
      <c r="D4" s="56" t="s">
        <v>36</v>
      </c>
      <c r="E4" s="80">
        <v>105</v>
      </c>
      <c r="F4" s="80">
        <v>645</v>
      </c>
      <c r="G4" s="57">
        <v>1E-3</v>
      </c>
      <c r="H4" s="58"/>
      <c r="I4" s="59" t="s">
        <v>71</v>
      </c>
      <c r="J4" s="59" t="s">
        <v>71</v>
      </c>
      <c r="K4" s="60">
        <f>I3</f>
        <v>1.0422287769984916E-5</v>
      </c>
      <c r="L4" s="60">
        <f>I5</f>
        <v>-6.1034974413379586E-5</v>
      </c>
      <c r="M4" s="60">
        <f>(C4-$O$3)*K4 + L4</f>
        <v>1.6899093709440863E-3</v>
      </c>
      <c r="N4" s="47" t="str">
        <f>'enzyme setup and metadata'!F181</f>
        <v>LAP</v>
      </c>
      <c r="O4" s="47">
        <f>'enzyme setup and metadata'!G181</f>
        <v>389</v>
      </c>
      <c r="P4" s="14">
        <f>'enzyme setup and metadata'!A16</f>
        <v>18</v>
      </c>
      <c r="Q4" s="66">
        <f>'enzyme setup and metadata'!I16</f>
        <v>2.234902520209225</v>
      </c>
      <c r="R4" s="14">
        <f t="shared" ref="R4:R13" si="2">R3</f>
        <v>3.2333333332207985</v>
      </c>
      <c r="S4" s="14">
        <f>(((M18+M19)/2)*91)/(R4*Q4*0.8)</f>
        <v>5.9984392518339251E-2</v>
      </c>
      <c r="T4" s="14">
        <f>(((M20+M21)/2)*91)/(R4*Q4*0.8)</f>
        <v>2.4412516040129614E-2</v>
      </c>
      <c r="U4" s="14">
        <f>(((M22+M23)/2)*91)/(R4*Q4*0.8)</f>
        <v>2.4712833652262241E-2</v>
      </c>
      <c r="V4" s="14">
        <f>(((M24+M25)/2)*91)/(R4*Q4*0.8)</f>
        <v>1.4105196712020937E-2</v>
      </c>
      <c r="W4" s="14">
        <f>S4*1000</f>
        <v>59.984392518339249</v>
      </c>
      <c r="X4" s="14">
        <f t="shared" si="1"/>
        <v>24.412516040129614</v>
      </c>
      <c r="Y4" s="14">
        <f t="shared" si="1"/>
        <v>24.71283365226224</v>
      </c>
      <c r="Z4" s="14">
        <f t="shared" si="1"/>
        <v>14.105196712020938</v>
      </c>
    </row>
    <row r="5" spans="1:26" ht="14">
      <c r="A5" s="55">
        <f t="shared" si="0"/>
        <v>16</v>
      </c>
      <c r="B5" s="55" t="s">
        <v>72</v>
      </c>
      <c r="C5" s="80">
        <v>241</v>
      </c>
      <c r="D5" s="56" t="s">
        <v>36</v>
      </c>
      <c r="E5" s="80">
        <v>193</v>
      </c>
      <c r="F5" s="80">
        <v>1270</v>
      </c>
      <c r="G5" s="57">
        <v>2E-3</v>
      </c>
      <c r="H5" s="58"/>
      <c r="I5" s="59">
        <f>INTERCEPT(G2:G8, E2:E8)</f>
        <v>-6.1034974413379586E-5</v>
      </c>
      <c r="J5" s="59">
        <f>INTERCEPT(G2:G8, F2:F8)</f>
        <v>-1.5869900725533782E-4</v>
      </c>
      <c r="K5" s="60">
        <f>I3</f>
        <v>1.0422287769984916E-5</v>
      </c>
      <c r="L5" s="60">
        <f>I5</f>
        <v>-6.1034974413379586E-5</v>
      </c>
      <c r="M5" s="60">
        <f>(C5-$O$3)*K5+ L5</f>
        <v>2.4507363781529853E-3</v>
      </c>
      <c r="N5" s="47" t="str">
        <f>'enzyme setup and metadata'!F182</f>
        <v>XYL</v>
      </c>
      <c r="O5" s="47">
        <f>'enzyme setup and metadata'!G182</f>
        <v>0</v>
      </c>
      <c r="P5" s="14">
        <f>'enzyme setup and metadata'!A17</f>
        <v>20</v>
      </c>
      <c r="Q5" s="66">
        <f>'enzyme setup and metadata'!I17</f>
        <v>2.1811548223350252</v>
      </c>
      <c r="R5" s="14">
        <f t="shared" si="2"/>
        <v>3.2333333332207985</v>
      </c>
      <c r="S5" s="14">
        <f>(((M26+M27)/2)*91)/(R5*Q5*0.8)</f>
        <v>5.6479809983165707E-2</v>
      </c>
      <c r="T5" s="14">
        <f>(((M28+M29)/2)*91)/(R5*Q5*0.8)</f>
        <v>2.3559375361373293E-2</v>
      </c>
      <c r="U5" s="14">
        <f>(((M30+M31)/2)*91)/(R5*Q5*0.8)</f>
        <v>2.4512737758895595E-2</v>
      </c>
      <c r="V5" s="14">
        <f>(((M32+M33)/2)*91)/(R5*Q5*0.8)</f>
        <v>1.2274592807803788E-2</v>
      </c>
      <c r="W5" s="14">
        <f t="shared" ref="W5:W13" si="3">S5*1000</f>
        <v>56.479809983165708</v>
      </c>
      <c r="X5" s="14">
        <f t="shared" si="1"/>
        <v>23.559375361373291</v>
      </c>
      <c r="Y5" s="14">
        <f t="shared" si="1"/>
        <v>24.512737758895597</v>
      </c>
      <c r="Z5" s="14">
        <f t="shared" si="1"/>
        <v>12.274592807803788</v>
      </c>
    </row>
    <row r="6" spans="1:26" ht="14">
      <c r="A6" s="55">
        <f t="shared" si="0"/>
        <v>16</v>
      </c>
      <c r="B6" s="55" t="s">
        <v>73</v>
      </c>
      <c r="C6" s="80">
        <v>1452</v>
      </c>
      <c r="D6" s="56" t="s">
        <v>37</v>
      </c>
      <c r="E6" s="80">
        <v>457</v>
      </c>
      <c r="F6" s="80">
        <v>3073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1.7955166606585091E-6</v>
      </c>
      <c r="L6" s="60">
        <f>J5</f>
        <v>-1.5869900725533782E-4</v>
      </c>
      <c r="M6" s="60">
        <f>(C6-$O$4)*K6 + L6</f>
        <v>1.7499352030246574E-3</v>
      </c>
      <c r="P6" s="14">
        <f>'enzyme setup and metadata'!A18</f>
        <v>21</v>
      </c>
      <c r="Q6" s="66">
        <f>'enzyme setup and metadata'!I18</f>
        <v>2.2624434389140271</v>
      </c>
      <c r="R6" s="14">
        <f t="shared" si="2"/>
        <v>3.2333333332207985</v>
      </c>
      <c r="S6" s="14">
        <f>(((M34+M35)/2)*91)/(R6*Q6*0.8)</f>
        <v>5.6037026106466922E-2</v>
      </c>
      <c r="T6" s="14">
        <f>(((M36+M37)/2)*91)/(R6*Q6*0.8)</f>
        <v>2.5738913138370696E-2</v>
      </c>
      <c r="U6" s="14">
        <f>(((M38+M39)/2)*91)/(R6*Q6*0.8)</f>
        <v>2.3814881865042718E-2</v>
      </c>
      <c r="V6" s="14">
        <f>(((M40+M41)/2)*91)/(R6*Q6*0.8)</f>
        <v>1.3465372005461345E-2</v>
      </c>
      <c r="W6" s="14">
        <f t="shared" si="3"/>
        <v>56.037026106466925</v>
      </c>
      <c r="X6" s="14">
        <f t="shared" si="1"/>
        <v>25.738913138370695</v>
      </c>
      <c r="Y6" s="14">
        <f t="shared" si="1"/>
        <v>23.814881865042718</v>
      </c>
      <c r="Z6" s="14">
        <f t="shared" si="1"/>
        <v>13.465372005461345</v>
      </c>
    </row>
    <row r="7" spans="1:26" ht="14">
      <c r="A7" s="55">
        <f t="shared" si="0"/>
        <v>16</v>
      </c>
      <c r="B7" s="55" t="s">
        <v>75</v>
      </c>
      <c r="C7" s="80">
        <v>1376</v>
      </c>
      <c r="D7" s="56" t="s">
        <v>37</v>
      </c>
      <c r="E7" s="80">
        <v>929</v>
      </c>
      <c r="F7" s="80">
        <v>5461</v>
      </c>
      <c r="G7" s="57">
        <v>0.01</v>
      </c>
      <c r="H7" s="58"/>
      <c r="I7" s="61">
        <f>RSQ(G2:G8, E2:E8)</f>
        <v>0.99875622031897848</v>
      </c>
      <c r="J7" s="61">
        <f>RSQ(G2:G8, F2:F8)</f>
        <v>0.99908804529630735</v>
      </c>
      <c r="K7" s="60">
        <f>J3</f>
        <v>1.7955166606585091E-6</v>
      </c>
      <c r="L7" s="60">
        <f>J5</f>
        <v>-1.5869900725533782E-4</v>
      </c>
      <c r="M7" s="60">
        <f>(C7-$O$4)*K7 + L7</f>
        <v>1.6134759368146108E-3</v>
      </c>
      <c r="P7" s="14">
        <f>'enzyme setup and metadata'!A19</f>
        <v>22</v>
      </c>
      <c r="Q7" s="66">
        <f>'enzyme setup and metadata'!I19</f>
        <v>2.207627789207153</v>
      </c>
      <c r="R7" s="14">
        <f t="shared" si="2"/>
        <v>3.2333333332207985</v>
      </c>
      <c r="S7" s="14">
        <f>(((M42+M43)/2)*91)/(R7*Q7*0.8)</f>
        <v>5.7859167134541957E-2</v>
      </c>
      <c r="T7" s="14">
        <f>(((M44+M45)/2)*91)/(R7*Q7*0.8)</f>
        <v>2.5578769406540237E-2</v>
      </c>
      <c r="U7" s="14">
        <f>(((M46+M47)/2)*91)/(R7*Q7*0.8)</f>
        <v>2.8822964568373292E-2</v>
      </c>
      <c r="V7" s="14">
        <f>(((M48+M49)/2)*91)/(R7*Q7*0.8)</f>
        <v>1.2369941452193802E-2</v>
      </c>
      <c r="W7" s="14">
        <f t="shared" si="3"/>
        <v>57.859167134541956</v>
      </c>
      <c r="X7" s="14">
        <f t="shared" si="1"/>
        <v>25.578769406540236</v>
      </c>
      <c r="Y7" s="14">
        <f t="shared" si="1"/>
        <v>28.822964568373294</v>
      </c>
      <c r="Z7" s="14">
        <f t="shared" si="1"/>
        <v>12.369941452193801</v>
      </c>
    </row>
    <row r="8" spans="1:26" ht="14">
      <c r="A8" s="55">
        <f t="shared" si="0"/>
        <v>16</v>
      </c>
      <c r="B8" s="55" t="s">
        <v>76</v>
      </c>
      <c r="C8" s="80">
        <v>115</v>
      </c>
      <c r="D8" s="56" t="s">
        <v>38</v>
      </c>
      <c r="E8" s="80">
        <v>1948</v>
      </c>
      <c r="F8" s="80">
        <v>11262</v>
      </c>
      <c r="G8" s="57">
        <v>0.02</v>
      </c>
      <c r="H8" s="58"/>
      <c r="I8" s="58"/>
      <c r="J8" s="58"/>
      <c r="K8" s="60">
        <f>I3</f>
        <v>1.0422287769984916E-5</v>
      </c>
      <c r="L8" s="60">
        <f>I5</f>
        <v>-6.1034974413379586E-5</v>
      </c>
      <c r="M8" s="60">
        <f>(C8-$O$5)*K8 + L8</f>
        <v>1.1375281191348856E-3</v>
      </c>
      <c r="P8" s="14">
        <f>'enzyme setup and metadata'!A20</f>
        <v>23</v>
      </c>
      <c r="Q8" s="66">
        <f>'enzyme setup and metadata'!I20</f>
        <v>2.1421770866391627</v>
      </c>
      <c r="R8" s="14">
        <f t="shared" si="2"/>
        <v>3.2333333332207985</v>
      </c>
      <c r="S8" s="14">
        <f>(((M50+M51)/2)*91)/(R8*Q8*0.8)</f>
        <v>6.5471481968447764E-2</v>
      </c>
      <c r="T8" s="14">
        <f>(((M52+M53)/2)*91)/(R8*Q8*0.8)</f>
        <v>2.8334935236640015E-2</v>
      </c>
      <c r="U8" s="14">
        <f>(((M54+M55)/2)*91)/(R8*Q8*0.8)</f>
        <v>2.6052984520008773E-2</v>
      </c>
      <c r="V8" s="14">
        <f>(((M56+M57)/2)*91)/(R8*Q8*0.8)</f>
        <v>1.4091801851549093E-2</v>
      </c>
      <c r="W8" s="14">
        <f t="shared" si="3"/>
        <v>65.471481968447762</v>
      </c>
      <c r="X8" s="14">
        <f t="shared" si="1"/>
        <v>28.334935236640014</v>
      </c>
      <c r="Y8" s="14">
        <f t="shared" si="1"/>
        <v>26.052984520008774</v>
      </c>
      <c r="Z8" s="14">
        <f t="shared" si="1"/>
        <v>14.091801851549093</v>
      </c>
    </row>
    <row r="9" spans="1:26" ht="14">
      <c r="A9" s="55">
        <f t="shared" si="0"/>
        <v>16</v>
      </c>
      <c r="B9" s="55" t="s">
        <v>77</v>
      </c>
      <c r="C9" s="80">
        <v>126</v>
      </c>
      <c r="D9" s="56" t="s">
        <v>38</v>
      </c>
      <c r="E9" s="80">
        <v>18</v>
      </c>
      <c r="F9" s="80">
        <v>10</v>
      </c>
      <c r="G9" s="56"/>
      <c r="H9" s="58"/>
      <c r="I9" s="58"/>
      <c r="J9" s="58"/>
      <c r="K9" s="60">
        <f>I3</f>
        <v>1.0422287769984916E-5</v>
      </c>
      <c r="L9" s="60">
        <f>I5</f>
        <v>-6.1034974413379586E-5</v>
      </c>
      <c r="M9" s="60">
        <f>(C9-$O$5)*K9 + L9</f>
        <v>1.2521732846047199E-3</v>
      </c>
      <c r="P9" s="14">
        <f>'enzyme setup and metadata'!A21</f>
        <v>25</v>
      </c>
      <c r="Q9" s="66">
        <f>'enzyme setup and metadata'!I21</f>
        <v>2.2032017752417183</v>
      </c>
      <c r="R9" s="14">
        <f t="shared" si="2"/>
        <v>3.2333333332207985</v>
      </c>
      <c r="S9" s="14">
        <f>(((M58+M59)/2)*91)/(R9*Q9*0.8)</f>
        <v>7.0127512715470131E-2</v>
      </c>
      <c r="T9" s="14">
        <f>(((M60+M61)/2)*91)/(R9*Q9*0.8)</f>
        <v>3.2930419610095588E-2</v>
      </c>
      <c r="U9" s="14">
        <f>(((M62+M63)/2)*91)/(R9*Q9*0.8)</f>
        <v>2.6869784972680721E-2</v>
      </c>
      <c r="V9" s="14">
        <f>(((M64+M65)/2)*91)/(R9*Q9*0.8)</f>
        <v>1.3429030991743881E-2</v>
      </c>
      <c r="W9" s="14">
        <f t="shared" si="3"/>
        <v>70.127512715470132</v>
      </c>
      <c r="X9" s="14">
        <f t="shared" si="1"/>
        <v>32.930419610095591</v>
      </c>
      <c r="Y9" s="14">
        <f t="shared" si="1"/>
        <v>26.869784972680723</v>
      </c>
      <c r="Z9" s="14">
        <f t="shared" si="1"/>
        <v>13.429030991743881</v>
      </c>
    </row>
    <row r="10" spans="1:26" ht="14">
      <c r="A10" s="55">
        <f>P3</f>
        <v>17</v>
      </c>
      <c r="B10" s="55" t="s">
        <v>78</v>
      </c>
      <c r="C10" s="80">
        <v>377</v>
      </c>
      <c r="D10" s="56" t="s">
        <v>35</v>
      </c>
      <c r="E10" s="80">
        <v>28</v>
      </c>
      <c r="F10" s="80">
        <v>32</v>
      </c>
      <c r="G10" s="57">
        <v>0</v>
      </c>
      <c r="H10" s="58"/>
      <c r="I10" s="59" t="s">
        <v>68</v>
      </c>
      <c r="J10" s="59" t="s">
        <v>68</v>
      </c>
      <c r="K10" s="60">
        <f>I11</f>
        <v>1.0073513129822483E-5</v>
      </c>
      <c r="L10" s="60">
        <f>I13</f>
        <v>-2.2607267765195095E-4</v>
      </c>
      <c r="M10" s="60">
        <f>(C10-$O$2)*K10+L10</f>
        <v>3.5716417722911251E-3</v>
      </c>
      <c r="P10" s="14">
        <f>'enzyme setup and metadata'!A22</f>
        <v>26</v>
      </c>
      <c r="Q10" s="66">
        <f>'enzyme setup and metadata'!I22</f>
        <v>2.1866582158136589</v>
      </c>
      <c r="R10" s="14">
        <f t="shared" si="2"/>
        <v>3.2333333332207985</v>
      </c>
      <c r="S10" s="14">
        <f>(((M66+M67)/2)*91)/(R10*Q10*0.8)</f>
        <v>7.3742695156206448E-2</v>
      </c>
      <c r="T10" s="14">
        <f>(((M68+M69)/2)*91)/(R10*Q10*0.8)</f>
        <v>3.1805060971824603E-2</v>
      </c>
      <c r="U10" s="14">
        <f>(((M70+M71)/2)*91)/(R10*Q10*0.8)</f>
        <v>2.6877854478434007E-2</v>
      </c>
      <c r="V10" s="14">
        <f>(((M72+M73)/2)*91)/(R10*Q10*0.8)</f>
        <v>1.3740708409295265E-2</v>
      </c>
      <c r="W10" s="14">
        <f t="shared" si="3"/>
        <v>73.742695156206452</v>
      </c>
      <c r="X10" s="14">
        <f t="shared" si="1"/>
        <v>31.805060971824602</v>
      </c>
      <c r="Y10" s="14">
        <f t="shared" si="1"/>
        <v>26.877854478434006</v>
      </c>
      <c r="Z10" s="14">
        <f t="shared" si="1"/>
        <v>13.740708409295266</v>
      </c>
    </row>
    <row r="11" spans="1:26" ht="14">
      <c r="A11" s="55">
        <f t="shared" ref="A11:A17" si="4">A10</f>
        <v>17</v>
      </c>
      <c r="B11" s="55" t="s">
        <v>79</v>
      </c>
      <c r="C11" s="80">
        <v>397</v>
      </c>
      <c r="D11" s="56" t="s">
        <v>35</v>
      </c>
      <c r="E11" s="80">
        <v>72</v>
      </c>
      <c r="F11" s="80">
        <v>330</v>
      </c>
      <c r="G11" s="57">
        <v>5.0000000000000001E-4</v>
      </c>
      <c r="H11" s="58"/>
      <c r="I11" s="59">
        <f>SLOPE(G10:G16, E10:E16)</f>
        <v>1.0073513129822483E-5</v>
      </c>
      <c r="J11" s="59">
        <f>SLOPE(G10:G16, F10:F16)</f>
        <v>1.6921281322400583E-6</v>
      </c>
      <c r="K11" s="60">
        <f>I11</f>
        <v>1.0073513129822483E-5</v>
      </c>
      <c r="L11" s="60">
        <f>I13</f>
        <v>-2.2607267765195095E-4</v>
      </c>
      <c r="M11" s="60">
        <f>(C11-$O$2)*K11+L11</f>
        <v>3.7731120348875749E-3</v>
      </c>
      <c r="P11" s="14">
        <f>'enzyme setup and metadata'!A23</f>
        <v>27</v>
      </c>
      <c r="Q11" s="66">
        <f>'enzyme setup and metadata'!I23</f>
        <v>2.1580450650587117</v>
      </c>
      <c r="R11" s="14">
        <f t="shared" si="2"/>
        <v>3.2333333332207985</v>
      </c>
      <c r="S11" s="14">
        <f>(((M74+M75)/2)*91)/(R11*Q11*0.8)</f>
        <v>7.0088147347542776E-2</v>
      </c>
      <c r="T11" s="14">
        <f>(((M76+M77)/2)*91)/(R11*Q11*0.8)</f>
        <v>2.9632057504933147E-2</v>
      </c>
      <c r="U11" s="14">
        <f>(((M78+M79)/2)*91)/(R11*Q11*0.8)</f>
        <v>2.9989040038888477E-2</v>
      </c>
      <c r="V11" s="14">
        <f>(((M80+M81)/2)*91)/(R11*Q11*0.8)</f>
        <v>1.1659928374108423E-2</v>
      </c>
      <c r="W11" s="14">
        <f t="shared" si="3"/>
        <v>70.088147347542773</v>
      </c>
      <c r="X11" s="14">
        <f t="shared" si="1"/>
        <v>29.632057504933147</v>
      </c>
      <c r="Y11" s="14">
        <f t="shared" si="1"/>
        <v>29.989040038888476</v>
      </c>
      <c r="Z11" s="14">
        <f t="shared" si="1"/>
        <v>11.659928374108423</v>
      </c>
    </row>
    <row r="12" spans="1:26" ht="14">
      <c r="A12" s="55">
        <f t="shared" si="4"/>
        <v>17</v>
      </c>
      <c r="B12" s="55" t="s">
        <v>80</v>
      </c>
      <c r="C12" s="80">
        <v>191</v>
      </c>
      <c r="D12" s="56" t="s">
        <v>36</v>
      </c>
      <c r="E12" s="80">
        <v>117</v>
      </c>
      <c r="F12" s="80">
        <v>701</v>
      </c>
      <c r="G12" s="57">
        <v>1E-3</v>
      </c>
      <c r="H12" s="58"/>
      <c r="I12" s="59" t="s">
        <v>71</v>
      </c>
      <c r="J12" s="59" t="s">
        <v>71</v>
      </c>
      <c r="K12" s="60">
        <f>I11</f>
        <v>1.0073513129822483E-5</v>
      </c>
      <c r="L12" s="60">
        <f>I13</f>
        <v>-2.2607267765195095E-4</v>
      </c>
      <c r="M12" s="60">
        <f>(C12-$O$3)*K12 + L12</f>
        <v>1.6979683301441434E-3</v>
      </c>
      <c r="P12" s="14">
        <f>'enzyme setup and metadata'!A24</f>
        <v>28</v>
      </c>
      <c r="Q12" s="66">
        <f>'enzyme setup and metadata'!I24</f>
        <v>2.1959727287141266</v>
      </c>
      <c r="R12" s="14">
        <f t="shared" si="2"/>
        <v>3.2333333332207985</v>
      </c>
      <c r="S12" s="14">
        <f>(((M82+M83)/2)*91)/(R12*Q12*0.8)</f>
        <v>7.0568978337237076E-2</v>
      </c>
      <c r="T12" s="14">
        <f>(((M84+M85)/2)*91)/(R12*Q12*0.8)</f>
        <v>2.9378511222047682E-2</v>
      </c>
      <c r="U12" s="14">
        <f>(((M86+M87)/2)*91)/(R12*Q12*0.8)</f>
        <v>3.2763519229117098E-2</v>
      </c>
      <c r="V12" s="14">
        <f>(((M88+M89)/2)*91)/(R12*Q12*0.8)</f>
        <v>1.5206197960380823E-2</v>
      </c>
      <c r="W12" s="14">
        <f t="shared" si="3"/>
        <v>70.56897833723707</v>
      </c>
      <c r="X12" s="14">
        <f t="shared" si="1"/>
        <v>29.378511222047681</v>
      </c>
      <c r="Y12" s="14">
        <f t="shared" si="1"/>
        <v>32.763519229117101</v>
      </c>
      <c r="Z12" s="14">
        <f t="shared" si="1"/>
        <v>15.206197960380823</v>
      </c>
    </row>
    <row r="13" spans="1:26" ht="14">
      <c r="A13" s="55">
        <f t="shared" si="4"/>
        <v>17</v>
      </c>
      <c r="B13" s="55" t="s">
        <v>81</v>
      </c>
      <c r="C13" s="80">
        <v>221</v>
      </c>
      <c r="D13" s="56" t="s">
        <v>36</v>
      </c>
      <c r="E13" s="80">
        <v>206</v>
      </c>
      <c r="F13" s="80">
        <v>1318</v>
      </c>
      <c r="G13" s="57">
        <v>2E-3</v>
      </c>
      <c r="H13" s="58"/>
      <c r="I13" s="59">
        <f>INTERCEPT(G10:G16, E10:E16)</f>
        <v>-2.2607267765195095E-4</v>
      </c>
      <c r="J13" s="59">
        <f>INTERCEPT(G10:G16, F10:F16)</f>
        <v>-1.36237075901313E-4</v>
      </c>
      <c r="K13" s="60">
        <f>I11</f>
        <v>1.0073513129822483E-5</v>
      </c>
      <c r="L13" s="60">
        <f>I13</f>
        <v>-2.2607267765195095E-4</v>
      </c>
      <c r="M13" s="60">
        <f>(C13-$O$3)*K13+ L13</f>
        <v>2.0001737240388177E-3</v>
      </c>
      <c r="P13" s="14">
        <f>'enzyme setup and metadata'!A25</f>
        <v>30</v>
      </c>
      <c r="Q13" s="66">
        <f>'enzyme setup and metadata'!I25</f>
        <v>2.1490880253766851</v>
      </c>
      <c r="R13" s="14">
        <f t="shared" si="2"/>
        <v>3.2333333332207985</v>
      </c>
      <c r="S13" s="14">
        <f>(((M90+M91)/2)*91)/(R13*Q13*0.8)</f>
        <v>7.1433505079382301E-2</v>
      </c>
      <c r="T13" s="14">
        <f>(((M92+M93)/2)*91)/(R13*Q13*0.8)</f>
        <v>3.2242723773089857E-2</v>
      </c>
      <c r="U13" s="14">
        <f>(((M94+M95)/2)*91)/(R13*Q13*0.8)</f>
        <v>3.7109999668572723E-2</v>
      </c>
      <c r="V13" s="14">
        <f>(((M96+M97)/2)*91)/(R13*Q13*0.8)</f>
        <v>1.3039954790589559E-2</v>
      </c>
      <c r="W13" s="14">
        <f t="shared" si="3"/>
        <v>71.4335050793823</v>
      </c>
      <c r="X13" s="14">
        <f t="shared" si="1"/>
        <v>32.242723773089857</v>
      </c>
      <c r="Y13" s="14">
        <f t="shared" si="1"/>
        <v>37.109999668572719</v>
      </c>
      <c r="Z13" s="14">
        <f t="shared" si="1"/>
        <v>13.039954790589558</v>
      </c>
    </row>
    <row r="14" spans="1:26" ht="14">
      <c r="A14" s="55">
        <f t="shared" si="4"/>
        <v>17</v>
      </c>
      <c r="B14" s="55" t="s">
        <v>82</v>
      </c>
      <c r="C14" s="80">
        <v>1555</v>
      </c>
      <c r="D14" s="56" t="s">
        <v>37</v>
      </c>
      <c r="E14" s="80">
        <v>524</v>
      </c>
      <c r="F14" s="80">
        <v>3173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1.6921281322400583E-6</v>
      </c>
      <c r="L14" s="60">
        <f>J13</f>
        <v>-1.36237075901313E-4</v>
      </c>
      <c r="M14" s="60">
        <f>(C14-$O$4)*K14 + L14</f>
        <v>1.836784326290595E-3</v>
      </c>
    </row>
    <row r="15" spans="1:26" ht="14">
      <c r="A15" s="55">
        <f t="shared" si="4"/>
        <v>17</v>
      </c>
      <c r="B15" s="55" t="s">
        <v>83</v>
      </c>
      <c r="C15" s="80">
        <v>1474</v>
      </c>
      <c r="D15" s="56" t="s">
        <v>37</v>
      </c>
      <c r="E15" s="80">
        <v>1033</v>
      </c>
      <c r="F15" s="80">
        <v>5824</v>
      </c>
      <c r="G15" s="57">
        <v>0.01</v>
      </c>
      <c r="H15" s="58"/>
      <c r="I15" s="61">
        <f>RSQ(G10:G16, E10:E16)</f>
        <v>0.99977641064443812</v>
      </c>
      <c r="J15" s="61">
        <f>RSQ(G10:G16, F10:F16)</f>
        <v>0.99949253811676586</v>
      </c>
      <c r="K15" s="60">
        <f>J11</f>
        <v>1.6921281322400583E-6</v>
      </c>
      <c r="L15" s="60">
        <f>J13</f>
        <v>-1.36237075901313E-4</v>
      </c>
      <c r="M15" s="60">
        <f>(C15-$O$4)*K15 + L15</f>
        <v>1.6997219475791503E-3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17</v>
      </c>
      <c r="B16" s="55" t="s">
        <v>84</v>
      </c>
      <c r="C16" s="80">
        <v>111</v>
      </c>
      <c r="D16" s="56" t="s">
        <v>38</v>
      </c>
      <c r="E16" s="80">
        <v>1999</v>
      </c>
      <c r="F16" s="80">
        <v>11938</v>
      </c>
      <c r="G16" s="57">
        <v>0.02</v>
      </c>
      <c r="H16" s="58"/>
      <c r="I16" s="58"/>
      <c r="J16" s="58"/>
      <c r="K16" s="60">
        <f>I11</f>
        <v>1.0073513129822483E-5</v>
      </c>
      <c r="L16" s="60">
        <f>I13</f>
        <v>-2.2607267765195095E-4</v>
      </c>
      <c r="M16" s="60">
        <f>(C16-$O$5)*K16 + L16</f>
        <v>8.920872797583447E-4</v>
      </c>
    </row>
    <row r="17" spans="1:13" ht="14">
      <c r="A17" s="55">
        <f t="shared" si="4"/>
        <v>17</v>
      </c>
      <c r="B17" s="55" t="s">
        <v>85</v>
      </c>
      <c r="C17" s="80">
        <v>125</v>
      </c>
      <c r="D17" s="56" t="s">
        <v>38</v>
      </c>
      <c r="E17" s="80">
        <v>17</v>
      </c>
      <c r="F17" s="80">
        <v>8</v>
      </c>
      <c r="G17" s="56"/>
      <c r="H17" s="58"/>
      <c r="I17" s="58"/>
      <c r="J17" s="58"/>
      <c r="K17" s="60">
        <f>I11</f>
        <v>1.0073513129822483E-5</v>
      </c>
      <c r="L17" s="60">
        <f>I13</f>
        <v>-2.2607267765195095E-4</v>
      </c>
      <c r="M17" s="60">
        <f>(C17-$O$5)*K17 + L17</f>
        <v>1.0331164635758595E-3</v>
      </c>
    </row>
    <row r="18" spans="1:13" ht="14">
      <c r="A18" s="55">
        <f>P4</f>
        <v>18</v>
      </c>
      <c r="B18" s="55" t="s">
        <v>86</v>
      </c>
      <c r="C18" s="80">
        <v>416</v>
      </c>
      <c r="D18" s="56" t="s">
        <v>35</v>
      </c>
      <c r="E18" s="80">
        <v>32</v>
      </c>
      <c r="F18" s="80">
        <v>35</v>
      </c>
      <c r="G18" s="57">
        <v>0</v>
      </c>
      <c r="H18" s="58"/>
      <c r="I18" s="59" t="s">
        <v>68</v>
      </c>
      <c r="J18" s="59" t="s">
        <v>68</v>
      </c>
      <c r="K18" s="60">
        <f>I19</f>
        <v>9.8464968240045799E-6</v>
      </c>
      <c r="L18" s="60">
        <f>I21</f>
        <v>-2.3628772118438213E-4</v>
      </c>
      <c r="M18" s="60">
        <f>(C18-$O$2)*K18+L18</f>
        <v>3.8598549576015235E-3</v>
      </c>
    </row>
    <row r="19" spans="1:13" ht="14">
      <c r="A19" s="55">
        <f t="shared" ref="A19:A25" si="5">A18</f>
        <v>18</v>
      </c>
      <c r="B19" s="55" t="s">
        <v>87</v>
      </c>
      <c r="C19" s="80">
        <v>406</v>
      </c>
      <c r="D19" s="56" t="s">
        <v>35</v>
      </c>
      <c r="E19" s="80">
        <v>76</v>
      </c>
      <c r="F19" s="80">
        <v>358</v>
      </c>
      <c r="G19" s="57">
        <v>5.0000000000000001E-4</v>
      </c>
      <c r="H19" s="58"/>
      <c r="I19" s="59">
        <f>SLOPE(G18:G24, E18:E24)</f>
        <v>9.8464968240045799E-6</v>
      </c>
      <c r="J19" s="59">
        <f>SLOPE(G18:G24, F18:F24)</f>
        <v>1.5421976122488278E-6</v>
      </c>
      <c r="K19" s="60">
        <f>I19</f>
        <v>9.8464968240045799E-6</v>
      </c>
      <c r="L19" s="60">
        <f>I21</f>
        <v>-2.3628772118438213E-4</v>
      </c>
      <c r="M19" s="60">
        <f>(C19-$O$2)*K19+L19</f>
        <v>3.7613899893614777E-3</v>
      </c>
    </row>
    <row r="20" spans="1:13" ht="14">
      <c r="A20" s="55">
        <f t="shared" si="5"/>
        <v>18</v>
      </c>
      <c r="B20" s="55" t="s">
        <v>88</v>
      </c>
      <c r="C20" s="80">
        <v>174</v>
      </c>
      <c r="D20" s="56" t="s">
        <v>36</v>
      </c>
      <c r="E20" s="80">
        <v>150</v>
      </c>
      <c r="F20" s="80">
        <v>724</v>
      </c>
      <c r="G20" s="57">
        <v>1E-3</v>
      </c>
      <c r="H20" s="58"/>
      <c r="I20" s="59" t="s">
        <v>71</v>
      </c>
      <c r="J20" s="59" t="s">
        <v>71</v>
      </c>
      <c r="K20" s="60">
        <f>I19</f>
        <v>9.8464968240045799E-6</v>
      </c>
      <c r="L20" s="60">
        <f>I21</f>
        <v>-2.3628772118438213E-4</v>
      </c>
      <c r="M20" s="60">
        <f>(C20-$O$3)*K20 + L20</f>
        <v>1.4770027261924148E-3</v>
      </c>
    </row>
    <row r="21" spans="1:13" ht="14">
      <c r="A21" s="55">
        <f t="shared" si="5"/>
        <v>18</v>
      </c>
      <c r="B21" s="55" t="s">
        <v>89</v>
      </c>
      <c r="C21" s="80">
        <v>189</v>
      </c>
      <c r="D21" s="56" t="s">
        <v>36</v>
      </c>
      <c r="E21" s="80">
        <v>218</v>
      </c>
      <c r="F21" s="80">
        <v>1432</v>
      </c>
      <c r="G21" s="57">
        <v>2E-3</v>
      </c>
      <c r="H21" s="58"/>
      <c r="I21" s="59">
        <f>INTERCEPT(G18:G24, E18:E24)</f>
        <v>-2.3628772118438213E-4</v>
      </c>
      <c r="J21" s="59">
        <f>INTERCEPT(G18:G24, F18:F24)</f>
        <v>-1.0875240180437899E-4</v>
      </c>
      <c r="K21" s="60">
        <f>I19</f>
        <v>9.8464968240045799E-6</v>
      </c>
      <c r="L21" s="60">
        <f>I21</f>
        <v>-2.3628772118438213E-4</v>
      </c>
      <c r="M21" s="60">
        <f>(C21-$O$3)*K21+ L21</f>
        <v>1.6247001785524835E-3</v>
      </c>
    </row>
    <row r="22" spans="1:13" ht="14">
      <c r="A22" s="55">
        <f t="shared" si="5"/>
        <v>18</v>
      </c>
      <c r="B22" s="55" t="s">
        <v>90</v>
      </c>
      <c r="C22" s="80">
        <v>1459</v>
      </c>
      <c r="D22" s="56" t="s">
        <v>37</v>
      </c>
      <c r="E22" s="80">
        <v>555</v>
      </c>
      <c r="F22" s="80">
        <v>3444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1.5421976122488278E-6</v>
      </c>
      <c r="L22" s="60">
        <f>J21</f>
        <v>-1.0875240180437899E-4</v>
      </c>
      <c r="M22" s="60">
        <f>(C22-$O$4)*K22 + L22</f>
        <v>1.5413990433018668E-3</v>
      </c>
    </row>
    <row r="23" spans="1:13" ht="14">
      <c r="A23" s="55">
        <f t="shared" si="5"/>
        <v>18</v>
      </c>
      <c r="B23" s="55" t="s">
        <v>91</v>
      </c>
      <c r="C23" s="80">
        <v>1496</v>
      </c>
      <c r="D23" s="56" t="s">
        <v>37</v>
      </c>
      <c r="E23" s="80">
        <v>964</v>
      </c>
      <c r="F23" s="80">
        <v>6383</v>
      </c>
      <c r="G23" s="57">
        <v>0.01</v>
      </c>
      <c r="H23" s="58"/>
      <c r="I23" s="61">
        <f>RSQ(G18:G24, E18:E24)</f>
        <v>0.99763407381672786</v>
      </c>
      <c r="J23" s="61">
        <f>RSQ(G18:G24, F18:F24)</f>
        <v>0.99958615597307199</v>
      </c>
      <c r="K23" s="60">
        <f>J19</f>
        <v>1.5421976122488278E-6</v>
      </c>
      <c r="L23" s="60">
        <f>J21</f>
        <v>-1.0875240180437899E-4</v>
      </c>
      <c r="M23" s="60">
        <f>(C23-$O$4)*K23 + L23</f>
        <v>1.5984603549550735E-3</v>
      </c>
    </row>
    <row r="24" spans="1:13" ht="14">
      <c r="A24" s="55">
        <f t="shared" si="5"/>
        <v>18</v>
      </c>
      <c r="B24" s="55" t="s">
        <v>92</v>
      </c>
      <c r="C24" s="80">
        <v>106</v>
      </c>
      <c r="D24" s="56" t="s">
        <v>38</v>
      </c>
      <c r="E24" s="80">
        <v>2083</v>
      </c>
      <c r="F24" s="80">
        <v>13082</v>
      </c>
      <c r="G24" s="57">
        <v>0.02</v>
      </c>
      <c r="H24" s="58"/>
      <c r="I24" s="58"/>
      <c r="J24" s="58"/>
      <c r="K24" s="60">
        <f>I19</f>
        <v>9.8464968240045799E-6</v>
      </c>
      <c r="L24" s="60">
        <f>I21</f>
        <v>-2.3628772118438213E-4</v>
      </c>
      <c r="M24" s="60">
        <f>(C24-$O$5)*K24 + L24</f>
        <v>8.0744094216010339E-4</v>
      </c>
    </row>
    <row r="25" spans="1:13" ht="14">
      <c r="A25" s="55">
        <f t="shared" si="5"/>
        <v>18</v>
      </c>
      <c r="B25" s="55" t="s">
        <v>93</v>
      </c>
      <c r="C25" s="80">
        <v>124</v>
      </c>
      <c r="D25" s="56" t="s">
        <v>38</v>
      </c>
      <c r="E25" s="80">
        <v>16</v>
      </c>
      <c r="F25" s="80">
        <v>10</v>
      </c>
      <c r="G25" s="56"/>
      <c r="H25" s="58"/>
      <c r="I25" s="58"/>
      <c r="J25" s="58"/>
      <c r="K25" s="60">
        <f>I19</f>
        <v>9.8464968240045799E-6</v>
      </c>
      <c r="L25" s="60">
        <f>I21</f>
        <v>-2.3628772118438213E-4</v>
      </c>
      <c r="M25" s="60">
        <f>(C25-$O$5)*K25 + L25</f>
        <v>9.8467788499218586E-4</v>
      </c>
    </row>
    <row r="26" spans="1:13" ht="14">
      <c r="A26" s="55">
        <f>P5</f>
        <v>20</v>
      </c>
      <c r="B26" s="55" t="s">
        <v>94</v>
      </c>
      <c r="C26" s="80">
        <v>390</v>
      </c>
      <c r="D26" s="56" t="s">
        <v>35</v>
      </c>
      <c r="E26" s="80">
        <v>31</v>
      </c>
      <c r="F26" s="80">
        <v>35</v>
      </c>
      <c r="G26" s="57">
        <v>0</v>
      </c>
      <c r="H26" s="58"/>
      <c r="I26" s="59" t="s">
        <v>68</v>
      </c>
      <c r="J26" s="59" t="s">
        <v>68</v>
      </c>
      <c r="K26" s="60">
        <f>I27</f>
        <v>9.6502987084270127E-6</v>
      </c>
      <c r="L26" s="60">
        <f>I29</f>
        <v>-2.2814159050203297E-4</v>
      </c>
      <c r="M26" s="60">
        <f>(C26-$O$2)*K26+L26</f>
        <v>3.5354749057845019E-3</v>
      </c>
    </row>
    <row r="27" spans="1:13" ht="14">
      <c r="A27" s="55">
        <f t="shared" ref="A27:A33" si="6">A26</f>
        <v>20</v>
      </c>
      <c r="B27" s="55" t="s">
        <v>95</v>
      </c>
      <c r="C27" s="80">
        <v>383</v>
      </c>
      <c r="D27" s="56" t="s">
        <v>35</v>
      </c>
      <c r="E27" s="80">
        <v>78</v>
      </c>
      <c r="F27" s="80">
        <v>351</v>
      </c>
      <c r="G27" s="57">
        <v>5.0000000000000001E-4</v>
      </c>
      <c r="H27" s="58"/>
      <c r="I27" s="59">
        <f>SLOPE(G26:G32, E26:E32)</f>
        <v>9.6502987084270127E-6</v>
      </c>
      <c r="J27" s="59">
        <f>SLOPE(G26:G32, F26:F32)</f>
        <v>1.4801902867386686E-6</v>
      </c>
      <c r="K27" s="60">
        <f>I27</f>
        <v>9.6502987084270127E-6</v>
      </c>
      <c r="L27" s="60">
        <f>I29</f>
        <v>-2.2814159050203297E-4</v>
      </c>
      <c r="M27" s="60">
        <f>(C27-$O$2)*K27+L27</f>
        <v>3.4679228148255131E-3</v>
      </c>
    </row>
    <row r="28" spans="1:13" ht="14">
      <c r="A28" s="55">
        <f t="shared" si="6"/>
        <v>20</v>
      </c>
      <c r="B28" s="55" t="s">
        <v>96</v>
      </c>
      <c r="C28" s="80">
        <v>178</v>
      </c>
      <c r="D28" s="56" t="s">
        <v>36</v>
      </c>
      <c r="E28" s="80">
        <v>125</v>
      </c>
      <c r="F28" s="80">
        <v>700</v>
      </c>
      <c r="G28" s="57">
        <v>1E-3</v>
      </c>
      <c r="H28" s="58"/>
      <c r="I28" s="59" t="s">
        <v>71</v>
      </c>
      <c r="J28" s="59" t="s">
        <v>71</v>
      </c>
      <c r="K28" s="60">
        <f>I27</f>
        <v>9.6502987084270127E-6</v>
      </c>
      <c r="L28" s="60">
        <f>I29</f>
        <v>-2.2814159050203297E-4</v>
      </c>
      <c r="M28" s="60">
        <f>(C28-$O$3)*K28 + L28</f>
        <v>1.4896115795979754E-3</v>
      </c>
    </row>
    <row r="29" spans="1:13" ht="14">
      <c r="A29" s="55">
        <f t="shared" si="6"/>
        <v>20</v>
      </c>
      <c r="B29" s="55" t="s">
        <v>97</v>
      </c>
      <c r="C29" s="80">
        <v>172</v>
      </c>
      <c r="D29" s="56" t="s">
        <v>36</v>
      </c>
      <c r="E29" s="80">
        <v>206</v>
      </c>
      <c r="F29" s="80">
        <v>1330</v>
      </c>
      <c r="G29" s="57">
        <v>2E-3</v>
      </c>
      <c r="H29" s="58"/>
      <c r="I29" s="59">
        <f>INTERCEPT(G26:G32, E26:E32)</f>
        <v>-2.2814159050203297E-4</v>
      </c>
      <c r="J29" s="59">
        <f>INTERCEPT(G26:G32, F26:F32)</f>
        <v>7.954316996299643E-5</v>
      </c>
      <c r="K29" s="60">
        <f>I27</f>
        <v>9.6502987084270127E-6</v>
      </c>
      <c r="L29" s="60">
        <f>I29</f>
        <v>-2.2814159050203297E-4</v>
      </c>
      <c r="M29" s="60">
        <f>(C29-$O$3)*K29+ L29</f>
        <v>1.4317097873474132E-3</v>
      </c>
    </row>
    <row r="30" spans="1:13" ht="14">
      <c r="A30" s="55">
        <f t="shared" si="6"/>
        <v>20</v>
      </c>
      <c r="B30" s="55" t="s">
        <v>98</v>
      </c>
      <c r="C30" s="80">
        <v>1377</v>
      </c>
      <c r="D30" s="56" t="s">
        <v>37</v>
      </c>
      <c r="E30" s="80">
        <v>562</v>
      </c>
      <c r="F30" s="80">
        <v>3391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1.4801902867386686E-6</v>
      </c>
      <c r="L30" s="60">
        <f>J29</f>
        <v>7.954316996299643E-5</v>
      </c>
      <c r="M30" s="60">
        <f>(C30-$O$4)*K30 + L30</f>
        <v>1.5419711732608009E-3</v>
      </c>
    </row>
    <row r="31" spans="1:13" ht="14">
      <c r="A31" s="55">
        <f t="shared" si="6"/>
        <v>20</v>
      </c>
      <c r="B31" s="55" t="s">
        <v>99</v>
      </c>
      <c r="C31" s="80">
        <v>1347</v>
      </c>
      <c r="D31" s="56" t="s">
        <v>37</v>
      </c>
      <c r="E31" s="80">
        <v>1060</v>
      </c>
      <c r="F31" s="80">
        <v>6144</v>
      </c>
      <c r="G31" s="57">
        <v>0.01</v>
      </c>
      <c r="H31" s="58"/>
      <c r="I31" s="61">
        <f>RSQ(G26:G32, E26:E32)</f>
        <v>0.99967701863889058</v>
      </c>
      <c r="J31" s="61">
        <f>RSQ(G26:G32, F26:F32)</f>
        <v>0.99734384992188962</v>
      </c>
      <c r="K31" s="60">
        <f>J27</f>
        <v>1.4801902867386686E-6</v>
      </c>
      <c r="L31" s="60">
        <f>J29</f>
        <v>7.954316996299643E-5</v>
      </c>
      <c r="M31" s="60">
        <f>(C31-$O$4)*K31 + L31</f>
        <v>1.497565464658641E-3</v>
      </c>
    </row>
    <row r="32" spans="1:13" ht="14">
      <c r="A32" s="55">
        <f t="shared" si="6"/>
        <v>20</v>
      </c>
      <c r="B32" s="55" t="s">
        <v>100</v>
      </c>
      <c r="C32" s="80">
        <v>91</v>
      </c>
      <c r="D32" s="56" t="s">
        <v>38</v>
      </c>
      <c r="E32" s="80">
        <v>2093</v>
      </c>
      <c r="F32" s="80">
        <v>13683</v>
      </c>
      <c r="G32" s="57">
        <v>0.02</v>
      </c>
      <c r="H32" s="58"/>
      <c r="I32" s="58"/>
      <c r="J32" s="58"/>
      <c r="K32" s="60">
        <f>I27</f>
        <v>9.6502987084270127E-6</v>
      </c>
      <c r="L32" s="60">
        <f>I29</f>
        <v>-2.2814159050203297E-4</v>
      </c>
      <c r="M32" s="60">
        <f>(C32-$O$5)*K32 + L32</f>
        <v>6.5003559196482523E-4</v>
      </c>
    </row>
    <row r="33" spans="1:26" ht="14">
      <c r="A33" s="55">
        <f t="shared" si="6"/>
        <v>20</v>
      </c>
      <c r="B33" s="55" t="s">
        <v>101</v>
      </c>
      <c r="C33" s="80">
        <v>114</v>
      </c>
      <c r="D33" s="56" t="s">
        <v>38</v>
      </c>
      <c r="E33" s="80">
        <v>17</v>
      </c>
      <c r="F33" s="80">
        <v>12</v>
      </c>
      <c r="G33" s="56"/>
      <c r="H33" s="58"/>
      <c r="I33" s="58"/>
      <c r="J33" s="58"/>
      <c r="K33" s="60">
        <f>I27</f>
        <v>9.6502987084270127E-6</v>
      </c>
      <c r="L33" s="60">
        <f>I29</f>
        <v>-2.2814159050203297E-4</v>
      </c>
      <c r="M33" s="60">
        <f>(C33-$O$5)*K33 + L33</f>
        <v>8.7199246225864654E-4</v>
      </c>
    </row>
    <row r="34" spans="1:26" ht="14">
      <c r="A34" s="55">
        <f>P6</f>
        <v>21</v>
      </c>
      <c r="B34" s="55" t="s">
        <v>102</v>
      </c>
      <c r="C34" s="80">
        <v>423</v>
      </c>
      <c r="D34" s="56" t="s">
        <v>35</v>
      </c>
      <c r="E34" s="80">
        <v>29</v>
      </c>
      <c r="F34" s="80">
        <v>35</v>
      </c>
      <c r="G34" s="57">
        <v>0</v>
      </c>
      <c r="H34" s="58"/>
      <c r="I34" s="59" t="s">
        <v>68</v>
      </c>
      <c r="J34" s="59" t="s">
        <v>68</v>
      </c>
      <c r="K34" s="60">
        <f>I35</f>
        <v>9.0206666513290936E-6</v>
      </c>
      <c r="L34" s="60">
        <f>I37</f>
        <v>-1.1729799044907317E-4</v>
      </c>
      <c r="M34" s="60">
        <f>(C34-$O$2)*K34+L34</f>
        <v>3.6984440030631335E-3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21</v>
      </c>
      <c r="B35" s="55" t="s">
        <v>103</v>
      </c>
      <c r="C35" s="80">
        <v>402</v>
      </c>
      <c r="D35" s="56" t="s">
        <v>35</v>
      </c>
      <c r="E35" s="80">
        <v>76</v>
      </c>
      <c r="F35" s="80">
        <v>367</v>
      </c>
      <c r="G35" s="57">
        <v>5.0000000000000001E-4</v>
      </c>
      <c r="H35" s="58"/>
      <c r="I35" s="59">
        <f>SLOPE(G34:G40, E34:E40)</f>
        <v>9.0206666513290936E-6</v>
      </c>
      <c r="J35" s="59">
        <f>SLOPE(G34:G40, F34:F40)</f>
        <v>1.5750132792465103E-6</v>
      </c>
      <c r="K35" s="60">
        <f>I35</f>
        <v>9.0206666513290936E-6</v>
      </c>
      <c r="L35" s="60">
        <f>I37</f>
        <v>-1.1729799044907317E-4</v>
      </c>
      <c r="M35" s="60">
        <f>(C35-$O$2)*K35+L35</f>
        <v>3.5090100033852226E-3</v>
      </c>
    </row>
    <row r="36" spans="1:26" ht="14">
      <c r="A36" s="55">
        <f t="shared" si="7"/>
        <v>21</v>
      </c>
      <c r="B36" s="55" t="s">
        <v>104</v>
      </c>
      <c r="C36" s="80">
        <v>197</v>
      </c>
      <c r="D36" s="56" t="s">
        <v>36</v>
      </c>
      <c r="E36" s="80">
        <v>121</v>
      </c>
      <c r="F36" s="80">
        <v>705</v>
      </c>
      <c r="G36" s="57">
        <v>1E-3</v>
      </c>
      <c r="H36" s="58"/>
      <c r="I36" s="59" t="s">
        <v>71</v>
      </c>
      <c r="J36" s="59" t="s">
        <v>71</v>
      </c>
      <c r="K36" s="60">
        <f>I35</f>
        <v>9.0206666513290936E-6</v>
      </c>
      <c r="L36" s="60">
        <f>I37</f>
        <v>-1.1729799044907317E-4</v>
      </c>
      <c r="M36" s="60">
        <f>(C36-$O$3)*K36 + L36</f>
        <v>1.6597733398627582E-3</v>
      </c>
    </row>
    <row r="37" spans="1:26" ht="14">
      <c r="A37" s="55">
        <f t="shared" si="7"/>
        <v>21</v>
      </c>
      <c r="B37" s="55" t="s">
        <v>105</v>
      </c>
      <c r="C37" s="80">
        <v>196</v>
      </c>
      <c r="D37" s="56" t="s">
        <v>36</v>
      </c>
      <c r="E37" s="80">
        <v>217</v>
      </c>
      <c r="F37" s="80">
        <v>1348</v>
      </c>
      <c r="G37" s="57">
        <v>2E-3</v>
      </c>
      <c r="H37" s="58"/>
      <c r="I37" s="59">
        <f>INTERCEPT(G34:G40, E34:E40)</f>
        <v>-1.1729799044907317E-4</v>
      </c>
      <c r="J37" s="59">
        <f>INTERCEPT(G34:G40, F34:F40)</f>
        <v>-1.0884728929385756E-4</v>
      </c>
      <c r="K37" s="60">
        <f>I35</f>
        <v>9.0206666513290936E-6</v>
      </c>
      <c r="L37" s="60">
        <f>I37</f>
        <v>-1.1729799044907317E-4</v>
      </c>
      <c r="M37" s="60">
        <f>(C37-$O$3)*K37+ L37</f>
        <v>1.6507526732114292E-3</v>
      </c>
    </row>
    <row r="38" spans="1:26" ht="14">
      <c r="A38" s="55">
        <f t="shared" si="7"/>
        <v>21</v>
      </c>
      <c r="B38" s="55" t="s">
        <v>106</v>
      </c>
      <c r="C38" s="80">
        <v>1415</v>
      </c>
      <c r="D38" s="56" t="s">
        <v>37</v>
      </c>
      <c r="E38" s="80">
        <v>584</v>
      </c>
      <c r="F38" s="80">
        <v>3233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1.5750132792465103E-6</v>
      </c>
      <c r="L38" s="60">
        <f>J37</f>
        <v>-1.0884728929385756E-4</v>
      </c>
      <c r="M38" s="60">
        <f>(C38-$O$4)*K38 + L38</f>
        <v>1.5071163352130619E-3</v>
      </c>
    </row>
    <row r="39" spans="1:26" ht="14">
      <c r="A39" s="55">
        <f t="shared" si="7"/>
        <v>21</v>
      </c>
      <c r="B39" s="55" t="s">
        <v>107</v>
      </c>
      <c r="C39" s="80">
        <v>1446</v>
      </c>
      <c r="D39" s="56" t="s">
        <v>37</v>
      </c>
      <c r="E39" s="80">
        <v>1089</v>
      </c>
      <c r="F39" s="80">
        <v>6525</v>
      </c>
      <c r="G39" s="57">
        <v>0.01</v>
      </c>
      <c r="H39" s="58"/>
      <c r="I39" s="61">
        <f>RSQ(G34:G40, E34:E40)</f>
        <v>0.99945304591970674</v>
      </c>
      <c r="J39" s="61">
        <f>RSQ(G34:G40, F34:F40)</f>
        <v>0.9998762872963507</v>
      </c>
      <c r="K39" s="60">
        <f>J35</f>
        <v>1.5750132792465103E-6</v>
      </c>
      <c r="L39" s="60">
        <f>J37</f>
        <v>-1.0884728929385756E-4</v>
      </c>
      <c r="M39" s="60">
        <f>(C39-$O$4)*K39 + L39</f>
        <v>1.5559417468697038E-3</v>
      </c>
    </row>
    <row r="40" spans="1:26" ht="14">
      <c r="A40" s="55">
        <f t="shared" si="7"/>
        <v>21</v>
      </c>
      <c r="B40" s="55" t="s">
        <v>108</v>
      </c>
      <c r="C40" s="80">
        <v>114</v>
      </c>
      <c r="D40" s="56" t="s">
        <v>38</v>
      </c>
      <c r="E40" s="80">
        <v>2243</v>
      </c>
      <c r="F40" s="80">
        <v>12715</v>
      </c>
      <c r="G40" s="57">
        <v>0.02</v>
      </c>
      <c r="H40" s="58"/>
      <c r="I40" s="58"/>
      <c r="J40" s="58"/>
      <c r="K40" s="60">
        <f>I35</f>
        <v>9.0206666513290936E-6</v>
      </c>
      <c r="L40" s="60">
        <f>I37</f>
        <v>-1.1729799044907317E-4</v>
      </c>
      <c r="M40" s="60">
        <f>(C40-$O$5)*K40 + L40</f>
        <v>9.1105800780244355E-4</v>
      </c>
    </row>
    <row r="41" spans="1:26" ht="14">
      <c r="A41" s="55">
        <f t="shared" si="7"/>
        <v>21</v>
      </c>
      <c r="B41" s="55" t="s">
        <v>109</v>
      </c>
      <c r="C41" s="80">
        <v>104</v>
      </c>
      <c r="D41" s="56" t="s">
        <v>38</v>
      </c>
      <c r="E41" s="80">
        <v>16</v>
      </c>
      <c r="F41" s="80">
        <v>8</v>
      </c>
      <c r="G41" s="56"/>
      <c r="H41" s="58"/>
      <c r="I41" s="58"/>
      <c r="J41" s="58"/>
      <c r="K41" s="60">
        <f>I35</f>
        <v>9.0206666513290936E-6</v>
      </c>
      <c r="L41" s="60">
        <f>I37</f>
        <v>-1.1729799044907317E-4</v>
      </c>
      <c r="M41" s="60">
        <f>(C41-$O$5)*K41 + L41</f>
        <v>8.2085134128915258E-4</v>
      </c>
    </row>
    <row r="42" spans="1:26" ht="14">
      <c r="A42" s="55">
        <f>P7</f>
        <v>22</v>
      </c>
      <c r="B42" s="55" t="s">
        <v>110</v>
      </c>
      <c r="C42" s="80">
        <v>426</v>
      </c>
      <c r="D42" s="56" t="s">
        <v>35</v>
      </c>
      <c r="E42" s="80">
        <v>38</v>
      </c>
      <c r="F42" s="80">
        <v>42</v>
      </c>
      <c r="G42" s="57">
        <v>0</v>
      </c>
      <c r="H42" s="58"/>
      <c r="I42" s="62" t="s">
        <v>68</v>
      </c>
      <c r="J42" s="62" t="s">
        <v>68</v>
      </c>
      <c r="K42" s="60">
        <f>I43</f>
        <v>8.8649767124611417E-6</v>
      </c>
      <c r="L42" s="60">
        <f>I45</f>
        <v>-1.5458871730557062E-4</v>
      </c>
      <c r="M42" s="60">
        <f>(C42-$O$2)*K42+L42</f>
        <v>3.6218913622028757E-3</v>
      </c>
    </row>
    <row r="43" spans="1:26" ht="14">
      <c r="A43" s="55">
        <f t="shared" ref="A43:A49" si="8">A42</f>
        <v>22</v>
      </c>
      <c r="B43" s="55" t="s">
        <v>111</v>
      </c>
      <c r="C43" s="80">
        <v>428</v>
      </c>
      <c r="D43" s="56" t="s">
        <v>35</v>
      </c>
      <c r="E43" s="80">
        <v>88</v>
      </c>
      <c r="F43" s="80">
        <v>380</v>
      </c>
      <c r="G43" s="57">
        <v>5.0000000000000001E-4</v>
      </c>
      <c r="H43" s="58"/>
      <c r="I43" s="58">
        <f>SLOPE(G42:G48, E42:E48)</f>
        <v>8.8649767124611417E-6</v>
      </c>
      <c r="J43" s="58">
        <f>SLOPE(G42:G48, F42:F48)</f>
        <v>1.5843027938585851E-6</v>
      </c>
      <c r="K43" s="60">
        <f>I43</f>
        <v>8.8649767124611417E-6</v>
      </c>
      <c r="L43" s="60">
        <f>I45</f>
        <v>-1.5458871730557062E-4</v>
      </c>
      <c r="M43" s="60">
        <f>(C43-$O$2)*K43+L43</f>
        <v>3.6396213156277982E-3</v>
      </c>
    </row>
    <row r="44" spans="1:26" ht="14">
      <c r="A44" s="55">
        <f t="shared" si="8"/>
        <v>22</v>
      </c>
      <c r="B44" s="55" t="s">
        <v>112</v>
      </c>
      <c r="C44" s="80">
        <v>202</v>
      </c>
      <c r="D44" s="56" t="s">
        <v>36</v>
      </c>
      <c r="E44" s="80">
        <v>131</v>
      </c>
      <c r="F44" s="80">
        <v>735</v>
      </c>
      <c r="G44" s="57">
        <v>1E-3</v>
      </c>
      <c r="H44" s="58"/>
      <c r="I44" s="62" t="s">
        <v>71</v>
      </c>
      <c r="J44" s="62" t="s">
        <v>71</v>
      </c>
      <c r="K44" s="60">
        <f>I43</f>
        <v>8.8649767124611417E-6</v>
      </c>
      <c r="L44" s="60">
        <f>I45</f>
        <v>-1.5458871730557062E-4</v>
      </c>
      <c r="M44" s="60">
        <f>(C44-$O$3)*K44 + L44</f>
        <v>1.6361365786115799E-3</v>
      </c>
    </row>
    <row r="45" spans="1:26" ht="14">
      <c r="A45" s="55">
        <f t="shared" si="8"/>
        <v>22</v>
      </c>
      <c r="B45" s="55" t="s">
        <v>113</v>
      </c>
      <c r="C45" s="80">
        <v>195</v>
      </c>
      <c r="D45" s="56" t="s">
        <v>36</v>
      </c>
      <c r="E45" s="80">
        <v>228</v>
      </c>
      <c r="F45" s="80">
        <v>1397</v>
      </c>
      <c r="G45" s="57">
        <v>2E-3</v>
      </c>
      <c r="H45" s="58"/>
      <c r="I45" s="58">
        <f>INTERCEPT(G42:G48, E42:E48)</f>
        <v>-1.5458871730557062E-4</v>
      </c>
      <c r="J45" s="58">
        <f>INTERCEPT(G42:G48, F42:F48)</f>
        <v>-1.8357310848239779E-4</v>
      </c>
      <c r="K45" s="60">
        <f>I43</f>
        <v>8.8649767124611417E-6</v>
      </c>
      <c r="L45" s="60">
        <f>I45</f>
        <v>-1.5458871730557062E-4</v>
      </c>
      <c r="M45" s="60">
        <f>(C45-$O$3)*K45+ L45</f>
        <v>1.574081741624352E-3</v>
      </c>
    </row>
    <row r="46" spans="1:26" ht="14">
      <c r="A46" s="55">
        <f t="shared" si="8"/>
        <v>22</v>
      </c>
      <c r="B46" s="55" t="s">
        <v>114</v>
      </c>
      <c r="C46" s="80">
        <v>1840</v>
      </c>
      <c r="D46" s="56" t="s">
        <v>37</v>
      </c>
      <c r="E46" s="80">
        <v>575</v>
      </c>
      <c r="F46" s="80">
        <v>3529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1.5843027938585851E-6</v>
      </c>
      <c r="L46" s="60">
        <f>J45</f>
        <v>-1.8357310848239779E-4</v>
      </c>
      <c r="M46" s="60">
        <f>(C46-$O$4)*K46 + L46</f>
        <v>2.1152502454064091E-3</v>
      </c>
    </row>
    <row r="47" spans="1:26" ht="14">
      <c r="A47" s="55">
        <f t="shared" si="8"/>
        <v>22</v>
      </c>
      <c r="B47" s="55" t="s">
        <v>115</v>
      </c>
      <c r="C47" s="80">
        <v>1453</v>
      </c>
      <c r="D47" s="56" t="s">
        <v>37</v>
      </c>
      <c r="E47" s="80">
        <v>1114</v>
      </c>
      <c r="F47" s="80">
        <v>6294</v>
      </c>
      <c r="G47" s="57">
        <v>0.01</v>
      </c>
      <c r="H47" s="58"/>
      <c r="I47" s="61">
        <f>RSQ(G42:G48, E42:E48)</f>
        <v>0.99946001971557574</v>
      </c>
      <c r="J47" s="61">
        <f>RSQ(G42:G48, F42:F48)</f>
        <v>0.99926976343065432</v>
      </c>
      <c r="K47" s="60">
        <f>J43</f>
        <v>1.5843027938585851E-6</v>
      </c>
      <c r="L47" s="60">
        <f>J45</f>
        <v>-1.8357310848239779E-4</v>
      </c>
      <c r="M47" s="60">
        <f>(C47-$O$4)*K47 + L47</f>
        <v>1.5021250641831367E-3</v>
      </c>
    </row>
    <row r="48" spans="1:26" ht="14">
      <c r="A48" s="55">
        <f t="shared" si="8"/>
        <v>22</v>
      </c>
      <c r="B48" s="55" t="s">
        <v>116</v>
      </c>
      <c r="C48" s="80">
        <v>97</v>
      </c>
      <c r="D48" s="56" t="s">
        <v>38</v>
      </c>
      <c r="E48" s="80">
        <v>2291</v>
      </c>
      <c r="F48" s="80">
        <v>12735</v>
      </c>
      <c r="G48" s="57">
        <v>0.02</v>
      </c>
      <c r="H48" s="58"/>
      <c r="I48" s="58"/>
      <c r="J48" s="58"/>
      <c r="K48" s="60">
        <f>I43</f>
        <v>8.8649767124611417E-6</v>
      </c>
      <c r="L48" s="60">
        <f>I45</f>
        <v>-1.5458871730557062E-4</v>
      </c>
      <c r="M48" s="60">
        <f>(C48-$O$5)*K48 + L48</f>
        <v>7.0531402380316014E-4</v>
      </c>
    </row>
    <row r="49" spans="1:13" ht="14">
      <c r="A49" s="55">
        <f t="shared" si="8"/>
        <v>22</v>
      </c>
      <c r="B49" s="55" t="s">
        <v>117</v>
      </c>
      <c r="C49" s="80">
        <v>113</v>
      </c>
      <c r="D49" s="56" t="s">
        <v>38</v>
      </c>
      <c r="E49" s="80">
        <v>17</v>
      </c>
      <c r="F49" s="80">
        <v>9</v>
      </c>
      <c r="G49" s="56"/>
      <c r="H49" s="58"/>
      <c r="I49" s="58"/>
      <c r="J49" s="58"/>
      <c r="K49" s="60">
        <f>I43</f>
        <v>8.8649767124611417E-6</v>
      </c>
      <c r="L49" s="60">
        <f>I45</f>
        <v>-1.5458871730557062E-4</v>
      </c>
      <c r="M49" s="60">
        <f>(C49-$O$5)*K49 + L49</f>
        <v>8.471536512025383E-4</v>
      </c>
    </row>
    <row r="50" spans="1:13" ht="14">
      <c r="A50" s="55">
        <f>P8</f>
        <v>23</v>
      </c>
      <c r="B50" s="55" t="s">
        <v>118</v>
      </c>
      <c r="C50" s="80">
        <v>457</v>
      </c>
      <c r="D50" s="56" t="s">
        <v>35</v>
      </c>
      <c r="E50" s="80">
        <v>34</v>
      </c>
      <c r="F50" s="80">
        <v>31</v>
      </c>
      <c r="G50" s="57">
        <v>0</v>
      </c>
      <c r="H50" s="58"/>
      <c r="I50" s="62" t="s">
        <v>68</v>
      </c>
      <c r="J50" s="62" t="s">
        <v>68</v>
      </c>
      <c r="K50" s="60">
        <f>I51</f>
        <v>9.0814796414697691E-6</v>
      </c>
      <c r="L50" s="60">
        <f>I53</f>
        <v>-1.227332523042815E-4</v>
      </c>
      <c r="M50" s="60">
        <f>(C50-$O$2)*K50+L50</f>
        <v>4.0275029438474027E-3</v>
      </c>
    </row>
    <row r="51" spans="1:13" ht="14">
      <c r="A51" s="55">
        <f t="shared" ref="A51:A57" si="9">A50</f>
        <v>23</v>
      </c>
      <c r="B51" s="55" t="s">
        <v>119</v>
      </c>
      <c r="C51" s="80">
        <v>448</v>
      </c>
      <c r="D51" s="56" t="s">
        <v>35</v>
      </c>
      <c r="E51" s="80">
        <v>73</v>
      </c>
      <c r="F51" s="80">
        <v>358</v>
      </c>
      <c r="G51" s="57">
        <v>5.0000000000000001E-4</v>
      </c>
      <c r="H51" s="58"/>
      <c r="I51" s="58">
        <f>SLOPE(G50:G56, E50:E56)</f>
        <v>9.0814796414697691E-6</v>
      </c>
      <c r="J51" s="58">
        <f>SLOPE(G50:G56, F50:F56)</f>
        <v>1.5846378898524711E-6</v>
      </c>
      <c r="K51" s="60">
        <f>I51</f>
        <v>9.0814796414697691E-6</v>
      </c>
      <c r="L51" s="60">
        <f>I53</f>
        <v>-1.227332523042815E-4</v>
      </c>
      <c r="M51" s="60">
        <f>(C51-$O$2)*K51+L51</f>
        <v>3.9457696270741747E-3</v>
      </c>
    </row>
    <row r="52" spans="1:13" ht="14">
      <c r="A52" s="55">
        <f t="shared" si="9"/>
        <v>23</v>
      </c>
      <c r="B52" s="55" t="s">
        <v>120</v>
      </c>
      <c r="C52" s="80">
        <v>204</v>
      </c>
      <c r="D52" s="56" t="s">
        <v>36</v>
      </c>
      <c r="E52" s="80">
        <v>128</v>
      </c>
      <c r="F52" s="80">
        <v>699</v>
      </c>
      <c r="G52" s="57">
        <v>1E-3</v>
      </c>
      <c r="H52" s="58"/>
      <c r="I52" s="62" t="s">
        <v>71</v>
      </c>
      <c r="J52" s="62" t="s">
        <v>71</v>
      </c>
      <c r="K52" s="60">
        <f>I51</f>
        <v>9.0814796414697691E-6</v>
      </c>
      <c r="L52" s="60">
        <f>I53</f>
        <v>-1.227332523042815E-4</v>
      </c>
      <c r="M52" s="60">
        <f>(C52-$O$3)*K52 + L52</f>
        <v>1.7298885945555514E-3</v>
      </c>
    </row>
    <row r="53" spans="1:13" ht="14">
      <c r="A53" s="55">
        <f t="shared" si="9"/>
        <v>23</v>
      </c>
      <c r="B53" s="55" t="s">
        <v>121</v>
      </c>
      <c r="C53" s="80">
        <v>203</v>
      </c>
      <c r="D53" s="56" t="s">
        <v>36</v>
      </c>
      <c r="E53" s="80">
        <v>214</v>
      </c>
      <c r="F53" s="80">
        <v>1403</v>
      </c>
      <c r="G53" s="57">
        <v>2E-3</v>
      </c>
      <c r="H53" s="58"/>
      <c r="I53" s="58">
        <f>INTERCEPT(G50:G56, E50:E56)</f>
        <v>-1.227332523042815E-4</v>
      </c>
      <c r="J53" s="58">
        <f>INTERCEPT(G50:G56, F50:F56)</f>
        <v>-1.1550392795434215E-4</v>
      </c>
      <c r="K53" s="60">
        <f>I51</f>
        <v>9.0814796414697691E-6</v>
      </c>
      <c r="L53" s="60">
        <f>I53</f>
        <v>-1.227332523042815E-4</v>
      </c>
      <c r="M53" s="60">
        <f>(C53-$O$3)*K53+ L53</f>
        <v>1.7208071149140817E-3</v>
      </c>
    </row>
    <row r="54" spans="1:13" ht="14">
      <c r="A54" s="55">
        <f t="shared" si="9"/>
        <v>23</v>
      </c>
      <c r="B54" s="55" t="s">
        <v>122</v>
      </c>
      <c r="C54" s="80">
        <v>1499</v>
      </c>
      <c r="D54" s="56" t="s">
        <v>37</v>
      </c>
      <c r="E54" s="80">
        <v>568</v>
      </c>
      <c r="F54" s="80">
        <v>3304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1.5846378898524711E-6</v>
      </c>
      <c r="L54" s="60">
        <f>J53</f>
        <v>-1.1550392795434215E-4</v>
      </c>
      <c r="M54" s="60">
        <f>(C54-$O$4)*K54 + L54</f>
        <v>1.6434441297819007E-3</v>
      </c>
    </row>
    <row r="55" spans="1:13" ht="14">
      <c r="A55" s="55">
        <f t="shared" si="9"/>
        <v>23</v>
      </c>
      <c r="B55" s="55" t="s">
        <v>123</v>
      </c>
      <c r="C55" s="80">
        <v>1427</v>
      </c>
      <c r="D55" s="56" t="s">
        <v>37</v>
      </c>
      <c r="E55" s="80">
        <v>1088</v>
      </c>
      <c r="F55" s="80">
        <v>6303</v>
      </c>
      <c r="G55" s="57">
        <v>0.01</v>
      </c>
      <c r="H55" s="58"/>
      <c r="I55" s="61">
        <f>RSQ(G50:G56, E50:E56)</f>
        <v>0.99954728279919447</v>
      </c>
      <c r="J55" s="61">
        <f>RSQ(G50:G56, F50:F56)</f>
        <v>0.99984431705696208</v>
      </c>
      <c r="K55" s="60">
        <f>J51</f>
        <v>1.5846378898524711E-6</v>
      </c>
      <c r="L55" s="60">
        <f>J53</f>
        <v>-1.1550392795434215E-4</v>
      </c>
      <c r="M55" s="60">
        <f>(C55-$O$4)*K55 + L55</f>
        <v>1.5293502017125228E-3</v>
      </c>
    </row>
    <row r="56" spans="1:13" ht="14">
      <c r="A56" s="55">
        <f t="shared" si="9"/>
        <v>23</v>
      </c>
      <c r="B56" s="55" t="s">
        <v>124</v>
      </c>
      <c r="C56" s="80">
        <v>96</v>
      </c>
      <c r="D56" s="56" t="s">
        <v>38</v>
      </c>
      <c r="E56" s="80">
        <v>2229</v>
      </c>
      <c r="F56" s="80">
        <v>12708</v>
      </c>
      <c r="G56" s="57">
        <v>0.02</v>
      </c>
      <c r="H56" s="58"/>
      <c r="I56" s="58"/>
      <c r="J56" s="58"/>
      <c r="K56" s="60">
        <f>I51</f>
        <v>9.0814796414697691E-6</v>
      </c>
      <c r="L56" s="60">
        <f>I53</f>
        <v>-1.227332523042815E-4</v>
      </c>
      <c r="M56" s="60">
        <f>(C56-$O$5)*K56 + L56</f>
        <v>7.4908879327681638E-4</v>
      </c>
    </row>
    <row r="57" spans="1:13" ht="14">
      <c r="A57" s="55">
        <f t="shared" si="9"/>
        <v>23</v>
      </c>
      <c r="B57" s="55" t="s">
        <v>125</v>
      </c>
      <c r="C57" s="80">
        <v>120</v>
      </c>
      <c r="D57" s="56" t="s">
        <v>38</v>
      </c>
      <c r="E57" s="80">
        <v>17</v>
      </c>
      <c r="F57" s="80">
        <v>7</v>
      </c>
      <c r="G57" s="56"/>
      <c r="H57" s="58"/>
      <c r="I57" s="58"/>
      <c r="J57" s="58"/>
      <c r="K57" s="60">
        <f>I51</f>
        <v>9.0814796414697691E-6</v>
      </c>
      <c r="L57" s="60">
        <f>I53</f>
        <v>-1.227332523042815E-4</v>
      </c>
      <c r="M57" s="60">
        <f>(C57-$O$5)*K57 + L57</f>
        <v>9.6704430467209074E-4</v>
      </c>
    </row>
    <row r="58" spans="1:13" ht="14">
      <c r="A58" s="55">
        <f>P9</f>
        <v>25</v>
      </c>
      <c r="B58" s="55" t="s">
        <v>126</v>
      </c>
      <c r="C58" s="80">
        <v>523</v>
      </c>
      <c r="D58" s="56" t="s">
        <v>35</v>
      </c>
      <c r="E58" s="80">
        <v>32</v>
      </c>
      <c r="F58" s="80">
        <v>39</v>
      </c>
      <c r="G58" s="57">
        <v>0</v>
      </c>
      <c r="H58" s="58"/>
      <c r="I58" s="62" t="s">
        <v>68</v>
      </c>
      <c r="J58" s="62" t="s">
        <v>68</v>
      </c>
      <c r="K58" s="60">
        <f>I59</f>
        <v>9.0465943185937649E-6</v>
      </c>
      <c r="L58" s="60">
        <f>I61</f>
        <v>-2.3554079798844638E-4</v>
      </c>
      <c r="M58" s="60">
        <f>(C58-$O$2)*K58+L58</f>
        <v>4.4958280306360929E-3</v>
      </c>
    </row>
    <row r="59" spans="1:13" ht="14">
      <c r="A59" s="55">
        <f t="shared" ref="A59:A65" si="10">A58</f>
        <v>25</v>
      </c>
      <c r="B59" s="55" t="s">
        <v>127</v>
      </c>
      <c r="C59" s="80">
        <v>500</v>
      </c>
      <c r="D59" s="56" t="s">
        <v>35</v>
      </c>
      <c r="E59" s="80">
        <v>86</v>
      </c>
      <c r="F59" s="80">
        <v>374</v>
      </c>
      <c r="G59" s="57">
        <v>5.0000000000000001E-4</v>
      </c>
      <c r="H59" s="58"/>
      <c r="I59" s="58">
        <f>SLOPE(G58:G64, E58:E64)</f>
        <v>9.0465943185937649E-6</v>
      </c>
      <c r="J59" s="58">
        <f>SLOPE(G58:G64, F58:F64)</f>
        <v>1.4979289685405641E-6</v>
      </c>
      <c r="K59" s="60">
        <f>I59</f>
        <v>9.0465943185937649E-6</v>
      </c>
      <c r="L59" s="60">
        <f>I61</f>
        <v>-2.3554079798844638E-4</v>
      </c>
      <c r="M59" s="60">
        <f>(C59-$O$2)*K59+L59</f>
        <v>4.2877563613084356E-3</v>
      </c>
    </row>
    <row r="60" spans="1:13" ht="14">
      <c r="A60" s="55">
        <f t="shared" si="10"/>
        <v>25</v>
      </c>
      <c r="B60" s="55" t="s">
        <v>128</v>
      </c>
      <c r="C60" s="80">
        <v>259</v>
      </c>
      <c r="D60" s="56" t="s">
        <v>36</v>
      </c>
      <c r="E60" s="80">
        <v>126</v>
      </c>
      <c r="F60" s="80">
        <v>756</v>
      </c>
      <c r="G60" s="57">
        <v>1E-3</v>
      </c>
      <c r="H60" s="58"/>
      <c r="I60" s="62" t="s">
        <v>71</v>
      </c>
      <c r="J60" s="62" t="s">
        <v>71</v>
      </c>
      <c r="K60" s="60">
        <f>I59</f>
        <v>9.0465943185937649E-6</v>
      </c>
      <c r="L60" s="60">
        <f>I61</f>
        <v>-2.3554079798844638E-4</v>
      </c>
      <c r="M60" s="60">
        <f>(C60-$O$3)*K60 + L60</f>
        <v>2.1075271305273386E-3</v>
      </c>
    </row>
    <row r="61" spans="1:13" ht="14">
      <c r="A61" s="55">
        <f t="shared" si="10"/>
        <v>25</v>
      </c>
      <c r="B61" s="55" t="s">
        <v>129</v>
      </c>
      <c r="C61" s="80">
        <v>249</v>
      </c>
      <c r="D61" s="56" t="s">
        <v>36</v>
      </c>
      <c r="E61" s="80">
        <v>226</v>
      </c>
      <c r="F61" s="80">
        <v>1396</v>
      </c>
      <c r="G61" s="57">
        <v>2E-3</v>
      </c>
      <c r="H61" s="58"/>
      <c r="I61" s="58">
        <f>INTERCEPT(G58:G64, E58:E64)</f>
        <v>-2.3554079798844638E-4</v>
      </c>
      <c r="J61" s="58">
        <f>INTERCEPT(G58:G64, F58:F64)</f>
        <v>-1.2750514495424997E-4</v>
      </c>
      <c r="K61" s="60">
        <f>I59</f>
        <v>9.0465943185937649E-6</v>
      </c>
      <c r="L61" s="60">
        <f>I61</f>
        <v>-2.3554079798844638E-4</v>
      </c>
      <c r="M61" s="60">
        <f>(C61-$O$3)*K61+ L61</f>
        <v>2.0170611873414012E-3</v>
      </c>
    </row>
    <row r="62" spans="1:13" ht="14">
      <c r="A62" s="55">
        <f t="shared" si="10"/>
        <v>25</v>
      </c>
      <c r="B62" s="55" t="s">
        <v>130</v>
      </c>
      <c r="C62" s="80">
        <v>1653</v>
      </c>
      <c r="D62" s="56" t="s">
        <v>37</v>
      </c>
      <c r="E62" s="80">
        <v>581</v>
      </c>
      <c r="F62" s="80">
        <v>3712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1.4979289685405641E-6</v>
      </c>
      <c r="L62" s="60">
        <f>J61</f>
        <v>-1.2750514495424997E-4</v>
      </c>
      <c r="M62" s="60">
        <f>(C62-$O$4)*K62 + L62</f>
        <v>1.7658770712810231E-3</v>
      </c>
    </row>
    <row r="63" spans="1:13" ht="14">
      <c r="A63" s="55">
        <f t="shared" si="10"/>
        <v>25</v>
      </c>
      <c r="B63" s="55" t="s">
        <v>131</v>
      </c>
      <c r="C63" s="80">
        <v>1542</v>
      </c>
      <c r="D63" s="56" t="s">
        <v>37</v>
      </c>
      <c r="E63" s="80">
        <v>1167</v>
      </c>
      <c r="F63" s="80">
        <v>6564</v>
      </c>
      <c r="G63" s="57">
        <v>0.01</v>
      </c>
      <c r="H63" s="58"/>
      <c r="I63" s="61">
        <f>RSQ(G58:G64, E58:E64)</f>
        <v>0.99944274501839514</v>
      </c>
      <c r="J63" s="61">
        <f>RSQ(G58:G64, F58:F64)</f>
        <v>0.99910216125866058</v>
      </c>
      <c r="K63" s="60">
        <f>J59</f>
        <v>1.4979289685405641E-6</v>
      </c>
      <c r="L63" s="60">
        <f>J61</f>
        <v>-1.2750514495424997E-4</v>
      </c>
      <c r="M63" s="60">
        <f>(C63-$O$4)*K63 + L63</f>
        <v>1.5996069557730204E-3</v>
      </c>
    </row>
    <row r="64" spans="1:13" ht="14">
      <c r="A64" s="55">
        <f t="shared" si="10"/>
        <v>25</v>
      </c>
      <c r="B64" s="55" t="s">
        <v>132</v>
      </c>
      <c r="C64" s="80">
        <v>110</v>
      </c>
      <c r="D64" s="56" t="s">
        <v>38</v>
      </c>
      <c r="E64" s="80">
        <v>2220</v>
      </c>
      <c r="F64" s="80">
        <v>13457</v>
      </c>
      <c r="G64" s="57">
        <v>0.02</v>
      </c>
      <c r="H64" s="58"/>
      <c r="I64" s="58"/>
      <c r="J64" s="58"/>
      <c r="K64" s="60">
        <f>I59</f>
        <v>9.0465943185937649E-6</v>
      </c>
      <c r="L64" s="60">
        <f>I61</f>
        <v>-2.3554079798844638E-4</v>
      </c>
      <c r="M64" s="60">
        <f>(C64-$O$5)*K64 + L64</f>
        <v>7.5958457705686778E-4</v>
      </c>
    </row>
    <row r="65" spans="1:26" ht="14">
      <c r="A65" s="55">
        <f t="shared" si="10"/>
        <v>25</v>
      </c>
      <c r="B65" s="55" t="s">
        <v>133</v>
      </c>
      <c r="C65" s="80">
        <v>128</v>
      </c>
      <c r="D65" s="56" t="s">
        <v>38</v>
      </c>
      <c r="E65" s="80">
        <v>15</v>
      </c>
      <c r="F65" s="80">
        <v>9</v>
      </c>
      <c r="G65" s="56"/>
      <c r="H65" s="58"/>
      <c r="I65" s="58"/>
      <c r="J65" s="58"/>
      <c r="K65" s="60">
        <f>I59</f>
        <v>9.0465943185937649E-6</v>
      </c>
      <c r="L65" s="60">
        <f>I61</f>
        <v>-2.3554079798844638E-4</v>
      </c>
      <c r="M65" s="60">
        <f>(C65-$O$5)*K65 + L65</f>
        <v>9.2242327479155552E-4</v>
      </c>
    </row>
    <row r="66" spans="1:26" ht="14">
      <c r="A66" s="55">
        <f>P10</f>
        <v>26</v>
      </c>
      <c r="B66" s="55" t="s">
        <v>134</v>
      </c>
      <c r="C66" s="80">
        <v>496</v>
      </c>
      <c r="D66" s="56" t="s">
        <v>35</v>
      </c>
      <c r="E66" s="80">
        <v>39</v>
      </c>
      <c r="F66" s="80">
        <v>34</v>
      </c>
      <c r="G66" s="57">
        <v>0</v>
      </c>
      <c r="H66" s="58"/>
      <c r="I66" s="62" t="s">
        <v>68</v>
      </c>
      <c r="J66" s="62" t="s">
        <v>68</v>
      </c>
      <c r="K66" s="60">
        <f>I67</f>
        <v>8.8062740488801483E-6</v>
      </c>
      <c r="L66" s="60">
        <f>I69</f>
        <v>-1.4985382193153426E-4</v>
      </c>
      <c r="M66" s="60">
        <f>(C66-$O$2)*K66+L66</f>
        <v>4.2180581063130194E-3</v>
      </c>
    </row>
    <row r="67" spans="1:26" ht="14">
      <c r="A67" s="55">
        <f t="shared" ref="A67:A73" si="11">A66</f>
        <v>26</v>
      </c>
      <c r="B67" s="55" t="s">
        <v>135</v>
      </c>
      <c r="C67" s="80">
        <v>579</v>
      </c>
      <c r="D67" s="56" t="s">
        <v>35</v>
      </c>
      <c r="E67" s="80">
        <v>98</v>
      </c>
      <c r="F67" s="80">
        <v>385</v>
      </c>
      <c r="G67" s="57">
        <v>5.0000000000000001E-4</v>
      </c>
      <c r="H67" s="58"/>
      <c r="I67" s="58">
        <f>SLOPE(G66:G72, E66:E72)</f>
        <v>8.8062740488801483E-6</v>
      </c>
      <c r="J67" s="58">
        <f>SLOPE(G66:G72, F66:F72)</f>
        <v>1.5159904654344576E-6</v>
      </c>
      <c r="K67" s="60">
        <f>I67</f>
        <v>8.8062740488801483E-6</v>
      </c>
      <c r="L67" s="60">
        <f>I69</f>
        <v>-1.4985382193153426E-4</v>
      </c>
      <c r="M67" s="60">
        <f>(C67-$O$2)*K67+L67</f>
        <v>4.9489788523700718E-3</v>
      </c>
    </row>
    <row r="68" spans="1:26" ht="14">
      <c r="A68" s="55">
        <f t="shared" si="11"/>
        <v>26</v>
      </c>
      <c r="B68" s="55" t="s">
        <v>136</v>
      </c>
      <c r="C68" s="80">
        <v>248</v>
      </c>
      <c r="D68" s="56" t="s">
        <v>36</v>
      </c>
      <c r="E68" s="80">
        <v>131</v>
      </c>
      <c r="F68" s="80">
        <v>775</v>
      </c>
      <c r="G68" s="57">
        <v>1E-3</v>
      </c>
      <c r="H68" s="58"/>
      <c r="I68" s="62" t="s">
        <v>71</v>
      </c>
      <c r="J68" s="62" t="s">
        <v>71</v>
      </c>
      <c r="K68" s="60">
        <f>I67</f>
        <v>8.8062740488801483E-6</v>
      </c>
      <c r="L68" s="60">
        <f>I69</f>
        <v>-1.4985382193153426E-4</v>
      </c>
      <c r="M68" s="60">
        <f>(C68-$O$3)*K68 + L68</f>
        <v>2.0341021421907426E-3</v>
      </c>
    </row>
    <row r="69" spans="1:26" ht="14">
      <c r="A69" s="55">
        <f t="shared" si="11"/>
        <v>26</v>
      </c>
      <c r="B69" s="55" t="s">
        <v>137</v>
      </c>
      <c r="C69" s="80">
        <v>235</v>
      </c>
      <c r="D69" s="56" t="s">
        <v>36</v>
      </c>
      <c r="E69" s="80">
        <v>222</v>
      </c>
      <c r="F69" s="80">
        <v>1399</v>
      </c>
      <c r="G69" s="57">
        <v>2E-3</v>
      </c>
      <c r="H69" s="58"/>
      <c r="I69" s="58">
        <f>INTERCEPT(G66:G72, E66:E72)</f>
        <v>-1.4985382193153426E-4</v>
      </c>
      <c r="J69" s="58">
        <f>INTERCEPT(G66:G72, F66:F72)</f>
        <v>-1.0613274117662365E-4</v>
      </c>
      <c r="K69" s="60">
        <f>I67</f>
        <v>8.8062740488801483E-6</v>
      </c>
      <c r="L69" s="60">
        <f>I69</f>
        <v>-1.4985382193153426E-4</v>
      </c>
      <c r="M69" s="60">
        <f>(C69-$O$3)*K69+ L69</f>
        <v>1.9196205795553008E-3</v>
      </c>
    </row>
    <row r="70" spans="1:26" ht="14">
      <c r="A70" s="55">
        <f t="shared" si="11"/>
        <v>26</v>
      </c>
      <c r="B70" s="55" t="s">
        <v>138</v>
      </c>
      <c r="C70" s="80">
        <v>1576</v>
      </c>
      <c r="D70" s="56" t="s">
        <v>37</v>
      </c>
      <c r="E70" s="80">
        <v>552</v>
      </c>
      <c r="F70" s="80">
        <v>3431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1.5159904654344576E-6</v>
      </c>
      <c r="L70" s="60">
        <f>J69</f>
        <v>-1.0613274117662365E-4</v>
      </c>
      <c r="M70" s="60">
        <f>(C70-$O$4)*K70 + L70</f>
        <v>1.6933479412940776E-3</v>
      </c>
    </row>
    <row r="71" spans="1:26" ht="14">
      <c r="A71" s="55">
        <f t="shared" si="11"/>
        <v>26</v>
      </c>
      <c r="B71" s="55" t="s">
        <v>139</v>
      </c>
      <c r="C71" s="80">
        <v>1546</v>
      </c>
      <c r="D71" s="56" t="s">
        <v>37</v>
      </c>
      <c r="E71" s="80">
        <v>1152</v>
      </c>
      <c r="F71" s="80">
        <v>6572</v>
      </c>
      <c r="G71" s="57">
        <v>0.01</v>
      </c>
      <c r="H71" s="58"/>
      <c r="I71" s="61">
        <f>RSQ(G66:G72, E66:E72)</f>
        <v>0.99933929697236945</v>
      </c>
      <c r="J71" s="61">
        <f>RSQ(G66:G72, F66:F72)</f>
        <v>0.99987543829718317</v>
      </c>
      <c r="K71" s="60">
        <f>J67</f>
        <v>1.5159904654344576E-6</v>
      </c>
      <c r="L71" s="60">
        <f>J69</f>
        <v>-1.0613274117662365E-4</v>
      </c>
      <c r="M71" s="60">
        <f>(C71-$O$4)*K71 + L71</f>
        <v>1.6478682273310438E-3</v>
      </c>
    </row>
    <row r="72" spans="1:26" ht="14">
      <c r="A72" s="55">
        <f t="shared" si="11"/>
        <v>26</v>
      </c>
      <c r="B72" s="55" t="s">
        <v>140</v>
      </c>
      <c r="C72" s="80">
        <v>114</v>
      </c>
      <c r="D72" s="56" t="s">
        <v>38</v>
      </c>
      <c r="E72" s="80">
        <v>2297</v>
      </c>
      <c r="F72" s="80">
        <v>13290</v>
      </c>
      <c r="G72" s="57">
        <v>0.02</v>
      </c>
      <c r="H72" s="58"/>
      <c r="I72" s="58"/>
      <c r="J72" s="58"/>
      <c r="K72" s="60">
        <f>I67</f>
        <v>8.8062740488801483E-6</v>
      </c>
      <c r="L72" s="60">
        <f>I69</f>
        <v>-1.4985382193153426E-4</v>
      </c>
      <c r="M72" s="60">
        <f>(C72-$O$5)*K72 + L72</f>
        <v>8.5406141964080272E-4</v>
      </c>
    </row>
    <row r="73" spans="1:26" ht="14">
      <c r="A73" s="55">
        <f t="shared" si="11"/>
        <v>26</v>
      </c>
      <c r="B73" s="55" t="s">
        <v>141</v>
      </c>
      <c r="C73" s="80">
        <v>114</v>
      </c>
      <c r="D73" s="56" t="s">
        <v>38</v>
      </c>
      <c r="E73" s="80">
        <v>17</v>
      </c>
      <c r="F73" s="80">
        <v>9</v>
      </c>
      <c r="G73" s="56"/>
      <c r="H73" s="58"/>
      <c r="I73" s="58"/>
      <c r="J73" s="58"/>
      <c r="K73" s="60">
        <f>I67</f>
        <v>8.8062740488801483E-6</v>
      </c>
      <c r="L73" s="60">
        <f>I69</f>
        <v>-1.4985382193153426E-4</v>
      </c>
      <c r="M73" s="60">
        <f>(C73-$O$5)*K73 + L73</f>
        <v>8.5406141964080272E-4</v>
      </c>
    </row>
    <row r="74" spans="1:26" ht="14">
      <c r="A74" s="55">
        <f>P11</f>
        <v>27</v>
      </c>
      <c r="B74" s="55" t="s">
        <v>142</v>
      </c>
      <c r="C74" s="80">
        <v>482</v>
      </c>
      <c r="D74" s="56" t="s">
        <v>35</v>
      </c>
      <c r="E74" s="80">
        <v>38</v>
      </c>
      <c r="F74" s="80">
        <v>26</v>
      </c>
      <c r="G74" s="57">
        <v>0</v>
      </c>
      <c r="H74" s="58"/>
      <c r="I74" s="62" t="s">
        <v>68</v>
      </c>
      <c r="J74" s="62" t="s">
        <v>68</v>
      </c>
      <c r="K74" s="60">
        <f>I75</f>
        <v>9.2255275223525628E-6</v>
      </c>
      <c r="L74" s="60">
        <f>I77</f>
        <v>-2.8572368901824945E-4</v>
      </c>
      <c r="M74" s="60">
        <f>(C74-$O$2)*K74+L74</f>
        <v>4.1609805767556856E-3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27</v>
      </c>
      <c r="B75" s="55" t="s">
        <v>143</v>
      </c>
      <c r="C75" s="80">
        <v>512</v>
      </c>
      <c r="D75" s="56" t="s">
        <v>35</v>
      </c>
      <c r="E75" s="80">
        <v>85</v>
      </c>
      <c r="F75" s="80">
        <v>361</v>
      </c>
      <c r="G75" s="57">
        <v>5.0000000000000001E-4</v>
      </c>
      <c r="H75" s="58"/>
      <c r="I75" s="58">
        <f>SLOPE(G74:G80, E74:E80)</f>
        <v>9.2255275223525628E-6</v>
      </c>
      <c r="J75" s="58">
        <f>SLOPE(G74:G80, F74:F80)</f>
        <v>1.54075990115197E-6</v>
      </c>
      <c r="K75" s="60">
        <f>I75</f>
        <v>9.2255275223525628E-6</v>
      </c>
      <c r="L75" s="60">
        <f>I77</f>
        <v>-2.8572368901824945E-4</v>
      </c>
      <c r="M75" s="60">
        <f>(C75-$O$2)*K75+L75</f>
        <v>4.4377464024262627E-3</v>
      </c>
    </row>
    <row r="76" spans="1:26" ht="14">
      <c r="A76" s="55">
        <f t="shared" si="12"/>
        <v>27</v>
      </c>
      <c r="B76" s="55" t="s">
        <v>144</v>
      </c>
      <c r="C76" s="80">
        <v>228</v>
      </c>
      <c r="D76" s="56" t="s">
        <v>36</v>
      </c>
      <c r="E76" s="80">
        <v>129</v>
      </c>
      <c r="F76" s="80">
        <v>762</v>
      </c>
      <c r="G76" s="57">
        <v>1E-3</v>
      </c>
      <c r="H76" s="58"/>
      <c r="I76" s="62" t="s">
        <v>71</v>
      </c>
      <c r="J76" s="62" t="s">
        <v>71</v>
      </c>
      <c r="K76" s="60">
        <f>I75</f>
        <v>9.2255275223525628E-6</v>
      </c>
      <c r="L76" s="60">
        <f>I77</f>
        <v>-2.8572368901824945E-4</v>
      </c>
      <c r="M76" s="60">
        <f>(C76-$O$3)*K76 + L76</f>
        <v>1.817696586078135E-3</v>
      </c>
    </row>
    <row r="77" spans="1:26" ht="14">
      <c r="A77" s="55">
        <f t="shared" si="12"/>
        <v>27</v>
      </c>
      <c r="B77" s="55" t="s">
        <v>145</v>
      </c>
      <c r="C77" s="80">
        <v>228</v>
      </c>
      <c r="D77" s="56" t="s">
        <v>36</v>
      </c>
      <c r="E77" s="80">
        <v>236</v>
      </c>
      <c r="F77" s="80">
        <v>1420</v>
      </c>
      <c r="G77" s="57">
        <v>2E-3</v>
      </c>
      <c r="H77" s="58"/>
      <c r="I77" s="58">
        <f>INTERCEPT(G74:G80, E74:E80)</f>
        <v>-2.8572368901824945E-4</v>
      </c>
      <c r="J77" s="58">
        <f>INTERCEPT(G74:G80, F74:F80)</f>
        <v>-1.187111423866195E-4</v>
      </c>
      <c r="K77" s="60">
        <f>I75</f>
        <v>9.2255275223525628E-6</v>
      </c>
      <c r="L77" s="60">
        <f>I77</f>
        <v>-2.8572368901824945E-4</v>
      </c>
      <c r="M77" s="60">
        <f>(C77-$O$3)*K77+ L77</f>
        <v>1.817696586078135E-3</v>
      </c>
    </row>
    <row r="78" spans="1:26" ht="14">
      <c r="A78" s="55">
        <f t="shared" si="12"/>
        <v>27</v>
      </c>
      <c r="B78" s="55" t="s">
        <v>146</v>
      </c>
      <c r="C78" s="80">
        <v>1785</v>
      </c>
      <c r="D78" s="56" t="s">
        <v>37</v>
      </c>
      <c r="E78" s="80">
        <v>588</v>
      </c>
      <c r="F78" s="80">
        <v>3433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1.54075990115197E-6</v>
      </c>
      <c r="L78" s="60">
        <f>J77</f>
        <v>-1.187111423866195E-4</v>
      </c>
      <c r="M78" s="60">
        <f>(C78-$O$4)*K78 + L78</f>
        <v>2.0321896796215307E-3</v>
      </c>
    </row>
    <row r="79" spans="1:26" ht="14">
      <c r="A79" s="55">
        <f t="shared" si="12"/>
        <v>27</v>
      </c>
      <c r="B79" s="55" t="s">
        <v>147</v>
      </c>
      <c r="C79" s="80">
        <v>1535</v>
      </c>
      <c r="D79" s="56" t="s">
        <v>37</v>
      </c>
      <c r="E79" s="80">
        <v>1120</v>
      </c>
      <c r="F79" s="80">
        <v>6439</v>
      </c>
      <c r="G79" s="57">
        <v>0.01</v>
      </c>
      <c r="H79" s="58"/>
      <c r="I79" s="61">
        <f>RSQ(G74:G80, E74:E80)</f>
        <v>0.99984732113132457</v>
      </c>
      <c r="J79" s="61">
        <f>RSQ(G74:G80, F74:F80)</f>
        <v>0.99972339218890083</v>
      </c>
      <c r="K79" s="60">
        <f>J75</f>
        <v>1.54075990115197E-6</v>
      </c>
      <c r="L79" s="60">
        <f>J77</f>
        <v>-1.187111423866195E-4</v>
      </c>
      <c r="M79" s="60">
        <f>(C79-$O$4)*K79 + L79</f>
        <v>1.6469997043335382E-3</v>
      </c>
    </row>
    <row r="80" spans="1:26" ht="14">
      <c r="A80" s="55">
        <f t="shared" si="12"/>
        <v>27</v>
      </c>
      <c r="B80" s="55" t="s">
        <v>148</v>
      </c>
      <c r="C80" s="80">
        <v>103</v>
      </c>
      <c r="D80" s="56" t="s">
        <v>38</v>
      </c>
      <c r="E80" s="80">
        <v>2194</v>
      </c>
      <c r="F80" s="80">
        <v>13086</v>
      </c>
      <c r="G80" s="57">
        <v>0.02</v>
      </c>
      <c r="H80" s="58"/>
      <c r="I80" s="58"/>
      <c r="J80" s="58"/>
      <c r="K80" s="60">
        <f>I75</f>
        <v>9.2255275223525628E-6</v>
      </c>
      <c r="L80" s="60">
        <f>I77</f>
        <v>-2.8572368901824945E-4</v>
      </c>
      <c r="M80" s="60">
        <f>(C80-$O$5)*K80 + L80</f>
        <v>6.6450564578406448E-4</v>
      </c>
    </row>
    <row r="81" spans="1:13" ht="14">
      <c r="A81" s="55">
        <f t="shared" si="12"/>
        <v>27</v>
      </c>
      <c r="B81" s="55" t="s">
        <v>149</v>
      </c>
      <c r="C81" s="80">
        <v>114</v>
      </c>
      <c r="D81" s="56" t="s">
        <v>38</v>
      </c>
      <c r="E81" s="80">
        <v>18</v>
      </c>
      <c r="F81" s="80">
        <v>8</v>
      </c>
      <c r="G81" s="56"/>
      <c r="H81" s="58"/>
      <c r="I81" s="58"/>
      <c r="J81" s="58"/>
      <c r="K81" s="60">
        <f>I75</f>
        <v>9.2255275223525628E-6</v>
      </c>
      <c r="L81" s="60">
        <f>I77</f>
        <v>-2.8572368901824945E-4</v>
      </c>
      <c r="M81" s="60">
        <f>(C81-$O$5)*K81 + L81</f>
        <v>7.6598644852994275E-4</v>
      </c>
    </row>
    <row r="82" spans="1:13" ht="14">
      <c r="A82" s="55">
        <f>P12</f>
        <v>28</v>
      </c>
      <c r="B82" s="55" t="s">
        <v>150</v>
      </c>
      <c r="C82" s="80">
        <v>489</v>
      </c>
      <c r="D82" s="56" t="s">
        <v>35</v>
      </c>
      <c r="E82" s="80">
        <v>36</v>
      </c>
      <c r="F82" s="80">
        <v>30</v>
      </c>
      <c r="G82" s="57">
        <v>0</v>
      </c>
      <c r="H82" s="58"/>
      <c r="I82" s="62" t="s">
        <v>68</v>
      </c>
      <c r="J82" s="62" t="s">
        <v>68</v>
      </c>
      <c r="K82" s="60">
        <f>I83</f>
        <v>8.7156687840923474E-6</v>
      </c>
      <c r="L82" s="60">
        <f>I85</f>
        <v>-2.4487082425744041E-4</v>
      </c>
      <c r="M82" s="60">
        <f>(C82-$O$2)*K82+L82</f>
        <v>4.0170912111637171E-3</v>
      </c>
    </row>
    <row r="83" spans="1:13" ht="14">
      <c r="A83" s="55">
        <f t="shared" ref="A83:A89" si="13">A82</f>
        <v>28</v>
      </c>
      <c r="B83" s="55" t="s">
        <v>151</v>
      </c>
      <c r="C83" s="80">
        <v>578</v>
      </c>
      <c r="D83" s="56" t="s">
        <v>35</v>
      </c>
      <c r="E83" s="80">
        <v>89</v>
      </c>
      <c r="F83" s="80">
        <v>378</v>
      </c>
      <c r="G83" s="57">
        <v>5.0000000000000001E-4</v>
      </c>
      <c r="H83" s="58"/>
      <c r="I83" s="58">
        <f>SLOPE(G82:G88, E82:E88)</f>
        <v>8.7156687840923474E-6</v>
      </c>
      <c r="J83" s="58">
        <f>SLOPE(G82:G88, F82:F88)</f>
        <v>1.5382415510560374E-6</v>
      </c>
      <c r="K83" s="60">
        <f>I83</f>
        <v>8.7156687840923474E-6</v>
      </c>
      <c r="L83" s="60">
        <f>I85</f>
        <v>-2.4487082425744041E-4</v>
      </c>
      <c r="M83" s="60">
        <f>(C83-$O$2)*K83+L83</f>
        <v>4.7927857329479366E-3</v>
      </c>
    </row>
    <row r="84" spans="1:13" ht="14">
      <c r="A84" s="55">
        <f t="shared" si="13"/>
        <v>28</v>
      </c>
      <c r="B84" s="55" t="s">
        <v>152</v>
      </c>
      <c r="C84" s="80">
        <v>235</v>
      </c>
      <c r="D84" s="56" t="s">
        <v>36</v>
      </c>
      <c r="E84" s="80">
        <v>141</v>
      </c>
      <c r="F84" s="80">
        <v>793</v>
      </c>
      <c r="G84" s="57">
        <v>1E-3</v>
      </c>
      <c r="H84" s="58"/>
      <c r="I84" s="62" t="s">
        <v>71</v>
      </c>
      <c r="J84" s="62" t="s">
        <v>71</v>
      </c>
      <c r="K84" s="60">
        <f>I83</f>
        <v>8.7156687840923474E-6</v>
      </c>
      <c r="L84" s="60">
        <f>I85</f>
        <v>-2.4487082425744041E-4</v>
      </c>
      <c r="M84" s="60">
        <f>(C84-$O$3)*K84 + L84</f>
        <v>1.8033113400042614E-3</v>
      </c>
    </row>
    <row r="85" spans="1:13" ht="14">
      <c r="A85" s="55">
        <f t="shared" si="13"/>
        <v>28</v>
      </c>
      <c r="B85" s="55" t="s">
        <v>153</v>
      </c>
      <c r="C85" s="80">
        <v>242</v>
      </c>
      <c r="D85" s="56" t="s">
        <v>36</v>
      </c>
      <c r="E85" s="80">
        <v>225</v>
      </c>
      <c r="F85" s="80">
        <v>1481</v>
      </c>
      <c r="G85" s="57">
        <v>2E-3</v>
      </c>
      <c r="H85" s="58"/>
      <c r="I85" s="58">
        <f>INTERCEPT(G82:G88, E82:E88)</f>
        <v>-2.4487082425744041E-4</v>
      </c>
      <c r="J85" s="58">
        <f>INTERCEPT(G82:G88, F82:F88)</f>
        <v>-2.0226142976473033E-4</v>
      </c>
      <c r="K85" s="60">
        <f>I83</f>
        <v>8.7156687840923474E-6</v>
      </c>
      <c r="L85" s="60">
        <f>I85</f>
        <v>-2.4487082425744041E-4</v>
      </c>
      <c r="M85" s="60">
        <f>(C85-$O$3)*K85+ L85</f>
        <v>1.8643210214929077E-3</v>
      </c>
    </row>
    <row r="86" spans="1:13" ht="14">
      <c r="A86" s="55">
        <f t="shared" si="13"/>
        <v>28</v>
      </c>
      <c r="B86" s="55" t="s">
        <v>154</v>
      </c>
      <c r="C86" s="80">
        <v>1874</v>
      </c>
      <c r="D86" s="56" t="s">
        <v>37</v>
      </c>
      <c r="E86" s="80">
        <v>601</v>
      </c>
      <c r="F86" s="80">
        <v>3574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1.5382415510560374E-6</v>
      </c>
      <c r="L86" s="60">
        <f>J85</f>
        <v>-2.0226142976473033E-4</v>
      </c>
      <c r="M86" s="60">
        <f>(C86-$O$4)*K86 + L86</f>
        <v>2.0820272735534852E-3</v>
      </c>
    </row>
    <row r="87" spans="1:13" ht="14">
      <c r="A87" s="55">
        <f t="shared" si="13"/>
        <v>28</v>
      </c>
      <c r="B87" s="55" t="s">
        <v>155</v>
      </c>
      <c r="C87" s="80">
        <v>1826</v>
      </c>
      <c r="D87" s="56" t="s">
        <v>37</v>
      </c>
      <c r="E87" s="80">
        <v>1219</v>
      </c>
      <c r="F87" s="80">
        <v>6599</v>
      </c>
      <c r="G87" s="57">
        <v>0.01</v>
      </c>
      <c r="H87" s="58"/>
      <c r="I87" s="61">
        <f>RSQ(G82:G88, E82:E88)</f>
        <v>0.99918233013486946</v>
      </c>
      <c r="J87" s="61">
        <f>RSQ(G82:G88, F82:F88)</f>
        <v>0.99956481473638026</v>
      </c>
      <c r="K87" s="60">
        <f>J83</f>
        <v>1.5382415510560374E-6</v>
      </c>
      <c r="L87" s="60">
        <f>J85</f>
        <v>-2.0226142976473033E-4</v>
      </c>
      <c r="M87" s="60">
        <f>(C87-$O$4)*K87 + L87</f>
        <v>2.0081916791027956E-3</v>
      </c>
    </row>
    <row r="88" spans="1:13" ht="14">
      <c r="A88" s="55">
        <f t="shared" si="13"/>
        <v>28</v>
      </c>
      <c r="B88" s="55" t="s">
        <v>156</v>
      </c>
      <c r="C88" s="80">
        <v>136</v>
      </c>
      <c r="D88" s="56" t="s">
        <v>38</v>
      </c>
      <c r="E88" s="80">
        <v>2303</v>
      </c>
      <c r="F88" s="80">
        <v>13094</v>
      </c>
      <c r="G88" s="57">
        <v>0.02</v>
      </c>
      <c r="H88" s="58"/>
      <c r="I88" s="58"/>
      <c r="J88" s="58"/>
      <c r="K88" s="60">
        <f>I83</f>
        <v>8.7156687840923474E-6</v>
      </c>
      <c r="L88" s="60">
        <f>I85</f>
        <v>-2.4487082425744041E-4</v>
      </c>
      <c r="M88" s="60">
        <f>(C88-$O$5)*K88 + L88</f>
        <v>9.4046013037911891E-4</v>
      </c>
    </row>
    <row r="89" spans="1:13" ht="14">
      <c r="A89" s="55">
        <f t="shared" si="13"/>
        <v>28</v>
      </c>
      <c r="B89" s="55" t="s">
        <v>157</v>
      </c>
      <c r="C89" s="80">
        <v>138</v>
      </c>
      <c r="D89" s="56" t="s">
        <v>38</v>
      </c>
      <c r="E89" s="80">
        <v>19</v>
      </c>
      <c r="F89" s="80">
        <v>20</v>
      </c>
      <c r="G89" s="56"/>
      <c r="H89" s="58"/>
      <c r="I89" s="58"/>
      <c r="J89" s="58"/>
      <c r="K89" s="60">
        <f>I83</f>
        <v>8.7156687840923474E-6</v>
      </c>
      <c r="L89" s="60">
        <f>I85</f>
        <v>-2.4487082425744041E-4</v>
      </c>
      <c r="M89" s="60">
        <f>(C89-$O$5)*K89 + L89</f>
        <v>9.5789146794730351E-4</v>
      </c>
    </row>
    <row r="90" spans="1:13" ht="14">
      <c r="A90" s="55">
        <f>P13</f>
        <v>30</v>
      </c>
      <c r="B90" s="55" t="s">
        <v>158</v>
      </c>
      <c r="C90" s="80">
        <v>502</v>
      </c>
      <c r="D90" s="56" t="s">
        <v>35</v>
      </c>
      <c r="E90" s="80">
        <v>42</v>
      </c>
      <c r="F90" s="80">
        <v>69</v>
      </c>
      <c r="G90" s="57">
        <v>0</v>
      </c>
      <c r="H90" s="58"/>
      <c r="I90" s="62" t="s">
        <v>68</v>
      </c>
      <c r="J90" s="62" t="s">
        <v>68</v>
      </c>
      <c r="K90" s="60">
        <f>I91</f>
        <v>8.7215736256637943E-6</v>
      </c>
      <c r="L90" s="60">
        <f>I93</f>
        <v>-3.4594620737350354E-4</v>
      </c>
      <c r="M90" s="60">
        <f>(C90-$O$2)*K90+L90</f>
        <v>4.0322837527097212E-3</v>
      </c>
    </row>
    <row r="91" spans="1:13" ht="14">
      <c r="A91" s="55">
        <f t="shared" ref="A91:A97" si="14">A90</f>
        <v>30</v>
      </c>
      <c r="B91" s="55" t="s">
        <v>159</v>
      </c>
      <c r="C91" s="80">
        <v>578</v>
      </c>
      <c r="D91" s="56" t="s">
        <v>35</v>
      </c>
      <c r="E91" s="80">
        <v>87</v>
      </c>
      <c r="F91" s="80">
        <v>427</v>
      </c>
      <c r="G91" s="57">
        <v>5.0000000000000001E-4</v>
      </c>
      <c r="H91" s="58"/>
      <c r="I91" s="58">
        <f>SLOPE(G90:G96, E90:E96)</f>
        <v>8.7215736256637943E-6</v>
      </c>
      <c r="J91" s="58">
        <f>SLOPE(G90:G96, F90:F96)</f>
        <v>1.4829478025335431E-6</v>
      </c>
      <c r="K91" s="60">
        <f>I91</f>
        <v>8.7215736256637943E-6</v>
      </c>
      <c r="L91" s="60">
        <f>I93</f>
        <v>-3.4594620737350354E-4</v>
      </c>
      <c r="M91" s="60">
        <f>(C91-$O$2)*K91+L91</f>
        <v>4.6951233482601697E-3</v>
      </c>
    </row>
    <row r="92" spans="1:13" ht="14">
      <c r="A92" s="55">
        <f t="shared" si="14"/>
        <v>30</v>
      </c>
      <c r="B92" s="55" t="s">
        <v>160</v>
      </c>
      <c r="C92" s="80">
        <v>253</v>
      </c>
      <c r="D92" s="56" t="s">
        <v>36</v>
      </c>
      <c r="E92" s="80">
        <v>137</v>
      </c>
      <c r="F92" s="80">
        <v>795</v>
      </c>
      <c r="G92" s="57">
        <v>1E-3</v>
      </c>
      <c r="H92" s="58"/>
      <c r="I92" s="62" t="s">
        <v>71</v>
      </c>
      <c r="J92" s="62" t="s">
        <v>71</v>
      </c>
      <c r="K92" s="60">
        <f>I91</f>
        <v>8.7215736256637943E-6</v>
      </c>
      <c r="L92" s="60">
        <f>I93</f>
        <v>-3.4594620737350354E-4</v>
      </c>
      <c r="M92" s="60">
        <f>(C92-$O$3)*K92 + L92</f>
        <v>1.8606119199194365E-3</v>
      </c>
    </row>
    <row r="93" spans="1:13" ht="14">
      <c r="A93" s="55">
        <f t="shared" si="14"/>
        <v>30</v>
      </c>
      <c r="B93" s="55" t="s">
        <v>161</v>
      </c>
      <c r="C93" s="80">
        <v>278</v>
      </c>
      <c r="D93" s="56" t="s">
        <v>36</v>
      </c>
      <c r="E93" s="80">
        <v>252</v>
      </c>
      <c r="F93" s="80">
        <v>1517</v>
      </c>
      <c r="G93" s="57">
        <v>2E-3</v>
      </c>
      <c r="H93" s="58"/>
      <c r="I93" s="58">
        <f>INTERCEPT(G90:G96, E90:E96)</f>
        <v>-3.4594620737350354E-4</v>
      </c>
      <c r="J93" s="58">
        <f>INTERCEPT(G90:G96, F90:F96)</f>
        <v>-2.0807794163768371E-4</v>
      </c>
      <c r="K93" s="60">
        <f>I91</f>
        <v>8.7215736256637943E-6</v>
      </c>
      <c r="L93" s="60">
        <f>I93</f>
        <v>-3.4594620737350354E-4</v>
      </c>
      <c r="M93" s="60">
        <f>(C93-$O$3)*K93+ L93</f>
        <v>2.0786512605610315E-3</v>
      </c>
    </row>
    <row r="94" spans="1:13" ht="14">
      <c r="A94" s="55">
        <f t="shared" si="14"/>
        <v>30</v>
      </c>
      <c r="B94" s="55" t="s">
        <v>162</v>
      </c>
      <c r="C94" s="80">
        <v>2193</v>
      </c>
      <c r="D94" s="56" t="s">
        <v>37</v>
      </c>
      <c r="E94" s="80">
        <v>634</v>
      </c>
      <c r="F94" s="80">
        <v>3692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1.4829478025335431E-6</v>
      </c>
      <c r="L94" s="60">
        <f>J93</f>
        <v>-2.0807794163768371E-4</v>
      </c>
      <c r="M94" s="60">
        <f>(C94-$O$4)*K94 + L94</f>
        <v>2.4671598941328281E-3</v>
      </c>
    </row>
    <row r="95" spans="1:13" ht="14">
      <c r="A95" s="55">
        <f t="shared" si="14"/>
        <v>30</v>
      </c>
      <c r="B95" s="55" t="s">
        <v>163</v>
      </c>
      <c r="C95" s="80">
        <v>1923</v>
      </c>
      <c r="D95" s="56" t="s">
        <v>37</v>
      </c>
      <c r="E95" s="80">
        <v>1237</v>
      </c>
      <c r="F95" s="80">
        <v>6848</v>
      </c>
      <c r="G95" s="57">
        <v>0.01</v>
      </c>
      <c r="H95" s="58"/>
      <c r="I95" s="61">
        <f>RSQ(G90:G96, E90:E96)</f>
        <v>0.99890085872457379</v>
      </c>
      <c r="J95" s="61">
        <f>RSQ(G90:G96, F90:F96)</f>
        <v>0.99970004444545779</v>
      </c>
      <c r="K95" s="60">
        <f>J91</f>
        <v>1.4829478025335431E-6</v>
      </c>
      <c r="L95" s="60">
        <f>J93</f>
        <v>-2.0807794163768371E-4</v>
      </c>
      <c r="M95" s="60">
        <f>(C95-$O$4)*K95 + L95</f>
        <v>2.0667639874487713E-3</v>
      </c>
    </row>
    <row r="96" spans="1:13" ht="14">
      <c r="A96" s="55">
        <f t="shared" si="14"/>
        <v>30</v>
      </c>
      <c r="B96" s="55" t="s">
        <v>164</v>
      </c>
      <c r="C96" s="80">
        <v>133</v>
      </c>
      <c r="D96" s="56" t="s">
        <v>38</v>
      </c>
      <c r="E96" s="80">
        <v>2303</v>
      </c>
      <c r="F96" s="80">
        <v>13596</v>
      </c>
      <c r="G96" s="57">
        <v>0.02</v>
      </c>
      <c r="I96" s="58"/>
      <c r="J96" s="58"/>
      <c r="K96" s="60">
        <f>I91</f>
        <v>8.7215736256637943E-6</v>
      </c>
      <c r="L96" s="60">
        <f>I93</f>
        <v>-3.4594620737350354E-4</v>
      </c>
      <c r="M96" s="60">
        <f>(C96-$O$5)*K96 + L96</f>
        <v>8.1402308483978112E-4</v>
      </c>
    </row>
    <row r="97" spans="1:13" ht="14">
      <c r="A97" s="55">
        <f t="shared" si="14"/>
        <v>30</v>
      </c>
      <c r="B97" s="55" t="s">
        <v>165</v>
      </c>
      <c r="C97" s="80">
        <v>129</v>
      </c>
      <c r="D97" s="56" t="s">
        <v>38</v>
      </c>
      <c r="E97" s="80">
        <v>17</v>
      </c>
      <c r="F97" s="80">
        <v>8</v>
      </c>
      <c r="G97" s="56"/>
      <c r="I97" s="58"/>
      <c r="J97" s="58"/>
      <c r="K97" s="60">
        <f>I91</f>
        <v>8.7215736256637943E-6</v>
      </c>
      <c r="L97" s="60">
        <f>I93</f>
        <v>-3.4594620737350354E-4</v>
      </c>
      <c r="M97" s="60">
        <f>(C97-$O$5)*K97 + L97</f>
        <v>7.7913679033712597E-4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444.08333333333331</v>
      </c>
      <c r="D100" s="56" t="s">
        <v>35</v>
      </c>
      <c r="I100" s="58"/>
      <c r="J100" s="58"/>
    </row>
    <row r="101" spans="1:13" ht="14">
      <c r="C101" s="63">
        <f t="shared" si="15"/>
        <v>464.66666666666669</v>
      </c>
      <c r="D101" s="56" t="s">
        <v>35</v>
      </c>
      <c r="I101" s="58"/>
      <c r="J101" s="58"/>
    </row>
    <row r="102" spans="1:13" ht="14">
      <c r="C102" s="63">
        <f t="shared" si="15"/>
        <v>211.41666666666666</v>
      </c>
      <c r="D102" s="56" t="s">
        <v>36</v>
      </c>
      <c r="I102" s="58"/>
      <c r="J102" s="58"/>
    </row>
    <row r="103" spans="1:13" ht="14">
      <c r="C103" s="63">
        <f t="shared" si="15"/>
        <v>220.75</v>
      </c>
      <c r="D103" s="56" t="s">
        <v>36</v>
      </c>
      <c r="I103" s="58"/>
      <c r="J103" s="58"/>
    </row>
    <row r="104" spans="1:13" ht="14">
      <c r="C104" s="63">
        <f t="shared" si="15"/>
        <v>1639.8333333333333</v>
      </c>
      <c r="D104" s="56" t="s">
        <v>37</v>
      </c>
      <c r="I104" s="58"/>
      <c r="J104" s="58"/>
    </row>
    <row r="105" spans="1:13" ht="14">
      <c r="C105" s="63">
        <f t="shared" si="15"/>
        <v>1532.5833333333333</v>
      </c>
      <c r="D105" s="56" t="s">
        <v>37</v>
      </c>
      <c r="I105" s="58"/>
      <c r="J105" s="58"/>
    </row>
    <row r="106" spans="1:13" ht="14">
      <c r="C106" s="63">
        <f t="shared" si="15"/>
        <v>110.5</v>
      </c>
      <c r="D106" s="56" t="s">
        <v>38</v>
      </c>
      <c r="I106" s="58"/>
      <c r="J106" s="58"/>
    </row>
    <row r="107" spans="1:13" ht="14">
      <c r="C107" s="63">
        <f t="shared" si="15"/>
        <v>120.75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12" priority="4" operator="lessThan">
      <formula>0.98</formula>
    </cfRule>
  </conditionalFormatting>
  <conditionalFormatting sqref="W2:W13">
    <cfRule type="colorScale" priority="1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2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3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0D3E-C749-604B-87FA-5B83957B10B2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I1" sqref="I1:J1048576"/>
      <selection pane="topRight" activeCell="I1" sqref="I1:J1048576"/>
      <selection pane="bottomLeft" activeCell="I1" sqref="I1:J1048576"/>
      <selection pane="bottomRight" activeCell="V13" sqref="V13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31</v>
      </c>
      <c r="B2" s="55" t="s">
        <v>67</v>
      </c>
      <c r="C2" s="80">
        <v>510</v>
      </c>
      <c r="D2" s="56" t="s">
        <v>35</v>
      </c>
      <c r="E2" s="80">
        <v>19</v>
      </c>
      <c r="F2" s="80">
        <v>19</v>
      </c>
      <c r="G2" s="57">
        <v>0</v>
      </c>
      <c r="H2" s="58"/>
      <c r="I2" s="59" t="s">
        <v>68</v>
      </c>
      <c r="J2" s="59" t="s">
        <v>68</v>
      </c>
      <c r="K2" s="60">
        <f>I3</f>
        <v>1.1947229061476446E-5</v>
      </c>
      <c r="L2" s="60">
        <f>I5</f>
        <v>-1.2202464692905816E-4</v>
      </c>
      <c r="M2" s="60">
        <f>(C2-$O$2)*K2+L2</f>
        <v>5.9710621744239294E-3</v>
      </c>
      <c r="N2" s="47" t="str">
        <f>'enzyme setup and metadata'!F179</f>
        <v>BG</v>
      </c>
      <c r="O2" s="47">
        <f>'enzyme setup and metadata'!G179</f>
        <v>0</v>
      </c>
      <c r="P2" s="91">
        <f>'enzyme setup and metadata'!A26</f>
        <v>31</v>
      </c>
      <c r="Q2" s="66">
        <f>'enzyme setup and metadata'!I26</f>
        <v>2.1911718005716097</v>
      </c>
      <c r="R2" s="14">
        <f>'enzyme setup and metadata'!R178</f>
        <v>3.2333333333954215</v>
      </c>
      <c r="S2" s="14">
        <f>(((M2+M3)/2)*91)/(R2*Q2*0.8)</f>
        <v>9.7786724884217233E-2</v>
      </c>
      <c r="T2" s="14">
        <f>(((M4+M5)/2)*91)/(R2*Q2*0.8)</f>
        <v>4.4077397031386176E-2</v>
      </c>
      <c r="U2" s="14">
        <f>(((M6+M7)/2)*91)/(R2*Q2*0.8)</f>
        <v>2.5577575928105011E-2</v>
      </c>
      <c r="V2" s="14">
        <f>(((M8+M9)/2)*91)/(R2*Q2*0.8)</f>
        <v>2.0675475609795508E-2</v>
      </c>
      <c r="W2" s="14">
        <f>S2*1000</f>
        <v>97.786724884217236</v>
      </c>
      <c r="X2" s="14">
        <f>T2*1000</f>
        <v>44.077397031386177</v>
      </c>
      <c r="Y2" s="14">
        <f>U2*1000</f>
        <v>25.577575928105013</v>
      </c>
      <c r="Z2" s="14">
        <f>V2*1000</f>
        <v>20.675475609795509</v>
      </c>
    </row>
    <row r="3" spans="1:26" ht="14">
      <c r="A3" s="55">
        <f t="shared" ref="A3:A9" si="0">A2</f>
        <v>31</v>
      </c>
      <c r="B3" s="55" t="s">
        <v>69</v>
      </c>
      <c r="C3" s="80">
        <v>530</v>
      </c>
      <c r="D3" s="56" t="s">
        <v>35</v>
      </c>
      <c r="E3" s="80">
        <v>53</v>
      </c>
      <c r="F3" s="80">
        <v>330</v>
      </c>
      <c r="G3" s="57">
        <v>5.0000000000000001E-4</v>
      </c>
      <c r="H3" s="58"/>
      <c r="I3" s="59">
        <f>SLOPE(G2:G8, E2:E8)</f>
        <v>1.1947229061476446E-5</v>
      </c>
      <c r="J3" s="59">
        <f>SLOPE(G2:G8, F2:F8)</f>
        <v>1.5158667123315544E-6</v>
      </c>
      <c r="K3" s="60">
        <f>I3</f>
        <v>1.1947229061476446E-5</v>
      </c>
      <c r="L3" s="60">
        <f>I5</f>
        <v>-1.2202464692905816E-4</v>
      </c>
      <c r="M3" s="60">
        <f>(C3-$O$2)*K3+L3</f>
        <v>6.2100067556534579E-3</v>
      </c>
      <c r="N3" s="47" t="str">
        <f>'enzyme setup and metadata'!F180</f>
        <v>CB</v>
      </c>
      <c r="O3" s="47">
        <f>'enzyme setup and metadata'!G180</f>
        <v>0</v>
      </c>
      <c r="P3" s="91">
        <f>'enzyme setup and metadata'!A27</f>
        <v>32</v>
      </c>
      <c r="Q3" s="66">
        <f>'enzyme setup and metadata'!I27</f>
        <v>2.1694378463974662</v>
      </c>
      <c r="R3" s="14">
        <f>R2</f>
        <v>3.2333333333954215</v>
      </c>
      <c r="S3" s="14">
        <f>(((M10+M11)/2)*91)/(R3*Q3*0.8)</f>
        <v>0.10098113979572396</v>
      </c>
      <c r="T3" s="14">
        <f>(((M12+M13)/2)*91)/(R3*Q3*0.8)</f>
        <v>3.8576857355807487E-2</v>
      </c>
      <c r="U3" s="14">
        <f>(((M14+M15)/2)*91)/(R3*Q3*0.8)</f>
        <v>2.7010941002797266E-2</v>
      </c>
      <c r="V3" s="14">
        <f>(((M16+M17)/2)*91)/(R3*Q3*0.8)</f>
        <v>1.9901123194956575E-2</v>
      </c>
      <c r="W3" s="14">
        <f>S3*1000</f>
        <v>100.98113979572396</v>
      </c>
      <c r="X3" s="14">
        <f t="shared" ref="X3:Z13" si="1">T3*1000</f>
        <v>38.576857355807483</v>
      </c>
      <c r="Y3" s="14">
        <f t="shared" si="1"/>
        <v>27.010941002797267</v>
      </c>
      <c r="Z3" s="14">
        <f t="shared" si="1"/>
        <v>19.901123194956575</v>
      </c>
    </row>
    <row r="4" spans="1:26" ht="14">
      <c r="A4" s="55">
        <f t="shared" si="0"/>
        <v>31</v>
      </c>
      <c r="B4" s="55" t="s">
        <v>70</v>
      </c>
      <c r="C4" s="80">
        <v>243</v>
      </c>
      <c r="D4" s="56" t="s">
        <v>36</v>
      </c>
      <c r="E4" s="80">
        <v>99</v>
      </c>
      <c r="F4" s="80">
        <v>681</v>
      </c>
      <c r="G4" s="57">
        <v>1E-3</v>
      </c>
      <c r="H4" s="58"/>
      <c r="I4" s="59" t="s">
        <v>71</v>
      </c>
      <c r="J4" s="59" t="s">
        <v>71</v>
      </c>
      <c r="K4" s="60">
        <f>I3</f>
        <v>1.1947229061476446E-5</v>
      </c>
      <c r="L4" s="60">
        <f>I5</f>
        <v>-1.2202464692905816E-4</v>
      </c>
      <c r="M4" s="60">
        <f>(C4-$O$3)*K4 + L4</f>
        <v>2.7811520150097181E-3</v>
      </c>
      <c r="N4" s="47" t="str">
        <f>'enzyme setup and metadata'!F181</f>
        <v>LAP</v>
      </c>
      <c r="O4" s="47">
        <f>'enzyme setup and metadata'!G181</f>
        <v>389</v>
      </c>
      <c r="P4" s="91">
        <f>'enzyme setup and metadata'!A28</f>
        <v>33</v>
      </c>
      <c r="Q4" s="66">
        <f>'enzyme setup and metadata'!I28</f>
        <v>2.1480659480025364</v>
      </c>
      <c r="R4" s="14">
        <f t="shared" ref="R4:R13" si="2">R3</f>
        <v>3.2333333333954215</v>
      </c>
      <c r="S4" s="14">
        <f>(((M18+M19)/2)*91)/(R4*Q4*0.8)</f>
        <v>0.10742560290270016</v>
      </c>
      <c r="T4" s="14">
        <f>(((M20+M21)/2)*91)/(R4*Q4*0.8)</f>
        <v>4.2350918466723786E-2</v>
      </c>
      <c r="U4" s="14">
        <f>(((M22+M23)/2)*91)/(R4*Q4*0.8)</f>
        <v>2.4181465411856139E-2</v>
      </c>
      <c r="V4" s="14">
        <f>(((M24+M25)/2)*91)/(R4*Q4*0.8)</f>
        <v>2.0481557303813694E-2</v>
      </c>
      <c r="W4" s="14">
        <f>S4*1000</f>
        <v>107.42560290270016</v>
      </c>
      <c r="X4" s="14">
        <f t="shared" si="1"/>
        <v>42.350918466723783</v>
      </c>
      <c r="Y4" s="14">
        <f t="shared" si="1"/>
        <v>24.181465411856138</v>
      </c>
      <c r="Z4" s="14">
        <f t="shared" si="1"/>
        <v>20.481557303813695</v>
      </c>
    </row>
    <row r="5" spans="1:26" ht="14">
      <c r="A5" s="55">
        <f t="shared" si="0"/>
        <v>31</v>
      </c>
      <c r="B5" s="55" t="s">
        <v>72</v>
      </c>
      <c r="C5" s="80">
        <v>237</v>
      </c>
      <c r="D5" s="56" t="s">
        <v>36</v>
      </c>
      <c r="E5" s="80">
        <v>160</v>
      </c>
      <c r="F5" s="80">
        <v>1267</v>
      </c>
      <c r="G5" s="57">
        <v>2E-3</v>
      </c>
      <c r="H5" s="58"/>
      <c r="I5" s="59">
        <f>INTERCEPT(G2:G8, E2:E8)</f>
        <v>-1.2202464692905816E-4</v>
      </c>
      <c r="J5" s="59">
        <f>INTERCEPT(G2:G8, F2:F8)</f>
        <v>2.339012073357058E-5</v>
      </c>
      <c r="K5" s="60">
        <f>I3</f>
        <v>1.1947229061476446E-5</v>
      </c>
      <c r="L5" s="60">
        <f>I5</f>
        <v>-1.2202464692905816E-4</v>
      </c>
      <c r="M5" s="60">
        <f>(C5-$O$3)*K5+ L5</f>
        <v>2.7094686406408594E-3</v>
      </c>
      <c r="N5" s="47" t="str">
        <f>'enzyme setup and metadata'!F182</f>
        <v>XYL</v>
      </c>
      <c r="O5" s="47">
        <f>'enzyme setup and metadata'!G182</f>
        <v>0</v>
      </c>
      <c r="P5" s="91">
        <f>'enzyme setup and metadata'!A29</f>
        <v>35</v>
      </c>
      <c r="Q5" s="66">
        <f>'enzyme setup and metadata'!I29</f>
        <v>2.2197558268590449</v>
      </c>
      <c r="R5" s="14">
        <f t="shared" si="2"/>
        <v>3.2333333333954215</v>
      </c>
      <c r="S5" s="14">
        <f>(((M26+M27)/2)*91)/(R5*Q5*0.8)</f>
        <v>0.11097228423373245</v>
      </c>
      <c r="T5" s="14">
        <f>(((M28+M29)/2)*91)/(R5*Q5*0.8)</f>
        <v>4.5955534574910278E-2</v>
      </c>
      <c r="U5" s="14">
        <f>(((M30+M31)/2)*91)/(R5*Q5*0.8)</f>
        <v>2.6174463572285474E-2</v>
      </c>
      <c r="V5" s="14">
        <f>(((M32+M33)/2)*91)/(R5*Q5*0.8)</f>
        <v>2.080240656444415E-2</v>
      </c>
      <c r="W5" s="14">
        <f t="shared" ref="W5:W13" si="3">S5*1000</f>
        <v>110.97228423373245</v>
      </c>
      <c r="X5" s="14">
        <f t="shared" si="1"/>
        <v>45.955534574910281</v>
      </c>
      <c r="Y5" s="14">
        <f t="shared" si="1"/>
        <v>26.174463572285475</v>
      </c>
      <c r="Z5" s="14">
        <f t="shared" si="1"/>
        <v>20.802406564444151</v>
      </c>
    </row>
    <row r="6" spans="1:26" ht="14">
      <c r="A6" s="55">
        <f t="shared" si="0"/>
        <v>31</v>
      </c>
      <c r="B6" s="55" t="s">
        <v>73</v>
      </c>
      <c r="C6" s="80">
        <v>1452</v>
      </c>
      <c r="D6" s="56" t="s">
        <v>37</v>
      </c>
      <c r="E6" s="80">
        <v>427</v>
      </c>
      <c r="F6" s="80">
        <v>3449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1.5158667123315544E-6</v>
      </c>
      <c r="L6" s="60">
        <f>J5</f>
        <v>2.339012073357058E-5</v>
      </c>
      <c r="M6" s="60">
        <f>(C6-$O$4)*K6 + L6</f>
        <v>1.634756435942013E-3</v>
      </c>
      <c r="P6" s="91">
        <f>'enzyme setup and metadata'!A30</f>
        <v>36</v>
      </c>
      <c r="Q6" s="66">
        <f>'enzyme setup and metadata'!I30</f>
        <v>2.1566761814145261</v>
      </c>
      <c r="R6" s="14">
        <f t="shared" si="2"/>
        <v>3.2333333333954215</v>
      </c>
      <c r="S6" s="14">
        <f>(((M34+M35)/2)*91)/(R6*Q6*0.8)</f>
        <v>0.10607959651209264</v>
      </c>
      <c r="T6" s="14">
        <f>(((M36+M37)/2)*91)/(R6*Q6*0.8)</f>
        <v>4.6365327742492392E-2</v>
      </c>
      <c r="U6" s="14">
        <f>(((M38+M39)/2)*91)/(R6*Q6*0.8)</f>
        <v>2.9465062876603929E-2</v>
      </c>
      <c r="V6" s="14">
        <f>(((M40+M41)/2)*91)/(R6*Q6*0.8)</f>
        <v>2.1360524128867679E-2</v>
      </c>
      <c r="W6" s="14">
        <f t="shared" si="3"/>
        <v>106.07959651209265</v>
      </c>
      <c r="X6" s="14">
        <f t="shared" si="1"/>
        <v>46.36532774249239</v>
      </c>
      <c r="Y6" s="14">
        <f t="shared" si="1"/>
        <v>29.465062876603927</v>
      </c>
      <c r="Z6" s="14">
        <f t="shared" si="1"/>
        <v>21.360524128867681</v>
      </c>
    </row>
    <row r="7" spans="1:26" ht="14">
      <c r="A7" s="55">
        <f t="shared" si="0"/>
        <v>31</v>
      </c>
      <c r="B7" s="55" t="s">
        <v>75</v>
      </c>
      <c r="C7" s="80">
        <v>1397</v>
      </c>
      <c r="D7" s="56" t="s">
        <v>37</v>
      </c>
      <c r="E7" s="80">
        <v>853</v>
      </c>
      <c r="F7" s="80">
        <v>6253</v>
      </c>
      <c r="G7" s="57">
        <v>0.01</v>
      </c>
      <c r="H7" s="58"/>
      <c r="I7" s="61">
        <f>RSQ(G2:G8, E2:E8)</f>
        <v>0.99979739337539231</v>
      </c>
      <c r="J7" s="61">
        <f>RSQ(G2:G8, F2:F8)</f>
        <v>0.99890143040548385</v>
      </c>
      <c r="K7" s="60">
        <f>J3</f>
        <v>1.5158667123315544E-6</v>
      </c>
      <c r="L7" s="60">
        <f>J5</f>
        <v>2.339012073357058E-5</v>
      </c>
      <c r="M7" s="60">
        <f>(C7-$O$4)*K7 + L7</f>
        <v>1.5513837667637774E-3</v>
      </c>
      <c r="P7" s="91">
        <f>'enzyme setup and metadata'!A31</f>
        <v>37</v>
      </c>
      <c r="Q7" s="66">
        <f>'enzyme setup and metadata'!I31</f>
        <v>2.2229279136233724</v>
      </c>
      <c r="R7" s="14">
        <f t="shared" si="2"/>
        <v>3.2333333333954215</v>
      </c>
      <c r="S7" s="14">
        <f>(((M42+M43)/2)*91)/(R7*Q7*0.8)</f>
        <v>0.10466473393807392</v>
      </c>
      <c r="T7" s="14">
        <f>(((M44+M45)/2)*91)/(R7*Q7*0.8)</f>
        <v>4.6145945385560286E-2</v>
      </c>
      <c r="U7" s="14">
        <f>(((M46+M47)/2)*91)/(R7*Q7*0.8)</f>
        <v>2.9325680771109874E-2</v>
      </c>
      <c r="V7" s="14">
        <f>(((M48+M49)/2)*91)/(R7*Q7*0.8)</f>
        <v>2.058029024488766E-2</v>
      </c>
      <c r="W7" s="14">
        <f t="shared" si="3"/>
        <v>104.66473393807392</v>
      </c>
      <c r="X7" s="14">
        <f t="shared" si="1"/>
        <v>46.145945385560289</v>
      </c>
      <c r="Y7" s="14">
        <f t="shared" si="1"/>
        <v>29.325680771109873</v>
      </c>
      <c r="Z7" s="14">
        <f t="shared" si="1"/>
        <v>20.58029024488766</v>
      </c>
    </row>
    <row r="8" spans="1:26" ht="14">
      <c r="A8" s="55">
        <f t="shared" si="0"/>
        <v>31</v>
      </c>
      <c r="B8" s="55" t="s">
        <v>76</v>
      </c>
      <c r="C8" s="80">
        <v>104</v>
      </c>
      <c r="D8" s="56" t="s">
        <v>38</v>
      </c>
      <c r="E8" s="80">
        <v>1683</v>
      </c>
      <c r="F8" s="80">
        <v>13291</v>
      </c>
      <c r="G8" s="57">
        <v>0.02</v>
      </c>
      <c r="H8" s="58"/>
      <c r="I8" s="58"/>
      <c r="J8" s="58"/>
      <c r="K8" s="60">
        <f>I3</f>
        <v>1.1947229061476446E-5</v>
      </c>
      <c r="L8" s="60">
        <f>I5</f>
        <v>-1.2202464692905816E-4</v>
      </c>
      <c r="M8" s="60">
        <f>(C8-$O$5)*K8 + L8</f>
        <v>1.1204871754644922E-3</v>
      </c>
      <c r="P8" s="91">
        <f>'enzyme setup and metadata'!A32</f>
        <v>38</v>
      </c>
      <c r="Q8" s="66">
        <f>'enzyme setup and metadata'!I32</f>
        <v>2.1828861724083191</v>
      </c>
      <c r="R8" s="14">
        <f t="shared" si="2"/>
        <v>3.2333333333954215</v>
      </c>
      <c r="S8" s="14">
        <f>(((M50+M51)/2)*91)/(R8*Q8*0.8)</f>
        <v>0.10585874695267852</v>
      </c>
      <c r="T8" s="14">
        <f>(((M52+M53)/2)*91)/(R8*Q8*0.8)</f>
        <v>4.705884167524943E-2</v>
      </c>
      <c r="U8" s="14">
        <f>(((M54+M55)/2)*91)/(R8*Q8*0.8)</f>
        <v>2.8337334164750858E-2</v>
      </c>
      <c r="V8" s="14">
        <f>(((M56+M57)/2)*91)/(R8*Q8*0.8)</f>
        <v>1.9791744775616588E-2</v>
      </c>
      <c r="W8" s="14">
        <f t="shared" si="3"/>
        <v>105.85874695267853</v>
      </c>
      <c r="X8" s="14">
        <f t="shared" si="1"/>
        <v>47.058841675249433</v>
      </c>
      <c r="Y8" s="14">
        <f t="shared" si="1"/>
        <v>28.337334164750857</v>
      </c>
      <c r="Z8" s="14">
        <f t="shared" si="1"/>
        <v>19.791744775616589</v>
      </c>
    </row>
    <row r="9" spans="1:26" ht="14">
      <c r="A9" s="55">
        <f t="shared" si="0"/>
        <v>31</v>
      </c>
      <c r="B9" s="55" t="s">
        <v>77</v>
      </c>
      <c r="C9" s="80">
        <v>132</v>
      </c>
      <c r="D9" s="56" t="s">
        <v>38</v>
      </c>
      <c r="E9" s="80">
        <v>16</v>
      </c>
      <c r="F9" s="80">
        <v>8</v>
      </c>
      <c r="G9" s="56"/>
      <c r="H9" s="58"/>
      <c r="I9" s="58"/>
      <c r="J9" s="58"/>
      <c r="K9" s="60">
        <f>I3</f>
        <v>1.1947229061476446E-5</v>
      </c>
      <c r="L9" s="60">
        <f>I5</f>
        <v>-1.2202464692905816E-4</v>
      </c>
      <c r="M9" s="60">
        <f>(C9-$O$5)*K9 + L9</f>
        <v>1.4550095891858327E-3</v>
      </c>
      <c r="P9" s="91">
        <f>'enzyme setup and metadata'!A33</f>
        <v>40</v>
      </c>
      <c r="Q9" s="66">
        <f>'enzyme setup and metadata'!I33</f>
        <v>2.1531860797711744</v>
      </c>
      <c r="R9" s="14">
        <f t="shared" si="2"/>
        <v>3.2333333333954215</v>
      </c>
      <c r="S9" s="14">
        <f>(((M58+M59)/2)*91)/(R9*Q9*0.8)</f>
        <v>0.10939698296571837</v>
      </c>
      <c r="T9" s="14">
        <f>(((M60+M61)/2)*91)/(R9*Q9*0.8)</f>
        <v>4.6004655645834766E-2</v>
      </c>
      <c r="U9" s="14">
        <f>(((M62+M63)/2)*91)/(R9*Q9*0.8)</f>
        <v>2.971927665693426E-2</v>
      </c>
      <c r="V9" s="14">
        <f>(((M64+M65)/2)*91)/(R9*Q9*0.8)</f>
        <v>2.1556687631244301E-2</v>
      </c>
      <c r="W9" s="14">
        <f t="shared" si="3"/>
        <v>109.39698296571837</v>
      </c>
      <c r="X9" s="14">
        <f t="shared" si="1"/>
        <v>46.004655645834767</v>
      </c>
      <c r="Y9" s="14">
        <f t="shared" si="1"/>
        <v>29.719276656934259</v>
      </c>
      <c r="Z9" s="14">
        <f t="shared" si="1"/>
        <v>21.556687631244301</v>
      </c>
    </row>
    <row r="10" spans="1:26" ht="14">
      <c r="A10" s="55">
        <f>P3</f>
        <v>32</v>
      </c>
      <c r="B10" s="55" t="s">
        <v>78</v>
      </c>
      <c r="C10" s="80">
        <v>569</v>
      </c>
      <c r="D10" s="56" t="s">
        <v>35</v>
      </c>
      <c r="E10" s="80">
        <v>15</v>
      </c>
      <c r="F10" s="80">
        <v>17</v>
      </c>
      <c r="G10" s="57">
        <v>0</v>
      </c>
      <c r="H10" s="58"/>
      <c r="I10" s="59" t="s">
        <v>68</v>
      </c>
      <c r="J10" s="59" t="s">
        <v>68</v>
      </c>
      <c r="K10" s="60">
        <f>I11</f>
        <v>1.1235699215903777E-5</v>
      </c>
      <c r="L10" s="60">
        <f>I13</f>
        <v>-1.9938514784726726E-5</v>
      </c>
      <c r="M10" s="60">
        <f>(C10-$O$2)*K10+L10</f>
        <v>6.3731743390645227E-3</v>
      </c>
      <c r="P10" s="91">
        <f>'enzyme setup and metadata'!A34</f>
        <v>41</v>
      </c>
      <c r="Q10" s="66">
        <f>'enzyme setup and metadata'!I34</f>
        <v>2.2001588562351069</v>
      </c>
      <c r="R10" s="14">
        <f t="shared" si="2"/>
        <v>3.2333333333954215</v>
      </c>
      <c r="S10" s="14">
        <f>(((M66+M67)/2)*91)/(R10*Q10*0.8)</f>
        <v>0.10942478457802685</v>
      </c>
      <c r="T10" s="14">
        <f>(((M68+M69)/2)*91)/(R10*Q10*0.8)</f>
        <v>4.7588454763403024E-2</v>
      </c>
      <c r="U10" s="14">
        <f>(((M70+M71)/2)*91)/(R10*Q10*0.8)</f>
        <v>3.2777890930534861E-2</v>
      </c>
      <c r="V10" s="14">
        <f>(((M72+M73)/2)*91)/(R10*Q10*0.8)</f>
        <v>2.2669336778405352E-2</v>
      </c>
      <c r="W10" s="14">
        <f t="shared" si="3"/>
        <v>109.42478457802684</v>
      </c>
      <c r="X10" s="14">
        <f t="shared" si="1"/>
        <v>47.588454763403021</v>
      </c>
      <c r="Y10" s="14">
        <f t="shared" si="1"/>
        <v>32.777890930534859</v>
      </c>
      <c r="Z10" s="14">
        <f t="shared" si="1"/>
        <v>22.669336778405352</v>
      </c>
    </row>
    <row r="11" spans="1:26" ht="14">
      <c r="A11" s="55">
        <f t="shared" ref="A11:A17" si="4">A10</f>
        <v>32</v>
      </c>
      <c r="B11" s="55" t="s">
        <v>79</v>
      </c>
      <c r="C11" s="80">
        <v>543</v>
      </c>
      <c r="D11" s="56" t="s">
        <v>35</v>
      </c>
      <c r="E11" s="80">
        <v>55</v>
      </c>
      <c r="F11" s="80">
        <v>362</v>
      </c>
      <c r="G11" s="57">
        <v>5.0000000000000001E-4</v>
      </c>
      <c r="H11" s="58"/>
      <c r="I11" s="59">
        <f>SLOPE(G10:G16, E10:E16)</f>
        <v>1.1235699215903777E-5</v>
      </c>
      <c r="J11" s="59">
        <f>SLOPE(G10:G16, F10:F16)</f>
        <v>1.4504790482811662E-6</v>
      </c>
      <c r="K11" s="60">
        <f>I11</f>
        <v>1.1235699215903777E-5</v>
      </c>
      <c r="L11" s="60">
        <f>I13</f>
        <v>-1.9938514784726726E-5</v>
      </c>
      <c r="M11" s="60">
        <f>(C11-$O$2)*K11+L11</f>
        <v>6.0810461594510241E-3</v>
      </c>
      <c r="P11" s="91">
        <f>'enzyme setup and metadata'!A35</f>
        <v>42</v>
      </c>
      <c r="Q11" s="66">
        <f>'enzyme setup and metadata'!I35</f>
        <v>2.2257551669316373</v>
      </c>
      <c r="R11" s="14">
        <f t="shared" si="2"/>
        <v>3.2333333333954215</v>
      </c>
      <c r="S11" s="14">
        <f>(((M74+M75)/2)*91)/(R11*Q11*0.8)</f>
        <v>0.11858816096620634</v>
      </c>
      <c r="T11" s="14">
        <f>(((M76+M77)/2)*91)/(R11*Q11*0.8)</f>
        <v>4.9162800865558728E-2</v>
      </c>
      <c r="U11" s="14">
        <f>(((M78+M79)/2)*91)/(R11*Q11*0.8)</f>
        <v>3.2591287044944746E-2</v>
      </c>
      <c r="V11" s="14">
        <f>(((M80+M81)/2)*91)/(R11*Q11*0.8)</f>
        <v>2.1104052556982909E-2</v>
      </c>
      <c r="W11" s="14">
        <f t="shared" si="3"/>
        <v>118.58816096620633</v>
      </c>
      <c r="X11" s="14">
        <f t="shared" si="1"/>
        <v>49.162800865558729</v>
      </c>
      <c r="Y11" s="14">
        <f t="shared" si="1"/>
        <v>32.591287044944742</v>
      </c>
      <c r="Z11" s="14">
        <f t="shared" si="1"/>
        <v>21.104052556982911</v>
      </c>
    </row>
    <row r="12" spans="1:26" ht="14">
      <c r="A12" s="55">
        <f t="shared" si="4"/>
        <v>32</v>
      </c>
      <c r="B12" s="55" t="s">
        <v>80</v>
      </c>
      <c r="C12" s="80">
        <v>206</v>
      </c>
      <c r="D12" s="56" t="s">
        <v>36</v>
      </c>
      <c r="E12" s="80">
        <v>94</v>
      </c>
      <c r="F12" s="80">
        <v>745</v>
      </c>
      <c r="G12" s="57">
        <v>1E-3</v>
      </c>
      <c r="H12" s="58"/>
      <c r="I12" s="59" t="s">
        <v>71</v>
      </c>
      <c r="J12" s="59" t="s">
        <v>71</v>
      </c>
      <c r="K12" s="60">
        <f>I11</f>
        <v>1.1235699215903777E-5</v>
      </c>
      <c r="L12" s="60">
        <f>I13</f>
        <v>-1.9938514784726726E-5</v>
      </c>
      <c r="M12" s="60">
        <f>(C12-$O$3)*K12 + L12</f>
        <v>2.2946155236914516E-3</v>
      </c>
      <c r="P12" s="91">
        <f>'enzyme setup and metadata'!A36</f>
        <v>43</v>
      </c>
      <c r="Q12" s="66">
        <f>'enzyme setup and metadata'!I36</f>
        <v>2.1483131763208148</v>
      </c>
      <c r="R12" s="14">
        <f t="shared" si="2"/>
        <v>3.2333333333954215</v>
      </c>
      <c r="S12" s="14">
        <f>(((M82+M83)/2)*91)/(R12*Q12*0.8)</f>
        <v>0.11656276662008272</v>
      </c>
      <c r="T12" s="14">
        <f>(((M84+M85)/2)*91)/(R12*Q12*0.8)</f>
        <v>5.0474856495710832E-2</v>
      </c>
      <c r="U12" s="14">
        <f>(((M86+M87)/2)*91)/(R12*Q12*0.8)</f>
        <v>3.7443614128610109E-2</v>
      </c>
      <c r="V12" s="14">
        <f>(((M88+M89)/2)*91)/(R12*Q12*0.8)</f>
        <v>2.2849947084906796E-2</v>
      </c>
      <c r="W12" s="14">
        <f t="shared" si="3"/>
        <v>116.56276662008273</v>
      </c>
      <c r="X12" s="14">
        <f t="shared" si="1"/>
        <v>50.474856495710831</v>
      </c>
      <c r="Y12" s="14">
        <f t="shared" si="1"/>
        <v>37.443614128610108</v>
      </c>
      <c r="Z12" s="14">
        <f t="shared" si="1"/>
        <v>22.849947084906795</v>
      </c>
    </row>
    <row r="13" spans="1:26" ht="14">
      <c r="A13" s="55">
        <f t="shared" si="4"/>
        <v>32</v>
      </c>
      <c r="B13" s="55" t="s">
        <v>81</v>
      </c>
      <c r="C13" s="80">
        <v>221</v>
      </c>
      <c r="D13" s="56" t="s">
        <v>36</v>
      </c>
      <c r="E13" s="80">
        <v>168</v>
      </c>
      <c r="F13" s="80">
        <v>1428</v>
      </c>
      <c r="G13" s="57">
        <v>2E-3</v>
      </c>
      <c r="H13" s="58"/>
      <c r="I13" s="59">
        <f>INTERCEPT(G10:G16, E10:E16)</f>
        <v>-1.9938514784726726E-5</v>
      </c>
      <c r="J13" s="59">
        <f>INTERCEPT(G10:G16, F10:F16)</f>
        <v>-6.0184672753061177E-6</v>
      </c>
      <c r="K13" s="60">
        <f>I11</f>
        <v>1.1235699215903777E-5</v>
      </c>
      <c r="L13" s="60">
        <f>I13</f>
        <v>-1.9938514784726726E-5</v>
      </c>
      <c r="M13" s="60">
        <f>(C13-$O$3)*K13+ L13</f>
        <v>2.463151011930008E-3</v>
      </c>
      <c r="P13" s="91">
        <f>'enzyme setup and metadata'!A37</f>
        <v>45</v>
      </c>
      <c r="Q13" s="66">
        <f>'enzyme setup and metadata'!I37</f>
        <v>2.2275258552108195</v>
      </c>
      <c r="R13" s="14">
        <f t="shared" si="2"/>
        <v>3.2333333333954215</v>
      </c>
      <c r="S13" s="14">
        <f>(((M90+M91)/2)*91)/(R13*Q13*0.8)</f>
        <v>0.10777114742775315</v>
      </c>
      <c r="T13" s="14">
        <f>(((M92+M93)/2)*91)/(R13*Q13*0.8)</f>
        <v>4.7620395007223322E-2</v>
      </c>
      <c r="U13" s="14">
        <f>(((M94+M95)/2)*91)/(R13*Q13*0.8)</f>
        <v>3.5467399110733856E-2</v>
      </c>
      <c r="V13" s="14">
        <f>(((M96+M97)/2)*91)/(R13*Q13*0.8)</f>
        <v>2.0165370170284479E-2</v>
      </c>
      <c r="W13" s="14">
        <f t="shared" si="3"/>
        <v>107.77114742775315</v>
      </c>
      <c r="X13" s="14">
        <f t="shared" si="1"/>
        <v>47.620395007223323</v>
      </c>
      <c r="Y13" s="14">
        <f t="shared" si="1"/>
        <v>35.467399110733858</v>
      </c>
      <c r="Z13" s="14">
        <f t="shared" si="1"/>
        <v>20.165370170284479</v>
      </c>
    </row>
    <row r="14" spans="1:26" ht="14">
      <c r="A14" s="55">
        <f t="shared" si="4"/>
        <v>32</v>
      </c>
      <c r="B14" s="55" t="s">
        <v>82</v>
      </c>
      <c r="C14" s="80">
        <v>1567</v>
      </c>
      <c r="D14" s="56" t="s">
        <v>37</v>
      </c>
      <c r="E14" s="80">
        <v>439</v>
      </c>
      <c r="F14" s="80">
        <v>3524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1.4504790482811662E-6</v>
      </c>
      <c r="L14" s="60">
        <f>J13</f>
        <v>-6.0184672753061177E-6</v>
      </c>
      <c r="M14" s="60">
        <f>(C14-$O$4)*K14 + L14</f>
        <v>1.7026458515999076E-3</v>
      </c>
    </row>
    <row r="15" spans="1:26" ht="14">
      <c r="A15" s="55">
        <f t="shared" si="4"/>
        <v>32</v>
      </c>
      <c r="B15" s="55" t="s">
        <v>83</v>
      </c>
      <c r="C15" s="80">
        <v>1516</v>
      </c>
      <c r="D15" s="56" t="s">
        <v>37</v>
      </c>
      <c r="E15" s="80">
        <v>876</v>
      </c>
      <c r="F15" s="80">
        <v>6578</v>
      </c>
      <c r="G15" s="57">
        <v>0.01</v>
      </c>
      <c r="H15" s="58"/>
      <c r="I15" s="61">
        <f>RSQ(G10:G16, E10:E16)</f>
        <v>0.99967737639020771</v>
      </c>
      <c r="J15" s="61">
        <f>RSQ(G10:G16, F10:F16)</f>
        <v>0.99915008250139592</v>
      </c>
      <c r="K15" s="60">
        <f>J11</f>
        <v>1.4504790482811662E-6</v>
      </c>
      <c r="L15" s="60">
        <f>J13</f>
        <v>-6.0184672753061177E-6</v>
      </c>
      <c r="M15" s="60">
        <f>(C15-$O$4)*K15 + L15</f>
        <v>1.6286714201375681E-3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32</v>
      </c>
      <c r="B16" s="55" t="s">
        <v>84</v>
      </c>
      <c r="C16" s="80">
        <v>107</v>
      </c>
      <c r="D16" s="56" t="s">
        <v>38</v>
      </c>
      <c r="E16" s="80">
        <v>1792</v>
      </c>
      <c r="F16" s="80">
        <v>13918</v>
      </c>
      <c r="G16" s="57">
        <v>0.02</v>
      </c>
      <c r="H16" s="58"/>
      <c r="I16" s="58"/>
      <c r="J16" s="58"/>
      <c r="K16" s="60">
        <f>I11</f>
        <v>1.1235699215903777E-5</v>
      </c>
      <c r="L16" s="60">
        <f>I13</f>
        <v>-1.9938514784726726E-5</v>
      </c>
      <c r="M16" s="60">
        <f>(C16-$O$5)*K16 + L16</f>
        <v>1.1822813013169775E-3</v>
      </c>
    </row>
    <row r="17" spans="1:13" ht="14">
      <c r="A17" s="55">
        <f t="shared" si="4"/>
        <v>32</v>
      </c>
      <c r="B17" s="55" t="s">
        <v>85</v>
      </c>
      <c r="C17" s="80">
        <v>115</v>
      </c>
      <c r="D17" s="56" t="s">
        <v>38</v>
      </c>
      <c r="E17" s="80">
        <v>16</v>
      </c>
      <c r="F17" s="80">
        <v>8</v>
      </c>
      <c r="G17" s="56"/>
      <c r="H17" s="58"/>
      <c r="I17" s="58"/>
      <c r="J17" s="58"/>
      <c r="K17" s="60">
        <f>I11</f>
        <v>1.1235699215903777E-5</v>
      </c>
      <c r="L17" s="60">
        <f>I13</f>
        <v>-1.9938514784726726E-5</v>
      </c>
      <c r="M17" s="60">
        <f>(C17-$O$5)*K17 + L17</f>
        <v>1.2721668950442077E-3</v>
      </c>
    </row>
    <row r="18" spans="1:13" ht="14">
      <c r="A18" s="55">
        <f>P4</f>
        <v>33</v>
      </c>
      <c r="B18" s="55" t="s">
        <v>86</v>
      </c>
      <c r="C18" s="80">
        <v>617</v>
      </c>
      <c r="D18" s="56" t="s">
        <v>35</v>
      </c>
      <c r="E18" s="80">
        <v>22</v>
      </c>
      <c r="F18" s="80">
        <v>14</v>
      </c>
      <c r="G18" s="57">
        <v>0</v>
      </c>
      <c r="H18" s="58"/>
      <c r="I18" s="59" t="s">
        <v>68</v>
      </c>
      <c r="J18" s="59" t="s">
        <v>68</v>
      </c>
      <c r="K18" s="60">
        <f>I19</f>
        <v>1.0856195865018695E-5</v>
      </c>
      <c r="L18" s="60">
        <f>I21</f>
        <v>-4.1312546530256761E-5</v>
      </c>
      <c r="M18" s="60">
        <f>(C18-$O$2)*K18+L18</f>
        <v>6.6569603021862777E-3</v>
      </c>
    </row>
    <row r="19" spans="1:13" ht="14">
      <c r="A19" s="55">
        <f t="shared" ref="A19:A25" si="5">A18</f>
        <v>33</v>
      </c>
      <c r="B19" s="55" t="s">
        <v>87</v>
      </c>
      <c r="C19" s="80">
        <v>599</v>
      </c>
      <c r="D19" s="56" t="s">
        <v>35</v>
      </c>
      <c r="E19" s="80">
        <v>62</v>
      </c>
      <c r="F19" s="80">
        <v>393</v>
      </c>
      <c r="G19" s="57">
        <v>5.0000000000000001E-4</v>
      </c>
      <c r="H19" s="58"/>
      <c r="I19" s="59">
        <f>SLOPE(G18:G24, E18:E24)</f>
        <v>1.0856195865018695E-5</v>
      </c>
      <c r="J19" s="59">
        <f>SLOPE(G18:G24, F18:F24)</f>
        <v>1.4379964657931329E-6</v>
      </c>
      <c r="K19" s="60">
        <f>I19</f>
        <v>1.0856195865018695E-5</v>
      </c>
      <c r="L19" s="60">
        <f>I21</f>
        <v>-4.1312546530256761E-5</v>
      </c>
      <c r="M19" s="60">
        <f>(C19-$O$2)*K19+L19</f>
        <v>6.4615487766159418E-3</v>
      </c>
    </row>
    <row r="20" spans="1:13" ht="14">
      <c r="A20" s="55">
        <f t="shared" si="5"/>
        <v>33</v>
      </c>
      <c r="B20" s="55" t="s">
        <v>88</v>
      </c>
      <c r="C20" s="80">
        <v>238</v>
      </c>
      <c r="D20" s="56" t="s">
        <v>36</v>
      </c>
      <c r="E20" s="80">
        <v>93</v>
      </c>
      <c r="F20" s="80">
        <v>764</v>
      </c>
      <c r="G20" s="57">
        <v>1E-3</v>
      </c>
      <c r="H20" s="58"/>
      <c r="I20" s="59" t="s">
        <v>71</v>
      </c>
      <c r="J20" s="59" t="s">
        <v>71</v>
      </c>
      <c r="K20" s="60">
        <f>I19</f>
        <v>1.0856195865018695E-5</v>
      </c>
      <c r="L20" s="60">
        <f>I21</f>
        <v>-4.1312546530256761E-5</v>
      </c>
      <c r="M20" s="60">
        <f>(C20-$O$3)*K20 + L20</f>
        <v>2.5424620693441928E-3</v>
      </c>
    </row>
    <row r="21" spans="1:13" ht="14">
      <c r="A21" s="55">
        <f t="shared" si="5"/>
        <v>33</v>
      </c>
      <c r="B21" s="55" t="s">
        <v>89</v>
      </c>
      <c r="C21" s="80">
        <v>246</v>
      </c>
      <c r="D21" s="56" t="s">
        <v>36</v>
      </c>
      <c r="E21" s="80">
        <v>158</v>
      </c>
      <c r="F21" s="80">
        <v>1498</v>
      </c>
      <c r="G21" s="57">
        <v>2E-3</v>
      </c>
      <c r="H21" s="58"/>
      <c r="I21" s="59">
        <f>INTERCEPT(G18:G24, E18:E24)</f>
        <v>-4.1312546530256761E-5</v>
      </c>
      <c r="J21" s="59">
        <f>INTERCEPT(G18:G24, F18:F24)</f>
        <v>-1.3982213884066678E-4</v>
      </c>
      <c r="K21" s="60">
        <f>I19</f>
        <v>1.0856195865018695E-5</v>
      </c>
      <c r="L21" s="60">
        <f>I21</f>
        <v>-4.1312546530256761E-5</v>
      </c>
      <c r="M21" s="60">
        <f>(C21-$O$3)*K21+ L21</f>
        <v>2.6293116362643421E-3</v>
      </c>
    </row>
    <row r="22" spans="1:13" ht="14">
      <c r="A22" s="55">
        <f t="shared" si="5"/>
        <v>33</v>
      </c>
      <c r="B22" s="55" t="s">
        <v>90</v>
      </c>
      <c r="C22" s="80">
        <v>1511</v>
      </c>
      <c r="D22" s="56" t="s">
        <v>37</v>
      </c>
      <c r="E22" s="80">
        <v>454</v>
      </c>
      <c r="F22" s="80">
        <v>3986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1.4379964657931329E-6</v>
      </c>
      <c r="L22" s="60">
        <f>J21</f>
        <v>-1.3982213884066678E-4</v>
      </c>
      <c r="M22" s="60">
        <f>(C22-$O$4)*K22 + L22</f>
        <v>1.4736098957792282E-3</v>
      </c>
    </row>
    <row r="23" spans="1:13" ht="14">
      <c r="A23" s="55">
        <f t="shared" si="5"/>
        <v>33</v>
      </c>
      <c r="B23" s="55" t="s">
        <v>91</v>
      </c>
      <c r="C23" s="80">
        <v>1515</v>
      </c>
      <c r="D23" s="56" t="s">
        <v>37</v>
      </c>
      <c r="E23" s="80">
        <v>942</v>
      </c>
      <c r="F23" s="80">
        <v>6775</v>
      </c>
      <c r="G23" s="57">
        <v>0.01</v>
      </c>
      <c r="H23" s="58"/>
      <c r="I23" s="61">
        <f>RSQ(G18:G24, E18:E24)</f>
        <v>0.99933242847268611</v>
      </c>
      <c r="J23" s="61">
        <f>RSQ(G18:G24, F18:F24)</f>
        <v>0.99833299691662347</v>
      </c>
      <c r="K23" s="60">
        <f>J19</f>
        <v>1.4379964657931329E-6</v>
      </c>
      <c r="L23" s="60">
        <f>J21</f>
        <v>-1.3982213884066678E-4</v>
      </c>
      <c r="M23" s="60">
        <f>(C23-$O$4)*K23 + L23</f>
        <v>1.4793618816424008E-3</v>
      </c>
    </row>
    <row r="24" spans="1:13" ht="14">
      <c r="A24" s="55">
        <f t="shared" si="5"/>
        <v>33</v>
      </c>
      <c r="B24" s="55" t="s">
        <v>92</v>
      </c>
      <c r="C24" s="80">
        <v>115</v>
      </c>
      <c r="D24" s="56" t="s">
        <v>38</v>
      </c>
      <c r="E24" s="80">
        <v>1842</v>
      </c>
      <c r="F24" s="80">
        <v>14024</v>
      </c>
      <c r="G24" s="57">
        <v>0.02</v>
      </c>
      <c r="H24" s="58"/>
      <c r="I24" s="58"/>
      <c r="J24" s="58"/>
      <c r="K24" s="60">
        <f>I19</f>
        <v>1.0856195865018695E-5</v>
      </c>
      <c r="L24" s="60">
        <f>I21</f>
        <v>-4.1312546530256761E-5</v>
      </c>
      <c r="M24" s="60">
        <f>(C24-$O$5)*K24 + L24</f>
        <v>1.2071499779468932E-3</v>
      </c>
    </row>
    <row r="25" spans="1:13" ht="14">
      <c r="A25" s="55">
        <f t="shared" si="5"/>
        <v>33</v>
      </c>
      <c r="B25" s="55" t="s">
        <v>93</v>
      </c>
      <c r="C25" s="80">
        <v>123</v>
      </c>
      <c r="D25" s="56" t="s">
        <v>38</v>
      </c>
      <c r="E25" s="80">
        <v>16</v>
      </c>
      <c r="F25" s="80">
        <v>9</v>
      </c>
      <c r="G25" s="56"/>
      <c r="H25" s="58"/>
      <c r="I25" s="58"/>
      <c r="J25" s="58"/>
      <c r="K25" s="60">
        <f>I19</f>
        <v>1.0856195865018695E-5</v>
      </c>
      <c r="L25" s="60">
        <f>I21</f>
        <v>-4.1312546530256761E-5</v>
      </c>
      <c r="M25" s="60">
        <f>(C25-$O$5)*K25 + L25</f>
        <v>1.2939995448670426E-3</v>
      </c>
    </row>
    <row r="26" spans="1:13" ht="14">
      <c r="A26" s="55">
        <f>P5</f>
        <v>35</v>
      </c>
      <c r="B26" s="55" t="s">
        <v>94</v>
      </c>
      <c r="C26" s="80">
        <v>630</v>
      </c>
      <c r="D26" s="56" t="s">
        <v>35</v>
      </c>
      <c r="E26" s="80">
        <v>15</v>
      </c>
      <c r="F26" s="80">
        <v>16</v>
      </c>
      <c r="G26" s="57">
        <v>0</v>
      </c>
      <c r="H26" s="58"/>
      <c r="I26" s="59" t="s">
        <v>68</v>
      </c>
      <c r="J26" s="59" t="s">
        <v>68</v>
      </c>
      <c r="K26" s="60">
        <f>I27</f>
        <v>1.1458994383476486E-5</v>
      </c>
      <c r="L26" s="60">
        <f>I29</f>
        <v>-8.5441262345966468E-5</v>
      </c>
      <c r="M26" s="60">
        <f>(C26-$O$2)*K26+L26</f>
        <v>7.1337251992442197E-3</v>
      </c>
    </row>
    <row r="27" spans="1:13" ht="14">
      <c r="A27" s="55">
        <f t="shared" ref="A27:A33" si="6">A26</f>
        <v>35</v>
      </c>
      <c r="B27" s="55" t="s">
        <v>95</v>
      </c>
      <c r="C27" s="80">
        <v>607</v>
      </c>
      <c r="D27" s="56" t="s">
        <v>35</v>
      </c>
      <c r="E27" s="80">
        <v>54</v>
      </c>
      <c r="F27" s="80">
        <v>370</v>
      </c>
      <c r="G27" s="57">
        <v>5.0000000000000001E-4</v>
      </c>
      <c r="H27" s="58"/>
      <c r="I27" s="59">
        <f>SLOPE(G26:G32, E26:E32)</f>
        <v>1.1458994383476486E-5</v>
      </c>
      <c r="J27" s="59">
        <f>SLOPE(G26:G32, F26:F32)</f>
        <v>1.4617149798718594E-6</v>
      </c>
      <c r="K27" s="60">
        <f>I27</f>
        <v>1.1458994383476486E-5</v>
      </c>
      <c r="L27" s="60">
        <f>I29</f>
        <v>-8.5441262345966468E-5</v>
      </c>
      <c r="M27" s="60">
        <f>(C27-$O$2)*K27+L27</f>
        <v>6.8701683284242603E-3</v>
      </c>
    </row>
    <row r="28" spans="1:13" ht="14">
      <c r="A28" s="55">
        <f t="shared" si="6"/>
        <v>35</v>
      </c>
      <c r="B28" s="55" t="s">
        <v>96</v>
      </c>
      <c r="C28" s="80">
        <v>261</v>
      </c>
      <c r="D28" s="56" t="s">
        <v>36</v>
      </c>
      <c r="E28" s="80">
        <v>98</v>
      </c>
      <c r="F28" s="80">
        <v>797</v>
      </c>
      <c r="G28" s="57">
        <v>1E-3</v>
      </c>
      <c r="H28" s="58"/>
      <c r="I28" s="59" t="s">
        <v>71</v>
      </c>
      <c r="J28" s="59" t="s">
        <v>71</v>
      </c>
      <c r="K28" s="60">
        <f>I27</f>
        <v>1.1458994383476486E-5</v>
      </c>
      <c r="L28" s="60">
        <f>I29</f>
        <v>-8.5441262345966468E-5</v>
      </c>
      <c r="M28" s="60">
        <f>(C28-$O$3)*K28 + L28</f>
        <v>2.9053562717413963E-3</v>
      </c>
    </row>
    <row r="29" spans="1:13" ht="14">
      <c r="A29" s="55">
        <f t="shared" si="6"/>
        <v>35</v>
      </c>
      <c r="B29" s="55" t="s">
        <v>97</v>
      </c>
      <c r="C29" s="80">
        <v>260</v>
      </c>
      <c r="D29" s="56" t="s">
        <v>36</v>
      </c>
      <c r="E29" s="80">
        <v>174</v>
      </c>
      <c r="F29" s="80">
        <v>1459</v>
      </c>
      <c r="G29" s="57">
        <v>2E-3</v>
      </c>
      <c r="H29" s="58"/>
      <c r="I29" s="59">
        <f>INTERCEPT(G26:G32, E26:E32)</f>
        <v>-8.5441262345966468E-5</v>
      </c>
      <c r="J29" s="59">
        <f>INTERCEPT(G26:G32, F26:F32)</f>
        <v>-9.9621271463396291E-5</v>
      </c>
      <c r="K29" s="60">
        <f>I27</f>
        <v>1.1458994383476486E-5</v>
      </c>
      <c r="L29" s="60">
        <f>I29</f>
        <v>-8.5441262345966468E-5</v>
      </c>
      <c r="M29" s="60">
        <f>(C29-$O$3)*K29+ L29</f>
        <v>2.8938972773579199E-3</v>
      </c>
    </row>
    <row r="30" spans="1:13" ht="14">
      <c r="A30" s="55">
        <f t="shared" si="6"/>
        <v>35</v>
      </c>
      <c r="B30" s="55" t="s">
        <v>98</v>
      </c>
      <c r="C30" s="80">
        <v>1602</v>
      </c>
      <c r="D30" s="56" t="s">
        <v>37</v>
      </c>
      <c r="E30" s="80">
        <v>441</v>
      </c>
      <c r="F30" s="80">
        <v>3635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1.4617149798718594E-6</v>
      </c>
      <c r="L30" s="60">
        <f>J29</f>
        <v>-9.9621271463396291E-5</v>
      </c>
      <c r="M30" s="60">
        <f>(C30-$O$4)*K30 + L30</f>
        <v>1.6734389991211692E-3</v>
      </c>
    </row>
    <row r="31" spans="1:13" ht="14">
      <c r="A31" s="55">
        <f t="shared" si="6"/>
        <v>35</v>
      </c>
      <c r="B31" s="55" t="s">
        <v>99</v>
      </c>
      <c r="C31" s="80">
        <v>1572</v>
      </c>
      <c r="D31" s="56" t="s">
        <v>37</v>
      </c>
      <c r="E31" s="80">
        <v>872</v>
      </c>
      <c r="F31" s="80">
        <v>6755</v>
      </c>
      <c r="G31" s="57">
        <v>0.01</v>
      </c>
      <c r="H31" s="58"/>
      <c r="I31" s="61">
        <f>RSQ(G26:G32, E26:E32)</f>
        <v>0.99990069672081139</v>
      </c>
      <c r="J31" s="61">
        <f>RSQ(G26:G32, F26:F32)</f>
        <v>0.99964323946859923</v>
      </c>
      <c r="K31" s="60">
        <f>J27</f>
        <v>1.4617149798718594E-6</v>
      </c>
      <c r="L31" s="60">
        <f>J29</f>
        <v>-9.9621271463396291E-5</v>
      </c>
      <c r="M31" s="60">
        <f>(C31-$O$4)*K31 + L31</f>
        <v>1.6295875497250134E-3</v>
      </c>
    </row>
    <row r="32" spans="1:13" ht="14">
      <c r="A32" s="55">
        <f t="shared" si="6"/>
        <v>35</v>
      </c>
      <c r="B32" s="55" t="s">
        <v>100</v>
      </c>
      <c r="C32" s="80">
        <v>123</v>
      </c>
      <c r="D32" s="56" t="s">
        <v>38</v>
      </c>
      <c r="E32" s="80">
        <v>1758</v>
      </c>
      <c r="F32" s="80">
        <v>13784</v>
      </c>
      <c r="G32" s="57">
        <v>0.02</v>
      </c>
      <c r="H32" s="58"/>
      <c r="I32" s="58"/>
      <c r="J32" s="58"/>
      <c r="K32" s="60">
        <f>I27</f>
        <v>1.1458994383476486E-5</v>
      </c>
      <c r="L32" s="60">
        <f>I29</f>
        <v>-8.5441262345966468E-5</v>
      </c>
      <c r="M32" s="60">
        <f>(C32-$O$5)*K32 + L32</f>
        <v>1.3240150468216414E-3</v>
      </c>
    </row>
    <row r="33" spans="1:26" ht="14">
      <c r="A33" s="55">
        <f t="shared" si="6"/>
        <v>35</v>
      </c>
      <c r="B33" s="55" t="s">
        <v>101</v>
      </c>
      <c r="C33" s="80">
        <v>121</v>
      </c>
      <c r="D33" s="56" t="s">
        <v>38</v>
      </c>
      <c r="E33" s="80">
        <v>16</v>
      </c>
      <c r="F33" s="80">
        <v>8</v>
      </c>
      <c r="G33" s="56"/>
      <c r="H33" s="58"/>
      <c r="I33" s="58"/>
      <c r="J33" s="58"/>
      <c r="K33" s="60">
        <f>I27</f>
        <v>1.1458994383476486E-5</v>
      </c>
      <c r="L33" s="60">
        <f>I29</f>
        <v>-8.5441262345966468E-5</v>
      </c>
      <c r="M33" s="60">
        <f>(C33-$O$5)*K33 + L33</f>
        <v>1.3010970580546884E-3</v>
      </c>
    </row>
    <row r="34" spans="1:26" ht="14">
      <c r="A34" s="55">
        <f>P6</f>
        <v>36</v>
      </c>
      <c r="B34" s="55" t="s">
        <v>102</v>
      </c>
      <c r="C34" s="80">
        <v>596</v>
      </c>
      <c r="D34" s="56" t="s">
        <v>35</v>
      </c>
      <c r="E34" s="80">
        <v>17</v>
      </c>
      <c r="F34" s="80">
        <v>18</v>
      </c>
      <c r="G34" s="57">
        <v>0</v>
      </c>
      <c r="H34" s="58"/>
      <c r="I34" s="59" t="s">
        <v>68</v>
      </c>
      <c r="J34" s="59" t="s">
        <v>68</v>
      </c>
      <c r="K34" s="60">
        <f>I35</f>
        <v>1.0719423436916556E-5</v>
      </c>
      <c r="L34" s="60">
        <f>I37</f>
        <v>-7.8694225812430199E-5</v>
      </c>
      <c r="M34" s="60">
        <f>(C34-$O$2)*K34+L34</f>
        <v>6.3100821425898374E-3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36</v>
      </c>
      <c r="B35" s="55" t="s">
        <v>103</v>
      </c>
      <c r="C35" s="80">
        <v>632</v>
      </c>
      <c r="D35" s="56" t="s">
        <v>35</v>
      </c>
      <c r="E35" s="80">
        <v>57</v>
      </c>
      <c r="F35" s="80">
        <v>383</v>
      </c>
      <c r="G35" s="57">
        <v>5.0000000000000001E-4</v>
      </c>
      <c r="H35" s="58"/>
      <c r="I35" s="59">
        <f>SLOPE(G34:G40, E34:E40)</f>
        <v>1.0719423436916556E-5</v>
      </c>
      <c r="J35" s="59">
        <f>SLOPE(G34:G40, F34:F40)</f>
        <v>1.6278437460923746E-6</v>
      </c>
      <c r="K35" s="60">
        <f>I35</f>
        <v>1.0719423436916556E-5</v>
      </c>
      <c r="L35" s="60">
        <f>I37</f>
        <v>-7.8694225812430199E-5</v>
      </c>
      <c r="M35" s="60">
        <f>(C35-$O$2)*K35+L35</f>
        <v>6.695981386318833E-3</v>
      </c>
    </row>
    <row r="36" spans="1:26" ht="14">
      <c r="A36" s="55">
        <f t="shared" si="7"/>
        <v>36</v>
      </c>
      <c r="B36" s="55" t="s">
        <v>104</v>
      </c>
      <c r="C36" s="80">
        <v>272</v>
      </c>
      <c r="D36" s="56" t="s">
        <v>36</v>
      </c>
      <c r="E36" s="80">
        <v>106</v>
      </c>
      <c r="F36" s="80">
        <v>710</v>
      </c>
      <c r="G36" s="57">
        <v>1E-3</v>
      </c>
      <c r="H36" s="58"/>
      <c r="I36" s="59" t="s">
        <v>71</v>
      </c>
      <c r="J36" s="59" t="s">
        <v>71</v>
      </c>
      <c r="K36" s="60">
        <f>I35</f>
        <v>1.0719423436916556E-5</v>
      </c>
      <c r="L36" s="60">
        <f>I37</f>
        <v>-7.8694225812430199E-5</v>
      </c>
      <c r="M36" s="60">
        <f>(C36-$O$3)*K36 + L36</f>
        <v>2.8369889490288732E-3</v>
      </c>
    </row>
    <row r="37" spans="1:26" ht="14">
      <c r="A37" s="55">
        <f t="shared" si="7"/>
        <v>36</v>
      </c>
      <c r="B37" s="55" t="s">
        <v>105</v>
      </c>
      <c r="C37" s="80">
        <v>273</v>
      </c>
      <c r="D37" s="56" t="s">
        <v>36</v>
      </c>
      <c r="E37" s="80">
        <v>185</v>
      </c>
      <c r="F37" s="80">
        <v>1452</v>
      </c>
      <c r="G37" s="57">
        <v>2E-3</v>
      </c>
      <c r="H37" s="58"/>
      <c r="I37" s="59">
        <f>INTERCEPT(G34:G40, E34:E40)</f>
        <v>-7.8694225812430199E-5</v>
      </c>
      <c r="J37" s="59">
        <f>INTERCEPT(G34:G40, F34:F40)</f>
        <v>-3.1884374496048487E-4</v>
      </c>
      <c r="K37" s="60">
        <f>I35</f>
        <v>1.0719423436916556E-5</v>
      </c>
      <c r="L37" s="60">
        <f>I37</f>
        <v>-7.8694225812430199E-5</v>
      </c>
      <c r="M37" s="60">
        <f>(C37-$O$3)*K37+ L37</f>
        <v>2.8477083724657896E-3</v>
      </c>
    </row>
    <row r="38" spans="1:26" ht="14">
      <c r="A38" s="55">
        <f t="shared" si="7"/>
        <v>36</v>
      </c>
      <c r="B38" s="55" t="s">
        <v>106</v>
      </c>
      <c r="C38" s="80">
        <v>1730</v>
      </c>
      <c r="D38" s="56" t="s">
        <v>37</v>
      </c>
      <c r="E38" s="80">
        <v>460</v>
      </c>
      <c r="F38" s="80">
        <v>3635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1.6278437460923746E-6</v>
      </c>
      <c r="L38" s="60">
        <f>J37</f>
        <v>-3.1884374496048487E-4</v>
      </c>
      <c r="M38" s="60">
        <f>(C38-$O$4)*K38 + L38</f>
        <v>1.8640947185493894E-3</v>
      </c>
    </row>
    <row r="39" spans="1:26" ht="14">
      <c r="A39" s="55">
        <f t="shared" si="7"/>
        <v>36</v>
      </c>
      <c r="B39" s="55" t="s">
        <v>107</v>
      </c>
      <c r="C39" s="80">
        <v>1659</v>
      </c>
      <c r="D39" s="56" t="s">
        <v>37</v>
      </c>
      <c r="E39" s="80">
        <v>942</v>
      </c>
      <c r="F39" s="80">
        <v>6566</v>
      </c>
      <c r="G39" s="57">
        <v>0.01</v>
      </c>
      <c r="H39" s="58"/>
      <c r="I39" s="61">
        <f>RSQ(G34:G40, E34:E40)</f>
        <v>0.99985127618184289</v>
      </c>
      <c r="J39" s="61">
        <f>RSQ(G34:G40, F34:F40)</f>
        <v>0.9975564472227213</v>
      </c>
      <c r="K39" s="60">
        <f>J35</f>
        <v>1.6278437460923746E-6</v>
      </c>
      <c r="L39" s="60">
        <f>J37</f>
        <v>-3.1884374496048487E-4</v>
      </c>
      <c r="M39" s="60">
        <f>(C39-$O$4)*K39 + L39</f>
        <v>1.7485178125768311E-3</v>
      </c>
    </row>
    <row r="40" spans="1:26" ht="14">
      <c r="A40" s="55">
        <f t="shared" si="7"/>
        <v>36</v>
      </c>
      <c r="B40" s="55" t="s">
        <v>108</v>
      </c>
      <c r="C40" s="80">
        <v>123</v>
      </c>
      <c r="D40" s="56" t="s">
        <v>38</v>
      </c>
      <c r="E40" s="80">
        <v>1876</v>
      </c>
      <c r="F40" s="80">
        <v>12258</v>
      </c>
      <c r="G40" s="57">
        <v>0.02</v>
      </c>
      <c r="H40" s="58"/>
      <c r="I40" s="58"/>
      <c r="J40" s="58"/>
      <c r="K40" s="60">
        <f>I35</f>
        <v>1.0719423436916556E-5</v>
      </c>
      <c r="L40" s="60">
        <f>I37</f>
        <v>-7.8694225812430199E-5</v>
      </c>
      <c r="M40" s="60">
        <f>(C40-$O$5)*K40 + L40</f>
        <v>1.2397948569283061E-3</v>
      </c>
    </row>
    <row r="41" spans="1:26" ht="14">
      <c r="A41" s="55">
        <f t="shared" si="7"/>
        <v>36</v>
      </c>
      <c r="B41" s="55" t="s">
        <v>109</v>
      </c>
      <c r="C41" s="80">
        <v>136</v>
      </c>
      <c r="D41" s="56" t="s">
        <v>38</v>
      </c>
      <c r="E41" s="80">
        <v>16</v>
      </c>
      <c r="F41" s="80">
        <v>8</v>
      </c>
      <c r="G41" s="56"/>
      <c r="H41" s="58"/>
      <c r="I41" s="58"/>
      <c r="J41" s="58"/>
      <c r="K41" s="60">
        <f>I35</f>
        <v>1.0719423436916556E-5</v>
      </c>
      <c r="L41" s="60">
        <f>I37</f>
        <v>-7.8694225812430199E-5</v>
      </c>
      <c r="M41" s="60">
        <f>(C41-$O$5)*K41 + L41</f>
        <v>1.3791473616082215E-3</v>
      </c>
    </row>
    <row r="42" spans="1:26" ht="14">
      <c r="A42" s="55">
        <f>P7</f>
        <v>37</v>
      </c>
      <c r="B42" s="55" t="s">
        <v>110</v>
      </c>
      <c r="C42" s="80">
        <v>615</v>
      </c>
      <c r="D42" s="56" t="s">
        <v>35</v>
      </c>
      <c r="E42" s="80">
        <v>17</v>
      </c>
      <c r="F42" s="80">
        <v>18</v>
      </c>
      <c r="G42" s="57">
        <v>0</v>
      </c>
      <c r="H42" s="58"/>
      <c r="I42" s="62" t="s">
        <v>68</v>
      </c>
      <c r="J42" s="62" t="s">
        <v>68</v>
      </c>
      <c r="K42" s="60">
        <f>I43</f>
        <v>1.0489641822950478E-5</v>
      </c>
      <c r="L42" s="60">
        <f>I45</f>
        <v>-8.9480571372183362E-5</v>
      </c>
      <c r="M42" s="60">
        <f>(C42-$O$2)*K42+L42</f>
        <v>6.3616491497423605E-3</v>
      </c>
    </row>
    <row r="43" spans="1:26" ht="14">
      <c r="A43" s="55">
        <f t="shared" ref="A43:A49" si="8">A42</f>
        <v>37</v>
      </c>
      <c r="B43" s="55" t="s">
        <v>111</v>
      </c>
      <c r="C43" s="80">
        <v>663</v>
      </c>
      <c r="D43" s="56" t="s">
        <v>35</v>
      </c>
      <c r="E43" s="80">
        <v>59</v>
      </c>
      <c r="F43" s="80">
        <v>376</v>
      </c>
      <c r="G43" s="57">
        <v>5.0000000000000001E-4</v>
      </c>
      <c r="H43" s="58"/>
      <c r="I43" s="58">
        <f>SLOPE(G42:G48, E42:E48)</f>
        <v>1.0489641822950478E-5</v>
      </c>
      <c r="J43" s="58">
        <f>SLOPE(G42:G48, F42:F48)</f>
        <v>1.5222160580347419E-6</v>
      </c>
      <c r="K43" s="60">
        <f>I43</f>
        <v>1.0489641822950478E-5</v>
      </c>
      <c r="L43" s="60">
        <f>I45</f>
        <v>-8.9480571372183362E-5</v>
      </c>
      <c r="M43" s="60">
        <f>(C43-$O$2)*K43+L43</f>
        <v>6.8651519572439836E-3</v>
      </c>
    </row>
    <row r="44" spans="1:26" ht="14">
      <c r="A44" s="55">
        <f t="shared" si="8"/>
        <v>37</v>
      </c>
      <c r="B44" s="55" t="s">
        <v>112</v>
      </c>
      <c r="C44" s="80">
        <v>279</v>
      </c>
      <c r="D44" s="56" t="s">
        <v>36</v>
      </c>
      <c r="E44" s="80">
        <v>101</v>
      </c>
      <c r="F44" s="80">
        <v>689</v>
      </c>
      <c r="G44" s="57">
        <v>1E-3</v>
      </c>
      <c r="H44" s="58"/>
      <c r="I44" s="62" t="s">
        <v>71</v>
      </c>
      <c r="J44" s="62" t="s">
        <v>71</v>
      </c>
      <c r="K44" s="60">
        <f>I43</f>
        <v>1.0489641822950478E-5</v>
      </c>
      <c r="L44" s="60">
        <f>I45</f>
        <v>-8.9480571372183362E-5</v>
      </c>
      <c r="M44" s="60">
        <f>(C44-$O$3)*K44 + L44</f>
        <v>2.8371294972310002E-3</v>
      </c>
    </row>
    <row r="45" spans="1:26" ht="14">
      <c r="A45" s="55">
        <f t="shared" si="8"/>
        <v>37</v>
      </c>
      <c r="B45" s="55" t="s">
        <v>113</v>
      </c>
      <c r="C45" s="80">
        <v>294</v>
      </c>
      <c r="D45" s="56" t="s">
        <v>36</v>
      </c>
      <c r="E45" s="80">
        <v>175</v>
      </c>
      <c r="F45" s="80">
        <v>1351</v>
      </c>
      <c r="G45" s="57">
        <v>2E-3</v>
      </c>
      <c r="H45" s="58"/>
      <c r="I45" s="58">
        <f>INTERCEPT(G42:G48, E42:E48)</f>
        <v>-8.9480571372183362E-5</v>
      </c>
      <c r="J45" s="58">
        <f>INTERCEPT(G42:G48, F42:F48)</f>
        <v>1.4150786279652598E-5</v>
      </c>
      <c r="K45" s="60">
        <f>I43</f>
        <v>1.0489641822950478E-5</v>
      </c>
      <c r="L45" s="60">
        <f>I45</f>
        <v>-8.9480571372183362E-5</v>
      </c>
      <c r="M45" s="60">
        <f>(C45-$O$3)*K45+ L45</f>
        <v>2.9944741245752572E-3</v>
      </c>
    </row>
    <row r="46" spans="1:26" ht="14">
      <c r="A46" s="55">
        <f t="shared" si="8"/>
        <v>37</v>
      </c>
      <c r="B46" s="55" t="s">
        <v>114</v>
      </c>
      <c r="C46" s="80">
        <v>1553</v>
      </c>
      <c r="D46" s="56" t="s">
        <v>37</v>
      </c>
      <c r="E46" s="80">
        <v>459</v>
      </c>
      <c r="F46" s="80">
        <v>3707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1.5222160580347419E-6</v>
      </c>
      <c r="L46" s="60">
        <f>J45</f>
        <v>1.4150786279652598E-5</v>
      </c>
      <c r="M46" s="60">
        <f>(C46-$O$4)*K46 + L46</f>
        <v>1.7860102778320922E-3</v>
      </c>
    </row>
    <row r="47" spans="1:26" ht="14">
      <c r="A47" s="55">
        <f t="shared" si="8"/>
        <v>37</v>
      </c>
      <c r="B47" s="55" t="s">
        <v>115</v>
      </c>
      <c r="C47" s="80">
        <v>1641</v>
      </c>
      <c r="D47" s="56" t="s">
        <v>37</v>
      </c>
      <c r="E47" s="80">
        <v>1036</v>
      </c>
      <c r="F47" s="80">
        <v>5728</v>
      </c>
      <c r="G47" s="57">
        <v>0.01</v>
      </c>
      <c r="H47" s="58"/>
      <c r="I47" s="61">
        <f>RSQ(G42:G48, E42:E48)</f>
        <v>0.99727346693831054</v>
      </c>
      <c r="J47" s="61">
        <f>RSQ(G42:G48, F42:F48)</f>
        <v>0.9931707034472167</v>
      </c>
      <c r="K47" s="60">
        <f>J43</f>
        <v>1.5222160580347419E-6</v>
      </c>
      <c r="L47" s="60">
        <f>J45</f>
        <v>1.4150786279652598E-5</v>
      </c>
      <c r="M47" s="60">
        <f>(C47-$O$4)*K47 + L47</f>
        <v>1.9199652909391495E-3</v>
      </c>
    </row>
    <row r="48" spans="1:26" ht="14">
      <c r="A48" s="55">
        <f t="shared" si="8"/>
        <v>37</v>
      </c>
      <c r="B48" s="55" t="s">
        <v>116</v>
      </c>
      <c r="C48" s="80">
        <v>132</v>
      </c>
      <c r="D48" s="56" t="s">
        <v>38</v>
      </c>
      <c r="E48" s="80">
        <v>1883</v>
      </c>
      <c r="F48" s="80">
        <v>13358</v>
      </c>
      <c r="G48" s="57">
        <v>0.02</v>
      </c>
      <c r="H48" s="58"/>
      <c r="I48" s="58"/>
      <c r="J48" s="58"/>
      <c r="K48" s="60">
        <f>I43</f>
        <v>1.0489641822950478E-5</v>
      </c>
      <c r="L48" s="60">
        <f>I45</f>
        <v>-8.9480571372183362E-5</v>
      </c>
      <c r="M48" s="60">
        <f>(C48-$O$5)*K48 + L48</f>
        <v>1.2951521492572799E-3</v>
      </c>
    </row>
    <row r="49" spans="1:13" ht="14">
      <c r="A49" s="55">
        <f t="shared" si="8"/>
        <v>37</v>
      </c>
      <c r="B49" s="55" t="s">
        <v>117</v>
      </c>
      <c r="C49" s="80">
        <v>133</v>
      </c>
      <c r="D49" s="56" t="s">
        <v>38</v>
      </c>
      <c r="E49" s="80">
        <v>17</v>
      </c>
      <c r="F49" s="80">
        <v>7</v>
      </c>
      <c r="G49" s="56"/>
      <c r="H49" s="58"/>
      <c r="I49" s="58"/>
      <c r="J49" s="58"/>
      <c r="K49" s="60">
        <f>I43</f>
        <v>1.0489641822950478E-5</v>
      </c>
      <c r="L49" s="60">
        <f>I45</f>
        <v>-8.9480571372183362E-5</v>
      </c>
      <c r="M49" s="60">
        <f>(C49-$O$5)*K49 + L49</f>
        <v>1.3056417910802301E-3</v>
      </c>
    </row>
    <row r="50" spans="1:13" ht="14">
      <c r="A50" s="55">
        <f>P8</f>
        <v>38</v>
      </c>
      <c r="B50" s="55" t="s">
        <v>118</v>
      </c>
      <c r="C50" s="80">
        <v>655</v>
      </c>
      <c r="D50" s="56" t="s">
        <v>35</v>
      </c>
      <c r="E50" s="80">
        <v>17</v>
      </c>
      <c r="F50" s="80">
        <v>14</v>
      </c>
      <c r="G50" s="57">
        <v>0</v>
      </c>
      <c r="H50" s="58"/>
      <c r="I50" s="62" t="s">
        <v>68</v>
      </c>
      <c r="J50" s="62" t="s">
        <v>68</v>
      </c>
      <c r="K50" s="60">
        <f>I51</f>
        <v>1.0379620166119178E-5</v>
      </c>
      <c r="L50" s="60">
        <f>I53</f>
        <v>-1.4206496172620986E-4</v>
      </c>
      <c r="M50" s="60">
        <f>(C50-$O$2)*K50+L50</f>
        <v>6.6565862470818514E-3</v>
      </c>
    </row>
    <row r="51" spans="1:13" ht="14">
      <c r="A51" s="55">
        <f t="shared" ref="A51:A57" si="9">A50</f>
        <v>38</v>
      </c>
      <c r="B51" s="55" t="s">
        <v>119</v>
      </c>
      <c r="C51" s="80">
        <v>638</v>
      </c>
      <c r="D51" s="56" t="s">
        <v>35</v>
      </c>
      <c r="E51" s="80">
        <v>55</v>
      </c>
      <c r="F51" s="80">
        <v>401</v>
      </c>
      <c r="G51" s="57">
        <v>5.0000000000000001E-4</v>
      </c>
      <c r="H51" s="58"/>
      <c r="I51" s="58">
        <f>SLOPE(G50:G56, E50:E56)</f>
        <v>1.0379620166119178E-5</v>
      </c>
      <c r="J51" s="58">
        <f>SLOPE(G50:G56, F50:F56)</f>
        <v>1.4196210446532837E-6</v>
      </c>
      <c r="K51" s="60">
        <f>I51</f>
        <v>1.0379620166119178E-5</v>
      </c>
      <c r="L51" s="60">
        <f>I53</f>
        <v>-1.4206496172620986E-4</v>
      </c>
      <c r="M51" s="60">
        <f>(C51-$O$2)*K51+L51</f>
        <v>6.4801327042578252E-3</v>
      </c>
    </row>
    <row r="52" spans="1:13" ht="14">
      <c r="A52" s="55">
        <f t="shared" si="9"/>
        <v>38</v>
      </c>
      <c r="B52" s="55" t="s">
        <v>120</v>
      </c>
      <c r="C52" s="80">
        <v>296</v>
      </c>
      <c r="D52" s="56" t="s">
        <v>36</v>
      </c>
      <c r="E52" s="80">
        <v>98</v>
      </c>
      <c r="F52" s="80">
        <v>818</v>
      </c>
      <c r="G52" s="57">
        <v>1E-3</v>
      </c>
      <c r="H52" s="58"/>
      <c r="I52" s="62" t="s">
        <v>71</v>
      </c>
      <c r="J52" s="62" t="s">
        <v>71</v>
      </c>
      <c r="K52" s="60">
        <f>I51</f>
        <v>1.0379620166119178E-5</v>
      </c>
      <c r="L52" s="60">
        <f>I53</f>
        <v>-1.4206496172620986E-4</v>
      </c>
      <c r="M52" s="60">
        <f>(C52-$O$3)*K52 + L52</f>
        <v>2.9303026074450665E-3</v>
      </c>
    </row>
    <row r="53" spans="1:13" ht="14">
      <c r="A53" s="55">
        <f t="shared" si="9"/>
        <v>38</v>
      </c>
      <c r="B53" s="55" t="s">
        <v>121</v>
      </c>
      <c r="C53" s="80">
        <v>294</v>
      </c>
      <c r="D53" s="56" t="s">
        <v>36</v>
      </c>
      <c r="E53" s="80">
        <v>237</v>
      </c>
      <c r="F53" s="80">
        <v>1524</v>
      </c>
      <c r="G53" s="57">
        <v>2E-3</v>
      </c>
      <c r="H53" s="58"/>
      <c r="I53" s="58">
        <f>INTERCEPT(G50:G56, E50:E56)</f>
        <v>-1.4206496172620986E-4</v>
      </c>
      <c r="J53" s="58">
        <f>INTERCEPT(G50:G56, F50:F56)</f>
        <v>-1.9369440409156263E-4</v>
      </c>
      <c r="K53" s="60">
        <f>I51</f>
        <v>1.0379620166119178E-5</v>
      </c>
      <c r="L53" s="60">
        <f>I53</f>
        <v>-1.4206496172620986E-4</v>
      </c>
      <c r="M53" s="60">
        <f>(C53-$O$3)*K53+ L53</f>
        <v>2.9095433671128285E-3</v>
      </c>
    </row>
    <row r="54" spans="1:13" ht="14">
      <c r="A54" s="55">
        <f t="shared" si="9"/>
        <v>38</v>
      </c>
      <c r="B54" s="55" t="s">
        <v>122</v>
      </c>
      <c r="C54" s="80">
        <v>1819</v>
      </c>
      <c r="D54" s="56" t="s">
        <v>37</v>
      </c>
      <c r="E54" s="80">
        <v>495</v>
      </c>
      <c r="F54" s="80">
        <v>4000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1.4196210446532837E-6</v>
      </c>
      <c r="L54" s="60">
        <f>J53</f>
        <v>-1.9369440409156263E-4</v>
      </c>
      <c r="M54" s="60">
        <f>(C54-$O$4)*K54 + L54</f>
        <v>1.836363689762633E-3</v>
      </c>
    </row>
    <row r="55" spans="1:13" ht="14">
      <c r="A55" s="55">
        <f t="shared" si="9"/>
        <v>38</v>
      </c>
      <c r="B55" s="55" t="s">
        <v>123</v>
      </c>
      <c r="C55" s="80">
        <v>1709</v>
      </c>
      <c r="D55" s="56" t="s">
        <v>37</v>
      </c>
      <c r="E55" s="80">
        <v>954</v>
      </c>
      <c r="F55" s="80">
        <v>7187</v>
      </c>
      <c r="G55" s="57">
        <v>0.01</v>
      </c>
      <c r="H55" s="58"/>
      <c r="I55" s="61">
        <f>RSQ(G50:G56, E50:E56)</f>
        <v>0.99940914170918949</v>
      </c>
      <c r="J55" s="61">
        <f>RSQ(G50:G56, F50:F56)</f>
        <v>0.99905663872139883</v>
      </c>
      <c r="K55" s="60">
        <f>J51</f>
        <v>1.4196210446532837E-6</v>
      </c>
      <c r="L55" s="60">
        <f>J53</f>
        <v>-1.9369440409156263E-4</v>
      </c>
      <c r="M55" s="60">
        <f>(C55-$O$4)*K55 + L55</f>
        <v>1.6802053748507719E-3</v>
      </c>
    </row>
    <row r="56" spans="1:13" ht="14">
      <c r="A56" s="55">
        <f t="shared" si="9"/>
        <v>38</v>
      </c>
      <c r="B56" s="55" t="s">
        <v>124</v>
      </c>
      <c r="C56" s="80">
        <v>136</v>
      </c>
      <c r="D56" s="56" t="s">
        <v>38</v>
      </c>
      <c r="E56" s="80">
        <v>1949</v>
      </c>
      <c r="F56" s="80">
        <v>14131</v>
      </c>
      <c r="G56" s="57">
        <v>0.02</v>
      </c>
      <c r="H56" s="58"/>
      <c r="I56" s="58"/>
      <c r="J56" s="58"/>
      <c r="K56" s="60">
        <f>I51</f>
        <v>1.0379620166119178E-5</v>
      </c>
      <c r="L56" s="60">
        <f>I53</f>
        <v>-1.4206496172620986E-4</v>
      </c>
      <c r="M56" s="60">
        <f>(C56-$O$5)*K56 + L56</f>
        <v>1.2695633808659983E-3</v>
      </c>
    </row>
    <row r="57" spans="1:13" ht="14">
      <c r="A57" s="55">
        <f t="shared" si="9"/>
        <v>38</v>
      </c>
      <c r="B57" s="55" t="s">
        <v>125</v>
      </c>
      <c r="C57" s="80">
        <v>128</v>
      </c>
      <c r="D57" s="56" t="s">
        <v>38</v>
      </c>
      <c r="E57" s="80">
        <v>17</v>
      </c>
      <c r="F57" s="80">
        <v>10</v>
      </c>
      <c r="G57" s="56"/>
      <c r="H57" s="58"/>
      <c r="I57" s="58"/>
      <c r="J57" s="58"/>
      <c r="K57" s="60">
        <f>I51</f>
        <v>1.0379620166119178E-5</v>
      </c>
      <c r="L57" s="60">
        <f>I53</f>
        <v>-1.4206496172620986E-4</v>
      </c>
      <c r="M57" s="60">
        <f>(C57-$O$5)*K57 + L57</f>
        <v>1.1865264195370449E-3</v>
      </c>
    </row>
    <row r="58" spans="1:13" ht="14">
      <c r="A58" s="55">
        <f>P9</f>
        <v>40</v>
      </c>
      <c r="B58" s="55" t="s">
        <v>126</v>
      </c>
      <c r="C58" s="80">
        <v>679</v>
      </c>
      <c r="D58" s="56" t="s">
        <v>35</v>
      </c>
      <c r="E58" s="80">
        <v>18</v>
      </c>
      <c r="F58" s="80">
        <v>13</v>
      </c>
      <c r="G58" s="57">
        <v>0</v>
      </c>
      <c r="H58" s="58"/>
      <c r="I58" s="62" t="s">
        <v>68</v>
      </c>
      <c r="J58" s="62" t="s">
        <v>68</v>
      </c>
      <c r="K58" s="60">
        <f>I59</f>
        <v>9.5917711423793377E-6</v>
      </c>
      <c r="L58" s="60">
        <f>I61</f>
        <v>-1.389815384777917E-5</v>
      </c>
      <c r="M58" s="60">
        <f>(C58-$O$2)*K58+L58</f>
        <v>6.4989144518277911E-3</v>
      </c>
    </row>
    <row r="59" spans="1:13" ht="14">
      <c r="A59" s="55">
        <f t="shared" ref="A59:A65" si="10">A58</f>
        <v>40</v>
      </c>
      <c r="B59" s="55" t="s">
        <v>127</v>
      </c>
      <c r="C59" s="80">
        <v>720</v>
      </c>
      <c r="D59" s="56" t="s">
        <v>35</v>
      </c>
      <c r="E59" s="80">
        <v>67</v>
      </c>
      <c r="F59" s="80">
        <v>366</v>
      </c>
      <c r="G59" s="57">
        <v>5.0000000000000001E-4</v>
      </c>
      <c r="H59" s="58"/>
      <c r="I59" s="58">
        <f>SLOPE(G58:G64, E58:E64)</f>
        <v>9.5917711423793377E-6</v>
      </c>
      <c r="J59" s="58">
        <f>SLOPE(G58:G64, F58:F64)</f>
        <v>1.383559137194755E-6</v>
      </c>
      <c r="K59" s="60">
        <f>I59</f>
        <v>9.5917711423793377E-6</v>
      </c>
      <c r="L59" s="60">
        <f>I61</f>
        <v>-1.389815384777917E-5</v>
      </c>
      <c r="M59" s="60">
        <f>(C59-$O$2)*K59+L59</f>
        <v>6.8921770686653436E-3</v>
      </c>
    </row>
    <row r="60" spans="1:13" ht="14">
      <c r="A60" s="55">
        <f t="shared" si="10"/>
        <v>40</v>
      </c>
      <c r="B60" s="55" t="s">
        <v>128</v>
      </c>
      <c r="C60" s="80">
        <v>297</v>
      </c>
      <c r="D60" s="56" t="s">
        <v>36</v>
      </c>
      <c r="E60" s="80">
        <v>106</v>
      </c>
      <c r="F60" s="80">
        <v>824</v>
      </c>
      <c r="G60" s="57">
        <v>1E-3</v>
      </c>
      <c r="H60" s="58"/>
      <c r="I60" s="62" t="s">
        <v>71</v>
      </c>
      <c r="J60" s="62" t="s">
        <v>71</v>
      </c>
      <c r="K60" s="60">
        <f>I59</f>
        <v>9.5917711423793377E-6</v>
      </c>
      <c r="L60" s="60">
        <f>I61</f>
        <v>-1.389815384777917E-5</v>
      </c>
      <c r="M60" s="60">
        <f>(C60-$O$3)*K60 + L60</f>
        <v>2.8348578754388842E-3</v>
      </c>
    </row>
    <row r="61" spans="1:13" ht="14">
      <c r="A61" s="55">
        <f t="shared" si="10"/>
        <v>40</v>
      </c>
      <c r="B61" s="55" t="s">
        <v>129</v>
      </c>
      <c r="C61" s="80">
        <v>293</v>
      </c>
      <c r="D61" s="56" t="s">
        <v>36</v>
      </c>
      <c r="E61" s="80">
        <v>191</v>
      </c>
      <c r="F61" s="80">
        <v>1598</v>
      </c>
      <c r="G61" s="57">
        <v>2E-3</v>
      </c>
      <c r="H61" s="58"/>
      <c r="I61" s="58">
        <f>INTERCEPT(G58:G64, E58:E64)</f>
        <v>-1.389815384777917E-5</v>
      </c>
      <c r="J61" s="58">
        <f>INTERCEPT(G58:G64, F58:F64)</f>
        <v>-1.7338306771974912E-4</v>
      </c>
      <c r="K61" s="60">
        <f>I59</f>
        <v>9.5917711423793377E-6</v>
      </c>
      <c r="L61" s="60">
        <f>I61</f>
        <v>-1.389815384777917E-5</v>
      </c>
      <c r="M61" s="60">
        <f>(C61-$O$3)*K61+ L61</f>
        <v>2.796490790869367E-3</v>
      </c>
    </row>
    <row r="62" spans="1:13" ht="14">
      <c r="A62" s="55">
        <f t="shared" si="10"/>
        <v>40</v>
      </c>
      <c r="B62" s="55" t="s">
        <v>130</v>
      </c>
      <c r="C62" s="80">
        <v>1860</v>
      </c>
      <c r="D62" s="56" t="s">
        <v>37</v>
      </c>
      <c r="E62" s="80">
        <v>505</v>
      </c>
      <c r="F62" s="80">
        <v>4072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1.383559137194755E-6</v>
      </c>
      <c r="L62" s="60">
        <f>J61</f>
        <v>-1.7338306771974912E-4</v>
      </c>
      <c r="M62" s="60">
        <f>(C62-$O$4)*K62 + L62</f>
        <v>1.8618324230937353E-3</v>
      </c>
    </row>
    <row r="63" spans="1:13" ht="14">
      <c r="A63" s="55">
        <f t="shared" si="10"/>
        <v>40</v>
      </c>
      <c r="B63" s="55" t="s">
        <v>131</v>
      </c>
      <c r="C63" s="80">
        <v>1798</v>
      </c>
      <c r="D63" s="56" t="s">
        <v>37</v>
      </c>
      <c r="E63" s="80">
        <v>1046</v>
      </c>
      <c r="F63" s="80">
        <v>7331</v>
      </c>
      <c r="G63" s="57">
        <v>0.01</v>
      </c>
      <c r="H63" s="58"/>
      <c r="I63" s="61">
        <f>RSQ(G58:G64, E58:E64)</f>
        <v>0.99966733810270303</v>
      </c>
      <c r="J63" s="61">
        <f>RSQ(G58:G64, F58:F64)</f>
        <v>0.99912083238282867</v>
      </c>
      <c r="K63" s="60">
        <f>J59</f>
        <v>1.383559137194755E-6</v>
      </c>
      <c r="L63" s="60">
        <f>J61</f>
        <v>-1.7338306771974912E-4</v>
      </c>
      <c r="M63" s="60">
        <f>(C63-$O$4)*K63 + L63</f>
        <v>1.7760517565876606E-3</v>
      </c>
    </row>
    <row r="64" spans="1:13" ht="14">
      <c r="A64" s="55">
        <f t="shared" si="10"/>
        <v>40</v>
      </c>
      <c r="B64" s="55" t="s">
        <v>132</v>
      </c>
      <c r="C64" s="80">
        <v>134</v>
      </c>
      <c r="D64" s="56" t="s">
        <v>38</v>
      </c>
      <c r="E64" s="80">
        <v>2091</v>
      </c>
      <c r="F64" s="80">
        <v>14500</v>
      </c>
      <c r="G64" s="57">
        <v>0.02</v>
      </c>
      <c r="H64" s="58"/>
      <c r="I64" s="58"/>
      <c r="J64" s="58"/>
      <c r="K64" s="60">
        <f>I59</f>
        <v>9.5917711423793377E-6</v>
      </c>
      <c r="L64" s="60">
        <f>I61</f>
        <v>-1.389815384777917E-5</v>
      </c>
      <c r="M64" s="60">
        <f>(C64-$O$5)*K64 + L64</f>
        <v>1.2713991792310522E-3</v>
      </c>
    </row>
    <row r="65" spans="1:26" ht="14">
      <c r="A65" s="55">
        <f t="shared" si="10"/>
        <v>40</v>
      </c>
      <c r="B65" s="55" t="s">
        <v>133</v>
      </c>
      <c r="C65" s="80">
        <v>144</v>
      </c>
      <c r="D65" s="56" t="s">
        <v>38</v>
      </c>
      <c r="E65" s="80">
        <v>18</v>
      </c>
      <c r="F65" s="80">
        <v>9</v>
      </c>
      <c r="G65" s="56"/>
      <c r="H65" s="58"/>
      <c r="I65" s="58"/>
      <c r="J65" s="58"/>
      <c r="K65" s="60">
        <f>I59</f>
        <v>9.5917711423793377E-6</v>
      </c>
      <c r="L65" s="60">
        <f>I61</f>
        <v>-1.389815384777917E-5</v>
      </c>
      <c r="M65" s="60">
        <f>(C65-$O$5)*K65 + L65</f>
        <v>1.3673168906548454E-3</v>
      </c>
    </row>
    <row r="66" spans="1:26" ht="14">
      <c r="A66" s="55">
        <f>P10</f>
        <v>41</v>
      </c>
      <c r="B66" s="55" t="s">
        <v>134</v>
      </c>
      <c r="C66" s="80">
        <v>704</v>
      </c>
      <c r="D66" s="56" t="s">
        <v>35</v>
      </c>
      <c r="E66" s="80">
        <v>17</v>
      </c>
      <c r="F66" s="80">
        <v>13</v>
      </c>
      <c r="G66" s="57">
        <v>0</v>
      </c>
      <c r="H66" s="58"/>
      <c r="I66" s="62" t="s">
        <v>68</v>
      </c>
      <c r="J66" s="62" t="s">
        <v>68</v>
      </c>
      <c r="K66" s="60">
        <f>I67</f>
        <v>9.6199045957678386E-6</v>
      </c>
      <c r="L66" s="60">
        <f>I69</f>
        <v>-1.2111566940935584E-6</v>
      </c>
      <c r="M66" s="60">
        <f>(C66-$O$2)*K66+L66</f>
        <v>6.7712016787264649E-3</v>
      </c>
    </row>
    <row r="67" spans="1:26" ht="14">
      <c r="A67" s="55">
        <f t="shared" ref="A67:A73" si="11">A66</f>
        <v>41</v>
      </c>
      <c r="B67" s="55" t="s">
        <v>135</v>
      </c>
      <c r="C67" s="80">
        <v>719</v>
      </c>
      <c r="D67" s="56" t="s">
        <v>35</v>
      </c>
      <c r="E67" s="80">
        <v>59</v>
      </c>
      <c r="F67" s="80">
        <v>387</v>
      </c>
      <c r="G67" s="57">
        <v>5.0000000000000001E-4</v>
      </c>
      <c r="H67" s="58"/>
      <c r="I67" s="58">
        <f>SLOPE(G66:G72, E66:E72)</f>
        <v>9.6199045957678386E-6</v>
      </c>
      <c r="J67" s="58">
        <f>SLOPE(G66:G72, F66:F72)</f>
        <v>1.3819720354543872E-6</v>
      </c>
      <c r="K67" s="60">
        <f>I67</f>
        <v>9.6199045957678386E-6</v>
      </c>
      <c r="L67" s="60">
        <f>I69</f>
        <v>-1.2111566940935584E-6</v>
      </c>
      <c r="M67" s="60">
        <f>(C67-$O$2)*K67+L67</f>
        <v>6.9155002476629828E-3</v>
      </c>
    </row>
    <row r="68" spans="1:26" ht="14">
      <c r="A68" s="55">
        <f t="shared" si="11"/>
        <v>41</v>
      </c>
      <c r="B68" s="55" t="s">
        <v>136</v>
      </c>
      <c r="C68" s="80">
        <v>304</v>
      </c>
      <c r="D68" s="56" t="s">
        <v>36</v>
      </c>
      <c r="E68" s="80">
        <v>109</v>
      </c>
      <c r="F68" s="80">
        <v>785</v>
      </c>
      <c r="G68" s="57">
        <v>1E-3</v>
      </c>
      <c r="H68" s="58"/>
      <c r="I68" s="62" t="s">
        <v>71</v>
      </c>
      <c r="J68" s="62" t="s">
        <v>71</v>
      </c>
      <c r="K68" s="60">
        <f>I67</f>
        <v>9.6199045957678386E-6</v>
      </c>
      <c r="L68" s="60">
        <f>I69</f>
        <v>-1.2111566940935584E-6</v>
      </c>
      <c r="M68" s="60">
        <f>(C68-$O$3)*K68 + L68</f>
        <v>2.9232398404193294E-3</v>
      </c>
    </row>
    <row r="69" spans="1:26" ht="14">
      <c r="A69" s="55">
        <f t="shared" si="11"/>
        <v>41</v>
      </c>
      <c r="B69" s="55" t="s">
        <v>137</v>
      </c>
      <c r="C69" s="80">
        <v>315</v>
      </c>
      <c r="D69" s="56" t="s">
        <v>36</v>
      </c>
      <c r="E69" s="80">
        <v>196</v>
      </c>
      <c r="F69" s="80">
        <v>1461</v>
      </c>
      <c r="G69" s="57">
        <v>2E-3</v>
      </c>
      <c r="H69" s="58"/>
      <c r="I69" s="58">
        <f>INTERCEPT(G66:G72, E66:E72)</f>
        <v>-1.2111566940935584E-6</v>
      </c>
      <c r="J69" s="58">
        <f>INTERCEPT(G66:G72, F66:F72)</f>
        <v>-1.5779351315026082E-4</v>
      </c>
      <c r="K69" s="60">
        <f>I67</f>
        <v>9.6199045957678386E-6</v>
      </c>
      <c r="L69" s="60">
        <f>I69</f>
        <v>-1.2111566940935584E-6</v>
      </c>
      <c r="M69" s="60">
        <f>(C69-$O$3)*K69+ L69</f>
        <v>3.0290587909727754E-3</v>
      </c>
    </row>
    <row r="70" spans="1:26" ht="14">
      <c r="A70" s="55">
        <f t="shared" si="11"/>
        <v>41</v>
      </c>
      <c r="B70" s="55" t="s">
        <v>138</v>
      </c>
      <c r="C70" s="80">
        <v>2002</v>
      </c>
      <c r="D70" s="56" t="s">
        <v>37</v>
      </c>
      <c r="E70" s="80">
        <v>516</v>
      </c>
      <c r="F70" s="80">
        <v>4129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1.3819720354543872E-6</v>
      </c>
      <c r="L70" s="60">
        <f>J69</f>
        <v>-1.5779351315026082E-4</v>
      </c>
      <c r="M70" s="60">
        <f>(C70-$O$4)*K70 + L70</f>
        <v>2.0713273800376658E-3</v>
      </c>
    </row>
    <row r="71" spans="1:26" ht="14">
      <c r="A71" s="55">
        <f t="shared" si="11"/>
        <v>41</v>
      </c>
      <c r="B71" s="55" t="s">
        <v>139</v>
      </c>
      <c r="C71" s="80">
        <v>1971</v>
      </c>
      <c r="D71" s="56" t="s">
        <v>37</v>
      </c>
      <c r="E71" s="80">
        <v>1012</v>
      </c>
      <c r="F71" s="80">
        <v>7442</v>
      </c>
      <c r="G71" s="57">
        <v>0.01</v>
      </c>
      <c r="H71" s="58"/>
      <c r="I71" s="61">
        <f>RSQ(G66:G72, E66:E72)</f>
        <v>0.99956396449714535</v>
      </c>
      <c r="J71" s="61">
        <f>RSQ(G66:G72, F66:F72)</f>
        <v>0.99869283045027357</v>
      </c>
      <c r="K71" s="60">
        <f>J67</f>
        <v>1.3819720354543872E-6</v>
      </c>
      <c r="L71" s="60">
        <f>J69</f>
        <v>-1.5779351315026082E-4</v>
      </c>
      <c r="M71" s="60">
        <f>(C71-$O$4)*K71 + L71</f>
        <v>2.0284862469385797E-3</v>
      </c>
    </row>
    <row r="72" spans="1:26" ht="14">
      <c r="A72" s="55">
        <f t="shared" si="11"/>
        <v>41</v>
      </c>
      <c r="B72" s="55" t="s">
        <v>140</v>
      </c>
      <c r="C72" s="80">
        <v>141</v>
      </c>
      <c r="D72" s="56" t="s">
        <v>38</v>
      </c>
      <c r="E72" s="80">
        <v>2094</v>
      </c>
      <c r="F72" s="80">
        <v>14441</v>
      </c>
      <c r="G72" s="57">
        <v>0.02</v>
      </c>
      <c r="H72" s="58"/>
      <c r="I72" s="58"/>
      <c r="J72" s="58"/>
      <c r="K72" s="60">
        <f>I67</f>
        <v>9.6199045957678386E-6</v>
      </c>
      <c r="L72" s="60">
        <f>I69</f>
        <v>-1.2111566940935584E-6</v>
      </c>
      <c r="M72" s="60">
        <f>(C72-$O$5)*K72 + L72</f>
        <v>1.3551953913091717E-3</v>
      </c>
    </row>
    <row r="73" spans="1:26" ht="14">
      <c r="A73" s="55">
        <f t="shared" si="11"/>
        <v>41</v>
      </c>
      <c r="B73" s="55" t="s">
        <v>141</v>
      </c>
      <c r="C73" s="80">
        <v>154</v>
      </c>
      <c r="D73" s="56" t="s">
        <v>38</v>
      </c>
      <c r="E73" s="80">
        <v>17</v>
      </c>
      <c r="F73" s="80">
        <v>13</v>
      </c>
      <c r="G73" s="56"/>
      <c r="H73" s="58"/>
      <c r="I73" s="58"/>
      <c r="J73" s="58"/>
      <c r="K73" s="60">
        <f>I67</f>
        <v>9.6199045957678386E-6</v>
      </c>
      <c r="L73" s="60">
        <f>I69</f>
        <v>-1.2111566940935584E-6</v>
      </c>
      <c r="M73" s="60">
        <f>(C73-$O$5)*K73 + L73</f>
        <v>1.4802541510541536E-3</v>
      </c>
    </row>
    <row r="74" spans="1:26" ht="14">
      <c r="A74" s="55">
        <f>P11</f>
        <v>42</v>
      </c>
      <c r="B74" s="55" t="s">
        <v>142</v>
      </c>
      <c r="C74" s="80">
        <v>752</v>
      </c>
      <c r="D74" s="56" t="s">
        <v>35</v>
      </c>
      <c r="E74" s="80">
        <v>16</v>
      </c>
      <c r="F74" s="80">
        <v>14</v>
      </c>
      <c r="G74" s="57">
        <v>0</v>
      </c>
      <c r="H74" s="58"/>
      <c r="I74" s="62" t="s">
        <v>68</v>
      </c>
      <c r="J74" s="62" t="s">
        <v>68</v>
      </c>
      <c r="K74" s="60">
        <f>I75</f>
        <v>1.0143940873820502E-5</v>
      </c>
      <c r="L74" s="60">
        <f>I77</f>
        <v>-1.2553978173874061E-4</v>
      </c>
      <c r="M74" s="60">
        <f>(C74-$O$2)*K74+L74</f>
        <v>7.5027037553742773E-3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42</v>
      </c>
      <c r="B75" s="55" t="s">
        <v>143</v>
      </c>
      <c r="C75" s="80">
        <v>752</v>
      </c>
      <c r="D75" s="56" t="s">
        <v>35</v>
      </c>
      <c r="E75" s="80">
        <v>61</v>
      </c>
      <c r="F75" s="80">
        <v>400</v>
      </c>
      <c r="G75" s="57">
        <v>5.0000000000000001E-4</v>
      </c>
      <c r="H75" s="58"/>
      <c r="I75" s="58">
        <f>SLOPE(G74:G80, E74:E80)</f>
        <v>1.0143940873820502E-5</v>
      </c>
      <c r="J75" s="58">
        <f>SLOPE(G74:G80, F74:F80)</f>
        <v>1.4425675911763773E-6</v>
      </c>
      <c r="K75" s="60">
        <f>I75</f>
        <v>1.0143940873820502E-5</v>
      </c>
      <c r="L75" s="60">
        <f>I77</f>
        <v>-1.2553978173874061E-4</v>
      </c>
      <c r="M75" s="60">
        <f>(C75-$O$2)*K75+L75</f>
        <v>7.5027037553742773E-3</v>
      </c>
    </row>
    <row r="76" spans="1:26" ht="14">
      <c r="A76" s="55">
        <f t="shared" si="12"/>
        <v>42</v>
      </c>
      <c r="B76" s="55" t="s">
        <v>144</v>
      </c>
      <c r="C76" s="80">
        <v>318</v>
      </c>
      <c r="D76" s="56" t="s">
        <v>36</v>
      </c>
      <c r="E76" s="80">
        <v>113</v>
      </c>
      <c r="F76" s="80">
        <v>868</v>
      </c>
      <c r="G76" s="57">
        <v>1E-3</v>
      </c>
      <c r="H76" s="58"/>
      <c r="I76" s="62" t="s">
        <v>71</v>
      </c>
      <c r="J76" s="62" t="s">
        <v>71</v>
      </c>
      <c r="K76" s="60">
        <f>I75</f>
        <v>1.0143940873820502E-5</v>
      </c>
      <c r="L76" s="60">
        <f>I77</f>
        <v>-1.2553978173874061E-4</v>
      </c>
      <c r="M76" s="60">
        <f>(C76-$O$3)*K76 + L76</f>
        <v>3.1002334161361789E-3</v>
      </c>
    </row>
    <row r="77" spans="1:26" ht="14">
      <c r="A77" s="55">
        <f t="shared" si="12"/>
        <v>42</v>
      </c>
      <c r="B77" s="55" t="s">
        <v>145</v>
      </c>
      <c r="C77" s="80">
        <v>320</v>
      </c>
      <c r="D77" s="56" t="s">
        <v>36</v>
      </c>
      <c r="E77" s="80">
        <v>196</v>
      </c>
      <c r="F77" s="80">
        <v>1599</v>
      </c>
      <c r="G77" s="57">
        <v>2E-3</v>
      </c>
      <c r="H77" s="58"/>
      <c r="I77" s="58">
        <f>INTERCEPT(G74:G80, E74:E80)</f>
        <v>-1.2553978173874061E-4</v>
      </c>
      <c r="J77" s="58">
        <f>INTERCEPT(G74:G80, F74:F80)</f>
        <v>-2.7645279723912189E-4</v>
      </c>
      <c r="K77" s="60">
        <f>I75</f>
        <v>1.0143940873820502E-5</v>
      </c>
      <c r="L77" s="60">
        <f>I77</f>
        <v>-1.2553978173874061E-4</v>
      </c>
      <c r="M77" s="60">
        <f>(C77-$O$3)*K77+ L77</f>
        <v>3.1205212978838203E-3</v>
      </c>
    </row>
    <row r="78" spans="1:26" ht="14">
      <c r="A78" s="55">
        <f t="shared" si="12"/>
        <v>42</v>
      </c>
      <c r="B78" s="55" t="s">
        <v>146</v>
      </c>
      <c r="C78" s="80">
        <v>2112</v>
      </c>
      <c r="D78" s="56" t="s">
        <v>37</v>
      </c>
      <c r="E78" s="80">
        <v>508</v>
      </c>
      <c r="F78" s="80">
        <v>4031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1.4425675911763773E-6</v>
      </c>
      <c r="L78" s="60">
        <f>J77</f>
        <v>-2.7645279723912189E-4</v>
      </c>
      <c r="M78" s="60">
        <f>(C78-$O$4)*K78 + L78</f>
        <v>2.2090911623577764E-3</v>
      </c>
    </row>
    <row r="79" spans="1:26" ht="14">
      <c r="A79" s="55">
        <f t="shared" si="12"/>
        <v>42</v>
      </c>
      <c r="B79" s="55" t="s">
        <v>147</v>
      </c>
      <c r="C79" s="80">
        <v>1908</v>
      </c>
      <c r="D79" s="56" t="s">
        <v>37</v>
      </c>
      <c r="E79" s="80">
        <v>1009</v>
      </c>
      <c r="F79" s="80">
        <v>7215</v>
      </c>
      <c r="G79" s="57">
        <v>0.01</v>
      </c>
      <c r="H79" s="58"/>
      <c r="I79" s="61">
        <f>RSQ(G74:G80, E74:E80)</f>
        <v>0.99988681872262997</v>
      </c>
      <c r="J79" s="61">
        <f>RSQ(G74:G80, F74:F80)</f>
        <v>0.99854664538866944</v>
      </c>
      <c r="K79" s="60">
        <f>J75</f>
        <v>1.4425675911763773E-6</v>
      </c>
      <c r="L79" s="60">
        <f>J77</f>
        <v>-2.7645279723912189E-4</v>
      </c>
      <c r="M79" s="60">
        <f>(C79-$O$4)*K79 + L79</f>
        <v>1.9148073737577953E-3</v>
      </c>
    </row>
    <row r="80" spans="1:26" ht="14">
      <c r="A80" s="55">
        <f t="shared" si="12"/>
        <v>42</v>
      </c>
      <c r="B80" s="55" t="s">
        <v>148</v>
      </c>
      <c r="C80" s="80">
        <v>147</v>
      </c>
      <c r="D80" s="56" t="s">
        <v>38</v>
      </c>
      <c r="E80" s="80">
        <v>1979</v>
      </c>
      <c r="F80" s="80">
        <v>13903</v>
      </c>
      <c r="G80" s="57">
        <v>0.02</v>
      </c>
      <c r="H80" s="58"/>
      <c r="I80" s="58"/>
      <c r="J80" s="58"/>
      <c r="K80" s="60">
        <f>I75</f>
        <v>1.0143940873820502E-5</v>
      </c>
      <c r="L80" s="60">
        <f>I77</f>
        <v>-1.2553978173874061E-4</v>
      </c>
      <c r="M80" s="60">
        <f>(C80-$O$5)*K80 + L80</f>
        <v>1.3656195267128732E-3</v>
      </c>
    </row>
    <row r="81" spans="1:13" ht="14">
      <c r="A81" s="55">
        <f t="shared" si="12"/>
        <v>42</v>
      </c>
      <c r="B81" s="55" t="s">
        <v>149</v>
      </c>
      <c r="C81" s="80">
        <v>141</v>
      </c>
      <c r="D81" s="56" t="s">
        <v>38</v>
      </c>
      <c r="E81" s="80">
        <v>18</v>
      </c>
      <c r="F81" s="80">
        <v>8</v>
      </c>
      <c r="G81" s="56"/>
      <c r="H81" s="58"/>
      <c r="I81" s="58"/>
      <c r="J81" s="58"/>
      <c r="K81" s="60">
        <f>I75</f>
        <v>1.0143940873820502E-5</v>
      </c>
      <c r="L81" s="60">
        <f>I77</f>
        <v>-1.2553978173874061E-4</v>
      </c>
      <c r="M81" s="60">
        <f>(C81-$O$5)*K81 + L81</f>
        <v>1.3047558814699501E-3</v>
      </c>
    </row>
    <row r="82" spans="1:13" ht="14">
      <c r="A82" s="55">
        <f>P12</f>
        <v>43</v>
      </c>
      <c r="B82" s="55" t="s">
        <v>150</v>
      </c>
      <c r="C82" s="80">
        <v>714</v>
      </c>
      <c r="D82" s="56" t="s">
        <v>35</v>
      </c>
      <c r="E82" s="80">
        <v>17</v>
      </c>
      <c r="F82" s="80">
        <v>15</v>
      </c>
      <c r="G82" s="57">
        <v>0</v>
      </c>
      <c r="H82" s="58"/>
      <c r="I82" s="62" t="s">
        <v>68</v>
      </c>
      <c r="J82" s="62" t="s">
        <v>68</v>
      </c>
      <c r="K82" s="60">
        <f>I83</f>
        <v>9.9524000867101273E-6</v>
      </c>
      <c r="L82" s="60">
        <f>I85</f>
        <v>-1.1741896322738695E-4</v>
      </c>
      <c r="M82" s="60">
        <f>(C82-$O$2)*K82+L82</f>
        <v>6.9885946986836438E-3</v>
      </c>
    </row>
    <row r="83" spans="1:13" ht="14">
      <c r="A83" s="55">
        <f t="shared" ref="A83:A89" si="13">A82</f>
        <v>43</v>
      </c>
      <c r="B83" s="55" t="s">
        <v>151</v>
      </c>
      <c r="C83" s="80">
        <v>740</v>
      </c>
      <c r="D83" s="56" t="s">
        <v>35</v>
      </c>
      <c r="E83" s="80">
        <v>62</v>
      </c>
      <c r="F83" s="80">
        <v>422</v>
      </c>
      <c r="G83" s="57">
        <v>5.0000000000000001E-4</v>
      </c>
      <c r="H83" s="58"/>
      <c r="I83" s="58">
        <f>SLOPE(G82:G88, E82:E88)</f>
        <v>9.9524000867101273E-6</v>
      </c>
      <c r="J83" s="58">
        <f>SLOPE(G82:G88, F82:F88)</f>
        <v>1.5314280742563592E-6</v>
      </c>
      <c r="K83" s="60">
        <f>I83</f>
        <v>9.9524000867101273E-6</v>
      </c>
      <c r="L83" s="60">
        <f>I85</f>
        <v>-1.1741896322738695E-4</v>
      </c>
      <c r="M83" s="60">
        <f>(C83-$O$2)*K83+L83</f>
        <v>7.2473571009381071E-3</v>
      </c>
    </row>
    <row r="84" spans="1:13" ht="14">
      <c r="A84" s="55">
        <f t="shared" si="13"/>
        <v>43</v>
      </c>
      <c r="B84" s="55" t="s">
        <v>152</v>
      </c>
      <c r="C84" s="80">
        <v>320</v>
      </c>
      <c r="D84" s="56" t="s">
        <v>36</v>
      </c>
      <c r="E84" s="80">
        <v>115</v>
      </c>
      <c r="F84" s="80">
        <v>1312</v>
      </c>
      <c r="G84" s="57">
        <v>1E-3</v>
      </c>
      <c r="H84" s="58"/>
      <c r="I84" s="62" t="s">
        <v>71</v>
      </c>
      <c r="J84" s="62" t="s">
        <v>71</v>
      </c>
      <c r="K84" s="60">
        <f>I83</f>
        <v>9.9524000867101273E-6</v>
      </c>
      <c r="L84" s="60">
        <f>I85</f>
        <v>-1.1741896322738695E-4</v>
      </c>
      <c r="M84" s="60">
        <f>(C84-$O$3)*K84 + L84</f>
        <v>3.0673490645198539E-3</v>
      </c>
    </row>
    <row r="85" spans="1:13" ht="14">
      <c r="A85" s="55">
        <f t="shared" si="13"/>
        <v>43</v>
      </c>
      <c r="B85" s="55" t="s">
        <v>153</v>
      </c>
      <c r="C85" s="80">
        <v>323</v>
      </c>
      <c r="D85" s="56" t="s">
        <v>36</v>
      </c>
      <c r="E85" s="80">
        <v>189</v>
      </c>
      <c r="F85" s="80">
        <v>1539</v>
      </c>
      <c r="G85" s="57">
        <v>2E-3</v>
      </c>
      <c r="H85" s="58"/>
      <c r="I85" s="58">
        <f>INTERCEPT(G82:G88, E82:E88)</f>
        <v>-1.1741896322738695E-4</v>
      </c>
      <c r="J85" s="58">
        <f>INTERCEPT(G82:G88, F82:F88)</f>
        <v>-5.0757355986851688E-4</v>
      </c>
      <c r="K85" s="60">
        <f>I83</f>
        <v>9.9524000867101273E-6</v>
      </c>
      <c r="L85" s="60">
        <f>I85</f>
        <v>-1.1741896322738695E-4</v>
      </c>
      <c r="M85" s="60">
        <f>(C85-$O$3)*K85+ L85</f>
        <v>3.0972062647799843E-3</v>
      </c>
    </row>
    <row r="86" spans="1:13" ht="14">
      <c r="A86" s="55">
        <f t="shared" si="13"/>
        <v>43</v>
      </c>
      <c r="B86" s="55" t="s">
        <v>154</v>
      </c>
      <c r="C86" s="80">
        <v>2215</v>
      </c>
      <c r="D86" s="56" t="s">
        <v>37</v>
      </c>
      <c r="E86" s="80">
        <v>530</v>
      </c>
      <c r="F86" s="80">
        <v>3957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1.5314280742563592E-6</v>
      </c>
      <c r="L86" s="60">
        <f>J85</f>
        <v>-5.0757355986851688E-4</v>
      </c>
      <c r="M86" s="60">
        <f>(C86-$O$4)*K86 + L86</f>
        <v>2.2888141037235949E-3</v>
      </c>
    </row>
    <row r="87" spans="1:13" ht="14">
      <c r="A87" s="55">
        <f t="shared" si="13"/>
        <v>43</v>
      </c>
      <c r="B87" s="55" t="s">
        <v>155</v>
      </c>
      <c r="C87" s="80">
        <v>2212</v>
      </c>
      <c r="D87" s="56" t="s">
        <v>37</v>
      </c>
      <c r="E87" s="80">
        <v>1021</v>
      </c>
      <c r="F87" s="80">
        <v>7042</v>
      </c>
      <c r="G87" s="57">
        <v>0.01</v>
      </c>
      <c r="H87" s="58"/>
      <c r="I87" s="61">
        <f>RSQ(G82:G88, E82:E88)</f>
        <v>0.99972405706172829</v>
      </c>
      <c r="J87" s="61">
        <f>RSQ(G82:G88, F82:F88)</f>
        <v>0.996442789314257</v>
      </c>
      <c r="K87" s="60">
        <f>J83</f>
        <v>1.5314280742563592E-6</v>
      </c>
      <c r="L87" s="60">
        <f>J85</f>
        <v>-5.0757355986851688E-4</v>
      </c>
      <c r="M87" s="60">
        <f>(C87-$O$4)*K87 + L87</f>
        <v>2.2842198195008258E-3</v>
      </c>
    </row>
    <row r="88" spans="1:13" ht="14">
      <c r="A88" s="55">
        <f t="shared" si="13"/>
        <v>43</v>
      </c>
      <c r="B88" s="55" t="s">
        <v>156</v>
      </c>
      <c r="C88" s="80">
        <v>152</v>
      </c>
      <c r="D88" s="56" t="s">
        <v>38</v>
      </c>
      <c r="E88" s="80">
        <v>2017</v>
      </c>
      <c r="F88" s="80">
        <v>13173</v>
      </c>
      <c r="G88" s="57">
        <v>0.02</v>
      </c>
      <c r="H88" s="58"/>
      <c r="I88" s="58"/>
      <c r="J88" s="58"/>
      <c r="K88" s="60">
        <f>I83</f>
        <v>9.9524000867101273E-6</v>
      </c>
      <c r="L88" s="60">
        <f>I85</f>
        <v>-1.1741896322738695E-4</v>
      </c>
      <c r="M88" s="60">
        <f>(C88-$O$5)*K88 + L88</f>
        <v>1.3953458499525524E-3</v>
      </c>
    </row>
    <row r="89" spans="1:13" ht="14">
      <c r="A89" s="55">
        <f t="shared" si="13"/>
        <v>43</v>
      </c>
      <c r="B89" s="55" t="s">
        <v>157</v>
      </c>
      <c r="C89" s="80">
        <v>152</v>
      </c>
      <c r="D89" s="56" t="s">
        <v>38</v>
      </c>
      <c r="E89" s="80">
        <v>19</v>
      </c>
      <c r="F89" s="80">
        <v>8</v>
      </c>
      <c r="G89" s="56"/>
      <c r="H89" s="58"/>
      <c r="I89" s="58"/>
      <c r="J89" s="58"/>
      <c r="K89" s="60">
        <f>I83</f>
        <v>9.9524000867101273E-6</v>
      </c>
      <c r="L89" s="60">
        <f>I85</f>
        <v>-1.1741896322738695E-4</v>
      </c>
      <c r="M89" s="60">
        <f>(C89-$O$5)*K89 + L89</f>
        <v>1.3953458499525524E-3</v>
      </c>
    </row>
    <row r="90" spans="1:13" ht="14">
      <c r="A90" s="55">
        <f>P13</f>
        <v>45</v>
      </c>
      <c r="B90" s="55" t="s">
        <v>158</v>
      </c>
      <c r="C90" s="80">
        <v>710</v>
      </c>
      <c r="D90" s="56" t="s">
        <v>35</v>
      </c>
      <c r="E90" s="80">
        <v>18</v>
      </c>
      <c r="F90" s="80">
        <v>17</v>
      </c>
      <c r="G90" s="57">
        <v>0</v>
      </c>
      <c r="H90" s="58"/>
      <c r="I90" s="62" t="s">
        <v>68</v>
      </c>
      <c r="J90" s="62" t="s">
        <v>68</v>
      </c>
      <c r="K90" s="60">
        <f>I91</f>
        <v>9.9052752429764931E-6</v>
      </c>
      <c r="L90" s="60">
        <f>I93</f>
        <v>-2.1392877587701146E-4</v>
      </c>
      <c r="M90" s="60">
        <f>(C90-$O$2)*K90+L90</f>
        <v>6.8188166466362984E-3</v>
      </c>
    </row>
    <row r="91" spans="1:13" ht="14">
      <c r="A91" s="55">
        <f t="shared" ref="A91:A97" si="14">A90</f>
        <v>45</v>
      </c>
      <c r="B91" s="55" t="s">
        <v>159</v>
      </c>
      <c r="C91" s="80">
        <v>711</v>
      </c>
      <c r="D91" s="56" t="s">
        <v>35</v>
      </c>
      <c r="E91" s="80">
        <v>65</v>
      </c>
      <c r="F91" s="80">
        <v>434</v>
      </c>
      <c r="G91" s="57">
        <v>5.0000000000000001E-4</v>
      </c>
      <c r="H91" s="58"/>
      <c r="I91" s="58">
        <f>SLOPE(G90:G96, E90:E96)</f>
        <v>9.9052752429764931E-6</v>
      </c>
      <c r="J91" s="58">
        <f>SLOPE(G90:G96, F90:F96)</f>
        <v>1.4159256983958093E-6</v>
      </c>
      <c r="K91" s="60">
        <f>I91</f>
        <v>9.9052752429764931E-6</v>
      </c>
      <c r="L91" s="60">
        <f>I93</f>
        <v>-2.1392877587701146E-4</v>
      </c>
      <c r="M91" s="60">
        <f>(C91-$O$2)*K91+L91</f>
        <v>6.8287219218792754E-3</v>
      </c>
    </row>
    <row r="92" spans="1:13" ht="14">
      <c r="A92" s="55">
        <f t="shared" si="14"/>
        <v>45</v>
      </c>
      <c r="B92" s="55" t="s">
        <v>160</v>
      </c>
      <c r="C92" s="80">
        <v>340</v>
      </c>
      <c r="D92" s="56" t="s">
        <v>36</v>
      </c>
      <c r="E92" s="80">
        <v>113</v>
      </c>
      <c r="F92" s="80">
        <v>871</v>
      </c>
      <c r="G92" s="57">
        <v>1E-3</v>
      </c>
      <c r="H92" s="58"/>
      <c r="I92" s="62" t="s">
        <v>71</v>
      </c>
      <c r="J92" s="62" t="s">
        <v>71</v>
      </c>
      <c r="K92" s="60">
        <f>I91</f>
        <v>9.9052752429764931E-6</v>
      </c>
      <c r="L92" s="60">
        <f>I93</f>
        <v>-2.1392877587701146E-4</v>
      </c>
      <c r="M92" s="60">
        <f>(C92-$O$3)*K92 + L92</f>
        <v>3.1538648067349962E-3</v>
      </c>
    </row>
    <row r="93" spans="1:13" ht="14">
      <c r="A93" s="55">
        <f t="shared" si="14"/>
        <v>45</v>
      </c>
      <c r="B93" s="55" t="s">
        <v>161</v>
      </c>
      <c r="C93" s="80">
        <v>312</v>
      </c>
      <c r="D93" s="56" t="s">
        <v>36</v>
      </c>
      <c r="E93" s="80">
        <v>209</v>
      </c>
      <c r="F93" s="80">
        <v>1723</v>
      </c>
      <c r="G93" s="57">
        <v>2E-3</v>
      </c>
      <c r="H93" s="58"/>
      <c r="I93" s="58">
        <f>INTERCEPT(G90:G96, E90:E96)</f>
        <v>-2.1392877587701146E-4</v>
      </c>
      <c r="J93" s="58">
        <f>INTERCEPT(G90:G96, F90:F96)</f>
        <v>-3.0650901402144281E-4</v>
      </c>
      <c r="K93" s="60">
        <f>I91</f>
        <v>9.9052752429764931E-6</v>
      </c>
      <c r="L93" s="60">
        <f>I93</f>
        <v>-2.1392877587701146E-4</v>
      </c>
      <c r="M93" s="60">
        <f>(C93-$O$3)*K93+ L93</f>
        <v>2.8765170999316544E-3</v>
      </c>
    </row>
    <row r="94" spans="1:13" ht="14">
      <c r="A94" s="55">
        <f t="shared" si="14"/>
        <v>45</v>
      </c>
      <c r="B94" s="55" t="s">
        <v>162</v>
      </c>
      <c r="C94" s="80">
        <v>2197</v>
      </c>
      <c r="D94" s="56" t="s">
        <v>37</v>
      </c>
      <c r="E94" s="80">
        <v>544</v>
      </c>
      <c r="F94" s="80">
        <v>4176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1.4159256983958093E-6</v>
      </c>
      <c r="L94" s="60">
        <f>J93</f>
        <v>-3.0650901402144281E-4</v>
      </c>
      <c r="M94" s="60">
        <f>(C94-$O$4)*K94 + L94</f>
        <v>2.2534846486781802E-3</v>
      </c>
    </row>
    <row r="95" spans="1:13" ht="14">
      <c r="A95" s="55">
        <f t="shared" si="14"/>
        <v>45</v>
      </c>
      <c r="B95" s="55" t="s">
        <v>163</v>
      </c>
      <c r="C95" s="80">
        <v>2186</v>
      </c>
      <c r="D95" s="56" t="s">
        <v>37</v>
      </c>
      <c r="E95" s="80">
        <v>1073</v>
      </c>
      <c r="F95" s="80">
        <v>7267</v>
      </c>
      <c r="G95" s="57">
        <v>0.01</v>
      </c>
      <c r="H95" s="58"/>
      <c r="I95" s="61">
        <f>RSQ(G90:G96, E90:E96)</f>
        <v>0.99906440986812639</v>
      </c>
      <c r="J95" s="61">
        <f>RSQ(G90:G96, F90:F96)</f>
        <v>0.99830986109093034</v>
      </c>
      <c r="K95" s="60">
        <f>J91</f>
        <v>1.4159256983958093E-6</v>
      </c>
      <c r="L95" s="60">
        <f>J93</f>
        <v>-3.0650901402144281E-4</v>
      </c>
      <c r="M95" s="60">
        <f>(C95-$O$4)*K95 + L95</f>
        <v>2.2379094659958263E-3</v>
      </c>
    </row>
    <row r="96" spans="1:13" ht="14">
      <c r="A96" s="55">
        <f t="shared" si="14"/>
        <v>45</v>
      </c>
      <c r="B96" s="55" t="s">
        <v>164</v>
      </c>
      <c r="C96" s="80">
        <v>146</v>
      </c>
      <c r="D96" s="56" t="s">
        <v>38</v>
      </c>
      <c r="E96" s="80">
        <v>2016</v>
      </c>
      <c r="F96" s="80">
        <v>14218</v>
      </c>
      <c r="G96" s="57">
        <v>0.02</v>
      </c>
      <c r="I96" s="58"/>
      <c r="J96" s="58"/>
      <c r="K96" s="60">
        <f>I91</f>
        <v>9.9052752429764931E-6</v>
      </c>
      <c r="L96" s="60">
        <f>I93</f>
        <v>-2.1392877587701146E-4</v>
      </c>
      <c r="M96" s="60">
        <f>(C96-$O$5)*K96 + L96</f>
        <v>1.2322414095975566E-3</v>
      </c>
    </row>
    <row r="97" spans="1:13" ht="14">
      <c r="A97" s="55">
        <f t="shared" si="14"/>
        <v>45</v>
      </c>
      <c r="B97" s="55" t="s">
        <v>165</v>
      </c>
      <c r="C97" s="80">
        <v>155</v>
      </c>
      <c r="D97" s="56" t="s">
        <v>38</v>
      </c>
      <c r="E97" s="80">
        <v>18</v>
      </c>
      <c r="F97" s="80">
        <v>12</v>
      </c>
      <c r="G97" s="56"/>
      <c r="I97" s="58"/>
      <c r="J97" s="58"/>
      <c r="K97" s="60">
        <f>I91</f>
        <v>9.9052752429764931E-6</v>
      </c>
      <c r="L97" s="60">
        <f>I93</f>
        <v>-2.1392877587701146E-4</v>
      </c>
      <c r="M97" s="60">
        <f>(C97-$O$5)*K97 + L97</f>
        <v>1.3213888867843449E-3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645.91666666666663</v>
      </c>
      <c r="D100" s="56" t="s">
        <v>35</v>
      </c>
      <c r="I100" s="58"/>
      <c r="J100" s="58"/>
    </row>
    <row r="101" spans="1:13" ht="14">
      <c r="C101" s="63">
        <f t="shared" si="15"/>
        <v>654.5</v>
      </c>
      <c r="D101" s="56" t="s">
        <v>35</v>
      </c>
      <c r="I101" s="58"/>
      <c r="J101" s="58"/>
    </row>
    <row r="102" spans="1:13" ht="14">
      <c r="C102" s="63">
        <f t="shared" si="15"/>
        <v>281.16666666666669</v>
      </c>
      <c r="D102" s="56" t="s">
        <v>36</v>
      </c>
      <c r="I102" s="58"/>
      <c r="J102" s="58"/>
    </row>
    <row r="103" spans="1:13" ht="14">
      <c r="C103" s="63">
        <f t="shared" si="15"/>
        <v>282.33333333333331</v>
      </c>
      <c r="D103" s="56" t="s">
        <v>36</v>
      </c>
      <c r="I103" s="58"/>
      <c r="J103" s="58"/>
    </row>
    <row r="104" spans="1:13" ht="14">
      <c r="C104" s="63">
        <f t="shared" si="15"/>
        <v>1801.6666666666667</v>
      </c>
      <c r="D104" s="56" t="s">
        <v>37</v>
      </c>
      <c r="I104" s="58"/>
      <c r="J104" s="58"/>
    </row>
    <row r="105" spans="1:13" ht="14">
      <c r="C105" s="63">
        <f t="shared" si="15"/>
        <v>1757</v>
      </c>
      <c r="D105" s="56" t="s">
        <v>37</v>
      </c>
      <c r="I105" s="58"/>
      <c r="J105" s="58"/>
    </row>
    <row r="106" spans="1:13" ht="14">
      <c r="C106" s="63">
        <f t="shared" si="15"/>
        <v>130</v>
      </c>
      <c r="D106" s="56" t="s">
        <v>38</v>
      </c>
      <c r="I106" s="58"/>
      <c r="J106" s="58"/>
    </row>
    <row r="107" spans="1:13" ht="14">
      <c r="C107" s="63">
        <f t="shared" si="15"/>
        <v>136.16666666666666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6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11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82A8-173A-1F4F-BE2E-CF3762AE67F5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I1" sqref="I1:J1048576"/>
      <selection pane="topRight" activeCell="I1" sqref="I1:J1048576"/>
      <selection pane="bottomLeft" activeCell="I1" sqref="I1:J1048576"/>
      <selection pane="bottomRight" activeCell="V13" sqref="V13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46</v>
      </c>
      <c r="B2" s="55" t="s">
        <v>67</v>
      </c>
      <c r="C2" s="80">
        <v>544</v>
      </c>
      <c r="D2" s="56" t="s">
        <v>35</v>
      </c>
      <c r="E2" s="80">
        <v>19</v>
      </c>
      <c r="F2" s="80">
        <v>19</v>
      </c>
      <c r="G2" s="57">
        <v>0</v>
      </c>
      <c r="H2" s="58"/>
      <c r="I2" s="59" t="s">
        <v>68</v>
      </c>
      <c r="J2" s="59" t="s">
        <v>68</v>
      </c>
      <c r="K2" s="60">
        <f>I3</f>
        <v>9.411391294819397E-6</v>
      </c>
      <c r="L2" s="60">
        <f>I5</f>
        <v>4.4082017946128066E-5</v>
      </c>
      <c r="M2" s="60">
        <f>(C2-$O$2)*K2+L2</f>
        <v>5.1638788823278802E-3</v>
      </c>
      <c r="N2" s="47" t="str">
        <f>'enzyme setup and metadata'!F179</f>
        <v>BG</v>
      </c>
      <c r="O2" s="47">
        <f>'enzyme setup and metadata'!G179</f>
        <v>0</v>
      </c>
      <c r="P2" s="91">
        <f>'enzyme setup and metadata'!A38</f>
        <v>46</v>
      </c>
      <c r="Q2" s="66">
        <f>'enzyme setup and metadata'!I38</f>
        <v>2.2579106376212432</v>
      </c>
      <c r="R2" s="14">
        <f>'enzyme setup and metadata'!R179</f>
        <v>3.2499999999417923</v>
      </c>
      <c r="S2" s="14">
        <f>(((M2+M3)/2)*91)/(R2*Q2*0.8)</f>
        <v>8.1650329052663242E-2</v>
      </c>
      <c r="T2" s="14">
        <f>(((M4+M5)/2)*91)/(R2*Q2*0.8)</f>
        <v>3.6425511980984003E-2</v>
      </c>
      <c r="U2" s="14">
        <f>(((M6+M7)/2)*91)/(R2*Q2*0.8)</f>
        <v>3.2830900927397433E-2</v>
      </c>
      <c r="V2" s="14">
        <f>(((M8+M9)/2)*91)/(R2*Q2*0.8)</f>
        <v>1.0165940778073491E-2</v>
      </c>
      <c r="W2" s="14">
        <f>S2*1000</f>
        <v>81.650329052663238</v>
      </c>
      <c r="X2" s="14">
        <f>T2*1000</f>
        <v>36.425511980984005</v>
      </c>
      <c r="Y2" s="14">
        <f>U2*1000</f>
        <v>32.83090092739743</v>
      </c>
      <c r="Z2" s="14">
        <f>V2*1000</f>
        <v>10.165940778073491</v>
      </c>
    </row>
    <row r="3" spans="1:26" ht="14">
      <c r="A3" s="55">
        <f t="shared" ref="A3:A9" si="0">A2</f>
        <v>46</v>
      </c>
      <c r="B3" s="55" t="s">
        <v>69</v>
      </c>
      <c r="C3" s="80">
        <v>566</v>
      </c>
      <c r="D3" s="56" t="s">
        <v>35</v>
      </c>
      <c r="E3" s="80">
        <v>67</v>
      </c>
      <c r="F3" s="80">
        <v>317</v>
      </c>
      <c r="G3" s="57">
        <v>5.0000000000000001E-4</v>
      </c>
      <c r="H3" s="58"/>
      <c r="I3" s="59">
        <f>SLOPE(G2:G8, E2:E8)</f>
        <v>9.411391294819397E-6</v>
      </c>
      <c r="J3" s="59">
        <f>SLOPE(G2:G8, F2:F8)</f>
        <v>1.7311361128246549E-6</v>
      </c>
      <c r="K3" s="60">
        <f>I3</f>
        <v>9.411391294819397E-6</v>
      </c>
      <c r="L3" s="60">
        <f>I5</f>
        <v>4.4082017946128066E-5</v>
      </c>
      <c r="M3" s="60">
        <f>(C3-$O$2)*K3+L3</f>
        <v>5.3709294908139069E-3</v>
      </c>
      <c r="N3" s="47" t="str">
        <f>'enzyme setup and metadata'!F180</f>
        <v>CB</v>
      </c>
      <c r="O3" s="47">
        <f>'enzyme setup and metadata'!G180</f>
        <v>0</v>
      </c>
      <c r="P3" s="91">
        <f>'enzyme setup and metadata'!A39</f>
        <v>47</v>
      </c>
      <c r="Q3" s="66">
        <f>'enzyme setup and metadata'!I39</f>
        <v>2.1683876092136614</v>
      </c>
      <c r="R3" s="14">
        <f>R2</f>
        <v>3.2499999999417923</v>
      </c>
      <c r="S3" s="14">
        <f>(((M10+M11)/2)*91)/(R3*Q3*0.8)</f>
        <v>8.9284097137426188E-2</v>
      </c>
      <c r="T3" s="14">
        <f>(((M12+M13)/2)*91)/(R3*Q3*0.8)</f>
        <v>3.9158798940687203E-2</v>
      </c>
      <c r="U3" s="14">
        <f>(((M14+M15)/2)*91)/(R3*Q3*0.8)</f>
        <v>3.5837480730259663E-2</v>
      </c>
      <c r="V3" s="14">
        <f>(((M16+M17)/2)*91)/(R3*Q3*0.8)</f>
        <v>8.3866114382512968E-3</v>
      </c>
      <c r="W3" s="14">
        <f>S3*1000</f>
        <v>89.284097137426187</v>
      </c>
      <c r="X3" s="14">
        <f t="shared" ref="X3:Z13" si="1">T3*1000</f>
        <v>39.158798940687205</v>
      </c>
      <c r="Y3" s="14">
        <f t="shared" si="1"/>
        <v>35.837480730259664</v>
      </c>
      <c r="Z3" s="14">
        <f t="shared" si="1"/>
        <v>8.3866114382512968</v>
      </c>
    </row>
    <row r="4" spans="1:26" ht="14">
      <c r="A4" s="55">
        <f t="shared" si="0"/>
        <v>46</v>
      </c>
      <c r="B4" s="55" t="s">
        <v>70</v>
      </c>
      <c r="C4" s="80">
        <v>248</v>
      </c>
      <c r="D4" s="56" t="s">
        <v>36</v>
      </c>
      <c r="E4" s="80">
        <v>102</v>
      </c>
      <c r="F4" s="80">
        <v>623</v>
      </c>
      <c r="G4" s="57">
        <v>1E-3</v>
      </c>
      <c r="H4" s="58"/>
      <c r="I4" s="59" t="s">
        <v>71</v>
      </c>
      <c r="J4" s="59" t="s">
        <v>71</v>
      </c>
      <c r="K4" s="60">
        <f>I3</f>
        <v>9.411391294819397E-6</v>
      </c>
      <c r="L4" s="60">
        <f>I5</f>
        <v>4.4082017946128066E-5</v>
      </c>
      <c r="M4" s="60">
        <f>(C4-$O$3)*K4 + L4</f>
        <v>2.3781070590613387E-3</v>
      </c>
      <c r="N4" s="47" t="str">
        <f>'enzyme setup and metadata'!F181</f>
        <v>LAP</v>
      </c>
      <c r="O4" s="47">
        <f>'enzyme setup and metadata'!G181</f>
        <v>389</v>
      </c>
      <c r="P4" s="91">
        <f>'enzyme setup and metadata'!A40</f>
        <v>48</v>
      </c>
      <c r="Q4" s="66">
        <f>'enzyme setup and metadata'!I40</f>
        <v>2.2033089405027049</v>
      </c>
      <c r="R4" s="14">
        <f t="shared" ref="R4:R13" si="2">R3</f>
        <v>3.2499999999417923</v>
      </c>
      <c r="S4" s="14">
        <f>(((M18+M19)/2)*91)/(R4*Q4*0.8)</f>
        <v>9.1285095644130371E-2</v>
      </c>
      <c r="T4" s="14">
        <f>(((M20+M21)/2)*91)/(R4*Q4*0.8)</f>
        <v>3.7670922549804815E-2</v>
      </c>
      <c r="U4" s="14">
        <f>(((M22+M23)/2)*91)/(R4*Q4*0.8)</f>
        <v>3.4502627630824366E-2</v>
      </c>
      <c r="V4" s="14">
        <f>(((M24+M25)/2)*91)/(R4*Q4*0.8)</f>
        <v>9.1816823741818904E-3</v>
      </c>
      <c r="W4" s="14">
        <f>S4*1000</f>
        <v>91.285095644130365</v>
      </c>
      <c r="X4" s="14">
        <f t="shared" si="1"/>
        <v>37.670922549804814</v>
      </c>
      <c r="Y4" s="14">
        <f t="shared" si="1"/>
        <v>34.502627630824364</v>
      </c>
      <c r="Z4" s="14">
        <f t="shared" si="1"/>
        <v>9.1816823741818911</v>
      </c>
    </row>
    <row r="5" spans="1:26" ht="14">
      <c r="A5" s="55">
        <f t="shared" si="0"/>
        <v>46</v>
      </c>
      <c r="B5" s="55" t="s">
        <v>72</v>
      </c>
      <c r="C5" s="80">
        <v>242</v>
      </c>
      <c r="D5" s="56" t="s">
        <v>36</v>
      </c>
      <c r="E5" s="80">
        <v>202</v>
      </c>
      <c r="F5" s="80">
        <v>1249</v>
      </c>
      <c r="G5" s="57">
        <v>2E-3</v>
      </c>
      <c r="H5" s="58"/>
      <c r="I5" s="59">
        <f>INTERCEPT(G2:G8, E2:E8)</f>
        <v>4.4082017946128066E-5</v>
      </c>
      <c r="J5" s="59">
        <f>INTERCEPT(G2:G8, F2:F8)</f>
        <v>-1.212462635006295E-4</v>
      </c>
      <c r="K5" s="60">
        <f>I3</f>
        <v>9.411391294819397E-6</v>
      </c>
      <c r="L5" s="60">
        <f>I5</f>
        <v>4.4082017946128066E-5</v>
      </c>
      <c r="M5" s="60">
        <f>(C5-$O$3)*K5+ L5</f>
        <v>2.3216387112924221E-3</v>
      </c>
      <c r="N5" s="47" t="str">
        <f>'enzyme setup and metadata'!F182</f>
        <v>XYL</v>
      </c>
      <c r="O5" s="47">
        <f>'enzyme setup and metadata'!G182</f>
        <v>0</v>
      </c>
      <c r="P5" s="91">
        <f>'enzyme setup and metadata'!A41</f>
        <v>50</v>
      </c>
      <c r="Q5" s="66">
        <f>'enzyme setup and metadata'!I41</f>
        <v>2.1590728687093192</v>
      </c>
      <c r="R5" s="14">
        <f t="shared" si="2"/>
        <v>3.2499999999417923</v>
      </c>
      <c r="S5" s="14">
        <f>(((M26+M27)/2)*91)/(R5*Q5*0.8)</f>
        <v>8.2811700113868666E-2</v>
      </c>
      <c r="T5" s="14">
        <f>(((M28+M29)/2)*91)/(R5*Q5*0.8)</f>
        <v>3.6147269238118562E-2</v>
      </c>
      <c r="U5" s="14">
        <f>(((M30+M31)/2)*91)/(R5*Q5*0.8)</f>
        <v>3.5326625320276223E-2</v>
      </c>
      <c r="V5" s="14">
        <f>(((M32+M33)/2)*91)/(R5*Q5*0.8)</f>
        <v>9.1006516517100813E-3</v>
      </c>
      <c r="W5" s="14">
        <f t="shared" ref="W5:W13" si="3">S5*1000</f>
        <v>82.811700113868667</v>
      </c>
      <c r="X5" s="14">
        <f t="shared" si="1"/>
        <v>36.147269238118561</v>
      </c>
      <c r="Y5" s="14">
        <f t="shared" si="1"/>
        <v>35.326625320276221</v>
      </c>
      <c r="Z5" s="14">
        <f t="shared" si="1"/>
        <v>9.1006516517100806</v>
      </c>
    </row>
    <row r="6" spans="1:26" ht="14">
      <c r="A6" s="55">
        <f t="shared" si="0"/>
        <v>46</v>
      </c>
      <c r="B6" s="55" t="s">
        <v>73</v>
      </c>
      <c r="C6" s="80">
        <v>1643</v>
      </c>
      <c r="D6" s="56" t="s">
        <v>37</v>
      </c>
      <c r="E6" s="80">
        <v>493</v>
      </c>
      <c r="F6" s="80">
        <v>3051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1.7311361128246549E-6</v>
      </c>
      <c r="L6" s="60">
        <f>J5</f>
        <v>-1.212462635006295E-4</v>
      </c>
      <c r="M6" s="60">
        <f>(C6-$O$4)*K6 + L6</f>
        <v>2.0495984219814876E-3</v>
      </c>
      <c r="P6" s="91">
        <f>'enzyme setup and metadata'!A42</f>
        <v>51</v>
      </c>
      <c r="Q6" s="66">
        <f>'enzyme setup and metadata'!I42</f>
        <v>2.1901285510236468</v>
      </c>
      <c r="R6" s="14">
        <f t="shared" si="2"/>
        <v>3.2499999999417923</v>
      </c>
      <c r="S6" s="14">
        <f>(((M34+M35)/2)*91)/(R6*Q6*0.8)</f>
        <v>8.3545996032671044E-2</v>
      </c>
      <c r="T6" s="14">
        <f>(((M36+M37)/2)*91)/(R6*Q6*0.8)</f>
        <v>3.905336809102803E-2</v>
      </c>
      <c r="U6" s="14">
        <f>(((M38+M39)/2)*91)/(R6*Q6*0.8)</f>
        <v>4.0477378969206841E-2</v>
      </c>
      <c r="V6" s="14">
        <f>(((M40+M41)/2)*91)/(R6*Q6*0.8)</f>
        <v>9.3002085738122121E-3</v>
      </c>
      <c r="W6" s="14">
        <f t="shared" si="3"/>
        <v>83.545996032671042</v>
      </c>
      <c r="X6" s="14">
        <f t="shared" si="1"/>
        <v>39.053368091028034</v>
      </c>
      <c r="Y6" s="14">
        <f t="shared" si="1"/>
        <v>40.477378969206839</v>
      </c>
      <c r="Z6" s="14">
        <f t="shared" si="1"/>
        <v>9.3002085738122116</v>
      </c>
    </row>
    <row r="7" spans="1:26" ht="14">
      <c r="A7" s="55">
        <f t="shared" si="0"/>
        <v>46</v>
      </c>
      <c r="B7" s="55" t="s">
        <v>75</v>
      </c>
      <c r="C7" s="80">
        <v>1722</v>
      </c>
      <c r="D7" s="56" t="s">
        <v>37</v>
      </c>
      <c r="E7" s="80">
        <v>1037</v>
      </c>
      <c r="F7" s="80">
        <v>5899</v>
      </c>
      <c r="G7" s="57">
        <v>0.01</v>
      </c>
      <c r="H7" s="58"/>
      <c r="I7" s="61">
        <f>RSQ(G2:G8, E2:E8)</f>
        <v>0.9992179037047576</v>
      </c>
      <c r="J7" s="61">
        <f>RSQ(G2:G8, F2:F8)</f>
        <v>0.99981671078819123</v>
      </c>
      <c r="K7" s="60">
        <f>J3</f>
        <v>1.7311361128246549E-6</v>
      </c>
      <c r="L7" s="60">
        <f>J5</f>
        <v>-1.212462635006295E-4</v>
      </c>
      <c r="M7" s="60">
        <f>(C7-$O$4)*K7 + L7</f>
        <v>2.1863581748946355E-3</v>
      </c>
      <c r="P7" s="91">
        <f>'enzyme setup and metadata'!A43</f>
        <v>52</v>
      </c>
      <c r="Q7" s="66">
        <f>'enzyme setup and metadata'!I43</f>
        <v>2.1746031746031749</v>
      </c>
      <c r="R7" s="14">
        <f t="shared" si="2"/>
        <v>3.2499999999417923</v>
      </c>
      <c r="S7" s="14">
        <f>(((M42+M43)/2)*91)/(R7*Q7*0.8)</f>
        <v>8.9327520213652895E-2</v>
      </c>
      <c r="T7" s="14">
        <f>(((M44+M45)/2)*91)/(R7*Q7*0.8)</f>
        <v>3.8048717565762162E-2</v>
      </c>
      <c r="U7" s="14">
        <f>(((M46+M47)/2)*91)/(R7*Q7*0.8)</f>
        <v>4.2301276359971177E-2</v>
      </c>
      <c r="V7" s="14">
        <f>(((M48+M49)/2)*91)/(R7*Q7*0.8)</f>
        <v>9.9830813339242697E-3</v>
      </c>
      <c r="W7" s="14">
        <f t="shared" si="3"/>
        <v>89.327520213652889</v>
      </c>
      <c r="X7" s="14">
        <f t="shared" si="1"/>
        <v>38.048717565762161</v>
      </c>
      <c r="Y7" s="14">
        <f t="shared" si="1"/>
        <v>42.301276359971176</v>
      </c>
      <c r="Z7" s="14">
        <f t="shared" si="1"/>
        <v>9.9830813339242699</v>
      </c>
    </row>
    <row r="8" spans="1:26" ht="14">
      <c r="A8" s="55">
        <f t="shared" si="0"/>
        <v>46</v>
      </c>
      <c r="B8" s="55" t="s">
        <v>76</v>
      </c>
      <c r="C8" s="80"/>
      <c r="D8" s="56" t="s">
        <v>38</v>
      </c>
      <c r="E8" s="80">
        <v>2138</v>
      </c>
      <c r="F8" s="80">
        <v>11572</v>
      </c>
      <c r="G8" s="57">
        <v>0.02</v>
      </c>
      <c r="H8" s="58"/>
      <c r="I8" s="58"/>
      <c r="J8" s="58"/>
      <c r="K8" s="60">
        <f>I3</f>
        <v>9.411391294819397E-6</v>
      </c>
      <c r="L8" s="60">
        <f>I5</f>
        <v>4.4082017946128066E-5</v>
      </c>
      <c r="M8" s="60">
        <f>(C8-$O$5)*K8 + L8</f>
        <v>4.4082017946128066E-5</v>
      </c>
      <c r="P8" s="91">
        <f>'enzyme setup and metadata'!A44</f>
        <v>53</v>
      </c>
      <c r="Q8" s="66">
        <f>'enzyme setup and metadata'!I44</f>
        <v>2.1583875575305509</v>
      </c>
      <c r="R8" s="14">
        <f t="shared" si="2"/>
        <v>3.2499999999417923</v>
      </c>
      <c r="S8" s="14">
        <f>(((M50+M51)/2)*91)/(R8*Q8*0.8)</f>
        <v>9.2851479730096401E-2</v>
      </c>
      <c r="T8" s="14">
        <f>(((M52+M53)/2)*91)/(R8*Q8*0.8)</f>
        <v>3.8438743743648751E-2</v>
      </c>
      <c r="U8" s="14">
        <f>(((M54+M55)/2)*91)/(R8*Q8*0.8)</f>
        <v>4.2102943405131162E-2</v>
      </c>
      <c r="V8" s="14">
        <f>(((M56+M57)/2)*91)/(R8*Q8*0.8)</f>
        <v>1.0455050950618529E-2</v>
      </c>
      <c r="W8" s="14">
        <f t="shared" si="3"/>
        <v>92.851479730096401</v>
      </c>
      <c r="X8" s="14">
        <f t="shared" si="1"/>
        <v>38.43874374364875</v>
      </c>
      <c r="Y8" s="14">
        <f t="shared" si="1"/>
        <v>42.102943405131164</v>
      </c>
      <c r="Z8" s="14">
        <f t="shared" si="1"/>
        <v>10.45505095061853</v>
      </c>
    </row>
    <row r="9" spans="1:26" ht="14">
      <c r="A9" s="55">
        <f t="shared" si="0"/>
        <v>46</v>
      </c>
      <c r="B9" s="55" t="s">
        <v>77</v>
      </c>
      <c r="C9" s="80">
        <v>130</v>
      </c>
      <c r="D9" s="56" t="s">
        <v>38</v>
      </c>
      <c r="E9" s="80">
        <v>15</v>
      </c>
      <c r="F9" s="80">
        <v>13</v>
      </c>
      <c r="G9" s="56"/>
      <c r="H9" s="58"/>
      <c r="I9" s="58"/>
      <c r="J9" s="58"/>
      <c r="K9" s="60">
        <f>I3</f>
        <v>9.411391294819397E-6</v>
      </c>
      <c r="L9" s="60">
        <f>I5</f>
        <v>4.4082017946128066E-5</v>
      </c>
      <c r="M9" s="60">
        <f>(C9-$O$5)*K9 + L9</f>
        <v>1.2675628862726497E-3</v>
      </c>
      <c r="P9" s="91">
        <f>'enzyme setup and metadata'!A45</f>
        <v>55</v>
      </c>
      <c r="Q9" s="66">
        <f>'enzyme setup and metadata'!I45</f>
        <v>2.1318750990648279</v>
      </c>
      <c r="R9" s="14">
        <f t="shared" si="2"/>
        <v>3.2499999999417923</v>
      </c>
      <c r="S9" s="14">
        <f>(((M58+M59)/2)*91)/(R9*Q9*0.8)</f>
        <v>0.10002570346128602</v>
      </c>
      <c r="T9" s="14">
        <f>(((M60+M61)/2)*91)/(R9*Q9*0.8)</f>
        <v>4.0591821389089768E-2</v>
      </c>
      <c r="U9" s="14">
        <f>(((M62+M63)/2)*91)/(R9*Q9*0.8)</f>
        <v>4.2859602143094658E-2</v>
      </c>
      <c r="V9" s="14">
        <f>(((M64+M65)/2)*91)/(R9*Q9*0.8)</f>
        <v>8.8131787021618647E-3</v>
      </c>
      <c r="W9" s="14">
        <f t="shared" si="3"/>
        <v>100.02570346128601</v>
      </c>
      <c r="X9" s="14">
        <f t="shared" si="1"/>
        <v>40.591821389089766</v>
      </c>
      <c r="Y9" s="14">
        <f t="shared" si="1"/>
        <v>42.859602143094655</v>
      </c>
      <c r="Z9" s="14">
        <f t="shared" si="1"/>
        <v>8.8131787021618653</v>
      </c>
    </row>
    <row r="10" spans="1:26" ht="14">
      <c r="A10" s="55">
        <f>P3</f>
        <v>47</v>
      </c>
      <c r="B10" s="55" t="s">
        <v>78</v>
      </c>
      <c r="C10" s="80">
        <v>613</v>
      </c>
      <c r="D10" s="56" t="s">
        <v>35</v>
      </c>
      <c r="E10" s="80">
        <v>20</v>
      </c>
      <c r="F10" s="80">
        <v>55</v>
      </c>
      <c r="G10" s="57">
        <v>0</v>
      </c>
      <c r="H10" s="58"/>
      <c r="I10" s="59" t="s">
        <v>68</v>
      </c>
      <c r="J10" s="59" t="s">
        <v>68</v>
      </c>
      <c r="K10" s="60">
        <f>I11</f>
        <v>9.1877494096366877E-6</v>
      </c>
      <c r="L10" s="60">
        <f>I13</f>
        <v>-6.383853534998752E-5</v>
      </c>
      <c r="M10" s="60">
        <f>(C10-$O$2)*K10+L10</f>
        <v>5.568251852757302E-3</v>
      </c>
      <c r="P10" s="91">
        <f>'enzyme setup and metadata'!A46</f>
        <v>56</v>
      </c>
      <c r="Q10" s="66">
        <f>'enzyme setup and metadata'!I46</f>
        <v>2.2294509679466836</v>
      </c>
      <c r="R10" s="14">
        <f t="shared" si="2"/>
        <v>3.2499999999417923</v>
      </c>
      <c r="S10" s="14">
        <f>(((M66+M67)/2)*91)/(R10*Q10*0.8)</f>
        <v>0.1106458791987993</v>
      </c>
      <c r="T10" s="14">
        <f>(((M68+M69)/2)*91)/(R10*Q10*0.8)</f>
        <v>4.5654079322339704E-2</v>
      </c>
      <c r="U10" s="14">
        <f>(((M70+M71)/2)*91)/(R10*Q10*0.8)</f>
        <v>4.4279441772493558E-2</v>
      </c>
      <c r="V10" s="14">
        <f>(((M72+M73)/2)*91)/(R10*Q10*0.8)</f>
        <v>9.3040145077152164E-3</v>
      </c>
      <c r="W10" s="14">
        <f t="shared" si="3"/>
        <v>110.64587919879929</v>
      </c>
      <c r="X10" s="14">
        <f t="shared" si="1"/>
        <v>45.654079322339705</v>
      </c>
      <c r="Y10" s="14">
        <f t="shared" si="1"/>
        <v>44.279441772493556</v>
      </c>
      <c r="Z10" s="14">
        <f t="shared" si="1"/>
        <v>9.3040145077152161</v>
      </c>
    </row>
    <row r="11" spans="1:26" ht="14">
      <c r="A11" s="55">
        <f t="shared" ref="A11:A17" si="4">A10</f>
        <v>47</v>
      </c>
      <c r="B11" s="55" t="s">
        <v>79</v>
      </c>
      <c r="C11" s="80">
        <v>605</v>
      </c>
      <c r="D11" s="56" t="s">
        <v>35</v>
      </c>
      <c r="E11" s="80">
        <v>70</v>
      </c>
      <c r="F11" s="80">
        <v>309</v>
      </c>
      <c r="G11" s="57">
        <v>5.0000000000000001E-4</v>
      </c>
      <c r="H11" s="58"/>
      <c r="I11" s="59">
        <f>SLOPE(G10:G16, E10:E16)</f>
        <v>9.1877494096366877E-6</v>
      </c>
      <c r="J11" s="59">
        <f>SLOPE(G10:G16, F10:F16)</f>
        <v>1.704007286283135E-6</v>
      </c>
      <c r="K11" s="60">
        <f>I11</f>
        <v>9.1877494096366877E-6</v>
      </c>
      <c r="L11" s="60">
        <f>I13</f>
        <v>-6.383853534998752E-5</v>
      </c>
      <c r="M11" s="60">
        <f>(C11-$O$2)*K11+L11</f>
        <v>5.4947498574802085E-3</v>
      </c>
      <c r="P11" s="91">
        <f>'enzyme setup and metadata'!A47</f>
        <v>57</v>
      </c>
      <c r="Q11" s="66">
        <f>'enzyme setup and metadata'!I47</f>
        <v>2.1652918781725892</v>
      </c>
      <c r="R11" s="14">
        <f t="shared" si="2"/>
        <v>3.2499999999417923</v>
      </c>
      <c r="S11" s="14">
        <f>(((M74+M75)/2)*91)/(R11*Q11*0.8)</f>
        <v>0.10655193475048715</v>
      </c>
      <c r="T11" s="14">
        <f>(((M76+M77)/2)*91)/(R11*Q11*0.8)</f>
        <v>4.3014200423696254E-2</v>
      </c>
      <c r="U11" s="14">
        <f>(((M78+M79)/2)*91)/(R11*Q11*0.8)</f>
        <v>3.9429628682961279E-2</v>
      </c>
      <c r="V11" s="14">
        <f>(((M80+M81)/2)*91)/(R11*Q11*0.8)</f>
        <v>7.9617294191229957E-3</v>
      </c>
      <c r="W11" s="14">
        <f t="shared" si="3"/>
        <v>106.55193475048715</v>
      </c>
      <c r="X11" s="14">
        <f t="shared" si="1"/>
        <v>43.014200423696252</v>
      </c>
      <c r="Y11" s="14">
        <f t="shared" si="1"/>
        <v>39.42962868296128</v>
      </c>
      <c r="Z11" s="14">
        <f t="shared" si="1"/>
        <v>7.9617294191229959</v>
      </c>
    </row>
    <row r="12" spans="1:26" ht="14">
      <c r="A12" s="55">
        <f t="shared" si="4"/>
        <v>47</v>
      </c>
      <c r="B12" s="55" t="s">
        <v>80</v>
      </c>
      <c r="C12" s="80">
        <v>282</v>
      </c>
      <c r="D12" s="56" t="s">
        <v>36</v>
      </c>
      <c r="E12" s="80">
        <v>120</v>
      </c>
      <c r="F12" s="80">
        <v>637</v>
      </c>
      <c r="G12" s="57">
        <v>1E-3</v>
      </c>
      <c r="H12" s="58"/>
      <c r="I12" s="59" t="s">
        <v>71</v>
      </c>
      <c r="J12" s="59" t="s">
        <v>71</v>
      </c>
      <c r="K12" s="60">
        <f>I11</f>
        <v>9.1877494096366877E-6</v>
      </c>
      <c r="L12" s="60">
        <f>I13</f>
        <v>-6.383853534998752E-5</v>
      </c>
      <c r="M12" s="60">
        <f>(C12-$O$3)*K12 + L12</f>
        <v>2.5271067981675584E-3</v>
      </c>
      <c r="P12" s="91">
        <f>'enzyme setup and metadata'!A48</f>
        <v>58</v>
      </c>
      <c r="Q12" s="66">
        <f>'enzyme setup and metadata'!I48</f>
        <v>2.1739130434782612</v>
      </c>
      <c r="R12" s="14">
        <f t="shared" si="2"/>
        <v>3.2499999999417923</v>
      </c>
      <c r="S12" s="14">
        <f>(((M82+M83)/2)*91)/(R12*Q12*0.8)</f>
        <v>0.12026509668166149</v>
      </c>
      <c r="T12" s="14">
        <f>(((M84+M85)/2)*91)/(R12*Q12*0.8)</f>
        <v>4.656649087181372E-2</v>
      </c>
      <c r="U12" s="14">
        <f>(((M86+M87)/2)*91)/(R12*Q12*0.8)</f>
        <v>4.1399319773573015E-2</v>
      </c>
      <c r="V12" s="14">
        <f>(((M88+M89)/2)*91)/(R12*Q12*0.8)</f>
        <v>8.8486858782215964E-3</v>
      </c>
      <c r="W12" s="14">
        <f t="shared" si="3"/>
        <v>120.26509668166149</v>
      </c>
      <c r="X12" s="14">
        <f t="shared" si="1"/>
        <v>46.56649087181372</v>
      </c>
      <c r="Y12" s="14">
        <f t="shared" si="1"/>
        <v>41.399319773573012</v>
      </c>
      <c r="Z12" s="14">
        <f t="shared" si="1"/>
        <v>8.8486858782215965</v>
      </c>
    </row>
    <row r="13" spans="1:26" ht="14">
      <c r="A13" s="55">
        <f t="shared" si="4"/>
        <v>47</v>
      </c>
      <c r="B13" s="55" t="s">
        <v>81</v>
      </c>
      <c r="C13" s="80">
        <v>260</v>
      </c>
      <c r="D13" s="56" t="s">
        <v>36</v>
      </c>
      <c r="E13" s="80">
        <v>219</v>
      </c>
      <c r="F13" s="80">
        <v>1304</v>
      </c>
      <c r="G13" s="57">
        <v>2E-3</v>
      </c>
      <c r="H13" s="58"/>
      <c r="I13" s="59">
        <f>INTERCEPT(G10:G16, E10:E16)</f>
        <v>-6.383853534998752E-5</v>
      </c>
      <c r="J13" s="59">
        <f>INTERCEPT(G10:G16, F10:F16)</f>
        <v>-1.8578545510216857E-4</v>
      </c>
      <c r="K13" s="60">
        <f>I11</f>
        <v>9.1877494096366877E-6</v>
      </c>
      <c r="L13" s="60">
        <f>I13</f>
        <v>-6.383853534998752E-5</v>
      </c>
      <c r="M13" s="60">
        <f>(C13-$O$3)*K13+ L13</f>
        <v>2.3249763111555513E-3</v>
      </c>
      <c r="P13" s="91">
        <f>'enzyme setup and metadata'!A49</f>
        <v>60</v>
      </c>
      <c r="Q13" s="66">
        <f>'enzyme setup and metadata'!I49</f>
        <v>2.1939586645468996</v>
      </c>
      <c r="R13" s="14">
        <f t="shared" si="2"/>
        <v>3.2499999999417923</v>
      </c>
      <c r="S13" s="14">
        <f>(((M90+M91)/2)*91)/(R13*Q13*0.8)</f>
        <v>0.10983814176660169</v>
      </c>
      <c r="T13" s="14">
        <f>(((M92+M93)/2)*91)/(R13*Q13*0.8)</f>
        <v>4.7569170433455446E-2</v>
      </c>
      <c r="U13" s="14">
        <f>(((M94+M95)/2)*91)/(R13*Q13*0.8)</f>
        <v>4.5678270083551992E-2</v>
      </c>
      <c r="V13" s="14">
        <f>(((M96+M97)/2)*91)/(R13*Q13*0.8)</f>
        <v>9.1852334474596693E-3</v>
      </c>
      <c r="W13" s="14">
        <f t="shared" si="3"/>
        <v>109.83814176660168</v>
      </c>
      <c r="X13" s="14">
        <f t="shared" si="1"/>
        <v>47.569170433455447</v>
      </c>
      <c r="Y13" s="14">
        <f t="shared" si="1"/>
        <v>45.678270083551993</v>
      </c>
      <c r="Z13" s="14">
        <f t="shared" si="1"/>
        <v>9.1852334474596695</v>
      </c>
    </row>
    <row r="14" spans="1:26" ht="14">
      <c r="A14" s="55">
        <f t="shared" si="4"/>
        <v>47</v>
      </c>
      <c r="B14" s="55" t="s">
        <v>82</v>
      </c>
      <c r="C14" s="80">
        <v>1783</v>
      </c>
      <c r="D14" s="56" t="s">
        <v>37</v>
      </c>
      <c r="E14" s="80">
        <v>498</v>
      </c>
      <c r="F14" s="80">
        <v>3166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1.704007286283135E-6</v>
      </c>
      <c r="L14" s="60">
        <f>J13</f>
        <v>-1.8578545510216857E-4</v>
      </c>
      <c r="M14" s="60">
        <f>(C14-$O$4)*K14 + L14</f>
        <v>2.1896007019765215E-3</v>
      </c>
    </row>
    <row r="15" spans="1:26" ht="14">
      <c r="A15" s="55">
        <f t="shared" si="4"/>
        <v>47</v>
      </c>
      <c r="B15" s="55" t="s">
        <v>83</v>
      </c>
      <c r="C15" s="80">
        <v>1819</v>
      </c>
      <c r="D15" s="56" t="s">
        <v>37</v>
      </c>
      <c r="E15" s="80">
        <v>1139</v>
      </c>
      <c r="F15" s="80">
        <v>6172</v>
      </c>
      <c r="G15" s="57">
        <v>0.01</v>
      </c>
      <c r="H15" s="58"/>
      <c r="I15" s="61">
        <f>RSQ(G10:G16, E10:E16)</f>
        <v>0.99863768583204859</v>
      </c>
      <c r="J15" s="61">
        <f>RSQ(G10:G16, F10:F16)</f>
        <v>0.99921703243314253</v>
      </c>
      <c r="K15" s="60">
        <f>J11</f>
        <v>1.704007286283135E-6</v>
      </c>
      <c r="L15" s="60">
        <f>J13</f>
        <v>-1.8578545510216857E-4</v>
      </c>
      <c r="M15" s="60">
        <f>(C15-$O$4)*K15 + L15</f>
        <v>2.2509449642827144E-3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47</v>
      </c>
      <c r="B16" s="55" t="s">
        <v>84</v>
      </c>
      <c r="C16" s="80"/>
      <c r="D16" s="56" t="s">
        <v>38</v>
      </c>
      <c r="E16" s="80">
        <v>2173</v>
      </c>
      <c r="F16" s="80">
        <v>11714</v>
      </c>
      <c r="G16" s="57">
        <v>0.02</v>
      </c>
      <c r="H16" s="58"/>
      <c r="I16" s="58"/>
      <c r="J16" s="58"/>
      <c r="K16" s="60">
        <f>I11</f>
        <v>9.1877494096366877E-6</v>
      </c>
      <c r="L16" s="60">
        <f>I13</f>
        <v>-6.383853534998752E-5</v>
      </c>
      <c r="M16" s="60">
        <f>(C16-$O$5)*K16 + L16</f>
        <v>-6.383853534998752E-5</v>
      </c>
    </row>
    <row r="17" spans="1:13" ht="14">
      <c r="A17" s="55">
        <f t="shared" si="4"/>
        <v>47</v>
      </c>
      <c r="B17" s="55" t="s">
        <v>85</v>
      </c>
      <c r="C17" s="80">
        <v>127</v>
      </c>
      <c r="D17" s="56" t="s">
        <v>38</v>
      </c>
      <c r="E17" s="80">
        <v>16</v>
      </c>
      <c r="F17" s="80">
        <v>12</v>
      </c>
      <c r="G17" s="56"/>
      <c r="H17" s="58"/>
      <c r="I17" s="58"/>
      <c r="J17" s="58"/>
      <c r="K17" s="60">
        <f>I11</f>
        <v>9.1877494096366877E-6</v>
      </c>
      <c r="L17" s="60">
        <f>I13</f>
        <v>-6.383853534998752E-5</v>
      </c>
      <c r="M17" s="60">
        <f>(C17-$O$5)*K17 + L17</f>
        <v>1.1030056396738718E-3</v>
      </c>
    </row>
    <row r="18" spans="1:13" ht="14">
      <c r="A18" s="55">
        <f>P4</f>
        <v>48</v>
      </c>
      <c r="B18" s="55" t="s">
        <v>86</v>
      </c>
      <c r="C18" s="80">
        <v>658</v>
      </c>
      <c r="D18" s="56" t="s">
        <v>35</v>
      </c>
      <c r="E18" s="80">
        <v>21</v>
      </c>
      <c r="F18" s="80">
        <v>22</v>
      </c>
      <c r="G18" s="57">
        <v>0</v>
      </c>
      <c r="H18" s="58"/>
      <c r="I18" s="59" t="s">
        <v>68</v>
      </c>
      <c r="J18" s="59" t="s">
        <v>68</v>
      </c>
      <c r="K18" s="60">
        <f>I19</f>
        <v>9.0122896749396438E-6</v>
      </c>
      <c r="L18" s="60">
        <f>I21</f>
        <v>-7.0882489066261857E-5</v>
      </c>
      <c r="M18" s="60">
        <f>(C18-$O$2)*K18+L18</f>
        <v>5.8592041170440236E-3</v>
      </c>
    </row>
    <row r="19" spans="1:13" ht="14">
      <c r="A19" s="55">
        <f t="shared" ref="A19:A25" si="5">A18</f>
        <v>48</v>
      </c>
      <c r="B19" s="55" t="s">
        <v>87</v>
      </c>
      <c r="C19" s="80">
        <v>633</v>
      </c>
      <c r="D19" s="56" t="s">
        <v>35</v>
      </c>
      <c r="E19" s="80">
        <v>71</v>
      </c>
      <c r="F19" s="80">
        <v>354</v>
      </c>
      <c r="G19" s="57">
        <v>5.0000000000000001E-4</v>
      </c>
      <c r="H19" s="58"/>
      <c r="I19" s="59">
        <f>SLOPE(G18:G24, E18:E24)</f>
        <v>9.0122896749396438E-6</v>
      </c>
      <c r="J19" s="59">
        <f>SLOPE(G18:G24, F18:F24)</f>
        <v>1.7436480980731344E-6</v>
      </c>
      <c r="K19" s="60">
        <f>I19</f>
        <v>9.0122896749396438E-6</v>
      </c>
      <c r="L19" s="60">
        <f>I21</f>
        <v>-7.0882489066261857E-5</v>
      </c>
      <c r="M19" s="60">
        <f>(C19-$O$2)*K19+L19</f>
        <v>5.6338968751705326E-3</v>
      </c>
    </row>
    <row r="20" spans="1:13" ht="14">
      <c r="A20" s="55">
        <f t="shared" si="5"/>
        <v>48</v>
      </c>
      <c r="B20" s="55" t="s">
        <v>88</v>
      </c>
      <c r="C20" s="80">
        <v>265</v>
      </c>
      <c r="D20" s="56" t="s">
        <v>36</v>
      </c>
      <c r="E20" s="80">
        <v>140</v>
      </c>
      <c r="F20" s="80">
        <v>692</v>
      </c>
      <c r="G20" s="57">
        <v>1E-3</v>
      </c>
      <c r="H20" s="58"/>
      <c r="I20" s="59" t="s">
        <v>71</v>
      </c>
      <c r="J20" s="59" t="s">
        <v>71</v>
      </c>
      <c r="K20" s="60">
        <f>I19</f>
        <v>9.0122896749396438E-6</v>
      </c>
      <c r="L20" s="60">
        <f>I21</f>
        <v>-7.0882489066261857E-5</v>
      </c>
      <c r="M20" s="60">
        <f>(C20-$O$3)*K20 + L20</f>
        <v>2.3173742747927438E-3</v>
      </c>
    </row>
    <row r="21" spans="1:13" ht="14">
      <c r="A21" s="55">
        <f t="shared" si="5"/>
        <v>48</v>
      </c>
      <c r="B21" s="55" t="s">
        <v>89</v>
      </c>
      <c r="C21" s="80">
        <v>277</v>
      </c>
      <c r="D21" s="56" t="s">
        <v>36</v>
      </c>
      <c r="E21" s="80">
        <v>209</v>
      </c>
      <c r="F21" s="80">
        <v>1381</v>
      </c>
      <c r="G21" s="57">
        <v>2E-3</v>
      </c>
      <c r="H21" s="58"/>
      <c r="I21" s="59">
        <f>INTERCEPT(G18:G24, E18:E24)</f>
        <v>-7.0882489066261857E-5</v>
      </c>
      <c r="J21" s="59">
        <f>INTERCEPT(G18:G24, F18:F24)</f>
        <v>-2.8392983389402549E-4</v>
      </c>
      <c r="K21" s="60">
        <f>I19</f>
        <v>9.0122896749396438E-6</v>
      </c>
      <c r="L21" s="60">
        <f>I21</f>
        <v>-7.0882489066261857E-5</v>
      </c>
      <c r="M21" s="60">
        <f>(C21-$O$3)*K21+ L21</f>
        <v>2.4255217508920195E-3</v>
      </c>
    </row>
    <row r="22" spans="1:13" ht="14">
      <c r="A22" s="55">
        <f t="shared" si="5"/>
        <v>48</v>
      </c>
      <c r="B22" s="55" t="s">
        <v>90</v>
      </c>
      <c r="C22" s="80">
        <v>1820</v>
      </c>
      <c r="D22" s="56" t="s">
        <v>37</v>
      </c>
      <c r="E22" s="80">
        <v>512</v>
      </c>
      <c r="F22" s="80">
        <v>3094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1.7436480980731344E-6</v>
      </c>
      <c r="L22" s="60">
        <f>J21</f>
        <v>-2.8392983389402549E-4</v>
      </c>
      <c r="M22" s="60">
        <f>(C22-$O$4)*K22 + L22</f>
        <v>2.2112305944486299E-3</v>
      </c>
    </row>
    <row r="23" spans="1:13" ht="14">
      <c r="A23" s="55">
        <f t="shared" si="5"/>
        <v>48</v>
      </c>
      <c r="B23" s="55" t="s">
        <v>91</v>
      </c>
      <c r="C23" s="80">
        <v>1775</v>
      </c>
      <c r="D23" s="56" t="s">
        <v>37</v>
      </c>
      <c r="E23" s="80">
        <v>1154</v>
      </c>
      <c r="F23" s="80">
        <v>6266</v>
      </c>
      <c r="G23" s="57">
        <v>0.01</v>
      </c>
      <c r="H23" s="58"/>
      <c r="I23" s="61">
        <f>RSQ(G18:G24, E18:E24)</f>
        <v>0.99870883540657684</v>
      </c>
      <c r="J23" s="61">
        <f>RSQ(G18:G24, F18:F24)</f>
        <v>0.99785394814407613</v>
      </c>
      <c r="K23" s="60">
        <f>J19</f>
        <v>1.7436480980731344E-6</v>
      </c>
      <c r="L23" s="60">
        <f>J21</f>
        <v>-2.8392983389402549E-4</v>
      </c>
      <c r="M23" s="60">
        <f>(C23-$O$4)*K23 + L23</f>
        <v>2.1327664300353389E-3</v>
      </c>
    </row>
    <row r="24" spans="1:13" ht="14">
      <c r="A24" s="55">
        <f t="shared" si="5"/>
        <v>48</v>
      </c>
      <c r="B24" s="55" t="s">
        <v>92</v>
      </c>
      <c r="C24" s="80"/>
      <c r="D24" s="56" t="s">
        <v>38</v>
      </c>
      <c r="E24" s="80">
        <v>2220</v>
      </c>
      <c r="F24" s="80">
        <v>11411</v>
      </c>
      <c r="G24" s="57">
        <v>0.02</v>
      </c>
      <c r="H24" s="58"/>
      <c r="I24" s="58"/>
      <c r="J24" s="58"/>
      <c r="K24" s="60">
        <f>I19</f>
        <v>9.0122896749396438E-6</v>
      </c>
      <c r="L24" s="60">
        <f>I21</f>
        <v>-7.0882489066261857E-5</v>
      </c>
      <c r="M24" s="60">
        <f>(C24-$O$5)*K24 + L24</f>
        <v>-7.0882489066261857E-5</v>
      </c>
    </row>
    <row r="25" spans="1:13" ht="14">
      <c r="A25" s="55">
        <f t="shared" si="5"/>
        <v>48</v>
      </c>
      <c r="B25" s="55" t="s">
        <v>93</v>
      </c>
      <c r="C25" s="80">
        <v>144</v>
      </c>
      <c r="D25" s="56" t="s">
        <v>38</v>
      </c>
      <c r="E25" s="80">
        <v>16</v>
      </c>
      <c r="F25" s="80">
        <v>14</v>
      </c>
      <c r="G25" s="56"/>
      <c r="H25" s="58"/>
      <c r="I25" s="58"/>
      <c r="J25" s="58"/>
      <c r="K25" s="60">
        <f>I19</f>
        <v>9.0122896749396438E-6</v>
      </c>
      <c r="L25" s="60">
        <f>I21</f>
        <v>-7.0882489066261857E-5</v>
      </c>
      <c r="M25" s="60">
        <f>(C25-$O$5)*K25 + L25</f>
        <v>1.2268872241250469E-3</v>
      </c>
    </row>
    <row r="26" spans="1:13" ht="14">
      <c r="A26" s="55">
        <f>P5</f>
        <v>50</v>
      </c>
      <c r="B26" s="55" t="s">
        <v>94</v>
      </c>
      <c r="C26" s="80">
        <v>584</v>
      </c>
      <c r="D26" s="56" t="s">
        <v>35</v>
      </c>
      <c r="E26" s="80">
        <v>18</v>
      </c>
      <c r="F26" s="80">
        <v>18</v>
      </c>
      <c r="G26" s="57">
        <v>0</v>
      </c>
      <c r="H26" s="58"/>
      <c r="I26" s="59" t="s">
        <v>68</v>
      </c>
      <c r="J26" s="59" t="s">
        <v>68</v>
      </c>
      <c r="K26" s="60">
        <f>I27</f>
        <v>8.8983799192571447E-6</v>
      </c>
      <c r="L26" s="60">
        <f>I29</f>
        <v>-5.2589069616458019E-5</v>
      </c>
      <c r="M26" s="60">
        <f>(C26-$O$2)*K26+L26</f>
        <v>5.1440648032297148E-3</v>
      </c>
    </row>
    <row r="27" spans="1:13" ht="14">
      <c r="A27" s="55">
        <f t="shared" ref="A27:A33" si="6">A26</f>
        <v>50</v>
      </c>
      <c r="B27" s="55" t="s">
        <v>95</v>
      </c>
      <c r="C27" s="80">
        <v>576</v>
      </c>
      <c r="D27" s="56" t="s">
        <v>35</v>
      </c>
      <c r="E27" s="80">
        <v>78</v>
      </c>
      <c r="F27" s="80">
        <v>317</v>
      </c>
      <c r="G27" s="57">
        <v>5.0000000000000001E-4</v>
      </c>
      <c r="H27" s="58"/>
      <c r="I27" s="59">
        <f>SLOPE(G26:G32, E26:E32)</f>
        <v>8.8983799192571447E-6</v>
      </c>
      <c r="J27" s="59">
        <f>SLOPE(G26:G32, F26:F32)</f>
        <v>1.7121196395271123E-6</v>
      </c>
      <c r="K27" s="60">
        <f>I27</f>
        <v>8.8983799192571447E-6</v>
      </c>
      <c r="L27" s="60">
        <f>I29</f>
        <v>-5.2589069616458019E-5</v>
      </c>
      <c r="M27" s="60">
        <f>(C27-$O$2)*K27+L27</f>
        <v>5.0728777638756571E-3</v>
      </c>
    </row>
    <row r="28" spans="1:13" ht="14">
      <c r="A28" s="55">
        <f t="shared" si="6"/>
        <v>50</v>
      </c>
      <c r="B28" s="55" t="s">
        <v>96</v>
      </c>
      <c r="C28" s="80">
        <v>257</v>
      </c>
      <c r="D28" s="56" t="s">
        <v>36</v>
      </c>
      <c r="E28" s="80">
        <v>132</v>
      </c>
      <c r="F28" s="80">
        <v>670</v>
      </c>
      <c r="G28" s="57">
        <v>1E-3</v>
      </c>
      <c r="H28" s="58"/>
      <c r="I28" s="59" t="s">
        <v>71</v>
      </c>
      <c r="J28" s="59" t="s">
        <v>71</v>
      </c>
      <c r="K28" s="60">
        <f>I27</f>
        <v>8.8983799192571447E-6</v>
      </c>
      <c r="L28" s="60">
        <f>I29</f>
        <v>-5.2589069616458019E-5</v>
      </c>
      <c r="M28" s="60">
        <f>(C28-$O$3)*K28 + L28</f>
        <v>2.2342945696326283E-3</v>
      </c>
    </row>
    <row r="29" spans="1:13" ht="14">
      <c r="A29" s="55">
        <f t="shared" si="6"/>
        <v>50</v>
      </c>
      <c r="B29" s="55" t="s">
        <v>97</v>
      </c>
      <c r="C29" s="80">
        <v>256</v>
      </c>
      <c r="D29" s="56" t="s">
        <v>36</v>
      </c>
      <c r="E29" s="80">
        <v>213</v>
      </c>
      <c r="F29" s="80">
        <v>1251</v>
      </c>
      <c r="G29" s="57">
        <v>2E-3</v>
      </c>
      <c r="H29" s="58"/>
      <c r="I29" s="59">
        <f>INTERCEPT(G26:G32, E26:E32)</f>
        <v>-5.2589069616458019E-5</v>
      </c>
      <c r="J29" s="59">
        <f>INTERCEPT(G26:G32, F26:F32)</f>
        <v>-1.4583680560061821E-4</v>
      </c>
      <c r="K29" s="60">
        <f>I27</f>
        <v>8.8983799192571447E-6</v>
      </c>
      <c r="L29" s="60">
        <f>I29</f>
        <v>-5.2589069616458019E-5</v>
      </c>
      <c r="M29" s="60">
        <f>(C29-$O$3)*K29+ L29</f>
        <v>2.225396189713371E-3</v>
      </c>
    </row>
    <row r="30" spans="1:13" ht="14">
      <c r="A30" s="55">
        <f t="shared" si="6"/>
        <v>50</v>
      </c>
      <c r="B30" s="55" t="s">
        <v>98</v>
      </c>
      <c r="C30" s="80">
        <v>1782</v>
      </c>
      <c r="D30" s="56" t="s">
        <v>37</v>
      </c>
      <c r="E30" s="80">
        <v>532</v>
      </c>
      <c r="F30" s="80">
        <v>3135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1.7121196395271123E-6</v>
      </c>
      <c r="L30" s="60">
        <f>J29</f>
        <v>-1.4583680560061821E-4</v>
      </c>
      <c r="M30" s="60">
        <f>(C30-$O$4)*K30 + L30</f>
        <v>2.2391458522606493E-3</v>
      </c>
    </row>
    <row r="31" spans="1:13" ht="14">
      <c r="A31" s="55">
        <f t="shared" si="6"/>
        <v>50</v>
      </c>
      <c r="B31" s="55" t="s">
        <v>99</v>
      </c>
      <c r="C31" s="80">
        <v>1712</v>
      </c>
      <c r="D31" s="56" t="s">
        <v>37</v>
      </c>
      <c r="E31" s="80">
        <v>1136</v>
      </c>
      <c r="F31" s="80">
        <v>5992</v>
      </c>
      <c r="G31" s="57">
        <v>0.01</v>
      </c>
      <c r="H31" s="58"/>
      <c r="I31" s="61">
        <f>RSQ(G26:G32, E26:E32)</f>
        <v>0.999440329204351</v>
      </c>
      <c r="J31" s="61">
        <f>RSQ(G26:G32, F26:F32)</f>
        <v>0.99968972446850068</v>
      </c>
      <c r="K31" s="60">
        <f>J27</f>
        <v>1.7121196395271123E-6</v>
      </c>
      <c r="L31" s="60">
        <f>J29</f>
        <v>-1.4583680560061821E-4</v>
      </c>
      <c r="M31" s="60">
        <f>(C31-$O$4)*K31 + L31</f>
        <v>2.1192974774937512E-3</v>
      </c>
    </row>
    <row r="32" spans="1:13" ht="14">
      <c r="A32" s="55">
        <f t="shared" si="6"/>
        <v>50</v>
      </c>
      <c r="B32" s="55" t="s">
        <v>100</v>
      </c>
      <c r="C32" s="80"/>
      <c r="D32" s="56" t="s">
        <v>38</v>
      </c>
      <c r="E32" s="80">
        <v>2259</v>
      </c>
      <c r="F32" s="80">
        <v>11700</v>
      </c>
      <c r="G32" s="57">
        <v>0.02</v>
      </c>
      <c r="H32" s="58"/>
      <c r="I32" s="58"/>
      <c r="J32" s="58"/>
      <c r="K32" s="60">
        <f>I27</f>
        <v>8.8983799192571447E-6</v>
      </c>
      <c r="L32" s="60">
        <f>I29</f>
        <v>-5.2589069616458019E-5</v>
      </c>
      <c r="M32" s="60">
        <f>(C32-$O$5)*K32 + L32</f>
        <v>-5.2589069616458019E-5</v>
      </c>
    </row>
    <row r="33" spans="1:26" ht="14">
      <c r="A33" s="55">
        <f t="shared" si="6"/>
        <v>50</v>
      </c>
      <c r="B33" s="55" t="s">
        <v>101</v>
      </c>
      <c r="C33" s="80">
        <v>138</v>
      </c>
      <c r="D33" s="56" t="s">
        <v>38</v>
      </c>
      <c r="E33" s="80">
        <v>17</v>
      </c>
      <c r="F33" s="80">
        <v>13</v>
      </c>
      <c r="G33" s="56"/>
      <c r="H33" s="58"/>
      <c r="I33" s="58"/>
      <c r="J33" s="58"/>
      <c r="K33" s="60">
        <f>I27</f>
        <v>8.8983799192571447E-6</v>
      </c>
      <c r="L33" s="60">
        <f>I29</f>
        <v>-5.2589069616458019E-5</v>
      </c>
      <c r="M33" s="60">
        <f>(C33-$O$5)*K33 + L33</f>
        <v>1.1753873592410279E-3</v>
      </c>
    </row>
    <row r="34" spans="1:26" ht="14">
      <c r="A34" s="55">
        <f>P6</f>
        <v>51</v>
      </c>
      <c r="B34" s="55" t="s">
        <v>102</v>
      </c>
      <c r="C34" s="80">
        <v>575</v>
      </c>
      <c r="D34" s="56" t="s">
        <v>35</v>
      </c>
      <c r="E34" s="80">
        <v>18</v>
      </c>
      <c r="F34" s="80">
        <v>25</v>
      </c>
      <c r="G34" s="57">
        <v>0</v>
      </c>
      <c r="H34" s="58"/>
      <c r="I34" s="59" t="s">
        <v>68</v>
      </c>
      <c r="J34" s="59" t="s">
        <v>68</v>
      </c>
      <c r="K34" s="60">
        <f>I35</f>
        <v>8.5797556472216229E-6</v>
      </c>
      <c r="L34" s="60">
        <f>I37</f>
        <v>-5.7517667599316091E-6</v>
      </c>
      <c r="M34" s="60">
        <f>(C34-$O$2)*K34+L34</f>
        <v>4.9276077303925013E-3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51</v>
      </c>
      <c r="B35" s="55" t="s">
        <v>103</v>
      </c>
      <c r="C35" s="80">
        <v>645</v>
      </c>
      <c r="D35" s="56" t="s">
        <v>35</v>
      </c>
      <c r="E35" s="80">
        <v>67</v>
      </c>
      <c r="F35" s="80">
        <v>333</v>
      </c>
      <c r="G35" s="57">
        <v>5.0000000000000001E-4</v>
      </c>
      <c r="H35" s="58"/>
      <c r="I35" s="59">
        <f>SLOPE(G34:G40, E34:E40)</f>
        <v>8.5797556472216229E-6</v>
      </c>
      <c r="J35" s="59">
        <f>SLOPE(G34:G40, F34:F40)</f>
        <v>1.6274136987349459E-6</v>
      </c>
      <c r="K35" s="60">
        <f>I35</f>
        <v>8.5797556472216229E-6</v>
      </c>
      <c r="L35" s="60">
        <f>I37</f>
        <v>-5.7517667599316091E-6</v>
      </c>
      <c r="M35" s="60">
        <f>(C35-$O$2)*K35+L35</f>
        <v>5.5281906256980148E-3</v>
      </c>
    </row>
    <row r="36" spans="1:26" ht="14">
      <c r="A36" s="55">
        <f t="shared" si="7"/>
        <v>51</v>
      </c>
      <c r="B36" s="55" t="s">
        <v>104</v>
      </c>
      <c r="C36" s="80">
        <v>280</v>
      </c>
      <c r="D36" s="56" t="s">
        <v>36</v>
      </c>
      <c r="E36" s="80">
        <v>123</v>
      </c>
      <c r="F36" s="80">
        <v>698</v>
      </c>
      <c r="G36" s="57">
        <v>1E-3</v>
      </c>
      <c r="H36" s="58"/>
      <c r="I36" s="59" t="s">
        <v>71</v>
      </c>
      <c r="J36" s="59" t="s">
        <v>71</v>
      </c>
      <c r="K36" s="60">
        <f>I35</f>
        <v>8.5797556472216229E-6</v>
      </c>
      <c r="L36" s="60">
        <f>I37</f>
        <v>-5.7517667599316091E-6</v>
      </c>
      <c r="M36" s="60">
        <f>(C36-$O$3)*K36 + L36</f>
        <v>2.396579814462123E-3</v>
      </c>
    </row>
    <row r="37" spans="1:26" ht="14">
      <c r="A37" s="55">
        <f t="shared" si="7"/>
        <v>51</v>
      </c>
      <c r="B37" s="55" t="s">
        <v>105</v>
      </c>
      <c r="C37" s="80">
        <v>291</v>
      </c>
      <c r="D37" s="56" t="s">
        <v>36</v>
      </c>
      <c r="E37" s="80">
        <v>237</v>
      </c>
      <c r="F37" s="80">
        <v>1369</v>
      </c>
      <c r="G37" s="57">
        <v>2E-3</v>
      </c>
      <c r="H37" s="58"/>
      <c r="I37" s="59">
        <f>INTERCEPT(G34:G40, E34:E40)</f>
        <v>-5.7517667599316091E-6</v>
      </c>
      <c r="J37" s="59">
        <f>INTERCEPT(G34:G40, F34:F40)</f>
        <v>-1.0760263049812771E-4</v>
      </c>
      <c r="K37" s="60">
        <f>I35</f>
        <v>8.5797556472216229E-6</v>
      </c>
      <c r="L37" s="60">
        <f>I37</f>
        <v>-5.7517667599316091E-6</v>
      </c>
      <c r="M37" s="60">
        <f>(C37-$O$3)*K37+ L37</f>
        <v>2.4909571265815606E-3</v>
      </c>
    </row>
    <row r="38" spans="1:26" ht="14">
      <c r="A38" s="55">
        <f t="shared" si="7"/>
        <v>51</v>
      </c>
      <c r="B38" s="55" t="s">
        <v>106</v>
      </c>
      <c r="C38" s="80">
        <v>2064</v>
      </c>
      <c r="D38" s="56" t="s">
        <v>37</v>
      </c>
      <c r="E38" s="80">
        <v>532</v>
      </c>
      <c r="F38" s="80">
        <v>3173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1.6274136987349459E-6</v>
      </c>
      <c r="L38" s="60">
        <f>J37</f>
        <v>-1.0760263049812771E-4</v>
      </c>
      <c r="M38" s="60">
        <f>(C38-$O$4)*K38 + L38</f>
        <v>2.6183153148829066E-3</v>
      </c>
    </row>
    <row r="39" spans="1:26" ht="14">
      <c r="A39" s="55">
        <f t="shared" si="7"/>
        <v>51</v>
      </c>
      <c r="B39" s="55" t="s">
        <v>107</v>
      </c>
      <c r="C39" s="80">
        <v>1959</v>
      </c>
      <c r="D39" s="56" t="s">
        <v>37</v>
      </c>
      <c r="E39" s="80">
        <v>1179</v>
      </c>
      <c r="F39" s="80">
        <v>6156</v>
      </c>
      <c r="G39" s="57">
        <v>0.01</v>
      </c>
      <c r="H39" s="58"/>
      <c r="I39" s="61">
        <f>RSQ(G34:G40, E34:E40)</f>
        <v>0.99925194931196992</v>
      </c>
      <c r="J39" s="61">
        <f>RSQ(G34:G40, F34:F40)</f>
        <v>0.99988859708381372</v>
      </c>
      <c r="K39" s="60">
        <f>J35</f>
        <v>1.6274136987349459E-6</v>
      </c>
      <c r="L39" s="60">
        <f>J37</f>
        <v>-1.0760263049812771E-4</v>
      </c>
      <c r="M39" s="60">
        <f>(C39-$O$4)*K39 + L39</f>
        <v>2.4474368765157375E-3</v>
      </c>
    </row>
    <row r="40" spans="1:26" ht="14">
      <c r="A40" s="55">
        <f t="shared" si="7"/>
        <v>51</v>
      </c>
      <c r="B40" s="55" t="s">
        <v>108</v>
      </c>
      <c r="C40" s="80"/>
      <c r="D40" s="56" t="s">
        <v>38</v>
      </c>
      <c r="E40" s="80">
        <v>2336</v>
      </c>
      <c r="F40" s="80">
        <v>12366</v>
      </c>
      <c r="G40" s="57">
        <v>0.02</v>
      </c>
      <c r="H40" s="58"/>
      <c r="I40" s="58"/>
      <c r="J40" s="58"/>
      <c r="K40" s="60">
        <f>I35</f>
        <v>8.5797556472216229E-6</v>
      </c>
      <c r="L40" s="60">
        <f>I37</f>
        <v>-5.7517667599316091E-6</v>
      </c>
      <c r="M40" s="60">
        <f>(C40-$O$5)*K40 + L40</f>
        <v>-5.7517667599316091E-6</v>
      </c>
    </row>
    <row r="41" spans="1:26" ht="14">
      <c r="A41" s="55">
        <f t="shared" si="7"/>
        <v>51</v>
      </c>
      <c r="B41" s="55" t="s">
        <v>109</v>
      </c>
      <c r="C41" s="80">
        <v>137</v>
      </c>
      <c r="D41" s="56" t="s">
        <v>38</v>
      </c>
      <c r="E41" s="80">
        <v>16</v>
      </c>
      <c r="F41" s="80">
        <v>13</v>
      </c>
      <c r="G41" s="56"/>
      <c r="H41" s="58"/>
      <c r="I41" s="58"/>
      <c r="J41" s="58"/>
      <c r="K41" s="60">
        <f>I35</f>
        <v>8.5797556472216229E-6</v>
      </c>
      <c r="L41" s="60">
        <f>I37</f>
        <v>-5.7517667599316091E-6</v>
      </c>
      <c r="M41" s="60">
        <f>(C41-$O$5)*K41 + L41</f>
        <v>1.1696747569094306E-3</v>
      </c>
    </row>
    <row r="42" spans="1:26" ht="14">
      <c r="A42" s="55">
        <f>P7</f>
        <v>52</v>
      </c>
      <c r="B42" s="55" t="s">
        <v>110</v>
      </c>
      <c r="C42" s="80">
        <v>665</v>
      </c>
      <c r="D42" s="56" t="s">
        <v>35</v>
      </c>
      <c r="E42" s="80">
        <v>22</v>
      </c>
      <c r="F42" s="80">
        <v>18</v>
      </c>
      <c r="G42" s="57">
        <v>0</v>
      </c>
      <c r="H42" s="58"/>
      <c r="I42" s="62" t="s">
        <v>68</v>
      </c>
      <c r="J42" s="62" t="s">
        <v>68</v>
      </c>
      <c r="K42" s="60">
        <f>I43</f>
        <v>8.1484141049291707E-6</v>
      </c>
      <c r="L42" s="60">
        <f>I45</f>
        <v>7.4320265275019948E-5</v>
      </c>
      <c r="M42" s="60">
        <f>(C42-$O$2)*K42+L42</f>
        <v>5.4930156450529186E-3</v>
      </c>
    </row>
    <row r="43" spans="1:26" ht="14">
      <c r="A43" s="55">
        <f t="shared" ref="A43:A49" si="8">A42</f>
        <v>52</v>
      </c>
      <c r="B43" s="55" t="s">
        <v>111</v>
      </c>
      <c r="C43" s="80">
        <v>679</v>
      </c>
      <c r="D43" s="56" t="s">
        <v>35</v>
      </c>
      <c r="E43" s="80">
        <v>74</v>
      </c>
      <c r="F43" s="80">
        <v>329</v>
      </c>
      <c r="G43" s="57">
        <v>5.0000000000000001E-4</v>
      </c>
      <c r="H43" s="58"/>
      <c r="I43" s="58">
        <f>SLOPE(G42:G48, E42:E48)</f>
        <v>8.1484141049291707E-6</v>
      </c>
      <c r="J43" s="58">
        <f>SLOPE(G42:G48, F42:F48)</f>
        <v>1.7659157577105101E-6</v>
      </c>
      <c r="K43" s="60">
        <f>I43</f>
        <v>8.1484141049291707E-6</v>
      </c>
      <c r="L43" s="60">
        <f>I45</f>
        <v>7.4320265275019948E-5</v>
      </c>
      <c r="M43" s="60">
        <f>(C43-$O$2)*K43+L43</f>
        <v>5.6070934425219267E-3</v>
      </c>
    </row>
    <row r="44" spans="1:26" ht="14">
      <c r="A44" s="55">
        <f t="shared" si="8"/>
        <v>52</v>
      </c>
      <c r="B44" s="55" t="s">
        <v>112</v>
      </c>
      <c r="C44" s="80">
        <v>279</v>
      </c>
      <c r="D44" s="56" t="s">
        <v>36</v>
      </c>
      <c r="E44" s="80">
        <v>124</v>
      </c>
      <c r="F44" s="80">
        <v>666</v>
      </c>
      <c r="G44" s="57">
        <v>1E-3</v>
      </c>
      <c r="H44" s="58"/>
      <c r="I44" s="62" t="s">
        <v>71</v>
      </c>
      <c r="J44" s="62" t="s">
        <v>71</v>
      </c>
      <c r="K44" s="60">
        <f>I43</f>
        <v>8.1484141049291707E-6</v>
      </c>
      <c r="L44" s="60">
        <f>I45</f>
        <v>7.4320265275019948E-5</v>
      </c>
      <c r="M44" s="60">
        <f>(C44-$O$3)*K44 + L44</f>
        <v>2.3477278005502584E-3</v>
      </c>
    </row>
    <row r="45" spans="1:26" ht="14">
      <c r="A45" s="55">
        <f t="shared" si="8"/>
        <v>52</v>
      </c>
      <c r="B45" s="55" t="s">
        <v>113</v>
      </c>
      <c r="C45" s="80">
        <v>283</v>
      </c>
      <c r="D45" s="56" t="s">
        <v>36</v>
      </c>
      <c r="E45" s="80">
        <v>240</v>
      </c>
      <c r="F45" s="80">
        <v>1294</v>
      </c>
      <c r="G45" s="57">
        <v>2E-3</v>
      </c>
      <c r="H45" s="58"/>
      <c r="I45" s="58">
        <f>INTERCEPT(G42:G48, E42:E48)</f>
        <v>7.4320265275019948E-5</v>
      </c>
      <c r="J45" s="58">
        <f>INTERCEPT(G42:G48, F42:F48)</f>
        <v>-1.8044644519536485E-4</v>
      </c>
      <c r="K45" s="60">
        <f>I43</f>
        <v>8.1484141049291707E-6</v>
      </c>
      <c r="L45" s="60">
        <f>I45</f>
        <v>7.4320265275019948E-5</v>
      </c>
      <c r="M45" s="60">
        <f>(C45-$O$3)*K45+ L45</f>
        <v>2.3803214569699752E-3</v>
      </c>
    </row>
    <row r="46" spans="1:26" ht="14">
      <c r="A46" s="55">
        <f t="shared" si="8"/>
        <v>52</v>
      </c>
      <c r="B46" s="55" t="s">
        <v>114</v>
      </c>
      <c r="C46" s="80">
        <v>1899</v>
      </c>
      <c r="D46" s="56" t="s">
        <v>37</v>
      </c>
      <c r="E46" s="80">
        <v>554</v>
      </c>
      <c r="F46" s="80">
        <v>3045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1.7659157577105101E-6</v>
      </c>
      <c r="L46" s="60">
        <f>J45</f>
        <v>-1.8044644519536485E-4</v>
      </c>
      <c r="M46" s="60">
        <f>(C46-$O$4)*K46 + L46</f>
        <v>2.4860863489475052E-3</v>
      </c>
    </row>
    <row r="47" spans="1:26" ht="14">
      <c r="A47" s="55">
        <f t="shared" si="8"/>
        <v>52</v>
      </c>
      <c r="B47" s="55" t="s">
        <v>115</v>
      </c>
      <c r="C47" s="80">
        <v>2060</v>
      </c>
      <c r="D47" s="56" t="s">
        <v>37</v>
      </c>
      <c r="E47" s="80">
        <v>1169</v>
      </c>
      <c r="F47" s="80">
        <v>5779</v>
      </c>
      <c r="G47" s="57">
        <v>0.01</v>
      </c>
      <c r="H47" s="58"/>
      <c r="I47" s="61">
        <f>RSQ(G42:G48, E42:E48)</f>
        <v>0.9984173772430559</v>
      </c>
      <c r="J47" s="61">
        <f>RSQ(G42:G48, F42:F48)</f>
        <v>0.99972455344672528</v>
      </c>
      <c r="K47" s="60">
        <f>J43</f>
        <v>1.7659157577105101E-6</v>
      </c>
      <c r="L47" s="60">
        <f>J45</f>
        <v>-1.8044644519536485E-4</v>
      </c>
      <c r="M47" s="60">
        <f>(C47-$O$4)*K47 + L47</f>
        <v>2.7703987859388976E-3</v>
      </c>
    </row>
    <row r="48" spans="1:26" ht="14">
      <c r="A48" s="55">
        <f t="shared" si="8"/>
        <v>52</v>
      </c>
      <c r="B48" s="55" t="s">
        <v>116</v>
      </c>
      <c r="C48" s="80"/>
      <c r="D48" s="56" t="s">
        <v>38</v>
      </c>
      <c r="E48" s="80">
        <v>2478</v>
      </c>
      <c r="F48" s="80">
        <v>11386</v>
      </c>
      <c r="G48" s="57">
        <v>0.02</v>
      </c>
      <c r="H48" s="58"/>
      <c r="I48" s="58"/>
      <c r="J48" s="58"/>
      <c r="K48" s="60">
        <f>I43</f>
        <v>8.1484141049291707E-6</v>
      </c>
      <c r="L48" s="60">
        <f>I45</f>
        <v>7.4320265275019948E-5</v>
      </c>
      <c r="M48" s="60">
        <f>(C48-$O$5)*K48 + L48</f>
        <v>7.4320265275019948E-5</v>
      </c>
    </row>
    <row r="49" spans="1:13" ht="14">
      <c r="A49" s="55">
        <f t="shared" si="8"/>
        <v>52</v>
      </c>
      <c r="B49" s="55" t="s">
        <v>117</v>
      </c>
      <c r="C49" s="80">
        <v>134</v>
      </c>
      <c r="D49" s="56" t="s">
        <v>38</v>
      </c>
      <c r="E49" s="80">
        <v>16</v>
      </c>
      <c r="F49" s="80">
        <v>13</v>
      </c>
      <c r="G49" s="56"/>
      <c r="H49" s="58"/>
      <c r="I49" s="58"/>
      <c r="J49" s="58"/>
      <c r="K49" s="60">
        <f>I43</f>
        <v>8.1484141049291707E-6</v>
      </c>
      <c r="L49" s="60">
        <f>I45</f>
        <v>7.4320265275019948E-5</v>
      </c>
      <c r="M49" s="60">
        <f>(C49-$O$5)*K49 + L49</f>
        <v>1.1662077553355288E-3</v>
      </c>
    </row>
    <row r="50" spans="1:13" ht="14">
      <c r="A50" s="55">
        <f>P8</f>
        <v>53</v>
      </c>
      <c r="B50" s="55" t="s">
        <v>118</v>
      </c>
      <c r="C50" s="80">
        <v>658</v>
      </c>
      <c r="D50" s="56" t="s">
        <v>35</v>
      </c>
      <c r="E50" s="80">
        <v>18</v>
      </c>
      <c r="F50" s="80">
        <v>19</v>
      </c>
      <c r="G50" s="57">
        <v>0</v>
      </c>
      <c r="H50" s="58"/>
      <c r="I50" s="62" t="s">
        <v>68</v>
      </c>
      <c r="J50" s="62" t="s">
        <v>68</v>
      </c>
      <c r="K50" s="60">
        <f>I51</f>
        <v>8.7156788365298726E-6</v>
      </c>
      <c r="L50" s="60">
        <f>I53</f>
        <v>5.64360180987716E-5</v>
      </c>
      <c r="M50" s="60">
        <f>(C50-$O$2)*K50+L50</f>
        <v>5.7913526925354279E-3</v>
      </c>
    </row>
    <row r="51" spans="1:13" ht="14">
      <c r="A51" s="55">
        <f t="shared" ref="A51:A57" si="9">A50</f>
        <v>53</v>
      </c>
      <c r="B51" s="55" t="s">
        <v>119</v>
      </c>
      <c r="C51" s="80">
        <v>643</v>
      </c>
      <c r="D51" s="56" t="s">
        <v>35</v>
      </c>
      <c r="E51" s="80">
        <v>72</v>
      </c>
      <c r="F51" s="80">
        <v>336</v>
      </c>
      <c r="G51" s="57">
        <v>5.0000000000000001E-4</v>
      </c>
      <c r="H51" s="58"/>
      <c r="I51" s="58">
        <f>SLOPE(G50:G56, E50:E56)</f>
        <v>8.7156788365298726E-6</v>
      </c>
      <c r="J51" s="58">
        <f>SLOPE(G50:G56, F50:F56)</f>
        <v>1.6245788637291903E-6</v>
      </c>
      <c r="K51" s="60">
        <f>I51</f>
        <v>8.7156788365298726E-6</v>
      </c>
      <c r="L51" s="60">
        <f>I53</f>
        <v>5.64360180987716E-5</v>
      </c>
      <c r="M51" s="60">
        <f>(C51-$O$2)*K51+L51</f>
        <v>5.6606175099874799E-3</v>
      </c>
    </row>
    <row r="52" spans="1:13" ht="14">
      <c r="A52" s="55">
        <f t="shared" si="9"/>
        <v>53</v>
      </c>
      <c r="B52" s="55" t="s">
        <v>120</v>
      </c>
      <c r="C52" s="80">
        <v>267</v>
      </c>
      <c r="D52" s="56" t="s">
        <v>36</v>
      </c>
      <c r="E52" s="80">
        <v>110</v>
      </c>
      <c r="F52" s="80">
        <v>682</v>
      </c>
      <c r="G52" s="57">
        <v>1E-3</v>
      </c>
      <c r="H52" s="58"/>
      <c r="I52" s="62" t="s">
        <v>71</v>
      </c>
      <c r="J52" s="62" t="s">
        <v>71</v>
      </c>
      <c r="K52" s="60">
        <f>I51</f>
        <v>8.7156788365298726E-6</v>
      </c>
      <c r="L52" s="60">
        <f>I53</f>
        <v>5.64360180987716E-5</v>
      </c>
      <c r="M52" s="60">
        <f>(C52-$O$3)*K52 + L52</f>
        <v>2.3835222674522477E-3</v>
      </c>
    </row>
    <row r="53" spans="1:13" ht="14">
      <c r="A53" s="55">
        <f t="shared" si="9"/>
        <v>53</v>
      </c>
      <c r="B53" s="55" t="s">
        <v>121</v>
      </c>
      <c r="C53" s="80">
        <v>264</v>
      </c>
      <c r="D53" s="56" t="s">
        <v>36</v>
      </c>
      <c r="E53" s="80">
        <v>222</v>
      </c>
      <c r="F53" s="80">
        <v>1334</v>
      </c>
      <c r="G53" s="57">
        <v>2E-3</v>
      </c>
      <c r="H53" s="58"/>
      <c r="I53" s="58">
        <f>INTERCEPT(G50:G56, E50:E56)</f>
        <v>5.64360180987716E-5</v>
      </c>
      <c r="J53" s="58">
        <f>INTERCEPT(G50:G56, F50:F56)</f>
        <v>-1.9158565477695941E-5</v>
      </c>
      <c r="K53" s="60">
        <f>I51</f>
        <v>8.7156788365298726E-6</v>
      </c>
      <c r="L53" s="60">
        <f>I53</f>
        <v>5.64360180987716E-5</v>
      </c>
      <c r="M53" s="60">
        <f>(C53-$O$3)*K53+ L53</f>
        <v>2.3573752309426579E-3</v>
      </c>
    </row>
    <row r="54" spans="1:13" ht="14">
      <c r="A54" s="55">
        <f t="shared" si="9"/>
        <v>53</v>
      </c>
      <c r="B54" s="55" t="s">
        <v>122</v>
      </c>
      <c r="C54" s="80">
        <v>1972</v>
      </c>
      <c r="D54" s="56" t="s">
        <v>37</v>
      </c>
      <c r="E54" s="80">
        <v>519</v>
      </c>
      <c r="F54" s="80">
        <v>3015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1.6245788637291903E-6</v>
      </c>
      <c r="L54" s="60">
        <f>J53</f>
        <v>-1.9158565477695941E-5</v>
      </c>
      <c r="M54" s="60">
        <f>(C54-$O$4)*K54 + L54</f>
        <v>2.5525497758056123E-3</v>
      </c>
    </row>
    <row r="55" spans="1:13" ht="14">
      <c r="A55" s="55">
        <f t="shared" si="9"/>
        <v>53</v>
      </c>
      <c r="B55" s="55" t="s">
        <v>123</v>
      </c>
      <c r="C55" s="80">
        <v>2026</v>
      </c>
      <c r="D55" s="56" t="s">
        <v>37</v>
      </c>
      <c r="E55" s="80">
        <v>1125</v>
      </c>
      <c r="F55" s="80">
        <v>5975</v>
      </c>
      <c r="G55" s="57">
        <v>0.01</v>
      </c>
      <c r="H55" s="58"/>
      <c r="I55" s="61">
        <f>RSQ(G50:G56, E50:E56)</f>
        <v>0.99906034110790909</v>
      </c>
      <c r="J55" s="61">
        <f>RSQ(G50:G56, F50:F56)</f>
        <v>0.99947305149317278</v>
      </c>
      <c r="K55" s="60">
        <f>J51</f>
        <v>1.6245788637291903E-6</v>
      </c>
      <c r="L55" s="60">
        <f>J53</f>
        <v>-1.9158565477695941E-5</v>
      </c>
      <c r="M55" s="60">
        <f>(C55-$O$4)*K55 + L55</f>
        <v>2.6402770344469886E-3</v>
      </c>
    </row>
    <row r="56" spans="1:13" ht="14">
      <c r="A56" s="55">
        <f t="shared" si="9"/>
        <v>53</v>
      </c>
      <c r="B56" s="55" t="s">
        <v>124</v>
      </c>
      <c r="C56" s="80"/>
      <c r="D56" s="56" t="s">
        <v>38</v>
      </c>
      <c r="E56" s="80">
        <v>2306</v>
      </c>
      <c r="F56" s="80">
        <v>12420</v>
      </c>
      <c r="G56" s="57">
        <v>0.02</v>
      </c>
      <c r="H56" s="58"/>
      <c r="I56" s="58"/>
      <c r="J56" s="58"/>
      <c r="K56" s="60">
        <f>I51</f>
        <v>8.7156788365298726E-6</v>
      </c>
      <c r="L56" s="60">
        <f>I53</f>
        <v>5.64360180987716E-5</v>
      </c>
      <c r="M56" s="60">
        <f>(C56-$O$5)*K56 + L56</f>
        <v>5.64360180987716E-5</v>
      </c>
    </row>
    <row r="57" spans="1:13" ht="14">
      <c r="A57" s="55">
        <f t="shared" si="9"/>
        <v>53</v>
      </c>
      <c r="B57" s="55" t="s">
        <v>125</v>
      </c>
      <c r="C57" s="80">
        <v>135</v>
      </c>
      <c r="D57" s="56" t="s">
        <v>38</v>
      </c>
      <c r="E57" s="80">
        <v>18</v>
      </c>
      <c r="F57" s="80">
        <v>12</v>
      </c>
      <c r="G57" s="56"/>
      <c r="H57" s="58"/>
      <c r="I57" s="58"/>
      <c r="J57" s="58"/>
      <c r="K57" s="60">
        <f>I51</f>
        <v>8.7156788365298726E-6</v>
      </c>
      <c r="L57" s="60">
        <f>I53</f>
        <v>5.64360180987716E-5</v>
      </c>
      <c r="M57" s="60">
        <f>(C57-$O$5)*K57 + L57</f>
        <v>1.2330526610303044E-3</v>
      </c>
    </row>
    <row r="58" spans="1:13" ht="14">
      <c r="A58" s="55">
        <f>P9</f>
        <v>55</v>
      </c>
      <c r="B58" s="55" t="s">
        <v>126</v>
      </c>
      <c r="C58" s="80">
        <v>705</v>
      </c>
      <c r="D58" s="56" t="s">
        <v>35</v>
      </c>
      <c r="E58" s="80">
        <v>24</v>
      </c>
      <c r="F58" s="80">
        <v>17</v>
      </c>
      <c r="G58" s="57">
        <v>0</v>
      </c>
      <c r="H58" s="58"/>
      <c r="I58" s="62" t="s">
        <v>68</v>
      </c>
      <c r="J58" s="62" t="s">
        <v>68</v>
      </c>
      <c r="K58" s="60">
        <f>I59</f>
        <v>8.6606707606426115E-6</v>
      </c>
      <c r="L58" s="60">
        <f>I61</f>
        <v>-9.1081595334850662E-5</v>
      </c>
      <c r="M58" s="60">
        <f>(C58-$O$2)*K58+L58</f>
        <v>6.0146912909181905E-3</v>
      </c>
    </row>
    <row r="59" spans="1:13" ht="14">
      <c r="A59" s="55">
        <f t="shared" ref="A59:A65" si="10">A58</f>
        <v>55</v>
      </c>
      <c r="B59" s="55" t="s">
        <v>127</v>
      </c>
      <c r="C59" s="80">
        <v>723</v>
      </c>
      <c r="D59" s="56" t="s">
        <v>35</v>
      </c>
      <c r="E59" s="80">
        <v>73</v>
      </c>
      <c r="F59" s="80">
        <v>334</v>
      </c>
      <c r="G59" s="57">
        <v>5.0000000000000001E-4</v>
      </c>
      <c r="H59" s="58"/>
      <c r="I59" s="58">
        <f>SLOPE(G58:G64, E58:E64)</f>
        <v>8.6606707606426115E-6</v>
      </c>
      <c r="J59" s="58">
        <f>SLOPE(G58:G64, F58:F64)</f>
        <v>1.6587309867871804E-6</v>
      </c>
      <c r="K59" s="60">
        <f>I59</f>
        <v>8.6606707606426115E-6</v>
      </c>
      <c r="L59" s="60">
        <f>I61</f>
        <v>-9.1081595334850662E-5</v>
      </c>
      <c r="M59" s="60">
        <f>(C59-$O$2)*K59+L59</f>
        <v>6.1705833646097576E-3</v>
      </c>
    </row>
    <row r="60" spans="1:13" ht="14">
      <c r="A60" s="55">
        <f t="shared" si="10"/>
        <v>55</v>
      </c>
      <c r="B60" s="55" t="s">
        <v>128</v>
      </c>
      <c r="C60" s="80">
        <v>292</v>
      </c>
      <c r="D60" s="56" t="s">
        <v>36</v>
      </c>
      <c r="E60" s="80">
        <v>141</v>
      </c>
      <c r="F60" s="80">
        <v>686</v>
      </c>
      <c r="G60" s="57">
        <v>1E-3</v>
      </c>
      <c r="H60" s="58"/>
      <c r="I60" s="62" t="s">
        <v>71</v>
      </c>
      <c r="J60" s="62" t="s">
        <v>71</v>
      </c>
      <c r="K60" s="60">
        <f>I59</f>
        <v>8.6606707606426115E-6</v>
      </c>
      <c r="L60" s="60">
        <f>I61</f>
        <v>-9.1081595334850662E-5</v>
      </c>
      <c r="M60" s="60">
        <f>(C60-$O$3)*K60 + L60</f>
        <v>2.4378342667727921E-3</v>
      </c>
    </row>
    <row r="61" spans="1:13" ht="14">
      <c r="A61" s="55">
        <f t="shared" si="10"/>
        <v>55</v>
      </c>
      <c r="B61" s="55" t="s">
        <v>129</v>
      </c>
      <c r="C61" s="80">
        <v>300</v>
      </c>
      <c r="D61" s="56" t="s">
        <v>36</v>
      </c>
      <c r="E61" s="80">
        <v>216</v>
      </c>
      <c r="F61" s="80">
        <v>1475</v>
      </c>
      <c r="G61" s="57">
        <v>2E-3</v>
      </c>
      <c r="H61" s="58"/>
      <c r="I61" s="58">
        <f>INTERCEPT(G58:G64, E58:E64)</f>
        <v>-9.1081595334850662E-5</v>
      </c>
      <c r="J61" s="58">
        <f>INTERCEPT(G58:G64, F58:F64)</f>
        <v>-2.0011055530937474E-4</v>
      </c>
      <c r="K61" s="60">
        <f>I59</f>
        <v>8.6606707606426115E-6</v>
      </c>
      <c r="L61" s="60">
        <f>I61</f>
        <v>-9.1081595334850662E-5</v>
      </c>
      <c r="M61" s="60">
        <f>(C61-$O$3)*K61+ L61</f>
        <v>2.5071196328579327E-3</v>
      </c>
    </row>
    <row r="62" spans="1:13" ht="14">
      <c r="A62" s="55">
        <f t="shared" si="10"/>
        <v>55</v>
      </c>
      <c r="B62" s="55" t="s">
        <v>130</v>
      </c>
      <c r="C62" s="80">
        <v>2030</v>
      </c>
      <c r="D62" s="56" t="s">
        <v>37</v>
      </c>
      <c r="E62" s="80">
        <v>539</v>
      </c>
      <c r="F62" s="80">
        <v>3161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1.6587309867871804E-6</v>
      </c>
      <c r="L62" s="60">
        <f>J61</f>
        <v>-2.0011055530937474E-4</v>
      </c>
      <c r="M62" s="60">
        <f>(C62-$O$4)*K62 + L62</f>
        <v>2.5218669940083884E-3</v>
      </c>
    </row>
    <row r="63" spans="1:13" ht="14">
      <c r="A63" s="55">
        <f t="shared" si="10"/>
        <v>55</v>
      </c>
      <c r="B63" s="55" t="s">
        <v>131</v>
      </c>
      <c r="C63" s="80">
        <v>2137</v>
      </c>
      <c r="D63" s="56" t="s">
        <v>37</v>
      </c>
      <c r="E63" s="80">
        <v>1226</v>
      </c>
      <c r="F63" s="80">
        <v>6306</v>
      </c>
      <c r="G63" s="57">
        <v>0.01</v>
      </c>
      <c r="H63" s="58"/>
      <c r="I63" s="61">
        <f>RSQ(G58:G64, E58:E64)</f>
        <v>0.99822048233340732</v>
      </c>
      <c r="J63" s="61">
        <f>RSQ(G58:G64, F58:F64)</f>
        <v>0.99932943411350506</v>
      </c>
      <c r="K63" s="60">
        <f>J59</f>
        <v>1.6587309867871804E-6</v>
      </c>
      <c r="L63" s="60">
        <f>J61</f>
        <v>-2.0011055530937474E-4</v>
      </c>
      <c r="M63" s="60">
        <f>(C63-$O$4)*K63 + L63</f>
        <v>2.6993512095946164E-3</v>
      </c>
    </row>
    <row r="64" spans="1:13" ht="14">
      <c r="A64" s="55">
        <f t="shared" si="10"/>
        <v>55</v>
      </c>
      <c r="B64" s="55" t="s">
        <v>132</v>
      </c>
      <c r="C64" s="80"/>
      <c r="D64" s="56" t="s">
        <v>38</v>
      </c>
      <c r="E64" s="80">
        <v>2300</v>
      </c>
      <c r="F64" s="80">
        <v>12076</v>
      </c>
      <c r="G64" s="57">
        <v>0.02</v>
      </c>
      <c r="H64" s="58"/>
      <c r="I64" s="58"/>
      <c r="J64" s="58"/>
      <c r="K64" s="60">
        <f>I59</f>
        <v>8.6606707606426115E-6</v>
      </c>
      <c r="L64" s="60">
        <f>I61</f>
        <v>-9.1081595334850662E-5</v>
      </c>
      <c r="M64" s="60">
        <f>(C64-$O$5)*K64 + L64</f>
        <v>-9.1081595334850662E-5</v>
      </c>
    </row>
    <row r="65" spans="1:26" ht="14">
      <c r="A65" s="55">
        <f t="shared" si="10"/>
        <v>55</v>
      </c>
      <c r="B65" s="55" t="s">
        <v>133</v>
      </c>
      <c r="C65" s="80">
        <v>145</v>
      </c>
      <c r="D65" s="56" t="s">
        <v>38</v>
      </c>
      <c r="E65" s="80">
        <v>16</v>
      </c>
      <c r="F65" s="80">
        <v>13</v>
      </c>
      <c r="G65" s="56"/>
      <c r="H65" s="58"/>
      <c r="I65" s="58"/>
      <c r="J65" s="58"/>
      <c r="K65" s="60">
        <f>I59</f>
        <v>8.6606707606426115E-6</v>
      </c>
      <c r="L65" s="60">
        <f>I61</f>
        <v>-9.1081595334850662E-5</v>
      </c>
      <c r="M65" s="60">
        <f>(C65-$O$5)*K65 + L65</f>
        <v>1.164715664958328E-3</v>
      </c>
    </row>
    <row r="66" spans="1:26" ht="14">
      <c r="A66" s="55">
        <f>P10</f>
        <v>56</v>
      </c>
      <c r="B66" s="55" t="s">
        <v>134</v>
      </c>
      <c r="C66" s="80">
        <v>718</v>
      </c>
      <c r="D66" s="56" t="s">
        <v>35</v>
      </c>
      <c r="E66" s="80">
        <v>22</v>
      </c>
      <c r="F66" s="80">
        <v>16</v>
      </c>
      <c r="G66" s="57">
        <v>0</v>
      </c>
      <c r="H66" s="58"/>
      <c r="I66" s="62" t="s">
        <v>68</v>
      </c>
      <c r="J66" s="62" t="s">
        <v>68</v>
      </c>
      <c r="K66" s="60">
        <f>I67</f>
        <v>9.6276432651544773E-6</v>
      </c>
      <c r="L66" s="60">
        <f>I69</f>
        <v>-1.1016526836644339E-4</v>
      </c>
      <c r="M66" s="60">
        <f>(C66-$O$2)*K66+L66</f>
        <v>6.8024825960144716E-3</v>
      </c>
    </row>
    <row r="67" spans="1:26" ht="14">
      <c r="A67" s="55">
        <f t="shared" ref="A67:A73" si="11">A66</f>
        <v>56</v>
      </c>
      <c r="B67" s="55" t="s">
        <v>135</v>
      </c>
      <c r="C67" s="80">
        <v>769</v>
      </c>
      <c r="D67" s="56" t="s">
        <v>35</v>
      </c>
      <c r="E67" s="80">
        <v>68</v>
      </c>
      <c r="F67" s="80">
        <v>348</v>
      </c>
      <c r="G67" s="57">
        <v>5.0000000000000001E-4</v>
      </c>
      <c r="H67" s="58"/>
      <c r="I67" s="58">
        <f>SLOPE(G66:G72, E66:E72)</f>
        <v>9.6276432651544773E-6</v>
      </c>
      <c r="J67" s="58">
        <f>SLOPE(G66:G72, F66:F72)</f>
        <v>1.7282070520951531E-6</v>
      </c>
      <c r="K67" s="60">
        <f>I67</f>
        <v>9.6276432651544773E-6</v>
      </c>
      <c r="L67" s="60">
        <f>I69</f>
        <v>-1.1016526836644339E-4</v>
      </c>
      <c r="M67" s="60">
        <f>(C67-$O$2)*K67+L67</f>
        <v>7.2934924025373493E-3</v>
      </c>
    </row>
    <row r="68" spans="1:26" ht="14">
      <c r="A68" s="55">
        <f t="shared" si="11"/>
        <v>56</v>
      </c>
      <c r="B68" s="55" t="s">
        <v>136</v>
      </c>
      <c r="C68" s="80">
        <v>306</v>
      </c>
      <c r="D68" s="56" t="s">
        <v>36</v>
      </c>
      <c r="E68" s="80">
        <v>118</v>
      </c>
      <c r="F68" s="80">
        <v>715</v>
      </c>
      <c r="G68" s="57">
        <v>1E-3</v>
      </c>
      <c r="H68" s="58"/>
      <c r="I68" s="62" t="s">
        <v>71</v>
      </c>
      <c r="J68" s="62" t="s">
        <v>71</v>
      </c>
      <c r="K68" s="60">
        <f>I67</f>
        <v>9.6276432651544773E-6</v>
      </c>
      <c r="L68" s="60">
        <f>I69</f>
        <v>-1.1016526836644339E-4</v>
      </c>
      <c r="M68" s="60">
        <f>(C68-$O$3)*K68 + L68</f>
        <v>2.8358935707708268E-3</v>
      </c>
    </row>
    <row r="69" spans="1:26" ht="14">
      <c r="A69" s="55">
        <f t="shared" si="11"/>
        <v>56</v>
      </c>
      <c r="B69" s="55" t="s">
        <v>137</v>
      </c>
      <c r="C69" s="80">
        <v>321</v>
      </c>
      <c r="D69" s="56" t="s">
        <v>36</v>
      </c>
      <c r="E69" s="80">
        <v>209</v>
      </c>
      <c r="F69" s="80">
        <v>1396</v>
      </c>
      <c r="G69" s="57">
        <v>2E-3</v>
      </c>
      <c r="H69" s="58"/>
      <c r="I69" s="58">
        <f>INTERCEPT(G66:G72, E66:E72)</f>
        <v>-1.1016526836644339E-4</v>
      </c>
      <c r="J69" s="58">
        <f>INTERCEPT(G66:G72, F66:F72)</f>
        <v>-2.4011628017318702E-4</v>
      </c>
      <c r="K69" s="60">
        <f>I67</f>
        <v>9.6276432651544773E-6</v>
      </c>
      <c r="L69" s="60">
        <f>I69</f>
        <v>-1.1016526836644339E-4</v>
      </c>
      <c r="M69" s="60">
        <f>(C69-$O$3)*K69+ L69</f>
        <v>2.9803082197481438E-3</v>
      </c>
    </row>
    <row r="70" spans="1:26" ht="14">
      <c r="A70" s="55">
        <f t="shared" si="11"/>
        <v>56</v>
      </c>
      <c r="B70" s="55" t="s">
        <v>138</v>
      </c>
      <c r="C70" s="80">
        <v>2126</v>
      </c>
      <c r="D70" s="56" t="s">
        <v>37</v>
      </c>
      <c r="E70" s="80">
        <v>495</v>
      </c>
      <c r="F70" s="80">
        <v>3145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1.7282070520951531E-6</v>
      </c>
      <c r="L70" s="60">
        <f>J69</f>
        <v>-2.4011628017318702E-4</v>
      </c>
      <c r="M70" s="60">
        <f>(C70-$O$4)*K70 + L70</f>
        <v>2.761779369316094E-3</v>
      </c>
    </row>
    <row r="71" spans="1:26" ht="14">
      <c r="A71" s="55">
        <f t="shared" si="11"/>
        <v>56</v>
      </c>
      <c r="B71" s="55" t="s">
        <v>139</v>
      </c>
      <c r="C71" s="80">
        <v>2194</v>
      </c>
      <c r="D71" s="56" t="s">
        <v>37</v>
      </c>
      <c r="E71" s="80">
        <v>1090</v>
      </c>
      <c r="F71" s="80">
        <v>5993</v>
      </c>
      <c r="G71" s="57">
        <v>0.01</v>
      </c>
      <c r="H71" s="58"/>
      <c r="I71" s="61">
        <f>RSQ(G66:G72, E66:E72)</f>
        <v>0.99905313574564503</v>
      </c>
      <c r="J71" s="61">
        <f>RSQ(G66:G72, F66:F72)</f>
        <v>0.9994896929449899</v>
      </c>
      <c r="K71" s="60">
        <f>J67</f>
        <v>1.7282070520951531E-6</v>
      </c>
      <c r="L71" s="60">
        <f>J69</f>
        <v>-2.4011628017318702E-4</v>
      </c>
      <c r="M71" s="60">
        <f>(C71-$O$4)*K71 + L71</f>
        <v>2.8792974488585643E-3</v>
      </c>
    </row>
    <row r="72" spans="1:26" ht="14">
      <c r="A72" s="55">
        <f t="shared" si="11"/>
        <v>56</v>
      </c>
      <c r="B72" s="55" t="s">
        <v>140</v>
      </c>
      <c r="C72" s="80"/>
      <c r="D72" s="56" t="s">
        <v>38</v>
      </c>
      <c r="E72" s="80">
        <v>2077</v>
      </c>
      <c r="F72" s="80">
        <v>11637</v>
      </c>
      <c r="G72" s="57">
        <v>0.02</v>
      </c>
      <c r="H72" s="58"/>
      <c r="I72" s="58"/>
      <c r="J72" s="58"/>
      <c r="K72" s="60">
        <f>I67</f>
        <v>9.6276432651544773E-6</v>
      </c>
      <c r="L72" s="60">
        <f>I69</f>
        <v>-1.1016526836644339E-4</v>
      </c>
      <c r="M72" s="60">
        <f>(C72-$O$5)*K72 + L72</f>
        <v>-1.1016526836644339E-4</v>
      </c>
    </row>
    <row r="73" spans="1:26" ht="14">
      <c r="A73" s="55">
        <f t="shared" si="11"/>
        <v>56</v>
      </c>
      <c r="B73" s="55" t="s">
        <v>141</v>
      </c>
      <c r="C73" s="80">
        <v>146</v>
      </c>
      <c r="D73" s="56" t="s">
        <v>38</v>
      </c>
      <c r="E73" s="80">
        <v>16</v>
      </c>
      <c r="F73" s="80">
        <v>12</v>
      </c>
      <c r="G73" s="56"/>
      <c r="H73" s="58"/>
      <c r="I73" s="58"/>
      <c r="J73" s="58"/>
      <c r="K73" s="60">
        <f>I67</f>
        <v>9.6276432651544773E-6</v>
      </c>
      <c r="L73" s="60">
        <f>I69</f>
        <v>-1.1016526836644339E-4</v>
      </c>
      <c r="M73" s="60">
        <f>(C73-$O$5)*K73 + L73</f>
        <v>1.2954706483461103E-3</v>
      </c>
    </row>
    <row r="74" spans="1:26" ht="14">
      <c r="A74" s="55">
        <f>P11</f>
        <v>57</v>
      </c>
      <c r="B74" s="55" t="s">
        <v>142</v>
      </c>
      <c r="C74" s="80">
        <v>655</v>
      </c>
      <c r="D74" s="56" t="s">
        <v>35</v>
      </c>
      <c r="E74" s="80">
        <v>19</v>
      </c>
      <c r="F74" s="80">
        <v>17</v>
      </c>
      <c r="G74" s="57">
        <v>0</v>
      </c>
      <c r="H74" s="58"/>
      <c r="I74" s="62" t="s">
        <v>68</v>
      </c>
      <c r="J74" s="62" t="s">
        <v>68</v>
      </c>
      <c r="K74" s="60">
        <f>I75</f>
        <v>1.0157086754730454E-5</v>
      </c>
      <c r="L74" s="60">
        <f>I77</f>
        <v>-2.285969296679756E-4</v>
      </c>
      <c r="M74" s="60">
        <f>(C74-$O$2)*K74+L74</f>
        <v>6.4242948946804717E-3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57</v>
      </c>
      <c r="B75" s="55" t="s">
        <v>143</v>
      </c>
      <c r="C75" s="80">
        <v>688</v>
      </c>
      <c r="D75" s="56" t="s">
        <v>35</v>
      </c>
      <c r="E75" s="80">
        <v>62</v>
      </c>
      <c r="F75" s="80">
        <v>358</v>
      </c>
      <c r="G75" s="57">
        <v>5.0000000000000001E-4</v>
      </c>
      <c r="H75" s="58"/>
      <c r="I75" s="58">
        <f>SLOPE(G74:G80, E74:E80)</f>
        <v>1.0157086754730454E-5</v>
      </c>
      <c r="J75" s="58">
        <f>SLOPE(G74:G80, F74:F80)</f>
        <v>1.6658633893935481E-6</v>
      </c>
      <c r="K75" s="60">
        <f>I75</f>
        <v>1.0157086754730454E-5</v>
      </c>
      <c r="L75" s="60">
        <f>I77</f>
        <v>-2.285969296679756E-4</v>
      </c>
      <c r="M75" s="60">
        <f>(C75-$O$2)*K75+L75</f>
        <v>6.759478757586577E-3</v>
      </c>
    </row>
    <row r="76" spans="1:26" ht="14">
      <c r="A76" s="55">
        <f t="shared" si="12"/>
        <v>57</v>
      </c>
      <c r="B76" s="55" t="s">
        <v>144</v>
      </c>
      <c r="C76" s="80">
        <v>276</v>
      </c>
      <c r="D76" s="56" t="s">
        <v>36</v>
      </c>
      <c r="E76" s="80">
        <v>118</v>
      </c>
      <c r="F76" s="80">
        <v>708</v>
      </c>
      <c r="G76" s="57">
        <v>1E-3</v>
      </c>
      <c r="H76" s="58"/>
      <c r="I76" s="62" t="s">
        <v>71</v>
      </c>
      <c r="J76" s="62" t="s">
        <v>71</v>
      </c>
      <c r="K76" s="60">
        <f>I75</f>
        <v>1.0157086754730454E-5</v>
      </c>
      <c r="L76" s="60">
        <f>I77</f>
        <v>-2.285969296679756E-4</v>
      </c>
      <c r="M76" s="60">
        <f>(C76-$O$3)*K76 + L76</f>
        <v>2.5747590146376295E-3</v>
      </c>
    </row>
    <row r="77" spans="1:26" ht="14">
      <c r="A77" s="55">
        <f t="shared" si="12"/>
        <v>57</v>
      </c>
      <c r="B77" s="55" t="s">
        <v>145</v>
      </c>
      <c r="C77" s="80">
        <v>293</v>
      </c>
      <c r="D77" s="56" t="s">
        <v>36</v>
      </c>
      <c r="E77" s="80">
        <v>205</v>
      </c>
      <c r="F77" s="80">
        <v>1428</v>
      </c>
      <c r="G77" s="57">
        <v>2E-3</v>
      </c>
      <c r="H77" s="58"/>
      <c r="I77" s="58">
        <f>INTERCEPT(G74:G80, E74:E80)</f>
        <v>-2.285969296679756E-4</v>
      </c>
      <c r="J77" s="58">
        <f>INTERCEPT(G74:G80, F74:F80)</f>
        <v>-3.1600505334127352E-4</v>
      </c>
      <c r="K77" s="60">
        <f>I75</f>
        <v>1.0157086754730454E-5</v>
      </c>
      <c r="L77" s="60">
        <f>I77</f>
        <v>-2.285969296679756E-4</v>
      </c>
      <c r="M77" s="60">
        <f>(C77-$O$3)*K77+ L77</f>
        <v>2.7474294894680473E-3</v>
      </c>
    </row>
    <row r="78" spans="1:26" ht="14">
      <c r="A78" s="55">
        <f t="shared" si="12"/>
        <v>57</v>
      </c>
      <c r="B78" s="55" t="s">
        <v>146</v>
      </c>
      <c r="C78" s="80">
        <v>2019</v>
      </c>
      <c r="D78" s="56" t="s">
        <v>37</v>
      </c>
      <c r="E78" s="80">
        <v>512</v>
      </c>
      <c r="F78" s="80">
        <v>3504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1.6658633893935481E-6</v>
      </c>
      <c r="L78" s="60">
        <f>J77</f>
        <v>-3.1600505334127352E-4</v>
      </c>
      <c r="M78" s="60">
        <f>(C78-$O$4)*K78 + L78</f>
        <v>2.3993522713702097E-3</v>
      </c>
    </row>
    <row r="79" spans="1:26" ht="14">
      <c r="A79" s="55">
        <f t="shared" si="12"/>
        <v>57</v>
      </c>
      <c r="B79" s="55" t="s">
        <v>147</v>
      </c>
      <c r="C79" s="80">
        <v>2067</v>
      </c>
      <c r="D79" s="56" t="s">
        <v>37</v>
      </c>
      <c r="E79" s="80">
        <v>1075</v>
      </c>
      <c r="F79" s="80">
        <v>6460</v>
      </c>
      <c r="G79" s="57">
        <v>0.01</v>
      </c>
      <c r="H79" s="58"/>
      <c r="I79" s="61">
        <f>RSQ(G74:G80, E74:E80)</f>
        <v>0.99800951331017096</v>
      </c>
      <c r="J79" s="61">
        <f>RSQ(G74:G80, F74:F80)</f>
        <v>0.99757496221019559</v>
      </c>
      <c r="K79" s="60">
        <f>J75</f>
        <v>1.6658633893935481E-6</v>
      </c>
      <c r="L79" s="60">
        <f>J77</f>
        <v>-3.1600505334127352E-4</v>
      </c>
      <c r="M79" s="60">
        <f>(C79-$O$4)*K79 + L79</f>
        <v>2.4793137140611001E-3</v>
      </c>
    </row>
    <row r="80" spans="1:26" ht="14">
      <c r="A80" s="55">
        <f t="shared" si="12"/>
        <v>57</v>
      </c>
      <c r="B80" s="55" t="s">
        <v>148</v>
      </c>
      <c r="C80" s="80"/>
      <c r="D80" s="56" t="s">
        <v>38</v>
      </c>
      <c r="E80" s="80">
        <v>1957</v>
      </c>
      <c r="F80" s="80">
        <v>11964</v>
      </c>
      <c r="G80" s="57">
        <v>0.02</v>
      </c>
      <c r="H80" s="58"/>
      <c r="I80" s="58"/>
      <c r="J80" s="58"/>
      <c r="K80" s="60">
        <f>I75</f>
        <v>1.0157086754730454E-5</v>
      </c>
      <c r="L80" s="60">
        <f>I77</f>
        <v>-2.285969296679756E-4</v>
      </c>
      <c r="M80" s="60">
        <f>(C80-$O$5)*K80 + L80</f>
        <v>-2.285969296679756E-4</v>
      </c>
    </row>
    <row r="81" spans="1:13" ht="14">
      <c r="A81" s="55">
        <f t="shared" si="12"/>
        <v>57</v>
      </c>
      <c r="B81" s="55" t="s">
        <v>149</v>
      </c>
      <c r="C81" s="80">
        <v>142</v>
      </c>
      <c r="D81" s="56" t="s">
        <v>38</v>
      </c>
      <c r="E81" s="80">
        <v>18</v>
      </c>
      <c r="F81" s="80">
        <v>12</v>
      </c>
      <c r="G81" s="56"/>
      <c r="H81" s="58"/>
      <c r="I81" s="58"/>
      <c r="J81" s="58"/>
      <c r="K81" s="60">
        <f>I75</f>
        <v>1.0157086754730454E-5</v>
      </c>
      <c r="L81" s="60">
        <f>I77</f>
        <v>-2.285969296679756E-4</v>
      </c>
      <c r="M81" s="60">
        <f>(C81-$O$5)*K81 + L81</f>
        <v>1.2137093895037488E-3</v>
      </c>
    </row>
    <row r="82" spans="1:13" ht="14">
      <c r="A82" s="55">
        <f>P12</f>
        <v>58</v>
      </c>
      <c r="B82" s="55" t="s">
        <v>150</v>
      </c>
      <c r="C82" s="80">
        <v>758</v>
      </c>
      <c r="D82" s="56" t="s">
        <v>35</v>
      </c>
      <c r="E82" s="80">
        <v>19</v>
      </c>
      <c r="F82" s="80">
        <v>19</v>
      </c>
      <c r="G82" s="57">
        <v>0</v>
      </c>
      <c r="H82" s="58"/>
      <c r="I82" s="62" t="s">
        <v>68</v>
      </c>
      <c r="J82" s="62" t="s">
        <v>68</v>
      </c>
      <c r="K82" s="60">
        <f>I83</f>
        <v>1.0275091258830939E-5</v>
      </c>
      <c r="L82" s="60">
        <f>I85</f>
        <v>-2.8781211908148439E-4</v>
      </c>
      <c r="M82" s="60">
        <f>(C82-$O$2)*K82+L82</f>
        <v>7.5007070551123675E-3</v>
      </c>
    </row>
    <row r="83" spans="1:13" ht="14">
      <c r="A83" s="55">
        <f t="shared" ref="A83:A89" si="13">A82</f>
        <v>58</v>
      </c>
      <c r="B83" s="55" t="s">
        <v>151</v>
      </c>
      <c r="C83" s="80">
        <v>752</v>
      </c>
      <c r="D83" s="56" t="s">
        <v>35</v>
      </c>
      <c r="E83" s="80">
        <v>71</v>
      </c>
      <c r="F83" s="80">
        <v>375</v>
      </c>
      <c r="G83" s="57">
        <v>5.0000000000000001E-4</v>
      </c>
      <c r="H83" s="58"/>
      <c r="I83" s="58">
        <f>SLOPE(G82:G88, E82:E88)</f>
        <v>1.0275091258830939E-5</v>
      </c>
      <c r="J83" s="58">
        <f>SLOPE(G82:G88, F82:F88)</f>
        <v>1.6000230830004139E-6</v>
      </c>
      <c r="K83" s="60">
        <f>I83</f>
        <v>1.0275091258830939E-5</v>
      </c>
      <c r="L83" s="60">
        <f>I85</f>
        <v>-2.8781211908148439E-4</v>
      </c>
      <c r="M83" s="60">
        <f>(C83-$O$2)*K83+L83</f>
        <v>7.439056507559382E-3</v>
      </c>
    </row>
    <row r="84" spans="1:13" ht="14">
      <c r="A84" s="55">
        <f t="shared" si="13"/>
        <v>58</v>
      </c>
      <c r="B84" s="55" t="s">
        <v>152</v>
      </c>
      <c r="C84" s="80">
        <v>305</v>
      </c>
      <c r="D84" s="56" t="s">
        <v>36</v>
      </c>
      <c r="E84" s="80">
        <v>118</v>
      </c>
      <c r="F84" s="80">
        <v>787</v>
      </c>
      <c r="G84" s="57">
        <v>1E-3</v>
      </c>
      <c r="H84" s="58"/>
      <c r="I84" s="62" t="s">
        <v>71</v>
      </c>
      <c r="J84" s="62" t="s">
        <v>71</v>
      </c>
      <c r="K84" s="60">
        <f>I83</f>
        <v>1.0275091258830939E-5</v>
      </c>
      <c r="L84" s="60">
        <f>I85</f>
        <v>-2.8781211908148439E-4</v>
      </c>
      <c r="M84" s="60">
        <f>(C84-$O$3)*K84 + L84</f>
        <v>2.8460907148619521E-3</v>
      </c>
    </row>
    <row r="85" spans="1:13" ht="14">
      <c r="A85" s="55">
        <f t="shared" si="13"/>
        <v>58</v>
      </c>
      <c r="B85" s="55" t="s">
        <v>153</v>
      </c>
      <c r="C85" s="80">
        <v>314</v>
      </c>
      <c r="D85" s="56" t="s">
        <v>36</v>
      </c>
      <c r="E85" s="80">
        <v>192</v>
      </c>
      <c r="F85" s="80">
        <v>1522</v>
      </c>
      <c r="G85" s="57">
        <v>2E-3</v>
      </c>
      <c r="H85" s="58"/>
      <c r="I85" s="58">
        <f>INTERCEPT(G82:G88, E82:E88)</f>
        <v>-2.8781211908148439E-4</v>
      </c>
      <c r="J85" s="58">
        <f>INTERCEPT(G82:G88, F82:F88)</f>
        <v>-3.0145512423335706E-4</v>
      </c>
      <c r="K85" s="60">
        <f>I83</f>
        <v>1.0275091258830939E-5</v>
      </c>
      <c r="L85" s="60">
        <f>I85</f>
        <v>-2.8781211908148439E-4</v>
      </c>
      <c r="M85" s="60">
        <f>(C85-$O$3)*K85+ L85</f>
        <v>2.9385665361914303E-3</v>
      </c>
    </row>
    <row r="86" spans="1:13" ht="14">
      <c r="A86" s="55">
        <f t="shared" si="13"/>
        <v>58</v>
      </c>
      <c r="B86" s="55" t="s">
        <v>154</v>
      </c>
      <c r="C86" s="80">
        <v>2189</v>
      </c>
      <c r="D86" s="56" t="s">
        <v>37</v>
      </c>
      <c r="E86" s="80">
        <v>530</v>
      </c>
      <c r="F86" s="80">
        <v>3415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1.6000230830004139E-6</v>
      </c>
      <c r="L86" s="60">
        <f>J85</f>
        <v>-3.0145512423335706E-4</v>
      </c>
      <c r="M86" s="60">
        <f>(C86-$O$4)*K86 + L86</f>
        <v>2.5785864251673877E-3</v>
      </c>
    </row>
    <row r="87" spans="1:13" ht="14">
      <c r="A87" s="55">
        <f t="shared" si="13"/>
        <v>58</v>
      </c>
      <c r="B87" s="55" t="s">
        <v>155</v>
      </c>
      <c r="C87" s="80">
        <v>2180</v>
      </c>
      <c r="D87" s="56" t="s">
        <v>37</v>
      </c>
      <c r="E87" s="80">
        <v>1088</v>
      </c>
      <c r="F87" s="80">
        <v>6811</v>
      </c>
      <c r="G87" s="57">
        <v>0.01</v>
      </c>
      <c r="H87" s="58"/>
      <c r="I87" s="61">
        <f>RSQ(G82:G88, E82:E88)</f>
        <v>0.99624833018511227</v>
      </c>
      <c r="J87" s="61">
        <f>RSQ(G82:G88, F82:F88)</f>
        <v>0.99793213623819843</v>
      </c>
      <c r="K87" s="60">
        <f>J83</f>
        <v>1.6000230830004139E-6</v>
      </c>
      <c r="L87" s="60">
        <f>J85</f>
        <v>-3.0145512423335706E-4</v>
      </c>
      <c r="M87" s="60">
        <f>(C87-$O$4)*K87 + L87</f>
        <v>2.5641862174203842E-3</v>
      </c>
    </row>
    <row r="88" spans="1:13" ht="14">
      <c r="A88" s="55">
        <f t="shared" si="13"/>
        <v>58</v>
      </c>
      <c r="B88" s="55" t="s">
        <v>156</v>
      </c>
      <c r="C88" s="80"/>
      <c r="D88" s="56" t="s">
        <v>38</v>
      </c>
      <c r="E88" s="80">
        <v>1925</v>
      </c>
      <c r="F88" s="80">
        <v>12452</v>
      </c>
      <c r="G88" s="57">
        <v>0.02</v>
      </c>
      <c r="H88" s="58"/>
      <c r="I88" s="58"/>
      <c r="J88" s="58"/>
      <c r="K88" s="60">
        <f>I83</f>
        <v>1.0275091258830939E-5</v>
      </c>
      <c r="L88" s="60">
        <f>I85</f>
        <v>-2.8781211908148439E-4</v>
      </c>
      <c r="M88" s="60">
        <f>(C88-$O$5)*K88 + L88</f>
        <v>-2.8781211908148439E-4</v>
      </c>
    </row>
    <row r="89" spans="1:13" ht="14">
      <c r="A89" s="55">
        <f t="shared" si="13"/>
        <v>58</v>
      </c>
      <c r="B89" s="55" t="s">
        <v>157</v>
      </c>
      <c r="C89" s="80">
        <v>163</v>
      </c>
      <c r="D89" s="56" t="s">
        <v>38</v>
      </c>
      <c r="E89" s="80">
        <v>17</v>
      </c>
      <c r="F89" s="80">
        <v>14</v>
      </c>
      <c r="G89" s="56"/>
      <c r="H89" s="58"/>
      <c r="I89" s="58"/>
      <c r="J89" s="58"/>
      <c r="K89" s="60">
        <f>I83</f>
        <v>1.0275091258830939E-5</v>
      </c>
      <c r="L89" s="60">
        <f>I85</f>
        <v>-2.8781211908148439E-4</v>
      </c>
      <c r="M89" s="60">
        <f>(C89-$O$5)*K89 + L89</f>
        <v>1.3870277561079587E-3</v>
      </c>
    </row>
    <row r="90" spans="1:13" ht="14">
      <c r="A90" s="55">
        <f>P13</f>
        <v>60</v>
      </c>
      <c r="B90" s="55" t="s">
        <v>158</v>
      </c>
      <c r="C90" s="80">
        <v>749</v>
      </c>
      <c r="D90" s="56" t="s">
        <v>35</v>
      </c>
      <c r="E90" s="80">
        <v>22</v>
      </c>
      <c r="F90" s="80">
        <v>19</v>
      </c>
      <c r="G90" s="57">
        <v>0</v>
      </c>
      <c r="H90" s="58"/>
      <c r="I90" s="62" t="s">
        <v>68</v>
      </c>
      <c r="J90" s="62" t="s">
        <v>68</v>
      </c>
      <c r="K90" s="60">
        <f>I91</f>
        <v>9.5669152091268841E-6</v>
      </c>
      <c r="L90" s="60">
        <f>I93</f>
        <v>-1.0347890820288849E-4</v>
      </c>
      <c r="M90" s="60">
        <f>(C90-$O$2)*K90+L90</f>
        <v>7.0621405834331479E-3</v>
      </c>
    </row>
    <row r="91" spans="1:13" ht="14">
      <c r="A91" s="55">
        <f t="shared" ref="A91:A97" si="14">A90</f>
        <v>60</v>
      </c>
      <c r="B91" s="55" t="s">
        <v>159</v>
      </c>
      <c r="C91" s="80">
        <v>712</v>
      </c>
      <c r="D91" s="56" t="s">
        <v>35</v>
      </c>
      <c r="E91" s="80">
        <v>62</v>
      </c>
      <c r="F91" s="80">
        <v>364</v>
      </c>
      <c r="G91" s="57">
        <v>5.0000000000000001E-4</v>
      </c>
      <c r="H91" s="58"/>
      <c r="I91" s="58">
        <f>SLOPE(G90:G96, E90:E96)</f>
        <v>9.5669152091268841E-6</v>
      </c>
      <c r="J91" s="58">
        <f>SLOPE(G90:G96, F90:F96)</f>
        <v>1.583251358704226E-6</v>
      </c>
      <c r="K91" s="60">
        <f>I91</f>
        <v>9.5669152091268841E-6</v>
      </c>
      <c r="L91" s="60">
        <f>I93</f>
        <v>-1.0347890820288849E-4</v>
      </c>
      <c r="M91" s="60">
        <f>(C91-$O$2)*K91+L91</f>
        <v>6.7081647206954529E-3</v>
      </c>
    </row>
    <row r="92" spans="1:13" ht="14">
      <c r="A92" s="55">
        <f t="shared" si="14"/>
        <v>60</v>
      </c>
      <c r="B92" s="55" t="s">
        <v>160</v>
      </c>
      <c r="C92" s="80">
        <v>307</v>
      </c>
      <c r="D92" s="56" t="s">
        <v>36</v>
      </c>
      <c r="E92" s="80">
        <v>150</v>
      </c>
      <c r="F92" s="80">
        <v>713</v>
      </c>
      <c r="G92" s="57">
        <v>1E-3</v>
      </c>
      <c r="H92" s="58"/>
      <c r="I92" s="62" t="s">
        <v>71</v>
      </c>
      <c r="J92" s="62" t="s">
        <v>71</v>
      </c>
      <c r="K92" s="60">
        <f>I91</f>
        <v>9.5669152091268841E-6</v>
      </c>
      <c r="L92" s="60">
        <f>I93</f>
        <v>-1.0347890820288849E-4</v>
      </c>
      <c r="M92" s="60">
        <f>(C92-$O$3)*K92 + L92</f>
        <v>2.833564060999065E-3</v>
      </c>
    </row>
    <row r="93" spans="1:13" ht="14">
      <c r="A93" s="55">
        <f t="shared" si="14"/>
        <v>60</v>
      </c>
      <c r="B93" s="55" t="s">
        <v>161</v>
      </c>
      <c r="C93" s="80">
        <v>338</v>
      </c>
      <c r="D93" s="56" t="s">
        <v>36</v>
      </c>
      <c r="E93" s="80">
        <v>231</v>
      </c>
      <c r="F93" s="80">
        <v>1440</v>
      </c>
      <c r="G93" s="57">
        <v>2E-3</v>
      </c>
      <c r="H93" s="58"/>
      <c r="I93" s="58">
        <f>INTERCEPT(G90:G96, E90:E96)</f>
        <v>-1.0347890820288849E-4</v>
      </c>
      <c r="J93" s="58">
        <f>INTERCEPT(G90:G96, F90:F96)</f>
        <v>-2.0106196392838827E-4</v>
      </c>
      <c r="K93" s="60">
        <f>I91</f>
        <v>9.5669152091268841E-6</v>
      </c>
      <c r="L93" s="60">
        <f>I93</f>
        <v>-1.0347890820288849E-4</v>
      </c>
      <c r="M93" s="60">
        <f>(C93-$O$3)*K93+ L93</f>
        <v>3.1301384324819983E-3</v>
      </c>
    </row>
    <row r="94" spans="1:13" ht="14">
      <c r="A94" s="55">
        <f t="shared" si="14"/>
        <v>60</v>
      </c>
      <c r="B94" s="55" t="s">
        <v>162</v>
      </c>
      <c r="C94" s="80">
        <v>2290</v>
      </c>
      <c r="D94" s="56" t="s">
        <v>37</v>
      </c>
      <c r="E94" s="80">
        <v>446</v>
      </c>
      <c r="F94" s="80">
        <v>3310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1.583251358704226E-6</v>
      </c>
      <c r="L94" s="60">
        <f>J93</f>
        <v>-2.0106196392838827E-4</v>
      </c>
      <c r="M94" s="60">
        <f>(C94-$O$4)*K94 + L94</f>
        <v>2.8086988689683453E-3</v>
      </c>
    </row>
    <row r="95" spans="1:13" ht="14">
      <c r="A95" s="55">
        <f t="shared" si="14"/>
        <v>60</v>
      </c>
      <c r="B95" s="55" t="s">
        <v>163</v>
      </c>
      <c r="C95" s="80">
        <v>2359</v>
      </c>
      <c r="D95" s="56" t="s">
        <v>37</v>
      </c>
      <c r="E95" s="80">
        <v>1091</v>
      </c>
      <c r="F95" s="80">
        <v>6803</v>
      </c>
      <c r="G95" s="57">
        <v>0.01</v>
      </c>
      <c r="H95" s="58"/>
      <c r="I95" s="61">
        <f>RSQ(G90:G96, E90:E96)</f>
        <v>0.99703176306608687</v>
      </c>
      <c r="J95" s="61">
        <f>RSQ(G90:G96, F90:F96)</f>
        <v>0.99847734509277297</v>
      </c>
      <c r="K95" s="60">
        <f>J91</f>
        <v>1.583251358704226E-6</v>
      </c>
      <c r="L95" s="60">
        <f>J93</f>
        <v>-2.0106196392838827E-4</v>
      </c>
      <c r="M95" s="60">
        <f>(C95-$O$4)*K95 + L95</f>
        <v>2.9179432127189372E-3</v>
      </c>
    </row>
    <row r="96" spans="1:13" ht="14">
      <c r="A96" s="55">
        <f t="shared" si="14"/>
        <v>60</v>
      </c>
      <c r="B96" s="55" t="s">
        <v>164</v>
      </c>
      <c r="C96" s="80"/>
      <c r="D96" s="56" t="s">
        <v>38</v>
      </c>
      <c r="E96" s="80">
        <v>2098</v>
      </c>
      <c r="F96" s="80">
        <v>12557</v>
      </c>
      <c r="G96" s="57">
        <v>0.02</v>
      </c>
      <c r="I96" s="58"/>
      <c r="J96" s="58"/>
      <c r="K96" s="60">
        <f>I91</f>
        <v>9.5669152091268841E-6</v>
      </c>
      <c r="L96" s="60">
        <f>I93</f>
        <v>-1.0347890820288849E-4</v>
      </c>
      <c r="M96" s="60">
        <f>(C96-$O$5)*K96 + L96</f>
        <v>-1.0347890820288849E-4</v>
      </c>
    </row>
    <row r="97" spans="1:13" ht="14">
      <c r="A97" s="55">
        <f t="shared" si="14"/>
        <v>60</v>
      </c>
      <c r="B97" s="55" t="s">
        <v>165</v>
      </c>
      <c r="C97" s="80">
        <v>142</v>
      </c>
      <c r="D97" s="56" t="s">
        <v>38</v>
      </c>
      <c r="E97" s="80">
        <v>15</v>
      </c>
      <c r="F97" s="80">
        <v>13</v>
      </c>
      <c r="G97" s="56"/>
      <c r="I97" s="58"/>
      <c r="J97" s="58"/>
      <c r="K97" s="60">
        <f>I91</f>
        <v>9.5669152091268841E-6</v>
      </c>
      <c r="L97" s="60">
        <f>I93</f>
        <v>-1.0347890820288849E-4</v>
      </c>
      <c r="M97" s="60">
        <f>(C97-$O$5)*K97 + L97</f>
        <v>1.2550230514931291E-3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4" si="15">AVERAGE(C2,C10,C18,C26,C34,C42,C50,C58,C66,C74,C82,C90)</f>
        <v>656.83333333333337</v>
      </c>
      <c r="D100" s="56" t="s">
        <v>35</v>
      </c>
      <c r="I100" s="58"/>
      <c r="J100" s="58"/>
    </row>
    <row r="101" spans="1:13" ht="14">
      <c r="C101" s="63">
        <f t="shared" si="15"/>
        <v>665.91666666666663</v>
      </c>
      <c r="D101" s="56" t="s">
        <v>35</v>
      </c>
      <c r="I101" s="58"/>
      <c r="J101" s="58"/>
    </row>
    <row r="102" spans="1:13" ht="14">
      <c r="C102" s="63">
        <f t="shared" si="15"/>
        <v>280.33333333333331</v>
      </c>
      <c r="D102" s="56" t="s">
        <v>36</v>
      </c>
      <c r="I102" s="58"/>
      <c r="J102" s="58"/>
    </row>
    <row r="103" spans="1:13" ht="14">
      <c r="C103" s="63">
        <f t="shared" si="15"/>
        <v>286.58333333333331</v>
      </c>
      <c r="D103" s="56" t="s">
        <v>36</v>
      </c>
      <c r="I103" s="58"/>
      <c r="J103" s="58"/>
    </row>
    <row r="104" spans="1:13" ht="14">
      <c r="C104" s="63">
        <f t="shared" si="15"/>
        <v>1968.0833333333333</v>
      </c>
      <c r="D104" s="56" t="s">
        <v>37</v>
      </c>
      <c r="I104" s="58"/>
      <c r="J104" s="58"/>
    </row>
    <row r="105" spans="1:13" ht="14">
      <c r="C105" s="63">
        <f>AVERAGE(C7,C15,C23,C31,C39,C47,C55,C63,C71,C79,C87,C95)</f>
        <v>2000.8333333333333</v>
      </c>
      <c r="D105" s="56" t="s">
        <v>37</v>
      </c>
      <c r="I105" s="58"/>
      <c r="J105" s="58"/>
    </row>
    <row r="106" spans="1:13" ht="14">
      <c r="C106" s="63" t="e">
        <f t="shared" ref="C106:C107" si="16">AVERAGE(C8,C16,C24,C32,C40,C48,C56,C64,C72,C80,C88,C96)</f>
        <v>#DIV/0!</v>
      </c>
      <c r="D106" s="56" t="s">
        <v>38</v>
      </c>
      <c r="I106" s="58"/>
      <c r="J106" s="58"/>
    </row>
    <row r="107" spans="1:13" ht="14">
      <c r="C107" s="63">
        <f t="shared" si="16"/>
        <v>140.25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6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10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1145-E991-2F4A-858F-8CBFE5F5FBBD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I1" sqref="I1:J1048576"/>
      <selection pane="topRight" activeCell="I1" sqref="I1:J1048576"/>
      <selection pane="bottomLeft" activeCell="I1" sqref="I1:J1048576"/>
      <selection pane="bottomRight" activeCell="T14" sqref="T14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61</v>
      </c>
      <c r="B2" s="55" t="s">
        <v>67</v>
      </c>
      <c r="C2" s="80">
        <v>345</v>
      </c>
      <c r="D2" s="56" t="s">
        <v>35</v>
      </c>
      <c r="E2" s="80">
        <v>17</v>
      </c>
      <c r="F2" s="80">
        <v>27</v>
      </c>
      <c r="G2" s="57">
        <v>0</v>
      </c>
      <c r="H2" s="58"/>
      <c r="I2" s="59" t="s">
        <v>68</v>
      </c>
      <c r="J2" s="59" t="s">
        <v>68</v>
      </c>
      <c r="K2" s="60">
        <f>I3</f>
        <v>1.1614845565453138E-5</v>
      </c>
      <c r="L2" s="60">
        <f>I5</f>
        <v>-1.0499261715724191E-4</v>
      </c>
      <c r="M2" s="60">
        <f>(C2-$O$2)*K2+L2</f>
        <v>3.902129102924091E-3</v>
      </c>
      <c r="N2" s="47" t="str">
        <f>'enzyme setup and metadata'!F179</f>
        <v>BG</v>
      </c>
      <c r="O2" s="47">
        <f>'enzyme setup and metadata'!G179</f>
        <v>0</v>
      </c>
      <c r="P2" s="91">
        <f>'enzyme setup and metadata'!A50</f>
        <v>61</v>
      </c>
      <c r="Q2" s="66">
        <f>'enzyme setup and metadata'!I50</f>
        <v>2.1494289340101522</v>
      </c>
      <c r="R2" s="14">
        <f>'enzyme setup and metadata'!R180</f>
        <v>3.2499999999417923</v>
      </c>
      <c r="S2" s="14">
        <f>(((M2+M3)/2)*91)/(R2*Q2*0.8)</f>
        <v>6.590402283060405E-2</v>
      </c>
      <c r="T2" s="14">
        <f>(((M4+M5)/2)*91)/(R2*Q2*0.8)</f>
        <v>3.1009700876760523E-2</v>
      </c>
      <c r="U2" s="14">
        <f>(((M6+M7)/2)*91)/(R2*Q2*0.8)</f>
        <v>2.2476604024156042E-2</v>
      </c>
      <c r="V2" s="14">
        <f>(((M8+M9)/2)*91)/(R2*Q2*0.8)</f>
        <v>1.5028290551016463E-2</v>
      </c>
      <c r="W2" s="14">
        <f>S2*1000</f>
        <v>65.904022830604049</v>
      </c>
      <c r="X2" s="14">
        <f>T2*1000</f>
        <v>31.009700876760522</v>
      </c>
      <c r="Y2" s="14">
        <f>U2*1000</f>
        <v>22.476604024156043</v>
      </c>
      <c r="Z2" s="14">
        <f>V2*1000</f>
        <v>15.028290551016463</v>
      </c>
    </row>
    <row r="3" spans="1:26" ht="14">
      <c r="A3" s="55">
        <f t="shared" ref="A3:A9" si="0">A2</f>
        <v>61</v>
      </c>
      <c r="B3" s="55" t="s">
        <v>69</v>
      </c>
      <c r="C3" s="80">
        <v>370</v>
      </c>
      <c r="D3" s="56" t="s">
        <v>35</v>
      </c>
      <c r="E3" s="80">
        <v>56</v>
      </c>
      <c r="F3" s="80">
        <v>216</v>
      </c>
      <c r="G3" s="57">
        <v>5.0000000000000001E-4</v>
      </c>
      <c r="H3" s="58"/>
      <c r="I3" s="59">
        <f>SLOPE(G2:G8, E2:E8)</f>
        <v>1.1614845565453138E-5</v>
      </c>
      <c r="J3" s="59">
        <f>SLOPE(G2:G8, F2:F8)</f>
        <v>1.822225357468077E-6</v>
      </c>
      <c r="K3" s="60">
        <f>I3</f>
        <v>1.1614845565453138E-5</v>
      </c>
      <c r="L3" s="60">
        <f>I5</f>
        <v>-1.0499261715724191E-4</v>
      </c>
      <c r="M3" s="60">
        <f>(C3-$O$2)*K3+L3</f>
        <v>4.1925002420604195E-3</v>
      </c>
      <c r="N3" s="47" t="str">
        <f>'enzyme setup and metadata'!F180</f>
        <v>CB</v>
      </c>
      <c r="O3" s="47">
        <f>'enzyme setup and metadata'!G180</f>
        <v>0</v>
      </c>
      <c r="P3" s="91">
        <f>'enzyme setup and metadata'!A51</f>
        <v>62</v>
      </c>
      <c r="Q3" s="66">
        <f>'enzyme setup and metadata'!I51</f>
        <v>2.1490880253766851</v>
      </c>
      <c r="R3" s="14">
        <f>R2</f>
        <v>3.2499999999417923</v>
      </c>
      <c r="S3" s="14">
        <f>(((M10+M11)/2)*91)/(R3*Q3*0.8)</f>
        <v>7.0909162856317071E-2</v>
      </c>
      <c r="T3" s="14">
        <f>(((M12+M13)/2)*91)/(R3*Q3*0.8)</f>
        <v>3.0099214381157521E-2</v>
      </c>
      <c r="U3" s="14">
        <f>(((M14+M15)/2)*91)/(R3*Q3*0.8)</f>
        <v>2.672834912397791E-2</v>
      </c>
      <c r="V3" s="14">
        <f>(((M16+M17)/2)*91)/(R3*Q3*0.8)</f>
        <v>1.4028039981647783E-2</v>
      </c>
      <c r="W3" s="14">
        <f>S3*1000</f>
        <v>70.909162856317067</v>
      </c>
      <c r="X3" s="14">
        <f t="shared" ref="X3:Z13" si="1">T3*1000</f>
        <v>30.09921438115752</v>
      </c>
      <c r="Y3" s="14">
        <f t="shared" si="1"/>
        <v>26.72834912397791</v>
      </c>
      <c r="Z3" s="14">
        <f t="shared" si="1"/>
        <v>14.028039981647783</v>
      </c>
    </row>
    <row r="4" spans="1:26" ht="14">
      <c r="A4" s="55">
        <f t="shared" si="0"/>
        <v>61</v>
      </c>
      <c r="B4" s="55" t="s">
        <v>70</v>
      </c>
      <c r="C4" s="80">
        <v>176</v>
      </c>
      <c r="D4" s="56" t="s">
        <v>36</v>
      </c>
      <c r="E4" s="80">
        <v>95</v>
      </c>
      <c r="F4" s="80">
        <v>615</v>
      </c>
      <c r="G4" s="57">
        <v>1E-3</v>
      </c>
      <c r="H4" s="58"/>
      <c r="I4" s="59" t="s">
        <v>71</v>
      </c>
      <c r="J4" s="59" t="s">
        <v>71</v>
      </c>
      <c r="K4" s="60">
        <f>I3</f>
        <v>1.1614845565453138E-5</v>
      </c>
      <c r="L4" s="60">
        <f>I5</f>
        <v>-1.0499261715724191E-4</v>
      </c>
      <c r="M4" s="60">
        <f>(C4-$O$3)*K4 + L4</f>
        <v>1.9392202023625106E-3</v>
      </c>
      <c r="N4" s="47" t="str">
        <f>'enzyme setup and metadata'!F181</f>
        <v>LAP</v>
      </c>
      <c r="O4" s="47">
        <f>'enzyme setup and metadata'!G181</f>
        <v>389</v>
      </c>
      <c r="P4" s="91">
        <f>'enzyme setup and metadata'!A52</f>
        <v>63</v>
      </c>
      <c r="Q4" s="66">
        <f>'enzyme setup and metadata'!I52</f>
        <v>2.1355986027310254</v>
      </c>
      <c r="R4" s="14">
        <f t="shared" ref="R4:R13" si="2">R3</f>
        <v>3.2499999999417923</v>
      </c>
      <c r="S4" s="14">
        <f>(((M18+M19)/2)*91)/(R4*Q4*0.8)</f>
        <v>6.8525157516533763E-2</v>
      </c>
      <c r="T4" s="14">
        <f>(((M20+M21)/2)*91)/(R4*Q4*0.8)</f>
        <v>2.8885815814556574E-2</v>
      </c>
      <c r="U4" s="14">
        <f>(((M22+M23)/2)*91)/(R4*Q4*0.8)</f>
        <v>2.4669265590703024E-2</v>
      </c>
      <c r="V4" s="14">
        <f>(((M24+M25)/2)*91)/(R4*Q4*0.8)</f>
        <v>1.6460238504003015E-2</v>
      </c>
      <c r="W4" s="14">
        <f>S4*1000</f>
        <v>68.525157516533767</v>
      </c>
      <c r="X4" s="14">
        <f t="shared" si="1"/>
        <v>28.885815814556572</v>
      </c>
      <c r="Y4" s="14">
        <f t="shared" si="1"/>
        <v>24.669265590703024</v>
      </c>
      <c r="Z4" s="14">
        <f t="shared" si="1"/>
        <v>16.460238504003016</v>
      </c>
    </row>
    <row r="5" spans="1:26" ht="14">
      <c r="A5" s="55">
        <f t="shared" si="0"/>
        <v>61</v>
      </c>
      <c r="B5" s="55" t="s">
        <v>72</v>
      </c>
      <c r="C5" s="80">
        <v>170</v>
      </c>
      <c r="D5" s="56" t="s">
        <v>36</v>
      </c>
      <c r="E5" s="80">
        <v>170</v>
      </c>
      <c r="F5" s="80">
        <v>1148</v>
      </c>
      <c r="G5" s="57">
        <v>2E-3</v>
      </c>
      <c r="H5" s="58"/>
      <c r="I5" s="59">
        <f>INTERCEPT(G2:G8, E2:E8)</f>
        <v>-1.0499261715724191E-4</v>
      </c>
      <c r="J5" s="59">
        <f>INTERCEPT(G2:G8, F2:F8)</f>
        <v>-3.0974595732032734E-5</v>
      </c>
      <c r="K5" s="60">
        <f>I3</f>
        <v>1.1614845565453138E-5</v>
      </c>
      <c r="L5" s="60">
        <f>I5</f>
        <v>-1.0499261715724191E-4</v>
      </c>
      <c r="M5" s="60">
        <f>(C5-$O$3)*K5+ L5</f>
        <v>1.8695311289697917E-3</v>
      </c>
      <c r="N5" s="47" t="str">
        <f>'enzyme setup and metadata'!F182</f>
        <v>XYL</v>
      </c>
      <c r="O5" s="47">
        <f>'enzyme setup and metadata'!G182</f>
        <v>0</v>
      </c>
      <c r="P5" s="91">
        <f>'enzyme setup and metadata'!A53</f>
        <v>65</v>
      </c>
      <c r="Q5" s="66">
        <f>'enzyme setup and metadata'!I53</f>
        <v>2.1563342318059302</v>
      </c>
      <c r="R5" s="14">
        <f t="shared" si="2"/>
        <v>3.2499999999417923</v>
      </c>
      <c r="S5" s="14">
        <f>(((M26+M27)/2)*91)/(R5*Q5*0.8)</f>
        <v>6.5080816301145789E-2</v>
      </c>
      <c r="T5" s="14">
        <f>(((M28+M29)/2)*91)/(R5*Q5*0.8)</f>
        <v>2.8604046971374593E-2</v>
      </c>
      <c r="U5" s="14">
        <f>(((M30+M31)/2)*91)/(R5*Q5*0.8)</f>
        <v>2.536041165898173E-2</v>
      </c>
      <c r="V5" s="14">
        <f>(((M32+M33)/2)*91)/(R5*Q5*0.8)</f>
        <v>1.3871337217744374E-2</v>
      </c>
      <c r="W5" s="14">
        <f t="shared" ref="W5:W13" si="3">S5*1000</f>
        <v>65.080816301145788</v>
      </c>
      <c r="X5" s="14">
        <f t="shared" si="1"/>
        <v>28.604046971374594</v>
      </c>
      <c r="Y5" s="14">
        <f t="shared" si="1"/>
        <v>25.360411658981729</v>
      </c>
      <c r="Z5" s="14">
        <f t="shared" si="1"/>
        <v>13.871337217744374</v>
      </c>
    </row>
    <row r="6" spans="1:26" ht="14">
      <c r="A6" s="55">
        <f t="shared" si="0"/>
        <v>61</v>
      </c>
      <c r="B6" s="55" t="s">
        <v>73</v>
      </c>
      <c r="C6" s="80">
        <v>1160</v>
      </c>
      <c r="D6" s="56" t="s">
        <v>37</v>
      </c>
      <c r="E6" s="80">
        <v>441</v>
      </c>
      <c r="F6" s="80">
        <v>2786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1.822225357468077E-6</v>
      </c>
      <c r="L6" s="60">
        <f>J5</f>
        <v>-3.0974595732032734E-5</v>
      </c>
      <c r="M6" s="60">
        <f>(C6-$O$4)*K6 + L6</f>
        <v>1.3739611548758547E-3</v>
      </c>
      <c r="P6" s="91">
        <f>'enzyme setup and metadata'!A54</f>
        <v>66</v>
      </c>
      <c r="Q6" s="66">
        <f>'enzyme setup and metadata'!I54</f>
        <v>2.1428571428571432</v>
      </c>
      <c r="R6" s="14">
        <f t="shared" si="2"/>
        <v>3.2499999999417923</v>
      </c>
      <c r="S6" s="14">
        <f>(((M34+M35)/2)*91)/(R6*Q6*0.8)</f>
        <v>6.3056397739927966E-2</v>
      </c>
      <c r="T6" s="14">
        <f>(((M36+M37)/2)*91)/(R6*Q6*0.8)</f>
        <v>2.9317458890209962E-2</v>
      </c>
      <c r="U6" s="14">
        <f>(((M38+M39)/2)*91)/(R6*Q6*0.8)</f>
        <v>2.5843530347718271E-2</v>
      </c>
      <c r="V6" s="14">
        <f>(((M40+M41)/2)*91)/(R6*Q6*0.8)</f>
        <v>1.5463305256267788E-2</v>
      </c>
      <c r="W6" s="14">
        <f t="shared" si="3"/>
        <v>63.056397739927966</v>
      </c>
      <c r="X6" s="14">
        <f t="shared" si="1"/>
        <v>29.317458890209963</v>
      </c>
      <c r="Y6" s="14">
        <f t="shared" si="1"/>
        <v>25.843530347718271</v>
      </c>
      <c r="Z6" s="14">
        <f t="shared" si="1"/>
        <v>15.463305256267788</v>
      </c>
    </row>
    <row r="7" spans="1:26" ht="14">
      <c r="A7" s="55">
        <f t="shared" si="0"/>
        <v>61</v>
      </c>
      <c r="B7" s="55" t="s">
        <v>75</v>
      </c>
      <c r="C7" s="80">
        <v>1167</v>
      </c>
      <c r="D7" s="56" t="s">
        <v>37</v>
      </c>
      <c r="E7" s="80">
        <v>865</v>
      </c>
      <c r="F7" s="80">
        <v>5443</v>
      </c>
      <c r="G7" s="57">
        <v>0.01</v>
      </c>
      <c r="H7" s="58"/>
      <c r="I7" s="61">
        <f>RSQ(G2:G8, E2:E8)</f>
        <v>0.99989780395340555</v>
      </c>
      <c r="J7" s="61">
        <f>RSQ(G2:G8, F2:F8)</f>
        <v>0.99985247907001529</v>
      </c>
      <c r="K7" s="60">
        <f>J3</f>
        <v>1.822225357468077E-6</v>
      </c>
      <c r="L7" s="60">
        <f>J5</f>
        <v>-3.0974595732032734E-5</v>
      </c>
      <c r="M7" s="60">
        <f>(C7-$O$4)*K7 + L7</f>
        <v>1.3867167323781313E-3</v>
      </c>
      <c r="P7" s="91">
        <f>'enzyme setup and metadata'!A55</f>
        <v>67</v>
      </c>
      <c r="Q7" s="66">
        <f>'enzyme setup and metadata'!I55</f>
        <v>2.1811548223350257</v>
      </c>
      <c r="R7" s="14">
        <f t="shared" si="2"/>
        <v>3.2499999999417923</v>
      </c>
      <c r="S7" s="14">
        <f>(((M42+M43)/2)*91)/(R7*Q7*0.8)</f>
        <v>6.2618475875968027E-2</v>
      </c>
      <c r="T7" s="14">
        <f>(((M44+M45)/2)*91)/(R7*Q7*0.8)</f>
        <v>2.9074051786381429E-2</v>
      </c>
      <c r="U7" s="14">
        <f>(((M46+M47)/2)*91)/(R7*Q7*0.8)</f>
        <v>2.9326936683954224E-2</v>
      </c>
      <c r="V7" s="14">
        <f>(((M48+M49)/2)*91)/(R7*Q7*0.8)</f>
        <v>1.3819325593259902E-2</v>
      </c>
      <c r="W7" s="14">
        <f t="shared" si="3"/>
        <v>62.618475875968031</v>
      </c>
      <c r="X7" s="14">
        <f t="shared" si="1"/>
        <v>29.074051786381428</v>
      </c>
      <c r="Y7" s="14">
        <f t="shared" si="1"/>
        <v>29.326936683954223</v>
      </c>
      <c r="Z7" s="14">
        <f t="shared" si="1"/>
        <v>13.819325593259901</v>
      </c>
    </row>
    <row r="8" spans="1:26" ht="14">
      <c r="A8" s="55">
        <f t="shared" si="0"/>
        <v>61</v>
      </c>
      <c r="B8" s="55" t="s">
        <v>76</v>
      </c>
      <c r="C8" s="80">
        <v>79</v>
      </c>
      <c r="D8" s="56" t="s">
        <v>38</v>
      </c>
      <c r="E8" s="80">
        <v>1734</v>
      </c>
      <c r="F8" s="80">
        <v>11012</v>
      </c>
      <c r="G8" s="57">
        <v>0.02</v>
      </c>
      <c r="H8" s="58"/>
      <c r="I8" s="58"/>
      <c r="J8" s="58"/>
      <c r="K8" s="60">
        <f>I3</f>
        <v>1.1614845565453138E-5</v>
      </c>
      <c r="L8" s="60">
        <f>I5</f>
        <v>-1.0499261715724191E-4</v>
      </c>
      <c r="M8" s="60">
        <f>(C8-$O$5)*K8 + L8</f>
        <v>8.1258018251355606E-4</v>
      </c>
      <c r="P8" s="91">
        <f>'enzyme setup and metadata'!A56</f>
        <v>68</v>
      </c>
      <c r="Q8" s="66">
        <f>'enzyme setup and metadata'!I56</f>
        <v>2.1473851030110938</v>
      </c>
      <c r="R8" s="14">
        <f t="shared" si="2"/>
        <v>3.2499999999417923</v>
      </c>
      <c r="S8" s="14">
        <f>(((M50+M51)/2)*91)/(R8*Q8*0.8)</f>
        <v>6.265998355477502E-2</v>
      </c>
      <c r="T8" s="14">
        <f>(((M52+M53)/2)*91)/(R8*Q8*0.8)</f>
        <v>3.096955661895601E-2</v>
      </c>
      <c r="U8" s="14">
        <f>(((M54+M55)/2)*91)/(R8*Q8*0.8)</f>
        <v>2.9966869531269463E-2</v>
      </c>
      <c r="V8" s="14">
        <f>(((M56+M57)/2)*91)/(R8*Q8*0.8)</f>
        <v>1.8575775787620853E-2</v>
      </c>
      <c r="W8" s="14">
        <f t="shared" si="3"/>
        <v>62.659983554775017</v>
      </c>
      <c r="X8" s="14">
        <f t="shared" si="1"/>
        <v>30.969556618956009</v>
      </c>
      <c r="Y8" s="14">
        <f t="shared" si="1"/>
        <v>29.966869531269463</v>
      </c>
      <c r="Z8" s="14">
        <f t="shared" si="1"/>
        <v>18.575775787620852</v>
      </c>
    </row>
    <row r="9" spans="1:26" ht="14">
      <c r="A9" s="55">
        <f t="shared" si="0"/>
        <v>61</v>
      </c>
      <c r="B9" s="55" t="s">
        <v>77</v>
      </c>
      <c r="C9" s="80">
        <v>98</v>
      </c>
      <c r="D9" s="56" t="s">
        <v>38</v>
      </c>
      <c r="E9" s="80">
        <v>15</v>
      </c>
      <c r="F9" s="80">
        <v>14</v>
      </c>
      <c r="G9" s="56"/>
      <c r="H9" s="58"/>
      <c r="I9" s="58"/>
      <c r="J9" s="58"/>
      <c r="K9" s="60">
        <f>I3</f>
        <v>1.1614845565453138E-5</v>
      </c>
      <c r="L9" s="60">
        <f>I5</f>
        <v>-1.0499261715724191E-4</v>
      </c>
      <c r="M9" s="60">
        <f>(C9-$O$5)*K9 + L9</f>
        <v>1.0332622482571655E-3</v>
      </c>
      <c r="P9" s="91">
        <f>'enzyme setup and metadata'!A57</f>
        <v>70</v>
      </c>
      <c r="Q9" s="66">
        <f>'enzyme setup and metadata'!I57</f>
        <v>2.1866582158136585</v>
      </c>
      <c r="R9" s="14">
        <f t="shared" si="2"/>
        <v>3.2499999999417923</v>
      </c>
      <c r="S9" s="14">
        <f>(((M58+M59)/2)*91)/(R9*Q9*0.8)</f>
        <v>6.9078255273110858E-2</v>
      </c>
      <c r="T9" s="14">
        <f>(((M60+M61)/2)*91)/(R9*Q9*0.8)</f>
        <v>3.0337983827763575E-2</v>
      </c>
      <c r="U9" s="14">
        <f>(((M62+M63)/2)*91)/(R9*Q9*0.8)</f>
        <v>2.9609042440727193E-2</v>
      </c>
      <c r="V9" s="14">
        <f>(((M64+M65)/2)*91)/(R9*Q9*0.8)</f>
        <v>1.4575241802429967E-2</v>
      </c>
      <c r="W9" s="14">
        <f t="shared" si="3"/>
        <v>69.078255273110855</v>
      </c>
      <c r="X9" s="14">
        <f t="shared" si="1"/>
        <v>30.337983827763576</v>
      </c>
      <c r="Y9" s="14">
        <f t="shared" si="1"/>
        <v>29.609042440727194</v>
      </c>
      <c r="Z9" s="14">
        <f t="shared" si="1"/>
        <v>14.575241802429968</v>
      </c>
    </row>
    <row r="10" spans="1:26" ht="14">
      <c r="A10" s="55">
        <f>P3</f>
        <v>62</v>
      </c>
      <c r="B10" s="55" t="s">
        <v>78</v>
      </c>
      <c r="C10" s="80">
        <v>393</v>
      </c>
      <c r="D10" s="56" t="s">
        <v>35</v>
      </c>
      <c r="E10" s="80">
        <v>16</v>
      </c>
      <c r="F10" s="80">
        <v>20</v>
      </c>
      <c r="G10" s="57">
        <v>0</v>
      </c>
      <c r="H10" s="58"/>
      <c r="I10" s="59" t="s">
        <v>68</v>
      </c>
      <c r="J10" s="59" t="s">
        <v>68</v>
      </c>
      <c r="K10" s="60">
        <f>I11</f>
        <v>1.1087758733582063E-5</v>
      </c>
      <c r="L10" s="60">
        <f>I13</f>
        <v>-1.5317298859348228E-4</v>
      </c>
      <c r="M10" s="60">
        <f>(C10-$O$2)*K10+L10</f>
        <v>4.2043161937042684E-3</v>
      </c>
      <c r="P10" s="91">
        <f>'enzyme setup and metadata'!A58</f>
        <v>71</v>
      </c>
      <c r="Q10" s="66">
        <f>'enzyme setup and metadata'!I58</f>
        <v>2.169421487603306</v>
      </c>
      <c r="R10" s="14">
        <f t="shared" si="2"/>
        <v>3.2499999999417923</v>
      </c>
      <c r="S10" s="14">
        <f>(((M66+M67)/2)*91)/(R10*Q10*0.8)</f>
        <v>6.8578113262577289E-2</v>
      </c>
      <c r="T10" s="14">
        <f>(((M68+M69)/2)*91)/(R10*Q10*0.8)</f>
        <v>3.1106910689325244E-2</v>
      </c>
      <c r="U10" s="14">
        <f>(((M70+M71)/2)*91)/(R10*Q10*0.8)</f>
        <v>3.2009568767154134E-2</v>
      </c>
      <c r="V10" s="14">
        <f>(((M72+M73)/2)*91)/(R10*Q10*0.8)</f>
        <v>1.6652610325638917E-2</v>
      </c>
      <c r="W10" s="14">
        <f t="shared" si="3"/>
        <v>68.57811326257729</v>
      </c>
      <c r="X10" s="14">
        <f t="shared" si="1"/>
        <v>31.106910689325243</v>
      </c>
      <c r="Y10" s="14">
        <f t="shared" si="1"/>
        <v>32.009568767154136</v>
      </c>
      <c r="Z10" s="14">
        <f t="shared" si="1"/>
        <v>16.652610325638918</v>
      </c>
    </row>
    <row r="11" spans="1:26" ht="14">
      <c r="A11" s="55">
        <f t="shared" ref="A11:A17" si="4">A10</f>
        <v>62</v>
      </c>
      <c r="B11" s="55" t="s">
        <v>79</v>
      </c>
      <c r="C11" s="80">
        <v>420</v>
      </c>
      <c r="D11" s="56" t="s">
        <v>35</v>
      </c>
      <c r="E11" s="80">
        <v>60</v>
      </c>
      <c r="F11" s="80">
        <v>207</v>
      </c>
      <c r="G11" s="57">
        <v>5.0000000000000001E-4</v>
      </c>
      <c r="H11" s="58"/>
      <c r="I11" s="59">
        <f>SLOPE(G10:G16, E10:E16)</f>
        <v>1.1087758733582063E-5</v>
      </c>
      <c r="J11" s="59">
        <f>SLOPE(G10:G16, F10:F16)</f>
        <v>1.7200512603234902E-6</v>
      </c>
      <c r="K11" s="60">
        <f>I11</f>
        <v>1.1087758733582063E-5</v>
      </c>
      <c r="L11" s="60">
        <f>I13</f>
        <v>-1.5317298859348228E-4</v>
      </c>
      <c r="M11" s="60">
        <f>(C11-$O$2)*K11+L11</f>
        <v>4.5036856795109843E-3</v>
      </c>
      <c r="P11" s="91">
        <f>'enzyme setup and metadata'!A59</f>
        <v>72</v>
      </c>
      <c r="Q11" s="66">
        <f>'enzyme setup and metadata'!I59</f>
        <v>2.148747224865208</v>
      </c>
      <c r="R11" s="14">
        <f t="shared" si="2"/>
        <v>3.2499999999417923</v>
      </c>
      <c r="S11" s="14">
        <f>(((M74+M75)/2)*91)/(R11*Q11*0.8)</f>
        <v>7.1454145757742921E-2</v>
      </c>
      <c r="T11" s="14">
        <f>(((M76+M77)/2)*91)/(R11*Q11*0.8)</f>
        <v>3.4548144517212595E-2</v>
      </c>
      <c r="U11" s="14">
        <f>(((M78+M79)/2)*91)/(R11*Q11*0.8)</f>
        <v>3.0608105631967031E-2</v>
      </c>
      <c r="V11" s="14">
        <f>(((M80+M81)/2)*91)/(R11*Q11*0.8)</f>
        <v>1.5809998191998523E-2</v>
      </c>
      <c r="W11" s="14">
        <f t="shared" si="3"/>
        <v>71.454145757742921</v>
      </c>
      <c r="X11" s="14">
        <f t="shared" si="1"/>
        <v>34.548144517212592</v>
      </c>
      <c r="Y11" s="14">
        <f t="shared" si="1"/>
        <v>30.608105631967032</v>
      </c>
      <c r="Z11" s="14">
        <f t="shared" si="1"/>
        <v>15.809998191998524</v>
      </c>
    </row>
    <row r="12" spans="1:26" ht="14">
      <c r="A12" s="55">
        <f t="shared" si="4"/>
        <v>62</v>
      </c>
      <c r="B12" s="55" t="s">
        <v>80</v>
      </c>
      <c r="C12" s="80">
        <v>181</v>
      </c>
      <c r="D12" s="56" t="s">
        <v>36</v>
      </c>
      <c r="E12" s="80">
        <v>120</v>
      </c>
      <c r="F12" s="80">
        <v>633</v>
      </c>
      <c r="G12" s="57">
        <v>1E-3</v>
      </c>
      <c r="H12" s="58"/>
      <c r="I12" s="59" t="s">
        <v>71</v>
      </c>
      <c r="J12" s="59" t="s">
        <v>71</v>
      </c>
      <c r="K12" s="60">
        <f>I11</f>
        <v>1.1087758733582063E-5</v>
      </c>
      <c r="L12" s="60">
        <f>I13</f>
        <v>-1.5317298859348228E-4</v>
      </c>
      <c r="M12" s="60">
        <f>(C12-$O$3)*K12 + L12</f>
        <v>1.8537113421848712E-3</v>
      </c>
      <c r="P12" s="91">
        <f>'enzyme setup and metadata'!A60</f>
        <v>73</v>
      </c>
      <c r="Q12" s="66">
        <f>'enzyme setup and metadata'!I60</f>
        <v>2.1908239403079852</v>
      </c>
      <c r="R12" s="14">
        <f t="shared" si="2"/>
        <v>3.2499999999417923</v>
      </c>
      <c r="S12" s="14">
        <f>(((M82+M83)/2)*91)/(R12*Q12*0.8)</f>
        <v>7.2657705141211407E-2</v>
      </c>
      <c r="T12" s="14">
        <f>(((M84+M85)/2)*91)/(R12*Q12*0.8)</f>
        <v>3.2782491625274142E-2</v>
      </c>
      <c r="U12" s="14">
        <f>(((M86+M87)/2)*91)/(R12*Q12*0.8)</f>
        <v>3.5100403443130188E-2</v>
      </c>
      <c r="V12" s="14">
        <f>(((M88+M89)/2)*91)/(R12*Q12*0.8)</f>
        <v>1.7551843852392154E-2</v>
      </c>
      <c r="W12" s="14">
        <f t="shared" si="3"/>
        <v>72.657705141211409</v>
      </c>
      <c r="X12" s="14">
        <f t="shared" si="1"/>
        <v>32.78249162527414</v>
      </c>
      <c r="Y12" s="14">
        <f t="shared" si="1"/>
        <v>35.10040344313019</v>
      </c>
      <c r="Z12" s="14">
        <f t="shared" si="1"/>
        <v>17.551843852392153</v>
      </c>
    </row>
    <row r="13" spans="1:26" ht="14">
      <c r="A13" s="55">
        <f t="shared" si="4"/>
        <v>62</v>
      </c>
      <c r="B13" s="55" t="s">
        <v>81</v>
      </c>
      <c r="C13" s="80">
        <v>180</v>
      </c>
      <c r="D13" s="56" t="s">
        <v>36</v>
      </c>
      <c r="E13" s="80">
        <v>182</v>
      </c>
      <c r="F13" s="80">
        <v>1189</v>
      </c>
      <c r="G13" s="57">
        <v>2E-3</v>
      </c>
      <c r="H13" s="58"/>
      <c r="I13" s="59">
        <f>INTERCEPT(G10:G16, E10:E16)</f>
        <v>-1.5317298859348228E-4</v>
      </c>
      <c r="J13" s="59">
        <f>INTERCEPT(G10:G16, F10:F16)</f>
        <v>4.3260237428036259E-5</v>
      </c>
      <c r="K13" s="60">
        <f>I11</f>
        <v>1.1087758733582063E-5</v>
      </c>
      <c r="L13" s="60">
        <f>I13</f>
        <v>-1.5317298859348228E-4</v>
      </c>
      <c r="M13" s="60">
        <f>(C13-$O$3)*K13+ L13</f>
        <v>1.8426235834512893E-3</v>
      </c>
      <c r="P13" s="91">
        <f>'enzyme setup and metadata'!A61</f>
        <v>75</v>
      </c>
      <c r="Q13" s="66">
        <f>'enzyme setup and metadata'!I61</f>
        <v>2.1553090332805072</v>
      </c>
      <c r="R13" s="14">
        <f t="shared" si="2"/>
        <v>3.2499999999417923</v>
      </c>
      <c r="S13" s="14">
        <f>(((M90+M91)/2)*91)/(R13*Q13*0.8)</f>
        <v>9.0088398128681163E-2</v>
      </c>
      <c r="T13" s="14">
        <f>(((M92+M93)/2)*91)/(R13*Q13*0.8)</f>
        <v>4.3156551458923276E-2</v>
      </c>
      <c r="U13" s="14">
        <f>(((M94+M95)/2)*91)/(R13*Q13*0.8)</f>
        <v>3.7879694400721899E-2</v>
      </c>
      <c r="V13" s="14">
        <f>(((M96+M97)/2)*91)/(R13*Q13*0.8)</f>
        <v>1.9982389160179588E-2</v>
      </c>
      <c r="W13" s="14">
        <f t="shared" si="3"/>
        <v>90.088398128681163</v>
      </c>
      <c r="X13" s="14">
        <f t="shared" si="1"/>
        <v>43.156551458923275</v>
      </c>
      <c r="Y13" s="14">
        <f t="shared" si="1"/>
        <v>37.879694400721895</v>
      </c>
      <c r="Z13" s="14">
        <f t="shared" si="1"/>
        <v>19.982389160179586</v>
      </c>
    </row>
    <row r="14" spans="1:26" ht="14">
      <c r="A14" s="55">
        <f t="shared" si="4"/>
        <v>62</v>
      </c>
      <c r="B14" s="55" t="s">
        <v>82</v>
      </c>
      <c r="C14" s="80">
        <v>1299</v>
      </c>
      <c r="D14" s="56" t="s">
        <v>37</v>
      </c>
      <c r="E14" s="80">
        <v>461</v>
      </c>
      <c r="F14" s="80">
        <v>2960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1.7200512603234902E-6</v>
      </c>
      <c r="L14" s="60">
        <f>J13</f>
        <v>4.3260237428036259E-5</v>
      </c>
      <c r="M14" s="60">
        <f>(C14-$O$4)*K14 + L14</f>
        <v>1.6085068843224124E-3</v>
      </c>
    </row>
    <row r="15" spans="1:26" ht="14">
      <c r="A15" s="55">
        <f t="shared" si="4"/>
        <v>62</v>
      </c>
      <c r="B15" s="55" t="s">
        <v>83</v>
      </c>
      <c r="C15" s="80">
        <v>1337</v>
      </c>
      <c r="D15" s="56" t="s">
        <v>37</v>
      </c>
      <c r="E15" s="80">
        <v>907</v>
      </c>
      <c r="F15" s="80">
        <v>5479</v>
      </c>
      <c r="G15" s="57">
        <v>0.01</v>
      </c>
      <c r="H15" s="58"/>
      <c r="I15" s="61">
        <f>RSQ(G10:G16, E10:E16)</f>
        <v>0.99979556341949782</v>
      </c>
      <c r="J15" s="61">
        <f>RSQ(G10:G16, F10:F16)</f>
        <v>0.99879623356919334</v>
      </c>
      <c r="K15" s="60">
        <f>J11</f>
        <v>1.7200512603234902E-6</v>
      </c>
      <c r="L15" s="60">
        <f>J13</f>
        <v>4.3260237428036259E-5</v>
      </c>
      <c r="M15" s="60">
        <f>(C15-$O$4)*K15 + L15</f>
        <v>1.6738688322147049E-3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62</v>
      </c>
      <c r="B16" s="55" t="s">
        <v>84</v>
      </c>
      <c r="C16" s="80">
        <v>90</v>
      </c>
      <c r="D16" s="56" t="s">
        <v>38</v>
      </c>
      <c r="E16" s="80">
        <v>1823</v>
      </c>
      <c r="F16" s="80">
        <v>11719</v>
      </c>
      <c r="G16" s="57">
        <v>0.02</v>
      </c>
      <c r="H16" s="58"/>
      <c r="I16" s="58"/>
      <c r="J16" s="58"/>
      <c r="K16" s="60">
        <f>I11</f>
        <v>1.1087758733582063E-5</v>
      </c>
      <c r="L16" s="60">
        <f>I13</f>
        <v>-1.5317298859348228E-4</v>
      </c>
      <c r="M16" s="60">
        <f>(C16-$O$5)*K16 + L16</f>
        <v>8.447252974289035E-4</v>
      </c>
    </row>
    <row r="17" spans="1:13" ht="14">
      <c r="A17" s="55">
        <f t="shared" si="4"/>
        <v>62</v>
      </c>
      <c r="B17" s="55" t="s">
        <v>85</v>
      </c>
      <c r="C17" s="80">
        <v>93</v>
      </c>
      <c r="D17" s="56" t="s">
        <v>38</v>
      </c>
      <c r="E17" s="80">
        <v>16</v>
      </c>
      <c r="F17" s="80">
        <v>13</v>
      </c>
      <c r="G17" s="56"/>
      <c r="H17" s="58"/>
      <c r="I17" s="58"/>
      <c r="J17" s="58"/>
      <c r="K17" s="60">
        <f>I11</f>
        <v>1.1087758733582063E-5</v>
      </c>
      <c r="L17" s="60">
        <f>I13</f>
        <v>-1.5317298859348228E-4</v>
      </c>
      <c r="M17" s="60">
        <f>(C17-$O$5)*K17 + L17</f>
        <v>8.7798857362964954E-4</v>
      </c>
    </row>
    <row r="18" spans="1:13" ht="14">
      <c r="A18" s="55">
        <f>P4</f>
        <v>63</v>
      </c>
      <c r="B18" s="55" t="s">
        <v>86</v>
      </c>
      <c r="C18" s="80">
        <v>391</v>
      </c>
      <c r="D18" s="56" t="s">
        <v>35</v>
      </c>
      <c r="E18" s="80">
        <v>17</v>
      </c>
      <c r="F18" s="80">
        <v>23</v>
      </c>
      <c r="G18" s="57">
        <v>0</v>
      </c>
      <c r="H18" s="58"/>
      <c r="I18" s="59" t="s">
        <v>68</v>
      </c>
      <c r="J18" s="59" t="s">
        <v>68</v>
      </c>
      <c r="K18" s="60">
        <f>I19</f>
        <v>1.0678489151738129E-5</v>
      </c>
      <c r="L18" s="60">
        <f>I21</f>
        <v>-1.0620680466251736E-4</v>
      </c>
      <c r="M18" s="60">
        <f>(C18-$O$2)*K18+L18</f>
        <v>4.0690824536670908E-3</v>
      </c>
    </row>
    <row r="19" spans="1:13" ht="14">
      <c r="A19" s="55">
        <f t="shared" ref="A19:A25" si="5">A18</f>
        <v>63</v>
      </c>
      <c r="B19" s="55" t="s">
        <v>87</v>
      </c>
      <c r="C19" s="80">
        <v>412</v>
      </c>
      <c r="D19" s="56" t="s">
        <v>35</v>
      </c>
      <c r="E19" s="80">
        <v>73</v>
      </c>
      <c r="F19" s="80">
        <v>216</v>
      </c>
      <c r="G19" s="57">
        <v>5.0000000000000001E-4</v>
      </c>
      <c r="H19" s="58"/>
      <c r="I19" s="59">
        <f>SLOPE(G18:G24, E18:E24)</f>
        <v>1.0678489151738129E-5</v>
      </c>
      <c r="J19" s="59">
        <f>SLOPE(G18:G24, F18:F24)</f>
        <v>1.7596922896612881E-6</v>
      </c>
      <c r="K19" s="60">
        <f>I19</f>
        <v>1.0678489151738129E-5</v>
      </c>
      <c r="L19" s="60">
        <f>I21</f>
        <v>-1.0620680466251736E-4</v>
      </c>
      <c r="M19" s="60">
        <f>(C19-$O$2)*K19+L19</f>
        <v>4.2933307258535914E-3</v>
      </c>
    </row>
    <row r="20" spans="1:13" ht="14">
      <c r="A20" s="55">
        <f t="shared" si="5"/>
        <v>63</v>
      </c>
      <c r="B20" s="55" t="s">
        <v>88</v>
      </c>
      <c r="C20" s="80">
        <v>181</v>
      </c>
      <c r="D20" s="56" t="s">
        <v>36</v>
      </c>
      <c r="E20" s="80">
        <v>111</v>
      </c>
      <c r="F20" s="80">
        <v>645</v>
      </c>
      <c r="G20" s="57">
        <v>1E-3</v>
      </c>
      <c r="H20" s="58"/>
      <c r="I20" s="59" t="s">
        <v>71</v>
      </c>
      <c r="J20" s="59" t="s">
        <v>71</v>
      </c>
      <c r="K20" s="60">
        <f>I19</f>
        <v>1.0678489151738129E-5</v>
      </c>
      <c r="L20" s="60">
        <f>I21</f>
        <v>-1.0620680466251736E-4</v>
      </c>
      <c r="M20" s="60">
        <f>(C20-$O$3)*K20 + L20</f>
        <v>1.8265997318020839E-3</v>
      </c>
    </row>
    <row r="21" spans="1:13" ht="14">
      <c r="A21" s="55">
        <f t="shared" si="5"/>
        <v>63</v>
      </c>
      <c r="B21" s="55" t="s">
        <v>89</v>
      </c>
      <c r="C21" s="80">
        <v>169</v>
      </c>
      <c r="D21" s="56" t="s">
        <v>36</v>
      </c>
      <c r="E21" s="80">
        <v>187</v>
      </c>
      <c r="F21" s="80">
        <v>1258</v>
      </c>
      <c r="G21" s="57">
        <v>2E-3</v>
      </c>
      <c r="H21" s="58"/>
      <c r="I21" s="59">
        <f>INTERCEPT(G18:G24, E18:E24)</f>
        <v>-1.0620680466251736E-4</v>
      </c>
      <c r="J21" s="59">
        <f>INTERCEPT(G18:G24, F18:F24)</f>
        <v>-2.2804978746030109E-4</v>
      </c>
      <c r="K21" s="60">
        <f>I19</f>
        <v>1.0678489151738129E-5</v>
      </c>
      <c r="L21" s="60">
        <f>I21</f>
        <v>-1.0620680466251736E-4</v>
      </c>
      <c r="M21" s="60">
        <f>(C21-$O$3)*K21+ L21</f>
        <v>1.6984578619812264E-3</v>
      </c>
    </row>
    <row r="22" spans="1:13" ht="14">
      <c r="A22" s="55">
        <f t="shared" si="5"/>
        <v>63</v>
      </c>
      <c r="B22" s="55" t="s">
        <v>90</v>
      </c>
      <c r="C22" s="80">
        <v>1408</v>
      </c>
      <c r="D22" s="56" t="s">
        <v>37</v>
      </c>
      <c r="E22" s="80">
        <v>463</v>
      </c>
      <c r="F22" s="80">
        <v>3477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1.7596922896612881E-6</v>
      </c>
      <c r="L22" s="60">
        <f>J21</f>
        <v>-2.2804978746030109E-4</v>
      </c>
      <c r="M22" s="60">
        <f>(C22-$O$4)*K22 + L22</f>
        <v>1.5650766557045515E-3</v>
      </c>
    </row>
    <row r="23" spans="1:13" ht="14">
      <c r="A23" s="55">
        <f t="shared" si="5"/>
        <v>63</v>
      </c>
      <c r="B23" s="55" t="s">
        <v>91</v>
      </c>
      <c r="C23" s="80">
        <v>1340</v>
      </c>
      <c r="D23" s="56" t="s">
        <v>37</v>
      </c>
      <c r="E23" s="80">
        <v>929</v>
      </c>
      <c r="F23" s="80">
        <v>5826</v>
      </c>
      <c r="G23" s="57">
        <v>0.01</v>
      </c>
      <c r="H23" s="58"/>
      <c r="I23" s="61">
        <f>RSQ(G18:G24, E18:E24)</f>
        <v>0.99958705045500973</v>
      </c>
      <c r="J23" s="61">
        <f>RSQ(G18:G24, F18:F24)</f>
        <v>0.99675932706462389</v>
      </c>
      <c r="K23" s="60">
        <f>J19</f>
        <v>1.7596922896612881E-6</v>
      </c>
      <c r="L23" s="60">
        <f>J21</f>
        <v>-2.2804978746030109E-4</v>
      </c>
      <c r="M23" s="60">
        <f>(C23-$O$4)*K23 + L23</f>
        <v>1.4454175800075839E-3</v>
      </c>
    </row>
    <row r="24" spans="1:13" ht="14">
      <c r="A24" s="55">
        <f t="shared" si="5"/>
        <v>63</v>
      </c>
      <c r="B24" s="55" t="s">
        <v>92</v>
      </c>
      <c r="C24" s="80">
        <v>101</v>
      </c>
      <c r="D24" s="56" t="s">
        <v>38</v>
      </c>
      <c r="E24" s="80">
        <v>1895</v>
      </c>
      <c r="F24" s="80">
        <v>11341</v>
      </c>
      <c r="G24" s="57">
        <v>0.02</v>
      </c>
      <c r="H24" s="58"/>
      <c r="I24" s="58"/>
      <c r="J24" s="58"/>
      <c r="K24" s="60">
        <f>I19</f>
        <v>1.0678489151738129E-5</v>
      </c>
      <c r="L24" s="60">
        <f>I21</f>
        <v>-1.0620680466251736E-4</v>
      </c>
      <c r="M24" s="60">
        <f>(C24-$O$5)*K24 + L24</f>
        <v>9.7232059966303368E-4</v>
      </c>
    </row>
    <row r="25" spans="1:13" ht="14">
      <c r="A25" s="55">
        <f t="shared" si="5"/>
        <v>63</v>
      </c>
      <c r="B25" s="55" t="s">
        <v>93</v>
      </c>
      <c r="C25" s="80">
        <v>107</v>
      </c>
      <c r="D25" s="56" t="s">
        <v>38</v>
      </c>
      <c r="E25" s="80">
        <v>15</v>
      </c>
      <c r="F25" s="80">
        <v>14</v>
      </c>
      <c r="G25" s="56"/>
      <c r="H25" s="58"/>
      <c r="I25" s="58"/>
      <c r="J25" s="58"/>
      <c r="K25" s="60">
        <f>I19</f>
        <v>1.0678489151738129E-5</v>
      </c>
      <c r="L25" s="60">
        <f>I21</f>
        <v>-1.0620680466251736E-4</v>
      </c>
      <c r="M25" s="60">
        <f>(C25-$O$5)*K25 + L25</f>
        <v>1.0363915345734623E-3</v>
      </c>
    </row>
    <row r="26" spans="1:13" ht="14">
      <c r="A26" s="55">
        <f>P5</f>
        <v>65</v>
      </c>
      <c r="B26" s="55" t="s">
        <v>94</v>
      </c>
      <c r="C26" s="80">
        <v>387</v>
      </c>
      <c r="D26" s="56" t="s">
        <v>35</v>
      </c>
      <c r="E26" s="80">
        <v>16</v>
      </c>
      <c r="F26" s="80">
        <v>18</v>
      </c>
      <c r="G26" s="57">
        <v>0</v>
      </c>
      <c r="H26" s="58"/>
      <c r="I26" s="59" t="s">
        <v>68</v>
      </c>
      <c r="J26" s="59" t="s">
        <v>68</v>
      </c>
      <c r="K26" s="60">
        <f>I27</f>
        <v>1.0935850729240954E-5</v>
      </c>
      <c r="L26" s="60">
        <f>I29</f>
        <v>-2.0070275871432019E-4</v>
      </c>
      <c r="M26" s="60">
        <f>(C26-$O$2)*K26+L26</f>
        <v>4.0314714735019287E-3</v>
      </c>
    </row>
    <row r="27" spans="1:13" ht="14">
      <c r="A27" s="55">
        <f t="shared" ref="A27:A33" si="6">A26</f>
        <v>65</v>
      </c>
      <c r="B27" s="55" t="s">
        <v>95</v>
      </c>
      <c r="C27" s="80">
        <v>383</v>
      </c>
      <c r="D27" s="56" t="s">
        <v>35</v>
      </c>
      <c r="E27" s="80">
        <v>57</v>
      </c>
      <c r="F27" s="80">
        <v>209</v>
      </c>
      <c r="G27" s="57">
        <v>5.0000000000000001E-4</v>
      </c>
      <c r="H27" s="58"/>
      <c r="I27" s="59">
        <f>SLOPE(G26:G32, E26:E32)</f>
        <v>1.0935850729240954E-5</v>
      </c>
      <c r="J27" s="59">
        <f>SLOPE(G26:G32, F26:F32)</f>
        <v>1.7271607758627302E-6</v>
      </c>
      <c r="K27" s="60">
        <f>I27</f>
        <v>1.0935850729240954E-5</v>
      </c>
      <c r="L27" s="60">
        <f>I29</f>
        <v>-2.0070275871432019E-4</v>
      </c>
      <c r="M27" s="60">
        <f>(C27-$O$2)*K27+L27</f>
        <v>3.9877280705849652E-3</v>
      </c>
    </row>
    <row r="28" spans="1:13" ht="14">
      <c r="A28" s="55">
        <f t="shared" si="6"/>
        <v>65</v>
      </c>
      <c r="B28" s="55" t="s">
        <v>96</v>
      </c>
      <c r="C28" s="80">
        <v>182</v>
      </c>
      <c r="D28" s="56" t="s">
        <v>36</v>
      </c>
      <c r="E28" s="80">
        <v>119</v>
      </c>
      <c r="F28" s="80">
        <v>639</v>
      </c>
      <c r="G28" s="57">
        <v>1E-3</v>
      </c>
      <c r="H28" s="58"/>
      <c r="I28" s="59" t="s">
        <v>71</v>
      </c>
      <c r="J28" s="59" t="s">
        <v>71</v>
      </c>
      <c r="K28" s="60">
        <f>I27</f>
        <v>1.0935850729240954E-5</v>
      </c>
      <c r="L28" s="60">
        <f>I29</f>
        <v>-2.0070275871432019E-4</v>
      </c>
      <c r="M28" s="60">
        <f>(C28-$O$3)*K28 + L28</f>
        <v>1.7896220740075334E-3</v>
      </c>
    </row>
    <row r="29" spans="1:13" ht="14">
      <c r="A29" s="55">
        <f t="shared" si="6"/>
        <v>65</v>
      </c>
      <c r="B29" s="55" t="s">
        <v>97</v>
      </c>
      <c r="C29" s="80">
        <v>177</v>
      </c>
      <c r="D29" s="56" t="s">
        <v>36</v>
      </c>
      <c r="E29" s="80">
        <v>215</v>
      </c>
      <c r="F29" s="80">
        <v>1165</v>
      </c>
      <c r="G29" s="57">
        <v>2E-3</v>
      </c>
      <c r="H29" s="58"/>
      <c r="I29" s="59">
        <f>INTERCEPT(G26:G32, E26:E32)</f>
        <v>-2.0070275871432019E-4</v>
      </c>
      <c r="J29" s="59">
        <f>INTERCEPT(G26:G32, F26:F32)</f>
        <v>3.6496991438795222E-5</v>
      </c>
      <c r="K29" s="60">
        <f>I27</f>
        <v>1.0935850729240954E-5</v>
      </c>
      <c r="L29" s="60">
        <f>I29</f>
        <v>-2.0070275871432019E-4</v>
      </c>
      <c r="M29" s="60">
        <f>(C29-$O$3)*K29+ L29</f>
        <v>1.7349428203613287E-3</v>
      </c>
    </row>
    <row r="30" spans="1:13" ht="14">
      <c r="A30" s="55">
        <f t="shared" si="6"/>
        <v>65</v>
      </c>
      <c r="B30" s="55" t="s">
        <v>98</v>
      </c>
      <c r="C30" s="80">
        <v>1286</v>
      </c>
      <c r="D30" s="56" t="s">
        <v>37</v>
      </c>
      <c r="E30" s="80">
        <v>477</v>
      </c>
      <c r="F30" s="80">
        <v>2965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1.7271607758627302E-6</v>
      </c>
      <c r="L30" s="60">
        <f>J29</f>
        <v>3.6496991438795222E-5</v>
      </c>
      <c r="M30" s="60">
        <f>(C30-$O$4)*K30 + L30</f>
        <v>1.5857602073876642E-3</v>
      </c>
    </row>
    <row r="31" spans="1:13" ht="14">
      <c r="A31" s="55">
        <f t="shared" si="6"/>
        <v>65</v>
      </c>
      <c r="B31" s="55" t="s">
        <v>99</v>
      </c>
      <c r="C31" s="80">
        <v>1259</v>
      </c>
      <c r="D31" s="56" t="s">
        <v>37</v>
      </c>
      <c r="E31" s="80">
        <v>908</v>
      </c>
      <c r="F31" s="80">
        <v>5484</v>
      </c>
      <c r="G31" s="57">
        <v>0.01</v>
      </c>
      <c r="H31" s="58"/>
      <c r="I31" s="61">
        <f>RSQ(G26:G32, E26:E32)</f>
        <v>0.99960886116292591</v>
      </c>
      <c r="J31" s="61">
        <f>RSQ(G26:G32, F26:F32)</f>
        <v>0.99894424126601333</v>
      </c>
      <c r="K31" s="60">
        <f>J27</f>
        <v>1.7271607758627302E-6</v>
      </c>
      <c r="L31" s="60">
        <f>J29</f>
        <v>3.6496991438795222E-5</v>
      </c>
      <c r="M31" s="60">
        <f>(C31-$O$4)*K31 + L31</f>
        <v>1.5391268664393706E-3</v>
      </c>
    </row>
    <row r="32" spans="1:13" ht="14">
      <c r="A32" s="55">
        <f t="shared" si="6"/>
        <v>65</v>
      </c>
      <c r="B32" s="55" t="s">
        <v>100</v>
      </c>
      <c r="C32" s="80">
        <v>91</v>
      </c>
      <c r="D32" s="56" t="s">
        <v>38</v>
      </c>
      <c r="E32" s="80">
        <v>1857</v>
      </c>
      <c r="F32" s="80">
        <v>11663</v>
      </c>
      <c r="G32" s="57">
        <v>0.02</v>
      </c>
      <c r="H32" s="58"/>
      <c r="I32" s="58"/>
      <c r="J32" s="58"/>
      <c r="K32" s="60">
        <f>I27</f>
        <v>1.0935850729240954E-5</v>
      </c>
      <c r="L32" s="60">
        <f>I29</f>
        <v>-2.0070275871432019E-4</v>
      </c>
      <c r="M32" s="60">
        <f>(C32-$O$5)*K32 + L32</f>
        <v>7.9445965764660662E-4</v>
      </c>
    </row>
    <row r="33" spans="1:26" ht="14">
      <c r="A33" s="55">
        <f t="shared" si="6"/>
        <v>65</v>
      </c>
      <c r="B33" s="55" t="s">
        <v>101</v>
      </c>
      <c r="C33" s="80">
        <v>102</v>
      </c>
      <c r="D33" s="56" t="s">
        <v>38</v>
      </c>
      <c r="E33" s="80">
        <v>15</v>
      </c>
      <c r="F33" s="80">
        <v>13</v>
      </c>
      <c r="G33" s="56"/>
      <c r="H33" s="58"/>
      <c r="I33" s="58"/>
      <c r="J33" s="58"/>
      <c r="K33" s="60">
        <f>I27</f>
        <v>1.0935850729240954E-5</v>
      </c>
      <c r="L33" s="60">
        <f>I29</f>
        <v>-2.0070275871432019E-4</v>
      </c>
      <c r="M33" s="60">
        <f>(C33-$O$5)*K33 + L33</f>
        <v>9.147540156682571E-4</v>
      </c>
    </row>
    <row r="34" spans="1:26" ht="14">
      <c r="A34" s="55">
        <f>P6</f>
        <v>66</v>
      </c>
      <c r="B34" s="55" t="s">
        <v>102</v>
      </c>
      <c r="C34" s="80">
        <v>383</v>
      </c>
      <c r="D34" s="56" t="s">
        <v>35</v>
      </c>
      <c r="E34" s="80">
        <v>18</v>
      </c>
      <c r="F34" s="80">
        <v>20</v>
      </c>
      <c r="G34" s="57">
        <v>0</v>
      </c>
      <c r="H34" s="58"/>
      <c r="I34" s="59" t="s">
        <v>68</v>
      </c>
      <c r="J34" s="59" t="s">
        <v>68</v>
      </c>
      <c r="K34" s="60">
        <f>I35</f>
        <v>9.9789822091433712E-6</v>
      </c>
      <c r="L34" s="60">
        <f>I37</f>
        <v>-8.1102192685185079E-5</v>
      </c>
      <c r="M34" s="60">
        <f>(C34-$O$2)*K34+L34</f>
        <v>3.7408479934167259E-3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66</v>
      </c>
      <c r="B35" s="55" t="s">
        <v>103</v>
      </c>
      <c r="C35" s="80">
        <v>407</v>
      </c>
      <c r="D35" s="56" t="s">
        <v>35</v>
      </c>
      <c r="E35" s="80">
        <v>65</v>
      </c>
      <c r="F35" s="80">
        <v>233</v>
      </c>
      <c r="G35" s="57">
        <v>5.0000000000000001E-4</v>
      </c>
      <c r="H35" s="58"/>
      <c r="I35" s="59">
        <f>SLOPE(G34:G40, E34:E40)</f>
        <v>9.9789822091433712E-6</v>
      </c>
      <c r="J35" s="59">
        <f>SLOPE(G34:G40, F34:F40)</f>
        <v>1.643102440295239E-6</v>
      </c>
      <c r="K35" s="60">
        <f>I35</f>
        <v>9.9789822091433712E-6</v>
      </c>
      <c r="L35" s="60">
        <f>I37</f>
        <v>-8.1102192685185079E-5</v>
      </c>
      <c r="M35" s="60">
        <f>(C35-$O$2)*K35+L35</f>
        <v>3.980343566436167E-3</v>
      </c>
    </row>
    <row r="36" spans="1:26" ht="14">
      <c r="A36" s="55">
        <f t="shared" si="7"/>
        <v>66</v>
      </c>
      <c r="B36" s="55" t="s">
        <v>104</v>
      </c>
      <c r="C36" s="80">
        <v>186</v>
      </c>
      <c r="D36" s="56" t="s">
        <v>36</v>
      </c>
      <c r="E36" s="80">
        <v>108</v>
      </c>
      <c r="F36" s="80">
        <v>653</v>
      </c>
      <c r="G36" s="57">
        <v>1E-3</v>
      </c>
      <c r="H36" s="58"/>
      <c r="I36" s="59" t="s">
        <v>71</v>
      </c>
      <c r="J36" s="59" t="s">
        <v>71</v>
      </c>
      <c r="K36" s="60">
        <f>I35</f>
        <v>9.9789822091433712E-6</v>
      </c>
      <c r="L36" s="60">
        <f>I37</f>
        <v>-8.1102192685185079E-5</v>
      </c>
      <c r="M36" s="60">
        <f>(C36-$O$3)*K36 + L36</f>
        <v>1.774988498215482E-3</v>
      </c>
    </row>
    <row r="37" spans="1:26" ht="14">
      <c r="A37" s="55">
        <f t="shared" si="7"/>
        <v>66</v>
      </c>
      <c r="B37" s="55" t="s">
        <v>105</v>
      </c>
      <c r="C37" s="80">
        <v>190</v>
      </c>
      <c r="D37" s="56" t="s">
        <v>36</v>
      </c>
      <c r="E37" s="80">
        <v>215</v>
      </c>
      <c r="F37" s="80">
        <v>1275</v>
      </c>
      <c r="G37" s="57">
        <v>2E-3</v>
      </c>
      <c r="H37" s="58"/>
      <c r="I37" s="59">
        <f>INTERCEPT(G34:G40, E34:E40)</f>
        <v>-8.1102192685185079E-5</v>
      </c>
      <c r="J37" s="59">
        <f>INTERCEPT(G34:G40, F34:F40)</f>
        <v>-1.5660163151074054E-5</v>
      </c>
      <c r="K37" s="60">
        <f>I35</f>
        <v>9.9789822091433712E-6</v>
      </c>
      <c r="L37" s="60">
        <f>I37</f>
        <v>-8.1102192685185079E-5</v>
      </c>
      <c r="M37" s="60">
        <f>(C37-$O$3)*K37+ L37</f>
        <v>1.8149044270520554E-3</v>
      </c>
    </row>
    <row r="38" spans="1:26" ht="14">
      <c r="A38" s="55">
        <f t="shared" si="7"/>
        <v>66</v>
      </c>
      <c r="B38" s="55" t="s">
        <v>106</v>
      </c>
      <c r="C38" s="80">
        <v>1360</v>
      </c>
      <c r="D38" s="56" t="s">
        <v>37</v>
      </c>
      <c r="E38" s="80">
        <v>501</v>
      </c>
      <c r="F38" s="80">
        <v>3070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1.643102440295239E-6</v>
      </c>
      <c r="L38" s="60">
        <f>J37</f>
        <v>-1.5660163151074054E-5</v>
      </c>
      <c r="M38" s="60">
        <f>(C38-$O$4)*K38 + L38</f>
        <v>1.5797923063756031E-3</v>
      </c>
    </row>
    <row r="39" spans="1:26" ht="14">
      <c r="A39" s="55">
        <f t="shared" si="7"/>
        <v>66</v>
      </c>
      <c r="B39" s="55" t="s">
        <v>107</v>
      </c>
      <c r="C39" s="80">
        <v>1363</v>
      </c>
      <c r="D39" s="56" t="s">
        <v>37</v>
      </c>
      <c r="E39" s="80">
        <v>980</v>
      </c>
      <c r="F39" s="80">
        <v>6055</v>
      </c>
      <c r="G39" s="57">
        <v>0.01</v>
      </c>
      <c r="H39" s="58"/>
      <c r="I39" s="61">
        <f>RSQ(G34:G40, E34:E40)</f>
        <v>0.99955877368383317</v>
      </c>
      <c r="J39" s="61">
        <f>RSQ(G34:G40, F34:F40)</f>
        <v>0.99989619004471986</v>
      </c>
      <c r="K39" s="60">
        <f>J35</f>
        <v>1.643102440295239E-6</v>
      </c>
      <c r="L39" s="60">
        <f>J37</f>
        <v>-1.5660163151074054E-5</v>
      </c>
      <c r="M39" s="60">
        <f>(C39-$O$4)*K39 + L39</f>
        <v>1.5847216136964887E-3</v>
      </c>
    </row>
    <row r="40" spans="1:26" ht="14">
      <c r="A40" s="55">
        <f t="shared" si="7"/>
        <v>66</v>
      </c>
      <c r="B40" s="55" t="s">
        <v>108</v>
      </c>
      <c r="C40" s="80">
        <v>96</v>
      </c>
      <c r="D40" s="56" t="s">
        <v>38</v>
      </c>
      <c r="E40" s="80">
        <v>2028</v>
      </c>
      <c r="F40" s="80">
        <v>12192</v>
      </c>
      <c r="G40" s="57">
        <v>0.02</v>
      </c>
      <c r="H40" s="58"/>
      <c r="I40" s="58"/>
      <c r="J40" s="58"/>
      <c r="K40" s="60">
        <f>I35</f>
        <v>9.9789822091433712E-6</v>
      </c>
      <c r="L40" s="60">
        <f>I37</f>
        <v>-8.1102192685185079E-5</v>
      </c>
      <c r="M40" s="60">
        <f>(C40-$O$5)*K40 + L40</f>
        <v>8.7688009939257861E-4</v>
      </c>
    </row>
    <row r="41" spans="1:26" ht="14">
      <c r="A41" s="55">
        <f t="shared" si="7"/>
        <v>66</v>
      </c>
      <c r="B41" s="55" t="s">
        <v>109</v>
      </c>
      <c r="C41" s="80">
        <v>110</v>
      </c>
      <c r="D41" s="56" t="s">
        <v>38</v>
      </c>
      <c r="E41" s="80">
        <v>15</v>
      </c>
      <c r="F41" s="80">
        <v>14</v>
      </c>
      <c r="G41" s="56"/>
      <c r="H41" s="58"/>
      <c r="I41" s="58"/>
      <c r="J41" s="58"/>
      <c r="K41" s="60">
        <f>I35</f>
        <v>9.9789822091433712E-6</v>
      </c>
      <c r="L41" s="60">
        <f>I37</f>
        <v>-8.1102192685185079E-5</v>
      </c>
      <c r="M41" s="60">
        <f>(C41-$O$5)*K41 + L41</f>
        <v>1.0165858503205858E-3</v>
      </c>
    </row>
    <row r="42" spans="1:26" ht="14">
      <c r="A42" s="55">
        <f>P7</f>
        <v>67</v>
      </c>
      <c r="B42" s="55" t="s">
        <v>110</v>
      </c>
      <c r="C42" s="80">
        <v>409</v>
      </c>
      <c r="D42" s="56" t="s">
        <v>35</v>
      </c>
      <c r="E42" s="80">
        <v>22</v>
      </c>
      <c r="F42" s="80">
        <v>20</v>
      </c>
      <c r="G42" s="57">
        <v>0</v>
      </c>
      <c r="H42" s="58"/>
      <c r="I42" s="62" t="s">
        <v>68</v>
      </c>
      <c r="J42" s="62" t="s">
        <v>68</v>
      </c>
      <c r="K42" s="60">
        <f>I43</f>
        <v>9.9545010019241679E-6</v>
      </c>
      <c r="L42" s="60">
        <f>I45</f>
        <v>-5.4611559073685333E-5</v>
      </c>
      <c r="M42" s="60">
        <f>(C42-$O$2)*K42+L42</f>
        <v>4.0167793507132994E-3</v>
      </c>
    </row>
    <row r="43" spans="1:26" ht="14">
      <c r="A43" s="55">
        <f t="shared" ref="A43:A49" si="8">A42</f>
        <v>67</v>
      </c>
      <c r="B43" s="55" t="s">
        <v>111</v>
      </c>
      <c r="C43" s="80">
        <v>386</v>
      </c>
      <c r="D43" s="56" t="s">
        <v>35</v>
      </c>
      <c r="E43" s="80">
        <v>68</v>
      </c>
      <c r="F43" s="80">
        <v>227</v>
      </c>
      <c r="G43" s="57">
        <v>5.0000000000000001E-4</v>
      </c>
      <c r="H43" s="58"/>
      <c r="I43" s="58">
        <f>SLOPE(G42:G48, E42:E48)</f>
        <v>9.9545010019241679E-6</v>
      </c>
      <c r="J43" s="58">
        <f>SLOPE(G42:G48, F42:F48)</f>
        <v>1.7777788468689477E-6</v>
      </c>
      <c r="K43" s="60">
        <f>I43</f>
        <v>9.9545010019241679E-6</v>
      </c>
      <c r="L43" s="60">
        <f>I45</f>
        <v>-5.4611559073685333E-5</v>
      </c>
      <c r="M43" s="60">
        <f>(C43-$O$2)*K43+L43</f>
        <v>3.7878258276690434E-3</v>
      </c>
    </row>
    <row r="44" spans="1:26" ht="14">
      <c r="A44" s="55">
        <f t="shared" si="8"/>
        <v>67</v>
      </c>
      <c r="B44" s="55" t="s">
        <v>112</v>
      </c>
      <c r="C44" s="80">
        <v>185</v>
      </c>
      <c r="D44" s="56" t="s">
        <v>36</v>
      </c>
      <c r="E44" s="80">
        <v>104</v>
      </c>
      <c r="F44" s="80">
        <v>636</v>
      </c>
      <c r="G44" s="57">
        <v>1E-3</v>
      </c>
      <c r="H44" s="58"/>
      <c r="I44" s="62" t="s">
        <v>71</v>
      </c>
      <c r="J44" s="62" t="s">
        <v>71</v>
      </c>
      <c r="K44" s="60">
        <f>I43</f>
        <v>9.9545010019241679E-6</v>
      </c>
      <c r="L44" s="60">
        <f>I45</f>
        <v>-5.4611559073685333E-5</v>
      </c>
      <c r="M44" s="60">
        <f>(C44-$O$3)*K44 + L44</f>
        <v>1.7869711262822857E-3</v>
      </c>
    </row>
    <row r="45" spans="1:26" ht="14">
      <c r="A45" s="55">
        <f t="shared" si="8"/>
        <v>67</v>
      </c>
      <c r="B45" s="55" t="s">
        <v>113</v>
      </c>
      <c r="C45" s="80">
        <v>190</v>
      </c>
      <c r="D45" s="56" t="s">
        <v>36</v>
      </c>
      <c r="E45" s="80">
        <v>186</v>
      </c>
      <c r="F45" s="80">
        <v>1254</v>
      </c>
      <c r="G45" s="57">
        <v>2E-3</v>
      </c>
      <c r="H45" s="58"/>
      <c r="I45" s="58">
        <f>INTERCEPT(G42:G48, E42:E48)</f>
        <v>-5.4611559073685333E-5</v>
      </c>
      <c r="J45" s="58">
        <f>INTERCEPT(G42:G48, F42:F48)</f>
        <v>-1.2971767122056579E-4</v>
      </c>
      <c r="K45" s="60">
        <f>I43</f>
        <v>9.9545010019241679E-6</v>
      </c>
      <c r="L45" s="60">
        <f>I45</f>
        <v>-5.4611559073685333E-5</v>
      </c>
      <c r="M45" s="60">
        <f>(C45-$O$3)*K45+ L45</f>
        <v>1.8367436312919066E-3</v>
      </c>
    </row>
    <row r="46" spans="1:26" ht="14">
      <c r="A46" s="55">
        <f t="shared" si="8"/>
        <v>67</v>
      </c>
      <c r="B46" s="55" t="s">
        <v>114</v>
      </c>
      <c r="C46" s="80">
        <v>1427</v>
      </c>
      <c r="D46" s="56" t="s">
        <v>37</v>
      </c>
      <c r="E46" s="80">
        <v>511</v>
      </c>
      <c r="F46" s="80">
        <v>3047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1.7777788468689477E-6</v>
      </c>
      <c r="L46" s="60">
        <f>J45</f>
        <v>-1.2971767122056579E-4</v>
      </c>
      <c r="M46" s="60">
        <f>(C46-$O$4)*K46 + L46</f>
        <v>1.7156167718294019E-3</v>
      </c>
    </row>
    <row r="47" spans="1:26" ht="14">
      <c r="A47" s="55">
        <f t="shared" si="8"/>
        <v>67</v>
      </c>
      <c r="B47" s="55" t="s">
        <v>115</v>
      </c>
      <c r="C47" s="80">
        <v>1553</v>
      </c>
      <c r="D47" s="56" t="s">
        <v>37</v>
      </c>
      <c r="E47" s="80">
        <v>990</v>
      </c>
      <c r="F47" s="80">
        <v>5717</v>
      </c>
      <c r="G47" s="57">
        <v>0.01</v>
      </c>
      <c r="H47" s="58"/>
      <c r="I47" s="61">
        <f>RSQ(G42:G48, E42:E48)</f>
        <v>0.99957567046636964</v>
      </c>
      <c r="J47" s="61">
        <f>RSQ(G42:G48, F42:F48)</f>
        <v>0.99948568739636179</v>
      </c>
      <c r="K47" s="60">
        <f>J43</f>
        <v>1.7777788468689477E-6</v>
      </c>
      <c r="L47" s="60">
        <f>J45</f>
        <v>-1.2971767122056579E-4</v>
      </c>
      <c r="M47" s="60">
        <f>(C47-$O$4)*K47 + L47</f>
        <v>1.9396169065348892E-3</v>
      </c>
    </row>
    <row r="48" spans="1:26" ht="14">
      <c r="A48" s="55">
        <f t="shared" si="8"/>
        <v>67</v>
      </c>
      <c r="B48" s="55" t="s">
        <v>116</v>
      </c>
      <c r="C48" s="80">
        <v>93</v>
      </c>
      <c r="D48" s="56" t="s">
        <v>38</v>
      </c>
      <c r="E48" s="80">
        <v>2025</v>
      </c>
      <c r="F48" s="80">
        <v>11266</v>
      </c>
      <c r="G48" s="57">
        <v>0.02</v>
      </c>
      <c r="H48" s="58"/>
      <c r="I48" s="58"/>
      <c r="J48" s="58"/>
      <c r="K48" s="60">
        <f>I43</f>
        <v>9.9545010019241679E-6</v>
      </c>
      <c r="L48" s="60">
        <f>I45</f>
        <v>-5.4611559073685333E-5</v>
      </c>
      <c r="M48" s="60">
        <f>(C48-$O$5)*K48 + L48</f>
        <v>8.7115703410526224E-4</v>
      </c>
    </row>
    <row r="49" spans="1:13" ht="14">
      <c r="A49" s="55">
        <f t="shared" si="8"/>
        <v>67</v>
      </c>
      <c r="B49" s="55" t="s">
        <v>117</v>
      </c>
      <c r="C49" s="80">
        <v>91</v>
      </c>
      <c r="D49" s="56" t="s">
        <v>38</v>
      </c>
      <c r="E49" s="80">
        <v>16</v>
      </c>
      <c r="F49" s="80">
        <v>14</v>
      </c>
      <c r="G49" s="56"/>
      <c r="H49" s="58"/>
      <c r="I49" s="58"/>
      <c r="J49" s="58"/>
      <c r="K49" s="60">
        <f>I43</f>
        <v>9.9545010019241679E-6</v>
      </c>
      <c r="L49" s="60">
        <f>I45</f>
        <v>-5.4611559073685333E-5</v>
      </c>
      <c r="M49" s="60">
        <f>(C49-$O$5)*K49 + L49</f>
        <v>8.5124803210141395E-4</v>
      </c>
    </row>
    <row r="50" spans="1:13" ht="14">
      <c r="A50" s="55">
        <f>P8</f>
        <v>68</v>
      </c>
      <c r="B50" s="55" t="s">
        <v>118</v>
      </c>
      <c r="C50" s="80">
        <v>373</v>
      </c>
      <c r="D50" s="56" t="s">
        <v>35</v>
      </c>
      <c r="E50" s="80">
        <v>20</v>
      </c>
      <c r="F50" s="80">
        <v>21</v>
      </c>
      <c r="G50" s="57">
        <v>0</v>
      </c>
      <c r="H50" s="58"/>
      <c r="I50" s="62" t="s">
        <v>68</v>
      </c>
      <c r="J50" s="62" t="s">
        <v>68</v>
      </c>
      <c r="K50" s="60">
        <f>I51</f>
        <v>9.6253961398614468E-6</v>
      </c>
      <c r="L50" s="60">
        <f>I53</f>
        <v>1.5790514237689745E-4</v>
      </c>
      <c r="M50" s="60">
        <f>(C50-$O$2)*K50+L50</f>
        <v>3.7481779025452171E-3</v>
      </c>
    </row>
    <row r="51" spans="1:13" ht="14">
      <c r="A51" s="55">
        <f t="shared" ref="A51:A57" si="9">A50</f>
        <v>68</v>
      </c>
      <c r="B51" s="55" t="s">
        <v>119</v>
      </c>
      <c r="C51" s="80">
        <v>393</v>
      </c>
      <c r="D51" s="56" t="s">
        <v>35</v>
      </c>
      <c r="E51" s="80">
        <v>64</v>
      </c>
      <c r="F51" s="80">
        <v>258</v>
      </c>
      <c r="G51" s="57">
        <v>5.0000000000000001E-4</v>
      </c>
      <c r="H51" s="58"/>
      <c r="I51" s="58">
        <f>SLOPE(G50:G56, E50:E56)</f>
        <v>9.6253961398614468E-6</v>
      </c>
      <c r="J51" s="58">
        <f>SLOPE(G50:G56, F50:F56)</f>
        <v>1.7626572784405962E-6</v>
      </c>
      <c r="K51" s="60">
        <f>I51</f>
        <v>9.6253961398614468E-6</v>
      </c>
      <c r="L51" s="60">
        <f>I53</f>
        <v>1.5790514237689745E-4</v>
      </c>
      <c r="M51" s="60">
        <f>(C51-$O$2)*K51+L51</f>
        <v>3.9406858253424465E-3</v>
      </c>
    </row>
    <row r="52" spans="1:13" ht="14">
      <c r="A52" s="55">
        <f t="shared" si="9"/>
        <v>68</v>
      </c>
      <c r="B52" s="55" t="s">
        <v>120</v>
      </c>
      <c r="C52" s="80">
        <v>182</v>
      </c>
      <c r="D52" s="56" t="s">
        <v>36</v>
      </c>
      <c r="E52" s="80">
        <v>103</v>
      </c>
      <c r="F52" s="80">
        <v>643</v>
      </c>
      <c r="G52" s="57">
        <v>1E-3</v>
      </c>
      <c r="H52" s="58"/>
      <c r="I52" s="62" t="s">
        <v>71</v>
      </c>
      <c r="J52" s="62" t="s">
        <v>71</v>
      </c>
      <c r="K52" s="60">
        <f>I51</f>
        <v>9.6253961398614468E-6</v>
      </c>
      <c r="L52" s="60">
        <f>I53</f>
        <v>1.5790514237689745E-4</v>
      </c>
      <c r="M52" s="60">
        <f>(C52-$O$3)*K52 + L52</f>
        <v>1.9097272398316807E-3</v>
      </c>
    </row>
    <row r="53" spans="1:13" ht="14">
      <c r="A53" s="55">
        <f t="shared" si="9"/>
        <v>68</v>
      </c>
      <c r="B53" s="55" t="s">
        <v>121</v>
      </c>
      <c r="C53" s="80">
        <v>180</v>
      </c>
      <c r="D53" s="56" t="s">
        <v>36</v>
      </c>
      <c r="E53" s="80">
        <v>191</v>
      </c>
      <c r="F53" s="80">
        <v>1214</v>
      </c>
      <c r="G53" s="57">
        <v>2E-3</v>
      </c>
      <c r="H53" s="58"/>
      <c r="I53" s="58">
        <f>INTERCEPT(G50:G56, E50:E56)</f>
        <v>1.5790514237689745E-4</v>
      </c>
      <c r="J53" s="58">
        <f>INTERCEPT(G50:G56, F50:F56)</f>
        <v>-5.010415344416843E-5</v>
      </c>
      <c r="K53" s="60">
        <f>I51</f>
        <v>9.6253961398614468E-6</v>
      </c>
      <c r="L53" s="60">
        <f>I53</f>
        <v>1.5790514237689745E-4</v>
      </c>
      <c r="M53" s="60">
        <f>(C53-$O$3)*K53+ L53</f>
        <v>1.8904764475519578E-3</v>
      </c>
    </row>
    <row r="54" spans="1:13" ht="14">
      <c r="A54" s="55">
        <f t="shared" si="9"/>
        <v>68</v>
      </c>
      <c r="B54" s="55" t="s">
        <v>122</v>
      </c>
      <c r="C54" s="80">
        <v>1450</v>
      </c>
      <c r="D54" s="56" t="s">
        <v>37</v>
      </c>
      <c r="E54" s="80">
        <v>447</v>
      </c>
      <c r="F54" s="80">
        <v>2917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1.7626572784405962E-6</v>
      </c>
      <c r="L54" s="60">
        <f>J53</f>
        <v>-5.010415344416843E-5</v>
      </c>
      <c r="M54" s="60">
        <f>(C54-$O$4)*K54 + L54</f>
        <v>1.820075218981304E-3</v>
      </c>
    </row>
    <row r="55" spans="1:13" ht="14">
      <c r="A55" s="55">
        <f t="shared" si="9"/>
        <v>68</v>
      </c>
      <c r="B55" s="55" t="s">
        <v>123</v>
      </c>
      <c r="C55" s="80">
        <v>1471</v>
      </c>
      <c r="D55" s="56" t="s">
        <v>37</v>
      </c>
      <c r="E55" s="80">
        <v>960</v>
      </c>
      <c r="F55" s="80">
        <v>5568</v>
      </c>
      <c r="G55" s="57">
        <v>0.01</v>
      </c>
      <c r="H55" s="58"/>
      <c r="I55" s="61">
        <f>RSQ(G50:G56, E50:E56)</f>
        <v>0.99682536569940294</v>
      </c>
      <c r="J55" s="61">
        <f>RSQ(G50:G56, F50:F56)</f>
        <v>0.99970338916442747</v>
      </c>
      <c r="K55" s="60">
        <f>J51</f>
        <v>1.7626572784405962E-6</v>
      </c>
      <c r="L55" s="60">
        <f>J53</f>
        <v>-5.010415344416843E-5</v>
      </c>
      <c r="M55" s="60">
        <f>(C55-$O$4)*K55 + L55</f>
        <v>1.8570910218285567E-3</v>
      </c>
    </row>
    <row r="56" spans="1:13" ht="14">
      <c r="A56" s="55">
        <f t="shared" si="9"/>
        <v>68</v>
      </c>
      <c r="B56" s="55" t="s">
        <v>124</v>
      </c>
      <c r="C56" s="80">
        <v>97</v>
      </c>
      <c r="D56" s="56" t="s">
        <v>38</v>
      </c>
      <c r="E56" s="80">
        <v>2100</v>
      </c>
      <c r="F56" s="80">
        <v>11420</v>
      </c>
      <c r="G56" s="57">
        <v>0.02</v>
      </c>
      <c r="H56" s="58"/>
      <c r="I56" s="58"/>
      <c r="J56" s="58"/>
      <c r="K56" s="60">
        <f>I51</f>
        <v>9.6253961398614468E-6</v>
      </c>
      <c r="L56" s="60">
        <f>I53</f>
        <v>1.5790514237689745E-4</v>
      </c>
      <c r="M56" s="60">
        <f>(C56-$O$5)*K56 + L56</f>
        <v>1.0915685679434577E-3</v>
      </c>
    </row>
    <row r="57" spans="1:13" ht="14">
      <c r="A57" s="55">
        <f t="shared" si="9"/>
        <v>68</v>
      </c>
      <c r="B57" s="55" t="s">
        <v>125</v>
      </c>
      <c r="C57" s="80">
        <v>107</v>
      </c>
      <c r="D57" s="56" t="s">
        <v>38</v>
      </c>
      <c r="E57" s="80">
        <v>23</v>
      </c>
      <c r="F57" s="80">
        <v>14</v>
      </c>
      <c r="G57" s="56"/>
      <c r="H57" s="58"/>
      <c r="I57" s="58"/>
      <c r="J57" s="58"/>
      <c r="K57" s="60">
        <f>I51</f>
        <v>9.6253961398614468E-6</v>
      </c>
      <c r="L57" s="60">
        <f>I53</f>
        <v>1.5790514237689745E-4</v>
      </c>
      <c r="M57" s="60">
        <f>(C57-$O$5)*K57 + L57</f>
        <v>1.1878225293420722E-3</v>
      </c>
    </row>
    <row r="58" spans="1:13" ht="14">
      <c r="A58" s="55">
        <f>P9</f>
        <v>70</v>
      </c>
      <c r="B58" s="55" t="s">
        <v>126</v>
      </c>
      <c r="C58" s="80">
        <v>462</v>
      </c>
      <c r="D58" s="56" t="s">
        <v>35</v>
      </c>
      <c r="E58" s="80">
        <v>19</v>
      </c>
      <c r="F58" s="80">
        <v>21</v>
      </c>
      <c r="G58" s="57">
        <v>0</v>
      </c>
      <c r="H58" s="58"/>
      <c r="I58" s="62" t="s">
        <v>68</v>
      </c>
      <c r="J58" s="62" t="s">
        <v>68</v>
      </c>
      <c r="K58" s="60">
        <f>I59</f>
        <v>9.7989280320766602E-6</v>
      </c>
      <c r="L58" s="60">
        <f>I61</f>
        <v>-1.3298377158235414E-4</v>
      </c>
      <c r="M58" s="60">
        <f>(C58-$O$2)*K58+L58</f>
        <v>4.3941209792370626E-3</v>
      </c>
    </row>
    <row r="59" spans="1:13" ht="14">
      <c r="A59" s="55">
        <f t="shared" ref="A59:A65" si="10">A58</f>
        <v>70</v>
      </c>
      <c r="B59" s="55" t="s">
        <v>127</v>
      </c>
      <c r="C59" s="80">
        <v>446</v>
      </c>
      <c r="D59" s="56" t="s">
        <v>35</v>
      </c>
      <c r="E59" s="80">
        <v>68</v>
      </c>
      <c r="F59" s="80">
        <v>305</v>
      </c>
      <c r="G59" s="57">
        <v>5.0000000000000001E-4</v>
      </c>
      <c r="H59" s="58"/>
      <c r="I59" s="58">
        <f>SLOPE(G58:G64, E58:E64)</f>
        <v>9.7989280320766602E-6</v>
      </c>
      <c r="J59" s="58">
        <f>SLOPE(G58:G64, F58:F64)</f>
        <v>1.6659730597348657E-6</v>
      </c>
      <c r="K59" s="60">
        <f>I59</f>
        <v>9.7989280320766602E-6</v>
      </c>
      <c r="L59" s="60">
        <f>I61</f>
        <v>-1.3298377158235414E-4</v>
      </c>
      <c r="M59" s="60">
        <f>(C59-$O$2)*K59+L59</f>
        <v>4.2373381307238365E-3</v>
      </c>
    </row>
    <row r="60" spans="1:13" ht="14">
      <c r="A60" s="55">
        <f t="shared" si="10"/>
        <v>70</v>
      </c>
      <c r="B60" s="55" t="s">
        <v>128</v>
      </c>
      <c r="C60" s="80">
        <v>203</v>
      </c>
      <c r="D60" s="56" t="s">
        <v>36</v>
      </c>
      <c r="E60" s="80">
        <v>134</v>
      </c>
      <c r="F60" s="80">
        <v>653</v>
      </c>
      <c r="G60" s="57">
        <v>1E-3</v>
      </c>
      <c r="H60" s="58"/>
      <c r="I60" s="62" t="s">
        <v>71</v>
      </c>
      <c r="J60" s="62" t="s">
        <v>71</v>
      </c>
      <c r="K60" s="60">
        <f>I59</f>
        <v>9.7989280320766602E-6</v>
      </c>
      <c r="L60" s="60">
        <f>I61</f>
        <v>-1.3298377158235414E-4</v>
      </c>
      <c r="M60" s="60">
        <f>(C60-$O$3)*K60 + L60</f>
        <v>1.8561986189292077E-3</v>
      </c>
    </row>
    <row r="61" spans="1:13" ht="14">
      <c r="A61" s="55">
        <f t="shared" si="10"/>
        <v>70</v>
      </c>
      <c r="B61" s="55" t="s">
        <v>129</v>
      </c>
      <c r="C61" s="80">
        <v>211</v>
      </c>
      <c r="D61" s="56" t="s">
        <v>36</v>
      </c>
      <c r="E61" s="80">
        <v>205</v>
      </c>
      <c r="F61" s="80">
        <v>1287</v>
      </c>
      <c r="G61" s="57">
        <v>2E-3</v>
      </c>
      <c r="H61" s="58"/>
      <c r="I61" s="58">
        <f>INTERCEPT(G58:G64, E58:E64)</f>
        <v>-1.3298377158235414E-4</v>
      </c>
      <c r="J61" s="58">
        <f>INTERCEPT(G58:G64, F58:F64)</f>
        <v>-4.2692369737897841E-5</v>
      </c>
      <c r="K61" s="60">
        <f>I59</f>
        <v>9.7989280320766602E-6</v>
      </c>
      <c r="L61" s="60">
        <f>I61</f>
        <v>-1.3298377158235414E-4</v>
      </c>
      <c r="M61" s="60">
        <f>(C61-$O$3)*K61+ L61</f>
        <v>1.9345900431858212E-3</v>
      </c>
    </row>
    <row r="62" spans="1:13" ht="14">
      <c r="A62" s="55">
        <f t="shared" si="10"/>
        <v>70</v>
      </c>
      <c r="B62" s="55" t="s">
        <v>130</v>
      </c>
      <c r="C62" s="80">
        <v>1522</v>
      </c>
      <c r="D62" s="56" t="s">
        <v>37</v>
      </c>
      <c r="E62" s="80">
        <v>521</v>
      </c>
      <c r="F62" s="80">
        <v>3087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1.6659730597348657E-6</v>
      </c>
      <c r="L62" s="60">
        <f>J61</f>
        <v>-4.2692369737897841E-5</v>
      </c>
      <c r="M62" s="60">
        <f>(C62-$O$4)*K62 + L62</f>
        <v>1.8448551069417049E-3</v>
      </c>
    </row>
    <row r="63" spans="1:13" ht="14">
      <c r="A63" s="55">
        <f t="shared" si="10"/>
        <v>70</v>
      </c>
      <c r="B63" s="55" t="s">
        <v>131</v>
      </c>
      <c r="C63" s="80">
        <v>1528</v>
      </c>
      <c r="D63" s="56" t="s">
        <v>37</v>
      </c>
      <c r="E63" s="80">
        <v>1010</v>
      </c>
      <c r="F63" s="80">
        <v>5835</v>
      </c>
      <c r="G63" s="57">
        <v>0.01</v>
      </c>
      <c r="H63" s="58"/>
      <c r="I63" s="61">
        <f>RSQ(G58:G64, E58:E64)</f>
        <v>0.99961372273219062</v>
      </c>
      <c r="J63" s="61">
        <f>RSQ(G58:G64, F58:F64)</f>
        <v>0.99955768241768972</v>
      </c>
      <c r="K63" s="60">
        <f>J59</f>
        <v>1.6659730597348657E-6</v>
      </c>
      <c r="L63" s="60">
        <f>J61</f>
        <v>-4.2692369737897841E-5</v>
      </c>
      <c r="M63" s="60">
        <f>(C63-$O$4)*K63 + L63</f>
        <v>1.8548509453001141E-3</v>
      </c>
    </row>
    <row r="64" spans="1:13" ht="14">
      <c r="A64" s="55">
        <f t="shared" si="10"/>
        <v>70</v>
      </c>
      <c r="B64" s="55" t="s">
        <v>132</v>
      </c>
      <c r="C64" s="80">
        <v>101</v>
      </c>
      <c r="D64" s="56" t="s">
        <v>38</v>
      </c>
      <c r="E64" s="80">
        <v>2067</v>
      </c>
      <c r="F64" s="80">
        <v>12101</v>
      </c>
      <c r="G64" s="57">
        <v>0.02</v>
      </c>
      <c r="H64" s="58"/>
      <c r="I64" s="58"/>
      <c r="J64" s="58"/>
      <c r="K64" s="60">
        <f>I59</f>
        <v>9.7989280320766602E-6</v>
      </c>
      <c r="L64" s="60">
        <f>I61</f>
        <v>-1.3298377158235414E-4</v>
      </c>
      <c r="M64" s="60">
        <f>(C64-$O$5)*K64 + L64</f>
        <v>8.5670795965738845E-4</v>
      </c>
    </row>
    <row r="65" spans="1:26" ht="14">
      <c r="A65" s="55">
        <f t="shared" si="10"/>
        <v>70</v>
      </c>
      <c r="B65" s="55" t="s">
        <v>133</v>
      </c>
      <c r="C65" s="80">
        <v>112</v>
      </c>
      <c r="D65" s="56" t="s">
        <v>38</v>
      </c>
      <c r="E65" s="80">
        <v>15</v>
      </c>
      <c r="F65" s="80">
        <v>14</v>
      </c>
      <c r="G65" s="56"/>
      <c r="H65" s="58"/>
      <c r="I65" s="58"/>
      <c r="J65" s="58"/>
      <c r="K65" s="60">
        <f>I59</f>
        <v>9.7989280320766602E-6</v>
      </c>
      <c r="L65" s="60">
        <f>I61</f>
        <v>-1.3298377158235414E-4</v>
      </c>
      <c r="M65" s="60">
        <f>(C65-$O$5)*K65 + L65</f>
        <v>9.6449616801023183E-4</v>
      </c>
    </row>
    <row r="66" spans="1:26" ht="14">
      <c r="A66" s="55">
        <f>P10</f>
        <v>71</v>
      </c>
      <c r="B66" s="55" t="s">
        <v>134</v>
      </c>
      <c r="C66" s="80">
        <v>463</v>
      </c>
      <c r="D66" s="56" t="s">
        <v>35</v>
      </c>
      <c r="E66" s="80">
        <v>21</v>
      </c>
      <c r="F66" s="80">
        <v>20</v>
      </c>
      <c r="G66" s="57">
        <v>0</v>
      </c>
      <c r="H66" s="58"/>
      <c r="I66" s="62" t="s">
        <v>68</v>
      </c>
      <c r="J66" s="62" t="s">
        <v>68</v>
      </c>
      <c r="K66" s="60">
        <f>I67</f>
        <v>9.7383446573576996E-6</v>
      </c>
      <c r="L66" s="60">
        <f>I69</f>
        <v>-6.3377183539063166E-5</v>
      </c>
      <c r="M66" s="60">
        <f>(C66-$O$2)*K66+L66</f>
        <v>4.4454763928175513E-3</v>
      </c>
    </row>
    <row r="67" spans="1:26" ht="14">
      <c r="A67" s="55">
        <f t="shared" ref="A67:A73" si="11">A66</f>
        <v>71</v>
      </c>
      <c r="B67" s="55" t="s">
        <v>135</v>
      </c>
      <c r="C67" s="80">
        <v>423</v>
      </c>
      <c r="D67" s="56" t="s">
        <v>35</v>
      </c>
      <c r="E67" s="80">
        <v>64</v>
      </c>
      <c r="F67" s="80">
        <v>323</v>
      </c>
      <c r="G67" s="57">
        <v>5.0000000000000001E-4</v>
      </c>
      <c r="H67" s="58"/>
      <c r="I67" s="58">
        <f>SLOPE(G66:G72, E66:E72)</f>
        <v>9.7383446573576996E-6</v>
      </c>
      <c r="J67" s="58">
        <f>SLOPE(G66:G72, F66:F72)</f>
        <v>1.7482898768796147E-6</v>
      </c>
      <c r="K67" s="60">
        <f>I67</f>
        <v>9.7383446573576996E-6</v>
      </c>
      <c r="L67" s="60">
        <f>I69</f>
        <v>-6.3377183539063166E-5</v>
      </c>
      <c r="M67" s="60">
        <f>(C67-$O$2)*K67+L67</f>
        <v>4.0559426065232438E-3</v>
      </c>
    </row>
    <row r="68" spans="1:26" ht="14">
      <c r="A68" s="55">
        <f t="shared" si="11"/>
        <v>71</v>
      </c>
      <c r="B68" s="55" t="s">
        <v>136</v>
      </c>
      <c r="C68" s="80">
        <v>203</v>
      </c>
      <c r="D68" s="56" t="s">
        <v>36</v>
      </c>
      <c r="E68" s="80">
        <v>120</v>
      </c>
      <c r="F68" s="80">
        <v>651</v>
      </c>
      <c r="G68" s="57">
        <v>1E-3</v>
      </c>
      <c r="H68" s="58"/>
      <c r="I68" s="62" t="s">
        <v>71</v>
      </c>
      <c r="J68" s="62" t="s">
        <v>71</v>
      </c>
      <c r="K68" s="60">
        <f>I67</f>
        <v>9.7383446573576996E-6</v>
      </c>
      <c r="L68" s="60">
        <f>I69</f>
        <v>-6.3377183539063166E-5</v>
      </c>
      <c r="M68" s="60">
        <f>(C68-$O$3)*K68 + L68</f>
        <v>1.9135067819045499E-3</v>
      </c>
    </row>
    <row r="69" spans="1:26" ht="14">
      <c r="A69" s="55">
        <f t="shared" si="11"/>
        <v>71</v>
      </c>
      <c r="B69" s="55" t="s">
        <v>137</v>
      </c>
      <c r="C69" s="80">
        <v>206</v>
      </c>
      <c r="D69" s="56" t="s">
        <v>36</v>
      </c>
      <c r="E69" s="80">
        <v>191</v>
      </c>
      <c r="F69" s="80">
        <v>1249</v>
      </c>
      <c r="G69" s="57">
        <v>2E-3</v>
      </c>
      <c r="H69" s="58"/>
      <c r="I69" s="58">
        <f>INTERCEPT(G66:G72, E66:E72)</f>
        <v>-6.3377183539063166E-5</v>
      </c>
      <c r="J69" s="58">
        <f>INTERCEPT(G66:G72, F66:F72)</f>
        <v>-1.1475781744723062E-4</v>
      </c>
      <c r="K69" s="60">
        <f>I67</f>
        <v>9.7383446573576996E-6</v>
      </c>
      <c r="L69" s="60">
        <f>I69</f>
        <v>-6.3377183539063166E-5</v>
      </c>
      <c r="M69" s="60">
        <f>(C69-$O$3)*K69+ L69</f>
        <v>1.9427218158766229E-3</v>
      </c>
    </row>
    <row r="70" spans="1:26" ht="14">
      <c r="A70" s="55">
        <f t="shared" si="11"/>
        <v>71</v>
      </c>
      <c r="B70" s="55" t="s">
        <v>138</v>
      </c>
      <c r="C70" s="80">
        <v>1569</v>
      </c>
      <c r="D70" s="56" t="s">
        <v>37</v>
      </c>
      <c r="E70" s="80">
        <v>515</v>
      </c>
      <c r="F70" s="80">
        <v>3007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1.7482898768796147E-6</v>
      </c>
      <c r="L70" s="60">
        <f>J69</f>
        <v>-1.1475781744723062E-4</v>
      </c>
      <c r="M70" s="60">
        <f>(C70-$O$4)*K70 + L70</f>
        <v>1.9482242372707145E-3</v>
      </c>
    </row>
    <row r="71" spans="1:26" ht="14">
      <c r="A71" s="55">
        <f t="shared" si="11"/>
        <v>71</v>
      </c>
      <c r="B71" s="55" t="s">
        <v>139</v>
      </c>
      <c r="C71" s="80">
        <v>1610</v>
      </c>
      <c r="D71" s="56" t="s">
        <v>37</v>
      </c>
      <c r="E71" s="80">
        <v>1018</v>
      </c>
      <c r="F71" s="80">
        <v>5717</v>
      </c>
      <c r="G71" s="57">
        <v>0.01</v>
      </c>
      <c r="H71" s="58"/>
      <c r="I71" s="61">
        <f>RSQ(G66:G72, E66:E72)</f>
        <v>0.99965560251171559</v>
      </c>
      <c r="J71" s="61">
        <f>RSQ(G66:G72, F66:F72)</f>
        <v>0.99984615721702308</v>
      </c>
      <c r="K71" s="60">
        <f>J67</f>
        <v>1.7482898768796147E-6</v>
      </c>
      <c r="L71" s="60">
        <f>J69</f>
        <v>-1.1475781744723062E-4</v>
      </c>
      <c r="M71" s="60">
        <f>(C71-$O$4)*K71 + L71</f>
        <v>2.0199041222227791E-3</v>
      </c>
    </row>
    <row r="72" spans="1:26" ht="14">
      <c r="A72" s="55">
        <f t="shared" si="11"/>
        <v>71</v>
      </c>
      <c r="B72" s="55" t="s">
        <v>140</v>
      </c>
      <c r="C72" s="80">
        <v>110</v>
      </c>
      <c r="D72" s="56" t="s">
        <v>38</v>
      </c>
      <c r="E72" s="80">
        <v>2070</v>
      </c>
      <c r="F72" s="80">
        <v>11514</v>
      </c>
      <c r="G72" s="57">
        <v>0.02</v>
      </c>
      <c r="H72" s="58"/>
      <c r="I72" s="58"/>
      <c r="J72" s="58"/>
      <c r="K72" s="60">
        <f>I67</f>
        <v>9.7383446573576996E-6</v>
      </c>
      <c r="L72" s="60">
        <f>I69</f>
        <v>-6.3377183539063166E-5</v>
      </c>
      <c r="M72" s="60">
        <f>(C72-$O$5)*K72 + L72</f>
        <v>1.0078407287702838E-3</v>
      </c>
    </row>
    <row r="73" spans="1:26" ht="14">
      <c r="A73" s="55">
        <f t="shared" si="11"/>
        <v>71</v>
      </c>
      <c r="B73" s="55" t="s">
        <v>141</v>
      </c>
      <c r="C73" s="80">
        <v>115</v>
      </c>
      <c r="D73" s="56" t="s">
        <v>38</v>
      </c>
      <c r="E73" s="80">
        <v>15</v>
      </c>
      <c r="F73" s="80">
        <v>14</v>
      </c>
      <c r="G73" s="56"/>
      <c r="H73" s="58"/>
      <c r="I73" s="58"/>
      <c r="J73" s="58"/>
      <c r="K73" s="60">
        <f>I67</f>
        <v>9.7383446573576996E-6</v>
      </c>
      <c r="L73" s="60">
        <f>I69</f>
        <v>-6.3377183539063166E-5</v>
      </c>
      <c r="M73" s="60">
        <f>(C73-$O$5)*K73 + L73</f>
        <v>1.0565324520570723E-3</v>
      </c>
    </row>
    <row r="74" spans="1:26" ht="14">
      <c r="A74" s="55">
        <f>P11</f>
        <v>72</v>
      </c>
      <c r="B74" s="55" t="s">
        <v>142</v>
      </c>
      <c r="C74" s="80">
        <v>452</v>
      </c>
      <c r="D74" s="56" t="s">
        <v>35</v>
      </c>
      <c r="E74" s="80">
        <v>18</v>
      </c>
      <c r="F74" s="80">
        <v>23</v>
      </c>
      <c r="G74" s="57">
        <v>0</v>
      </c>
      <c r="H74" s="58"/>
      <c r="I74" s="62" t="s">
        <v>68</v>
      </c>
      <c r="J74" s="62" t="s">
        <v>68</v>
      </c>
      <c r="K74" s="60">
        <f>I75</f>
        <v>1.0003363953962937E-5</v>
      </c>
      <c r="L74" s="60">
        <f>I77</f>
        <v>-1.2474864611401737E-4</v>
      </c>
      <c r="M74" s="60">
        <f>(C74-$O$2)*K74+L74</f>
        <v>4.3967718610772302E-3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72</v>
      </c>
      <c r="B75" s="55" t="s">
        <v>143</v>
      </c>
      <c r="C75" s="80">
        <v>450</v>
      </c>
      <c r="D75" s="56" t="s">
        <v>35</v>
      </c>
      <c r="E75" s="80">
        <v>69</v>
      </c>
      <c r="F75" s="80">
        <v>336</v>
      </c>
      <c r="G75" s="57">
        <v>5.0000000000000001E-4</v>
      </c>
      <c r="H75" s="58"/>
      <c r="I75" s="58">
        <f>SLOPE(G74:G80, E74:E80)</f>
        <v>1.0003363953962937E-5</v>
      </c>
      <c r="J75" s="58">
        <f>SLOPE(G74:G80, F74:F80)</f>
        <v>1.6885635783765718E-6</v>
      </c>
      <c r="K75" s="60">
        <f>I75</f>
        <v>1.0003363953962937E-5</v>
      </c>
      <c r="L75" s="60">
        <f>I77</f>
        <v>-1.2474864611401737E-4</v>
      </c>
      <c r="M75" s="60">
        <f>(C75-$O$2)*K75+L75</f>
        <v>4.3767651331693041E-3</v>
      </c>
    </row>
    <row r="76" spans="1:26" ht="14">
      <c r="A76" s="55">
        <f t="shared" si="12"/>
        <v>72</v>
      </c>
      <c r="B76" s="55" t="s">
        <v>144</v>
      </c>
      <c r="C76" s="80">
        <v>225</v>
      </c>
      <c r="D76" s="56" t="s">
        <v>36</v>
      </c>
      <c r="E76" s="80">
        <v>111</v>
      </c>
      <c r="F76" s="80">
        <v>680</v>
      </c>
      <c r="G76" s="57">
        <v>1E-3</v>
      </c>
      <c r="H76" s="58"/>
      <c r="I76" s="62" t="s">
        <v>71</v>
      </c>
      <c r="J76" s="62" t="s">
        <v>71</v>
      </c>
      <c r="K76" s="60">
        <f>I75</f>
        <v>1.0003363953962937E-5</v>
      </c>
      <c r="L76" s="60">
        <f>I77</f>
        <v>-1.2474864611401737E-4</v>
      </c>
      <c r="M76" s="60">
        <f>(C76-$O$3)*K76 + L76</f>
        <v>2.1260082435276433E-3</v>
      </c>
    </row>
    <row r="77" spans="1:26" ht="14">
      <c r="A77" s="55">
        <f t="shared" si="12"/>
        <v>72</v>
      </c>
      <c r="B77" s="55" t="s">
        <v>145</v>
      </c>
      <c r="C77" s="80">
        <v>224</v>
      </c>
      <c r="D77" s="56" t="s">
        <v>36</v>
      </c>
      <c r="E77" s="80">
        <v>199</v>
      </c>
      <c r="F77" s="80">
        <v>1309</v>
      </c>
      <c r="G77" s="57">
        <v>2E-3</v>
      </c>
      <c r="H77" s="58"/>
      <c r="I77" s="58">
        <f>INTERCEPT(G74:G80, E74:E80)</f>
        <v>-1.2474864611401737E-4</v>
      </c>
      <c r="J77" s="58">
        <f>INTERCEPT(G74:G80, F74:F80)</f>
        <v>-1.2774118336077341E-4</v>
      </c>
      <c r="K77" s="60">
        <f>I75</f>
        <v>1.0003363953962937E-5</v>
      </c>
      <c r="L77" s="60">
        <f>I77</f>
        <v>-1.2474864611401737E-4</v>
      </c>
      <c r="M77" s="60">
        <f>(C77-$O$3)*K77+ L77</f>
        <v>2.1160048795736807E-3</v>
      </c>
    </row>
    <row r="78" spans="1:26" ht="14">
      <c r="A78" s="55">
        <f t="shared" si="12"/>
        <v>72</v>
      </c>
      <c r="B78" s="55" t="s">
        <v>146</v>
      </c>
      <c r="C78" s="80">
        <v>1554</v>
      </c>
      <c r="D78" s="56" t="s">
        <v>37</v>
      </c>
      <c r="E78" s="80">
        <v>508</v>
      </c>
      <c r="F78" s="80">
        <v>3104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1.6885635783765718E-6</v>
      </c>
      <c r="L78" s="60">
        <f>J77</f>
        <v>-1.2774118336077341E-4</v>
      </c>
      <c r="M78" s="60">
        <f>(C78-$O$4)*K78 + L78</f>
        <v>1.8394353854479326E-3</v>
      </c>
    </row>
    <row r="79" spans="1:26" ht="14">
      <c r="A79" s="55">
        <f t="shared" si="12"/>
        <v>72</v>
      </c>
      <c r="B79" s="55" t="s">
        <v>147</v>
      </c>
      <c r="C79" s="80">
        <v>1601</v>
      </c>
      <c r="D79" s="56" t="s">
        <v>37</v>
      </c>
      <c r="E79" s="80">
        <v>1022</v>
      </c>
      <c r="F79" s="80">
        <v>5963</v>
      </c>
      <c r="G79" s="57">
        <v>0.01</v>
      </c>
      <c r="H79" s="58"/>
      <c r="I79" s="61">
        <f>RSQ(G74:G80, E74:E80)</f>
        <v>0.99988098322256547</v>
      </c>
      <c r="J79" s="61">
        <f>RSQ(G74:G80, F74:F80)</f>
        <v>0.99988941741098858</v>
      </c>
      <c r="K79" s="60">
        <f>J75</f>
        <v>1.6885635783765718E-6</v>
      </c>
      <c r="L79" s="60">
        <f>J77</f>
        <v>-1.2774118336077341E-4</v>
      </c>
      <c r="M79" s="60">
        <f>(C79-$O$4)*K79 + L79</f>
        <v>1.9187978736316317E-3</v>
      </c>
    </row>
    <row r="80" spans="1:26" ht="14">
      <c r="A80" s="55">
        <f t="shared" si="12"/>
        <v>72</v>
      </c>
      <c r="B80" s="55" t="s">
        <v>148</v>
      </c>
      <c r="C80" s="80">
        <v>109</v>
      </c>
      <c r="D80" s="56" t="s">
        <v>38</v>
      </c>
      <c r="E80" s="80">
        <v>2009</v>
      </c>
      <c r="F80" s="80">
        <v>11915</v>
      </c>
      <c r="G80" s="57">
        <v>0.02</v>
      </c>
      <c r="H80" s="58"/>
      <c r="I80" s="58"/>
      <c r="J80" s="58"/>
      <c r="K80" s="60">
        <f>I75</f>
        <v>1.0003363953962937E-5</v>
      </c>
      <c r="L80" s="60">
        <f>I77</f>
        <v>-1.2474864611401737E-4</v>
      </c>
      <c r="M80" s="60">
        <f>(C80-$O$5)*K80 + L80</f>
        <v>9.6561802486794289E-4</v>
      </c>
    </row>
    <row r="81" spans="1:13" ht="14">
      <c r="A81" s="55">
        <f t="shared" si="12"/>
        <v>72</v>
      </c>
      <c r="B81" s="55" t="s">
        <v>149</v>
      </c>
      <c r="C81" s="80">
        <v>110</v>
      </c>
      <c r="D81" s="56" t="s">
        <v>38</v>
      </c>
      <c r="E81" s="80">
        <v>16</v>
      </c>
      <c r="F81" s="80">
        <v>14</v>
      </c>
      <c r="G81" s="56"/>
      <c r="H81" s="58"/>
      <c r="I81" s="58"/>
      <c r="J81" s="58"/>
      <c r="K81" s="60">
        <f>I75</f>
        <v>1.0003363953962937E-5</v>
      </c>
      <c r="L81" s="60">
        <f>I77</f>
        <v>-1.2474864611401737E-4</v>
      </c>
      <c r="M81" s="60">
        <f>(C81-$O$5)*K81 + L81</f>
        <v>9.7562138882190575E-4</v>
      </c>
    </row>
    <row r="82" spans="1:13" ht="14">
      <c r="A82" s="55">
        <f>P12</f>
        <v>73</v>
      </c>
      <c r="B82" s="55" t="s">
        <v>150</v>
      </c>
      <c r="C82" s="80">
        <v>473</v>
      </c>
      <c r="D82" s="56" t="s">
        <v>35</v>
      </c>
      <c r="E82" s="80">
        <v>24</v>
      </c>
      <c r="F82" s="80">
        <v>23</v>
      </c>
      <c r="G82" s="57">
        <v>0</v>
      </c>
      <c r="H82" s="58"/>
      <c r="I82" s="62" t="s">
        <v>68</v>
      </c>
      <c r="J82" s="62" t="s">
        <v>68</v>
      </c>
      <c r="K82" s="60">
        <f>I83</f>
        <v>9.5815269968788938E-6</v>
      </c>
      <c r="L82" s="60">
        <f>I85</f>
        <v>-3.6753814625018096E-5</v>
      </c>
      <c r="M82" s="60">
        <f>(C82-$O$2)*K82+L82</f>
        <v>4.4953084548986985E-3</v>
      </c>
    </row>
    <row r="83" spans="1:13" ht="14">
      <c r="A83" s="55">
        <f t="shared" ref="A83:A89" si="13">A82</f>
        <v>73</v>
      </c>
      <c r="B83" s="55" t="s">
        <v>151</v>
      </c>
      <c r="C83" s="80">
        <v>484</v>
      </c>
      <c r="D83" s="56" t="s">
        <v>35</v>
      </c>
      <c r="E83" s="80">
        <v>67</v>
      </c>
      <c r="F83" s="80">
        <v>351</v>
      </c>
      <c r="G83" s="57">
        <v>5.0000000000000001E-4</v>
      </c>
      <c r="H83" s="58"/>
      <c r="I83" s="58">
        <f>SLOPE(G82:G88, E82:E88)</f>
        <v>9.5815269968788938E-6</v>
      </c>
      <c r="J83" s="58">
        <f>SLOPE(G82:G88, F82:F88)</f>
        <v>1.6610560503441172E-6</v>
      </c>
      <c r="K83" s="60">
        <f>I83</f>
        <v>9.5815269968788938E-6</v>
      </c>
      <c r="L83" s="60">
        <f>I85</f>
        <v>-3.6753814625018096E-5</v>
      </c>
      <c r="M83" s="60">
        <f>(C83-$O$2)*K83+L83</f>
        <v>4.6007052518643662E-3</v>
      </c>
    </row>
    <row r="84" spans="1:13" ht="14">
      <c r="A84" s="55">
        <f t="shared" si="13"/>
        <v>73</v>
      </c>
      <c r="B84" s="55" t="s">
        <v>152</v>
      </c>
      <c r="C84" s="80">
        <v>224</v>
      </c>
      <c r="D84" s="56" t="s">
        <v>36</v>
      </c>
      <c r="E84" s="80">
        <v>111</v>
      </c>
      <c r="F84" s="80">
        <v>708</v>
      </c>
      <c r="G84" s="57">
        <v>1E-3</v>
      </c>
      <c r="H84" s="58"/>
      <c r="I84" s="62" t="s">
        <v>71</v>
      </c>
      <c r="J84" s="62" t="s">
        <v>71</v>
      </c>
      <c r="K84" s="60">
        <f>I83</f>
        <v>9.5815269968788938E-6</v>
      </c>
      <c r="L84" s="60">
        <f>I85</f>
        <v>-3.6753814625018096E-5</v>
      </c>
      <c r="M84" s="60">
        <f>(C84-$O$3)*K84 + L84</f>
        <v>2.1095082326758542E-3</v>
      </c>
    </row>
    <row r="85" spans="1:13" ht="14">
      <c r="A85" s="55">
        <f t="shared" si="13"/>
        <v>73</v>
      </c>
      <c r="B85" s="55" t="s">
        <v>153</v>
      </c>
      <c r="C85" s="80">
        <v>212</v>
      </c>
      <c r="D85" s="56" t="s">
        <v>36</v>
      </c>
      <c r="E85" s="80">
        <v>190</v>
      </c>
      <c r="F85" s="80">
        <v>1387</v>
      </c>
      <c r="G85" s="57">
        <v>2E-3</v>
      </c>
      <c r="H85" s="58"/>
      <c r="I85" s="58">
        <f>INTERCEPT(G82:G88, E82:E88)</f>
        <v>-3.6753814625018096E-5</v>
      </c>
      <c r="J85" s="58">
        <f>INTERCEPT(G82:G88, F82:F88)</f>
        <v>-1.7487934913993676E-4</v>
      </c>
      <c r="K85" s="60">
        <f>I83</f>
        <v>9.5815269968788938E-6</v>
      </c>
      <c r="L85" s="60">
        <f>I85</f>
        <v>-3.6753814625018096E-5</v>
      </c>
      <c r="M85" s="60">
        <f>(C85-$O$3)*K85+ L85</f>
        <v>1.9945299087133074E-3</v>
      </c>
    </row>
    <row r="86" spans="1:13" ht="14">
      <c r="A86" s="55">
        <f t="shared" si="13"/>
        <v>73</v>
      </c>
      <c r="B86" s="55" t="s">
        <v>154</v>
      </c>
      <c r="C86" s="80">
        <v>1807</v>
      </c>
      <c r="D86" s="56" t="s">
        <v>37</v>
      </c>
      <c r="E86" s="80">
        <v>520</v>
      </c>
      <c r="F86" s="80">
        <v>3151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1.6610560503441172E-6</v>
      </c>
      <c r="L86" s="60">
        <f>J85</f>
        <v>-1.7487934913993676E-4</v>
      </c>
      <c r="M86" s="60">
        <f>(C86-$O$4)*K86 + L86</f>
        <v>2.1804981302480215E-3</v>
      </c>
    </row>
    <row r="87" spans="1:13" ht="14">
      <c r="A87" s="55">
        <f t="shared" si="13"/>
        <v>73</v>
      </c>
      <c r="B87" s="55" t="s">
        <v>155</v>
      </c>
      <c r="C87" s="80">
        <v>1827</v>
      </c>
      <c r="D87" s="56" t="s">
        <v>37</v>
      </c>
      <c r="E87" s="80">
        <v>1031</v>
      </c>
      <c r="F87" s="80">
        <v>6208</v>
      </c>
      <c r="G87" s="57">
        <v>0.01</v>
      </c>
      <c r="H87" s="58"/>
      <c r="I87" s="61">
        <f>RSQ(G82:G88, E82:E88)</f>
        <v>0.99957738626466186</v>
      </c>
      <c r="J87" s="61">
        <f>RSQ(G82:G88, F82:F88)</f>
        <v>0.99976277818200077</v>
      </c>
      <c r="K87" s="60">
        <f>J83</f>
        <v>1.6610560503441172E-6</v>
      </c>
      <c r="L87" s="60">
        <f>J85</f>
        <v>-1.7487934913993676E-4</v>
      </c>
      <c r="M87" s="60">
        <f>(C87-$O$4)*K87 + L87</f>
        <v>2.2137192512549039E-3</v>
      </c>
    </row>
    <row r="88" spans="1:13" ht="14">
      <c r="A88" s="55">
        <f t="shared" si="13"/>
        <v>73</v>
      </c>
      <c r="B88" s="55" t="s">
        <v>156</v>
      </c>
      <c r="C88" s="80">
        <v>115</v>
      </c>
      <c r="D88" s="56" t="s">
        <v>38</v>
      </c>
      <c r="E88" s="80">
        <v>2102</v>
      </c>
      <c r="F88" s="80">
        <v>12087</v>
      </c>
      <c r="G88" s="57">
        <v>0.02</v>
      </c>
      <c r="H88" s="58"/>
      <c r="I88" s="58"/>
      <c r="J88" s="58"/>
      <c r="K88" s="60">
        <f>I83</f>
        <v>9.5815269968788938E-6</v>
      </c>
      <c r="L88" s="60">
        <f>I85</f>
        <v>-3.6753814625018096E-5</v>
      </c>
      <c r="M88" s="60">
        <f>(C88-$O$5)*K88 + L88</f>
        <v>1.0651217900160548E-3</v>
      </c>
    </row>
    <row r="89" spans="1:13" ht="14">
      <c r="A89" s="55">
        <f t="shared" si="13"/>
        <v>73</v>
      </c>
      <c r="B89" s="55" t="s">
        <v>157</v>
      </c>
      <c r="C89" s="80">
        <v>122</v>
      </c>
      <c r="D89" s="56" t="s">
        <v>38</v>
      </c>
      <c r="E89" s="80">
        <v>17</v>
      </c>
      <c r="F89" s="80">
        <v>19</v>
      </c>
      <c r="G89" s="56"/>
      <c r="H89" s="58"/>
      <c r="I89" s="58"/>
      <c r="J89" s="58"/>
      <c r="K89" s="60">
        <f>I83</f>
        <v>9.5815269968788938E-6</v>
      </c>
      <c r="L89" s="60">
        <f>I85</f>
        <v>-3.6753814625018096E-5</v>
      </c>
      <c r="M89" s="60">
        <f>(C89-$O$5)*K89 + L89</f>
        <v>1.1321924789942069E-3</v>
      </c>
    </row>
    <row r="90" spans="1:13" ht="14">
      <c r="A90" s="55">
        <f>P13</f>
        <v>75</v>
      </c>
      <c r="B90" s="55" t="s">
        <v>158</v>
      </c>
      <c r="C90" s="80">
        <v>526</v>
      </c>
      <c r="D90" s="56" t="s">
        <v>35</v>
      </c>
      <c r="E90" s="80">
        <v>18</v>
      </c>
      <c r="F90" s="80">
        <v>200</v>
      </c>
      <c r="G90" s="57">
        <v>0</v>
      </c>
      <c r="H90" s="58"/>
      <c r="I90" s="62" t="s">
        <v>68</v>
      </c>
      <c r="J90" s="62" t="s">
        <v>68</v>
      </c>
      <c r="K90" s="60">
        <f>I91</f>
        <v>1.026669708947508E-5</v>
      </c>
      <c r="L90" s="60">
        <f>I93</f>
        <v>-6.308315148271116E-5</v>
      </c>
      <c r="M90" s="60">
        <f>(C90-$O$2)*K90+L90</f>
        <v>5.337199517581181E-3</v>
      </c>
    </row>
    <row r="91" spans="1:13" ht="14">
      <c r="A91" s="55">
        <f t="shared" ref="A91:A97" si="14">A90</f>
        <v>75</v>
      </c>
      <c r="B91" s="55" t="s">
        <v>159</v>
      </c>
      <c r="C91" s="80">
        <v>567</v>
      </c>
      <c r="D91" s="56" t="s">
        <v>35</v>
      </c>
      <c r="E91" s="80">
        <v>113</v>
      </c>
      <c r="F91" s="80">
        <v>176</v>
      </c>
      <c r="G91" s="57">
        <v>5.0000000000000001E-4</v>
      </c>
      <c r="H91" s="58"/>
      <c r="I91" s="58">
        <f>SLOPE(G90:G96, E90:E96)</f>
        <v>1.026669708947508E-5</v>
      </c>
      <c r="J91" s="58">
        <f>SLOPE(G90:G96, F90:F96)</f>
        <v>1.6858541228252486E-6</v>
      </c>
      <c r="K91" s="60">
        <f>I91</f>
        <v>1.026669708947508E-5</v>
      </c>
      <c r="L91" s="60">
        <f>I93</f>
        <v>-6.308315148271116E-5</v>
      </c>
      <c r="M91" s="60">
        <f>(C91-$O$2)*K91+L91</f>
        <v>5.7581340982496591E-3</v>
      </c>
    </row>
    <row r="92" spans="1:13" ht="14">
      <c r="A92" s="55">
        <f t="shared" si="14"/>
        <v>75</v>
      </c>
      <c r="B92" s="55" t="s">
        <v>160</v>
      </c>
      <c r="C92" s="80">
        <v>258</v>
      </c>
      <c r="D92" s="56" t="s">
        <v>36</v>
      </c>
      <c r="E92" s="80">
        <v>102</v>
      </c>
      <c r="F92" s="80">
        <v>736</v>
      </c>
      <c r="G92" s="57">
        <v>1E-3</v>
      </c>
      <c r="H92" s="58"/>
      <c r="I92" s="62" t="s">
        <v>71</v>
      </c>
      <c r="J92" s="62" t="s">
        <v>71</v>
      </c>
      <c r="K92" s="60">
        <f>I91</f>
        <v>1.026669708947508E-5</v>
      </c>
      <c r="L92" s="60">
        <f>I93</f>
        <v>-6.308315148271116E-5</v>
      </c>
      <c r="M92" s="60">
        <f>(C92-$O$3)*K92 + L92</f>
        <v>2.5857246976018593E-3</v>
      </c>
    </row>
    <row r="93" spans="1:13" ht="14">
      <c r="A93" s="55">
        <f t="shared" si="14"/>
        <v>75</v>
      </c>
      <c r="B93" s="55" t="s">
        <v>161</v>
      </c>
      <c r="C93" s="80">
        <v>272</v>
      </c>
      <c r="D93" s="56" t="s">
        <v>36</v>
      </c>
      <c r="E93" s="80">
        <v>200</v>
      </c>
      <c r="F93" s="80">
        <v>1458</v>
      </c>
      <c r="G93" s="57">
        <v>2E-3</v>
      </c>
      <c r="H93" s="58"/>
      <c r="I93" s="58">
        <f>INTERCEPT(G90:G96, E90:E96)</f>
        <v>-6.308315148271116E-5</v>
      </c>
      <c r="J93" s="58">
        <f>INTERCEPT(G90:G96, F90:F96)</f>
        <v>-3.1667839635362866E-4</v>
      </c>
      <c r="K93" s="60">
        <f>I91</f>
        <v>1.026669708947508E-5</v>
      </c>
      <c r="L93" s="60">
        <f>I93</f>
        <v>-6.308315148271116E-5</v>
      </c>
      <c r="M93" s="60">
        <f>(C93-$O$3)*K93+ L93</f>
        <v>2.7294584568545105E-3</v>
      </c>
    </row>
    <row r="94" spans="1:13" ht="14">
      <c r="A94" s="55">
        <f t="shared" si="14"/>
        <v>75</v>
      </c>
      <c r="B94" s="55" t="s">
        <v>162</v>
      </c>
      <c r="C94" s="80">
        <v>1897</v>
      </c>
      <c r="D94" s="56" t="s">
        <v>37</v>
      </c>
      <c r="E94" s="80">
        <v>510</v>
      </c>
      <c r="F94" s="80">
        <v>3271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1.6858541228252486E-6</v>
      </c>
      <c r="L94" s="60">
        <f>J93</f>
        <v>-3.1667839635362866E-4</v>
      </c>
      <c r="M94" s="60">
        <f>(C94-$O$4)*K94 + L94</f>
        <v>2.2255896208668463E-3</v>
      </c>
    </row>
    <row r="95" spans="1:13" ht="14">
      <c r="A95" s="55">
        <f t="shared" si="14"/>
        <v>75</v>
      </c>
      <c r="B95" s="55" t="s">
        <v>163</v>
      </c>
      <c r="C95" s="80">
        <v>2024</v>
      </c>
      <c r="D95" s="56" t="s">
        <v>37</v>
      </c>
      <c r="E95" s="80">
        <v>847</v>
      </c>
      <c r="F95" s="80">
        <v>6512</v>
      </c>
      <c r="G95" s="57">
        <v>0.01</v>
      </c>
      <c r="H95" s="58"/>
      <c r="I95" s="61">
        <f>RSQ(G90:G96, E90:E96)</f>
        <v>0.99208206066805182</v>
      </c>
      <c r="J95" s="61">
        <f>RSQ(G90:G96, F90:F96)</f>
        <v>0.99700407133827607</v>
      </c>
      <c r="K95" s="60">
        <f>J91</f>
        <v>1.6858541228252486E-6</v>
      </c>
      <c r="L95" s="60">
        <f>J93</f>
        <v>-3.1667839635362866E-4</v>
      </c>
      <c r="M95" s="60">
        <f>(C95-$O$4)*K95 + L95</f>
        <v>2.4396930944656529E-3</v>
      </c>
    </row>
    <row r="96" spans="1:13" ht="14">
      <c r="A96" s="55">
        <f t="shared" si="14"/>
        <v>75</v>
      </c>
      <c r="B96" s="55" t="s">
        <v>164</v>
      </c>
      <c r="C96" s="80">
        <v>127</v>
      </c>
      <c r="D96" s="56" t="s">
        <v>38</v>
      </c>
      <c r="E96" s="80">
        <v>2003</v>
      </c>
      <c r="F96" s="80">
        <v>11799</v>
      </c>
      <c r="G96" s="57">
        <v>0.02</v>
      </c>
      <c r="I96" s="58"/>
      <c r="J96" s="58"/>
      <c r="K96" s="60">
        <f>I91</f>
        <v>1.026669708947508E-5</v>
      </c>
      <c r="L96" s="60">
        <f>I93</f>
        <v>-6.308315148271116E-5</v>
      </c>
      <c r="M96" s="60">
        <f>(C96-$O$5)*K96 + L96</f>
        <v>1.2407873788806241E-3</v>
      </c>
    </row>
    <row r="97" spans="1:13" ht="14">
      <c r="A97" s="55">
        <f t="shared" si="14"/>
        <v>75</v>
      </c>
      <c r="B97" s="55" t="s">
        <v>165</v>
      </c>
      <c r="C97" s="80">
        <v>125</v>
      </c>
      <c r="D97" s="56" t="s">
        <v>38</v>
      </c>
      <c r="E97" s="80">
        <v>15</v>
      </c>
      <c r="F97" s="80">
        <v>14</v>
      </c>
      <c r="G97" s="56"/>
      <c r="I97" s="58"/>
      <c r="J97" s="58"/>
      <c r="K97" s="60">
        <f>I91</f>
        <v>1.026669708947508E-5</v>
      </c>
      <c r="L97" s="60">
        <f>I93</f>
        <v>-6.308315148271116E-5</v>
      </c>
      <c r="M97" s="60">
        <f>(C97-$O$5)*K97 + L97</f>
        <v>1.2202539847016739E-3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421.41666666666669</v>
      </c>
      <c r="D100" s="56" t="s">
        <v>35</v>
      </c>
      <c r="I100" s="58"/>
      <c r="J100" s="58"/>
    </row>
    <row r="101" spans="1:13" ht="14">
      <c r="C101" s="63">
        <f t="shared" si="15"/>
        <v>428.41666666666669</v>
      </c>
      <c r="D101" s="56" t="s">
        <v>35</v>
      </c>
      <c r="I101" s="58"/>
      <c r="J101" s="58"/>
    </row>
    <row r="102" spans="1:13" ht="14">
      <c r="C102" s="63">
        <f t="shared" si="15"/>
        <v>198.83333333333334</v>
      </c>
      <c r="D102" s="56" t="s">
        <v>36</v>
      </c>
      <c r="I102" s="58"/>
      <c r="J102" s="58"/>
    </row>
    <row r="103" spans="1:13" ht="14">
      <c r="C103" s="63">
        <f t="shared" si="15"/>
        <v>198.41666666666666</v>
      </c>
      <c r="D103" s="56" t="s">
        <v>36</v>
      </c>
      <c r="I103" s="58"/>
      <c r="J103" s="58"/>
    </row>
    <row r="104" spans="1:13" ht="14">
      <c r="C104" s="63">
        <f t="shared" si="15"/>
        <v>1478.25</v>
      </c>
      <c r="D104" s="56" t="s">
        <v>37</v>
      </c>
      <c r="I104" s="58"/>
      <c r="J104" s="58"/>
    </row>
    <row r="105" spans="1:13" ht="14">
      <c r="C105" s="63">
        <f t="shared" si="15"/>
        <v>1506.6666666666667</v>
      </c>
      <c r="D105" s="56" t="s">
        <v>37</v>
      </c>
      <c r="I105" s="58"/>
      <c r="J105" s="58"/>
    </row>
    <row r="106" spans="1:13" ht="14">
      <c r="C106" s="63">
        <f t="shared" si="15"/>
        <v>100.75</v>
      </c>
      <c r="D106" s="56" t="s">
        <v>38</v>
      </c>
      <c r="I106" s="58"/>
      <c r="J106" s="58"/>
    </row>
    <row r="107" spans="1:13" ht="14">
      <c r="C107" s="63">
        <f t="shared" si="15"/>
        <v>107.66666666666667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6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9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8806-A3E7-D046-9CF3-0A08E4EFAD2A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I1" sqref="I1:J1048576"/>
      <selection pane="topRight" activeCell="I1" sqref="I1:J1048576"/>
      <selection pane="bottomLeft" activeCell="I1" sqref="I1:J1048576"/>
      <selection pane="bottomRight" activeCell="S9" sqref="S9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76</v>
      </c>
      <c r="B2" s="55" t="s">
        <v>67</v>
      </c>
      <c r="C2" s="79">
        <v>445</v>
      </c>
      <c r="D2" s="56" t="s">
        <v>35</v>
      </c>
      <c r="E2" s="80">
        <v>25</v>
      </c>
      <c r="F2" s="80">
        <v>26</v>
      </c>
      <c r="G2" s="57">
        <v>0</v>
      </c>
      <c r="H2" s="58"/>
      <c r="I2" s="59" t="s">
        <v>68</v>
      </c>
      <c r="J2" s="59" t="s">
        <v>68</v>
      </c>
      <c r="K2" s="60">
        <f>I3</f>
        <v>9.3954034494445737E-6</v>
      </c>
      <c r="L2" s="60">
        <f>I5</f>
        <v>-1.3053106720285496E-4</v>
      </c>
      <c r="M2" s="60">
        <f>(C2-$O$2)*K2+L2</f>
        <v>4.0504234677999802E-3</v>
      </c>
      <c r="N2" s="47" t="str">
        <f>'enzyme setup and metadata'!F179</f>
        <v>BG</v>
      </c>
      <c r="O2" s="47">
        <f>'enzyme setup and metadata'!G186</f>
        <v>0</v>
      </c>
      <c r="P2" s="91">
        <f>'enzyme setup and metadata'!A62</f>
        <v>76</v>
      </c>
      <c r="Q2" s="66">
        <f>'enzyme setup and metadata'!I61</f>
        <v>2.1553090332805072</v>
      </c>
      <c r="R2" s="14">
        <f>'enzyme setup and metadata'!R181</f>
        <v>3.1499999999650754</v>
      </c>
      <c r="S2" s="14">
        <f>(((M2+M3)/2)*91)/(R2*Q2*0.8)</f>
        <v>6.8649869647089176E-2</v>
      </c>
      <c r="T2" s="14">
        <f>(((M4+M5)/2)*91)/(R2*Q2*0.8)</f>
        <v>2.9059940386658094E-2</v>
      </c>
      <c r="U2" s="14">
        <f>(((M6+M7)/2)*91)/(R2*Q2*0.8)</f>
        <v>3.3549622738622477E-2</v>
      </c>
      <c r="V2" s="14">
        <f>(((M8+M9)/2)*91)/(R2*Q2*0.8)</f>
        <v>1.4184201559180017E-2</v>
      </c>
      <c r="W2" s="14">
        <f>S2*1000</f>
        <v>68.649869647089176</v>
      </c>
      <c r="X2" s="14">
        <f>T2*1000</f>
        <v>29.059940386658095</v>
      </c>
      <c r="Y2" s="14">
        <f>U2*1000</f>
        <v>33.549622738622475</v>
      </c>
      <c r="Z2" s="14">
        <f>V2*1000</f>
        <v>14.184201559180018</v>
      </c>
    </row>
    <row r="3" spans="1:26" ht="14">
      <c r="A3" s="55">
        <f t="shared" ref="A3:A9" si="0">A2</f>
        <v>76</v>
      </c>
      <c r="B3" s="55" t="s">
        <v>69</v>
      </c>
      <c r="C3" s="79">
        <v>455</v>
      </c>
      <c r="D3" s="56" t="s">
        <v>35</v>
      </c>
      <c r="E3" s="80">
        <v>71</v>
      </c>
      <c r="F3" s="80">
        <v>249</v>
      </c>
      <c r="G3" s="57">
        <v>5.0000000000000001E-4</v>
      </c>
      <c r="H3" s="58"/>
      <c r="I3" s="59">
        <f>SLOPE(G2:G8, E2:E8)</f>
        <v>9.3954034494445737E-6</v>
      </c>
      <c r="J3" s="59">
        <f>SLOPE(G2:G8, F2:F8)</f>
        <v>2.0060240828285391E-6</v>
      </c>
      <c r="K3" s="60">
        <f>I3</f>
        <v>9.3954034494445737E-6</v>
      </c>
      <c r="L3" s="60">
        <f>I5</f>
        <v>-1.3053106720285496E-4</v>
      </c>
      <c r="M3" s="60">
        <f>(C3-$O$2)*K3+L3</f>
        <v>4.144377502294426E-3</v>
      </c>
      <c r="N3" s="47" t="str">
        <f>'enzyme setup and metadata'!F180</f>
        <v>CB</v>
      </c>
      <c r="O3" s="47">
        <f>'enzyme setup and metadata'!G187</f>
        <v>0</v>
      </c>
      <c r="P3" s="91">
        <f>'enzyme setup and metadata'!A63</f>
        <v>77</v>
      </c>
      <c r="Q3" s="66">
        <f>'enzyme setup and metadata'!I62</f>
        <v>2.2012078830260648</v>
      </c>
      <c r="R3" s="14">
        <f>R2</f>
        <v>3.1499999999650754</v>
      </c>
      <c r="S3" s="14">
        <f>(((M10+M11)/2)*91)/(R3*Q3*0.8)</f>
        <v>7.6313943390280706E-2</v>
      </c>
      <c r="T3" s="14">
        <f>(((M12+M13)/2)*91)/(R3*Q3*0.8)</f>
        <v>3.4492886149488672E-2</v>
      </c>
      <c r="U3" s="14">
        <f>(((M14+M15)/2)*91)/(R3*Q3*0.8)</f>
        <v>3.1388681565807576E-2</v>
      </c>
      <c r="V3" s="14">
        <f>(((M16+M17)/2)*91)/(R3*Q3*0.8)</f>
        <v>1.573203804146981E-2</v>
      </c>
      <c r="W3" s="14">
        <f>S3*1000</f>
        <v>76.313943390280713</v>
      </c>
      <c r="X3" s="14">
        <f t="shared" ref="X3:Z13" si="1">T3*1000</f>
        <v>34.492886149488669</v>
      </c>
      <c r="Y3" s="14">
        <f t="shared" si="1"/>
        <v>31.388681565807577</v>
      </c>
      <c r="Z3" s="14">
        <f t="shared" si="1"/>
        <v>15.73203804146981</v>
      </c>
    </row>
    <row r="4" spans="1:26" ht="14">
      <c r="A4" s="55">
        <f t="shared" si="0"/>
        <v>76</v>
      </c>
      <c r="B4" s="55" t="s">
        <v>70</v>
      </c>
      <c r="C4" s="79">
        <v>202</v>
      </c>
      <c r="D4" s="56" t="s">
        <v>36</v>
      </c>
      <c r="E4" s="80">
        <v>127</v>
      </c>
      <c r="F4" s="80">
        <v>498</v>
      </c>
      <c r="G4" s="57">
        <v>1E-3</v>
      </c>
      <c r="H4" s="58"/>
      <c r="I4" s="59" t="s">
        <v>71</v>
      </c>
      <c r="J4" s="59" t="s">
        <v>71</v>
      </c>
      <c r="K4" s="60">
        <f>I3</f>
        <v>9.3954034494445737E-6</v>
      </c>
      <c r="L4" s="60">
        <f>I5</f>
        <v>-1.3053106720285496E-4</v>
      </c>
      <c r="M4" s="60">
        <f>(C4-$O$3)*K4 + L4</f>
        <v>1.7673404295849488E-3</v>
      </c>
      <c r="N4" s="47" t="str">
        <f>'enzyme setup and metadata'!F181</f>
        <v>LAP</v>
      </c>
      <c r="O4" s="47">
        <f>'enzyme setup and metadata'!G188</f>
        <v>325.75</v>
      </c>
      <c r="P4" s="91">
        <f>'enzyme setup and metadata'!A64</f>
        <v>78</v>
      </c>
      <c r="Q4" s="66">
        <f>'enzyme setup and metadata'!I63</f>
        <v>2.2349025202092245</v>
      </c>
      <c r="R4" s="14">
        <f t="shared" ref="R4:R13" si="2">R3</f>
        <v>3.1499999999650754</v>
      </c>
      <c r="S4" s="14">
        <f>(((M18+M19)/2)*91)/(R4*Q4*0.8)</f>
        <v>7.6060970249144086E-2</v>
      </c>
      <c r="T4" s="14">
        <f>(((M20+M21)/2)*91)/(R4*Q4*0.8)</f>
        <v>2.853076106198087E-2</v>
      </c>
      <c r="U4" s="14">
        <f>(((M22+M23)/2)*91)/(R4*Q4*0.8)</f>
        <v>3.1017925617918267E-2</v>
      </c>
      <c r="V4" s="14">
        <f>(((M24+M25)/2)*91)/(R4*Q4*0.8)</f>
        <v>1.2138329180599499E-2</v>
      </c>
      <c r="W4" s="14">
        <f>S4*1000</f>
        <v>76.060970249144091</v>
      </c>
      <c r="X4" s="14">
        <f t="shared" si="1"/>
        <v>28.530761061980868</v>
      </c>
      <c r="Y4" s="14">
        <f t="shared" si="1"/>
        <v>31.017925617918266</v>
      </c>
      <c r="Z4" s="14">
        <f t="shared" si="1"/>
        <v>12.138329180599499</v>
      </c>
    </row>
    <row r="5" spans="1:26" ht="14">
      <c r="A5" s="55">
        <f t="shared" si="0"/>
        <v>76</v>
      </c>
      <c r="B5" s="55" t="s">
        <v>72</v>
      </c>
      <c r="C5" s="79">
        <v>195</v>
      </c>
      <c r="D5" s="56" t="s">
        <v>36</v>
      </c>
      <c r="E5" s="80">
        <v>228</v>
      </c>
      <c r="F5" s="80">
        <v>1245</v>
      </c>
      <c r="G5" s="57">
        <v>2E-3</v>
      </c>
      <c r="H5" s="58"/>
      <c r="I5" s="59">
        <f>INTERCEPT(G2:G8, E2:E8)</f>
        <v>-1.3053106720285496E-4</v>
      </c>
      <c r="J5" s="59">
        <f>INTERCEPT(G2:G8, F2:F8)</f>
        <v>2.9208633118525673E-6</v>
      </c>
      <c r="K5" s="60">
        <f>I3</f>
        <v>9.3954034494445737E-6</v>
      </c>
      <c r="L5" s="60">
        <f>I5</f>
        <v>-1.3053106720285496E-4</v>
      </c>
      <c r="M5" s="60">
        <f>(C5-$O$3)*K5+ L5</f>
        <v>1.7015726054388368E-3</v>
      </c>
      <c r="N5" s="47" t="str">
        <f>'enzyme setup and metadata'!F182</f>
        <v>XYL</v>
      </c>
      <c r="O5" s="47">
        <f>'enzyme setup and metadata'!G189</f>
        <v>0</v>
      </c>
      <c r="P5" s="91">
        <f>'enzyme setup and metadata'!A65</f>
        <v>80</v>
      </c>
      <c r="Q5" s="66">
        <f>'enzyme setup and metadata'!I64</f>
        <v>2.143197332909986</v>
      </c>
      <c r="R5" s="14">
        <f t="shared" si="2"/>
        <v>3.1499999999650754</v>
      </c>
      <c r="S5" s="14">
        <f>(((M26+M27)/2)*91)/(R5*Q5*0.8)</f>
        <v>7.5471018190784514E-2</v>
      </c>
      <c r="T5" s="14">
        <f>(((M28+M29)/2)*91)/(R5*Q5*0.8)</f>
        <v>3.1969660147132754E-2</v>
      </c>
      <c r="U5" s="14">
        <f>(((M30+M31)/2)*91)/(R5*Q5*0.8)</f>
        <v>3.3304659392125333E-2</v>
      </c>
      <c r="V5" s="14">
        <f>(((M32+M33)/2)*91)/(R5*Q5*0.8)</f>
        <v>1.5647291724557734E-2</v>
      </c>
      <c r="W5" s="14">
        <f t="shared" ref="W5:W13" si="3">S5*1000</f>
        <v>75.47101819078452</v>
      </c>
      <c r="X5" s="14">
        <f t="shared" si="1"/>
        <v>31.969660147132753</v>
      </c>
      <c r="Y5" s="14">
        <f t="shared" si="1"/>
        <v>33.30465939212533</v>
      </c>
      <c r="Z5" s="14">
        <f t="shared" si="1"/>
        <v>15.647291724557734</v>
      </c>
    </row>
    <row r="6" spans="1:26" ht="14">
      <c r="A6" s="55">
        <f t="shared" si="0"/>
        <v>76</v>
      </c>
      <c r="B6" s="55" t="s">
        <v>73</v>
      </c>
      <c r="C6" s="79">
        <v>1232</v>
      </c>
      <c r="D6" s="56" t="s">
        <v>37</v>
      </c>
      <c r="E6" s="80">
        <v>527</v>
      </c>
      <c r="F6" s="80">
        <v>2370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2.0060240828285391E-6</v>
      </c>
      <c r="L6" s="60">
        <f>J5</f>
        <v>2.9208633118525673E-6</v>
      </c>
      <c r="M6" s="60">
        <f>(C6-$O$4)*K6 + L6</f>
        <v>1.820880188375216E-3</v>
      </c>
      <c r="P6" s="91">
        <f>'enzyme setup and metadata'!A66</f>
        <v>81</v>
      </c>
      <c r="Q6" s="66">
        <f>'enzyme setup and metadata'!I65</f>
        <v>2.1728786677240288</v>
      </c>
      <c r="R6" s="14">
        <f t="shared" si="2"/>
        <v>3.1499999999650754</v>
      </c>
      <c r="S6" s="14">
        <f>(((M34+M35)/2)*91)/(R6*Q6*0.8)</f>
        <v>8.0116541914235173E-2</v>
      </c>
      <c r="T6" s="14">
        <f>(((M36+M37)/2)*91)/(R6*Q6*0.8)</f>
        <v>3.4753897309291786E-2</v>
      </c>
      <c r="U6" s="14">
        <f>(((M38+M39)/2)*91)/(R6*Q6*0.8)</f>
        <v>4.0369069840377213E-2</v>
      </c>
      <c r="V6" s="14">
        <f>(((M40+M41)/2)*91)/(R6*Q6*0.8)</f>
        <v>1.7521983611959391E-2</v>
      </c>
      <c r="W6" s="14">
        <f t="shared" si="3"/>
        <v>80.116541914235171</v>
      </c>
      <c r="X6" s="14">
        <f t="shared" si="1"/>
        <v>34.753897309291787</v>
      </c>
      <c r="Y6" s="14">
        <f t="shared" si="1"/>
        <v>40.369069840377215</v>
      </c>
      <c r="Z6" s="14">
        <f t="shared" si="1"/>
        <v>17.521983611959392</v>
      </c>
    </row>
    <row r="7" spans="1:26" ht="14">
      <c r="A7" s="55">
        <f t="shared" si="0"/>
        <v>76</v>
      </c>
      <c r="B7" s="55" t="s">
        <v>75</v>
      </c>
      <c r="C7" s="79">
        <v>1413</v>
      </c>
      <c r="D7" s="56" t="s">
        <v>37</v>
      </c>
      <c r="E7" s="80">
        <v>1063</v>
      </c>
      <c r="F7" s="80">
        <v>4693</v>
      </c>
      <c r="G7" s="57">
        <v>0.01</v>
      </c>
      <c r="H7" s="58"/>
      <c r="I7" s="61">
        <f>RSQ(G2:G8, E2:E8)</f>
        <v>0.99974762419191854</v>
      </c>
      <c r="J7" s="61">
        <f>RSQ(G2:G8, F2:F8)</f>
        <v>0.99773087597172083</v>
      </c>
      <c r="K7" s="60">
        <f>J3</f>
        <v>2.0060240828285391E-6</v>
      </c>
      <c r="L7" s="60">
        <f>J5</f>
        <v>2.9208633118525673E-6</v>
      </c>
      <c r="M7" s="60">
        <f>(C7-$O$4)*K7 + L7</f>
        <v>2.1839705473671819E-3</v>
      </c>
      <c r="P7" s="91">
        <f>'enzyme setup and metadata'!A67</f>
        <v>82</v>
      </c>
      <c r="Q7" s="66">
        <f>'enzyme setup and metadata'!I66</f>
        <v>2.197802197802198</v>
      </c>
      <c r="R7" s="14">
        <f t="shared" si="2"/>
        <v>3.1499999999650754</v>
      </c>
      <c r="S7" s="14">
        <f>(((M42+M43)/2)*91)/(R7*Q7*0.8)</f>
        <v>7.6892648465096025E-2</v>
      </c>
      <c r="T7" s="14">
        <f>(((M44+M45)/2)*91)/(R7*Q7*0.8)</f>
        <v>3.2072713884534851E-2</v>
      </c>
      <c r="U7" s="14">
        <f>(((M46+M47)/2)*91)/(R7*Q7*0.8)</f>
        <v>4.4607481159942487E-2</v>
      </c>
      <c r="V7" s="14">
        <f>(((M48+M49)/2)*91)/(R7*Q7*0.8)</f>
        <v>1.6019932243953504E-2</v>
      </c>
      <c r="W7" s="14">
        <f t="shared" si="3"/>
        <v>76.89264846509603</v>
      </c>
      <c r="X7" s="14">
        <f t="shared" si="1"/>
        <v>32.072713884534849</v>
      </c>
      <c r="Y7" s="14">
        <f t="shared" si="1"/>
        <v>44.607481159942488</v>
      </c>
      <c r="Z7" s="14">
        <f t="shared" si="1"/>
        <v>16.019932243953505</v>
      </c>
    </row>
    <row r="8" spans="1:26" ht="14">
      <c r="A8" s="55">
        <f t="shared" si="0"/>
        <v>76</v>
      </c>
      <c r="B8" s="55" t="s">
        <v>76</v>
      </c>
      <c r="C8" s="79">
        <v>102</v>
      </c>
      <c r="D8" s="56" t="s">
        <v>38</v>
      </c>
      <c r="E8" s="80">
        <v>2154</v>
      </c>
      <c r="F8" s="80">
        <v>10101</v>
      </c>
      <c r="G8" s="57">
        <v>0.02</v>
      </c>
      <c r="H8" s="58"/>
      <c r="I8" s="58"/>
      <c r="J8" s="58"/>
      <c r="K8" s="60">
        <f>I3</f>
        <v>9.3954034494445737E-6</v>
      </c>
      <c r="L8" s="60">
        <f>I5</f>
        <v>-1.3053106720285496E-4</v>
      </c>
      <c r="M8" s="60">
        <f>(C8-$O$5)*K8 + L8</f>
        <v>8.2780008464049151E-4</v>
      </c>
      <c r="P8" s="91">
        <f>'enzyme setup and metadata'!A68</f>
        <v>83</v>
      </c>
      <c r="Q8" s="66">
        <f>'enzyme setup and metadata'!I67</f>
        <v>2.2301587301587298</v>
      </c>
      <c r="R8" s="14">
        <f t="shared" si="2"/>
        <v>3.1499999999650754</v>
      </c>
      <c r="S8" s="14">
        <f>(((M50+M51)/2)*91)/(R8*Q8*0.8)</f>
        <v>6.6134655304527418E-2</v>
      </c>
      <c r="T8" s="14">
        <f>(((M52+M53)/2)*91)/(R8*Q8*0.8)</f>
        <v>2.8813404608343432E-2</v>
      </c>
      <c r="U8" s="14">
        <f>(((M54+M55)/2)*91)/(R8*Q8*0.8)</f>
        <v>3.5595974047037918E-2</v>
      </c>
      <c r="V8" s="14">
        <f>(((M56+M57)/2)*91)/(R8*Q8*0.8)</f>
        <v>1.446884226593257E-2</v>
      </c>
      <c r="W8" s="14">
        <f t="shared" si="3"/>
        <v>66.134655304527413</v>
      </c>
      <c r="X8" s="14">
        <f t="shared" si="1"/>
        <v>28.813404608343433</v>
      </c>
      <c r="Y8" s="14">
        <f t="shared" si="1"/>
        <v>35.59597404703792</v>
      </c>
      <c r="Z8" s="14">
        <f t="shared" si="1"/>
        <v>14.468842265932571</v>
      </c>
    </row>
    <row r="9" spans="1:26" ht="14">
      <c r="A9" s="55">
        <f t="shared" si="0"/>
        <v>76</v>
      </c>
      <c r="B9" s="55" t="s">
        <v>77</v>
      </c>
      <c r="C9" s="79">
        <v>106</v>
      </c>
      <c r="D9" s="56" t="s">
        <v>38</v>
      </c>
      <c r="E9" s="80">
        <v>8</v>
      </c>
      <c r="F9" s="80">
        <v>17</v>
      </c>
      <c r="G9" s="56"/>
      <c r="H9" s="58"/>
      <c r="I9" s="58"/>
      <c r="J9" s="58"/>
      <c r="K9" s="60">
        <f>I3</f>
        <v>9.3954034494445737E-6</v>
      </c>
      <c r="L9" s="60">
        <f>I5</f>
        <v>-1.3053106720285496E-4</v>
      </c>
      <c r="M9" s="60">
        <f>(C9-$O$5)*K9 + L9</f>
        <v>8.6538169843826981E-4</v>
      </c>
      <c r="P9" s="91">
        <f>'enzyme setup and metadata'!A69</f>
        <v>85</v>
      </c>
      <c r="Q9" s="66">
        <f>'enzyme setup and metadata'!I68</f>
        <v>2.175639193266635</v>
      </c>
      <c r="R9" s="14">
        <f t="shared" si="2"/>
        <v>3.1499999999650754</v>
      </c>
      <c r="S9" s="14">
        <f>(((M58+M59)/2)*91)/(R9*Q9*0.8)</f>
        <v>7.5911609248586628E-2</v>
      </c>
      <c r="T9" s="14">
        <f>(((M60+M61)/2)*91)/(R9*Q9*0.8)</f>
        <v>3.0126890269364392E-2</v>
      </c>
      <c r="U9" s="14">
        <f>(((M62+M63)/2)*91)/(R9*Q9*0.8)</f>
        <v>3.9548654857535288E-2</v>
      </c>
      <c r="V9" s="14">
        <f>(((M64+M65)/2)*91)/(R9*Q9*0.8)</f>
        <v>1.461134253661737E-2</v>
      </c>
      <c r="W9" s="14">
        <f t="shared" si="3"/>
        <v>75.911609248586629</v>
      </c>
      <c r="X9" s="14">
        <f t="shared" si="1"/>
        <v>30.126890269364392</v>
      </c>
      <c r="Y9" s="14">
        <f t="shared" si="1"/>
        <v>39.54865485753529</v>
      </c>
      <c r="Z9" s="14">
        <f t="shared" si="1"/>
        <v>14.61134253661737</v>
      </c>
    </row>
    <row r="10" spans="1:26" ht="14">
      <c r="A10" s="55">
        <f>P3</f>
        <v>77</v>
      </c>
      <c r="B10" s="55" t="s">
        <v>78</v>
      </c>
      <c r="C10" s="79">
        <v>501</v>
      </c>
      <c r="D10" s="56" t="s">
        <v>35</v>
      </c>
      <c r="E10" s="80">
        <v>20</v>
      </c>
      <c r="F10" s="80">
        <v>20</v>
      </c>
      <c r="G10" s="57">
        <v>0</v>
      </c>
      <c r="H10" s="58"/>
      <c r="I10" s="59" t="s">
        <v>68</v>
      </c>
      <c r="J10" s="59" t="s">
        <v>68</v>
      </c>
      <c r="K10" s="60">
        <f>I11</f>
        <v>9.5299677108848947E-6</v>
      </c>
      <c r="L10" s="60">
        <f>I13</f>
        <v>-1.7033078797651195E-4</v>
      </c>
      <c r="M10" s="60">
        <f>(C10-$O$2)*K10+L10</f>
        <v>4.6041830351768202E-3</v>
      </c>
      <c r="P10" s="91">
        <f>'enzyme setup and metadata'!A70</f>
        <v>86</v>
      </c>
      <c r="Q10" s="66">
        <f>'enzyme setup and metadata'!I69</f>
        <v>2.2012078830260648</v>
      </c>
      <c r="R10" s="14">
        <f t="shared" si="2"/>
        <v>3.1499999999650754</v>
      </c>
      <c r="S10" s="14">
        <f>(((M66+M67)/2)*91)/(R10*Q10*0.8)</f>
        <v>7.5904494815674878E-2</v>
      </c>
      <c r="T10" s="14">
        <f>(((M68+M69)/2)*91)/(R10*Q10*0.8)</f>
        <v>3.2185619130517908E-2</v>
      </c>
      <c r="U10" s="14">
        <f>(((M70+M71)/2)*91)/(R10*Q10*0.8)</f>
        <v>3.7169008348969135E-2</v>
      </c>
      <c r="V10" s="14">
        <f>(((M72+M73)/2)*91)/(R10*Q10*0.8)</f>
        <v>1.6485117789571031E-2</v>
      </c>
      <c r="W10" s="14">
        <f t="shared" si="3"/>
        <v>75.90449481567488</v>
      </c>
      <c r="X10" s="14">
        <f t="shared" si="1"/>
        <v>32.185619130517907</v>
      </c>
      <c r="Y10" s="14">
        <f t="shared" si="1"/>
        <v>37.169008348969136</v>
      </c>
      <c r="Z10" s="14">
        <f t="shared" si="1"/>
        <v>16.485117789571031</v>
      </c>
    </row>
    <row r="11" spans="1:26" ht="14">
      <c r="A11" s="55">
        <f t="shared" ref="A11:A17" si="4">A10</f>
        <v>77</v>
      </c>
      <c r="B11" s="55" t="s">
        <v>79</v>
      </c>
      <c r="C11" s="79">
        <v>511</v>
      </c>
      <c r="D11" s="56" t="s">
        <v>35</v>
      </c>
      <c r="E11" s="80">
        <v>72</v>
      </c>
      <c r="F11" s="80">
        <v>254</v>
      </c>
      <c r="G11" s="57">
        <v>5.0000000000000001E-4</v>
      </c>
      <c r="H11" s="58"/>
      <c r="I11" s="59">
        <f>SLOPE(G10:G16, E10:E16)</f>
        <v>9.5299677108848947E-6</v>
      </c>
      <c r="J11" s="59">
        <f>SLOPE(G10:G16, F10:F16)</f>
        <v>1.8881035638357561E-6</v>
      </c>
      <c r="K11" s="60">
        <f>I11</f>
        <v>9.5299677108848947E-6</v>
      </c>
      <c r="L11" s="60">
        <f>I13</f>
        <v>-1.7033078797651195E-4</v>
      </c>
      <c r="M11" s="60">
        <f>(C11-$O$2)*K11+L11</f>
        <v>4.6994827122856693E-3</v>
      </c>
      <c r="P11" s="91">
        <f>'enzyme setup and metadata'!A71</f>
        <v>87</v>
      </c>
      <c r="Q11" s="66">
        <f>'enzyme setup and metadata'!I70</f>
        <v>2.1843112244897962</v>
      </c>
      <c r="R11" s="14">
        <f t="shared" si="2"/>
        <v>3.1499999999650754</v>
      </c>
      <c r="S11" s="14">
        <f>(((M74+M75)/2)*91)/(R11*Q11*0.8)</f>
        <v>7.1946844167634874E-2</v>
      </c>
      <c r="T11" s="14">
        <f>(((M76+M77)/2)*91)/(R11*Q11*0.8)</f>
        <v>3.0127780945735996E-2</v>
      </c>
      <c r="U11" s="14">
        <f>(((M78+M79)/2)*91)/(R11*Q11*0.8)</f>
        <v>4.1193106643302904E-2</v>
      </c>
      <c r="V11" s="14">
        <f>(((M80+M81)/2)*91)/(R11*Q11*0.8)</f>
        <v>1.5393928086446292E-2</v>
      </c>
      <c r="W11" s="14">
        <f t="shared" si="3"/>
        <v>71.946844167634879</v>
      </c>
      <c r="X11" s="14">
        <f t="shared" si="1"/>
        <v>30.127780945735996</v>
      </c>
      <c r="Y11" s="14">
        <f t="shared" si="1"/>
        <v>41.193106643302905</v>
      </c>
      <c r="Z11" s="14">
        <f t="shared" si="1"/>
        <v>15.393928086446293</v>
      </c>
    </row>
    <row r="12" spans="1:26" ht="14">
      <c r="A12" s="55">
        <f t="shared" si="4"/>
        <v>77</v>
      </c>
      <c r="B12" s="55" t="s">
        <v>80</v>
      </c>
      <c r="C12" s="79">
        <v>216</v>
      </c>
      <c r="D12" s="56" t="s">
        <v>36</v>
      </c>
      <c r="E12" s="80">
        <v>126</v>
      </c>
      <c r="F12" s="80">
        <v>621</v>
      </c>
      <c r="G12" s="57">
        <v>1E-3</v>
      </c>
      <c r="H12" s="58"/>
      <c r="I12" s="59" t="s">
        <v>71</v>
      </c>
      <c r="J12" s="59" t="s">
        <v>71</v>
      </c>
      <c r="K12" s="60">
        <f>I11</f>
        <v>9.5299677108848947E-6</v>
      </c>
      <c r="L12" s="60">
        <f>I13</f>
        <v>-1.7033078797651195E-4</v>
      </c>
      <c r="M12" s="60">
        <f>(C12-$O$3)*K12 + L12</f>
        <v>1.8881422375746251E-3</v>
      </c>
      <c r="P12" s="91">
        <f>'enzyme setup and metadata'!A72</f>
        <v>88</v>
      </c>
      <c r="Q12" s="66">
        <f>'enzyme setup and metadata'!I71</f>
        <v>2.2370299857210854</v>
      </c>
      <c r="R12" s="14">
        <f t="shared" si="2"/>
        <v>3.1499999999650754</v>
      </c>
      <c r="S12" s="14">
        <f>(((M82+M83)/2)*91)/(R12*Q12*0.8)</f>
        <v>7.4233628618207814E-2</v>
      </c>
      <c r="T12" s="14">
        <f>(((M84+M85)/2)*91)/(R12*Q12*0.8)</f>
        <v>2.9712299203197446E-2</v>
      </c>
      <c r="U12" s="14">
        <f>(((M86+M87)/2)*91)/(R12*Q12*0.8)</f>
        <v>3.9067860530950994E-2</v>
      </c>
      <c r="V12" s="14">
        <f>(((M88+M89)/2)*91)/(R12*Q12*0.8)</f>
        <v>1.3721777013901617E-2</v>
      </c>
      <c r="W12" s="14">
        <f t="shared" si="3"/>
        <v>74.233628618207817</v>
      </c>
      <c r="X12" s="14">
        <f t="shared" si="1"/>
        <v>29.712299203197446</v>
      </c>
      <c r="Y12" s="14">
        <f t="shared" si="1"/>
        <v>39.067860530950995</v>
      </c>
      <c r="Z12" s="14">
        <f t="shared" si="1"/>
        <v>13.721777013901617</v>
      </c>
    </row>
    <row r="13" spans="1:26" ht="14">
      <c r="A13" s="55">
        <f t="shared" si="4"/>
        <v>77</v>
      </c>
      <c r="B13" s="55" t="s">
        <v>81</v>
      </c>
      <c r="C13" s="79">
        <v>261</v>
      </c>
      <c r="D13" s="56" t="s">
        <v>36</v>
      </c>
      <c r="E13" s="80">
        <v>240</v>
      </c>
      <c r="F13" s="80">
        <v>1146</v>
      </c>
      <c r="G13" s="57">
        <v>2E-3</v>
      </c>
      <c r="H13" s="58"/>
      <c r="I13" s="59">
        <f>INTERCEPT(G10:G16, E10:E16)</f>
        <v>-1.7033078797651195E-4</v>
      </c>
      <c r="J13" s="59">
        <f>INTERCEPT(G10:G16, F10:F16)</f>
        <v>-3.1873712958216741E-5</v>
      </c>
      <c r="K13" s="60">
        <f>I11</f>
        <v>9.5299677108848947E-6</v>
      </c>
      <c r="L13" s="60">
        <f>I13</f>
        <v>-1.7033078797651195E-4</v>
      </c>
      <c r="M13" s="60">
        <f>(C13-$O$3)*K13+ L13</f>
        <v>2.3169907845644456E-3</v>
      </c>
      <c r="P13" s="91">
        <f>'enzyme setup and metadata'!A73</f>
        <v>90</v>
      </c>
      <c r="Q13" s="66">
        <f>'enzyme setup and metadata'!I72</f>
        <v>2.1610845295055823</v>
      </c>
      <c r="R13" s="14">
        <f t="shared" si="2"/>
        <v>3.1499999999650754</v>
      </c>
      <c r="S13" s="14">
        <f>(((M90+M91)/2)*91)/(R13*Q13*0.8)</f>
        <v>7.8433743390665903E-2</v>
      </c>
      <c r="T13" s="14">
        <f>(((M92+M93)/2)*91)/(R13*Q13*0.8)</f>
        <v>3.0180916989574185E-2</v>
      </c>
      <c r="U13" s="14">
        <f>(((M94+M95)/2)*91)/(R13*Q13*0.8)</f>
        <v>3.9026257216177355E-2</v>
      </c>
      <c r="V13" s="14">
        <f>(((M96+M97)/2)*91)/(R13*Q13*0.8)</f>
        <v>1.3514202578055046E-2</v>
      </c>
      <c r="W13" s="14">
        <f t="shared" si="3"/>
        <v>78.433743390665896</v>
      </c>
      <c r="X13" s="14">
        <f t="shared" si="1"/>
        <v>30.180916989574186</v>
      </c>
      <c r="Y13" s="14">
        <f t="shared" si="1"/>
        <v>39.026257216177356</v>
      </c>
      <c r="Z13" s="14">
        <f t="shared" si="1"/>
        <v>13.514202578055047</v>
      </c>
    </row>
    <row r="14" spans="1:26" ht="14">
      <c r="A14" s="55">
        <f t="shared" si="4"/>
        <v>77</v>
      </c>
      <c r="B14" s="55" t="s">
        <v>82</v>
      </c>
      <c r="C14" s="79">
        <v>1347</v>
      </c>
      <c r="D14" s="56" t="s">
        <v>37</v>
      </c>
      <c r="E14" s="80">
        <v>544</v>
      </c>
      <c r="F14" s="80">
        <v>2519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1.8881035638357561E-6</v>
      </c>
      <c r="L14" s="60">
        <f>J13</f>
        <v>-3.1873712958216741E-5</v>
      </c>
      <c r="M14" s="60">
        <f>(C14-$O$4)*K14 + L14</f>
        <v>1.8963520516090491E-3</v>
      </c>
    </row>
    <row r="15" spans="1:26" ht="14">
      <c r="A15" s="55">
        <f t="shared" si="4"/>
        <v>77</v>
      </c>
      <c r="B15" s="55" t="s">
        <v>83</v>
      </c>
      <c r="C15" s="79">
        <v>1365</v>
      </c>
      <c r="D15" s="56" t="s">
        <v>37</v>
      </c>
      <c r="E15" s="80">
        <v>1031</v>
      </c>
      <c r="F15" s="80">
        <v>5319</v>
      </c>
      <c r="G15" s="57">
        <v>0.01</v>
      </c>
      <c r="H15" s="58"/>
      <c r="I15" s="61">
        <f>RSQ(G10:G16, E10:E16)</f>
        <v>0.99950959622685875</v>
      </c>
      <c r="J15" s="61">
        <f>RSQ(G10:G16, F10:F16)</f>
        <v>0.99963079278990974</v>
      </c>
      <c r="K15" s="60">
        <f>J11</f>
        <v>1.8881035638357561E-6</v>
      </c>
      <c r="L15" s="60">
        <f>J13</f>
        <v>-3.1873712958216741E-5</v>
      </c>
      <c r="M15" s="60">
        <f>(C15-$O$4)*K15 + L15</f>
        <v>1.9303379157580929E-3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77</v>
      </c>
      <c r="B16" s="55" t="s">
        <v>84</v>
      </c>
      <c r="C16" s="79">
        <v>120</v>
      </c>
      <c r="D16" s="56" t="s">
        <v>38</v>
      </c>
      <c r="E16" s="80">
        <v>2132</v>
      </c>
      <c r="F16" s="80">
        <v>10630</v>
      </c>
      <c r="G16" s="57">
        <v>0.02</v>
      </c>
      <c r="H16" s="58"/>
      <c r="I16" s="58"/>
      <c r="J16" s="58"/>
      <c r="K16" s="60">
        <f>I11</f>
        <v>9.5299677108848947E-6</v>
      </c>
      <c r="L16" s="60">
        <f>I13</f>
        <v>-1.7033078797651195E-4</v>
      </c>
      <c r="M16" s="60">
        <f>(C16-$O$5)*K16 + L16</f>
        <v>9.7326533732967533E-4</v>
      </c>
    </row>
    <row r="17" spans="1:13" ht="14">
      <c r="A17" s="55">
        <f t="shared" si="4"/>
        <v>77</v>
      </c>
      <c r="B17" s="55" t="s">
        <v>85</v>
      </c>
      <c r="C17" s="79">
        <v>117</v>
      </c>
      <c r="D17" s="56" t="s">
        <v>38</v>
      </c>
      <c r="E17" s="80">
        <v>8</v>
      </c>
      <c r="F17" s="80">
        <v>17</v>
      </c>
      <c r="G17" s="56"/>
      <c r="H17" s="58"/>
      <c r="I17" s="58"/>
      <c r="J17" s="58"/>
      <c r="K17" s="60">
        <f>I11</f>
        <v>9.5299677108848947E-6</v>
      </c>
      <c r="L17" s="60">
        <f>I13</f>
        <v>-1.7033078797651195E-4</v>
      </c>
      <c r="M17" s="60">
        <f>(C17-$O$5)*K17 + L17</f>
        <v>9.4467543419702064E-4</v>
      </c>
    </row>
    <row r="18" spans="1:13" ht="14">
      <c r="A18" s="55">
        <f>P4</f>
        <v>78</v>
      </c>
      <c r="B18" s="55" t="s">
        <v>86</v>
      </c>
      <c r="C18" s="79">
        <v>538</v>
      </c>
      <c r="D18" s="56" t="s">
        <v>35</v>
      </c>
      <c r="E18" s="80">
        <v>19</v>
      </c>
      <c r="F18" s="80">
        <v>22</v>
      </c>
      <c r="G18" s="57">
        <v>0</v>
      </c>
      <c r="H18" s="58"/>
      <c r="I18" s="59" t="s">
        <v>68</v>
      </c>
      <c r="J18" s="59" t="s">
        <v>68</v>
      </c>
      <c r="K18" s="60">
        <f>I19</f>
        <v>9.7083367217625257E-6</v>
      </c>
      <c r="L18" s="60">
        <f>I21</f>
        <v>-4.6230565240815581E-4</v>
      </c>
      <c r="M18" s="60">
        <f>(C18-$O$2)*K18+L18</f>
        <v>4.7607795039000828E-3</v>
      </c>
    </row>
    <row r="19" spans="1:13" ht="14">
      <c r="A19" s="55">
        <f t="shared" ref="A19:A25" si="5">A18</f>
        <v>78</v>
      </c>
      <c r="B19" s="55" t="s">
        <v>87</v>
      </c>
      <c r="C19" s="79">
        <v>527</v>
      </c>
      <c r="D19" s="56" t="s">
        <v>35</v>
      </c>
      <c r="E19" s="80">
        <v>80</v>
      </c>
      <c r="F19" s="80">
        <v>313</v>
      </c>
      <c r="G19" s="57">
        <v>5.0000000000000001E-4</v>
      </c>
      <c r="H19" s="58"/>
      <c r="I19" s="59">
        <f>SLOPE(G18:G24, E18:E24)</f>
        <v>9.7083367217625257E-6</v>
      </c>
      <c r="J19" s="59">
        <f>SLOPE(G18:G24, F18:F24)</f>
        <v>1.630034577856092E-6</v>
      </c>
      <c r="K19" s="60">
        <f>I19</f>
        <v>9.7083367217625257E-6</v>
      </c>
      <c r="L19" s="60">
        <f>I21</f>
        <v>-4.6230565240815581E-4</v>
      </c>
      <c r="M19" s="60">
        <f>(C19-$O$2)*K19+L19</f>
        <v>4.653987799960695E-3</v>
      </c>
    </row>
    <row r="20" spans="1:13" ht="14">
      <c r="A20" s="55">
        <f t="shared" si="5"/>
        <v>78</v>
      </c>
      <c r="B20" s="55" t="s">
        <v>88</v>
      </c>
      <c r="C20" s="79">
        <v>235</v>
      </c>
      <c r="D20" s="56" t="s">
        <v>36</v>
      </c>
      <c r="E20" s="80">
        <v>137</v>
      </c>
      <c r="F20" s="80">
        <v>545</v>
      </c>
      <c r="G20" s="57">
        <v>1E-3</v>
      </c>
      <c r="H20" s="58"/>
      <c r="I20" s="59" t="s">
        <v>71</v>
      </c>
      <c r="J20" s="59" t="s">
        <v>71</v>
      </c>
      <c r="K20" s="60">
        <f>I19</f>
        <v>9.7083367217625257E-6</v>
      </c>
      <c r="L20" s="60">
        <f>I21</f>
        <v>-4.6230565240815581E-4</v>
      </c>
      <c r="M20" s="60">
        <f>(C20-$O$3)*K20 + L20</f>
        <v>1.8191534772060377E-3</v>
      </c>
    </row>
    <row r="21" spans="1:13" ht="14">
      <c r="A21" s="55">
        <f t="shared" si="5"/>
        <v>78</v>
      </c>
      <c r="B21" s="55" t="s">
        <v>89</v>
      </c>
      <c r="C21" s="79">
        <v>224</v>
      </c>
      <c r="D21" s="56" t="s">
        <v>36</v>
      </c>
      <c r="E21" s="80">
        <v>261</v>
      </c>
      <c r="F21" s="80">
        <v>1110</v>
      </c>
      <c r="G21" s="57">
        <v>2E-3</v>
      </c>
      <c r="H21" s="58"/>
      <c r="I21" s="59">
        <f>INTERCEPT(G18:G24, E18:E24)</f>
        <v>-4.6230565240815581E-4</v>
      </c>
      <c r="J21" s="59">
        <f>INTERCEPT(G18:G24, F18:F24)</f>
        <v>4.8000061236474524E-5</v>
      </c>
      <c r="K21" s="60">
        <f>I19</f>
        <v>9.7083367217625257E-6</v>
      </c>
      <c r="L21" s="60">
        <f>I21</f>
        <v>-4.6230565240815581E-4</v>
      </c>
      <c r="M21" s="60">
        <f>(C21-$O$3)*K21+ L21</f>
        <v>1.7123617732666498E-3</v>
      </c>
    </row>
    <row r="22" spans="1:13" ht="14">
      <c r="A22" s="55">
        <f t="shared" si="5"/>
        <v>78</v>
      </c>
      <c r="B22" s="55" t="s">
        <v>90</v>
      </c>
      <c r="C22" s="79">
        <v>1460</v>
      </c>
      <c r="D22" s="56" t="s">
        <v>37</v>
      </c>
      <c r="E22" s="80">
        <v>622</v>
      </c>
      <c r="F22" s="80">
        <v>2743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1.630034577856092E-6</v>
      </c>
      <c r="L22" s="60">
        <f>J21</f>
        <v>4.8000061236474524E-5</v>
      </c>
      <c r="M22" s="60">
        <f>(C22-$O$4)*K22 + L22</f>
        <v>1.8968667811697468E-3</v>
      </c>
    </row>
    <row r="23" spans="1:13" ht="14">
      <c r="A23" s="55">
        <f t="shared" si="5"/>
        <v>78</v>
      </c>
      <c r="B23" s="55" t="s">
        <v>91</v>
      </c>
      <c r="C23" s="79">
        <v>1488</v>
      </c>
      <c r="D23" s="56" t="s">
        <v>37</v>
      </c>
      <c r="E23" s="80">
        <v>1102</v>
      </c>
      <c r="F23" s="80">
        <v>6689</v>
      </c>
      <c r="G23" s="57">
        <v>0.01</v>
      </c>
      <c r="H23" s="58"/>
      <c r="I23" s="61">
        <f>RSQ(G18:G24, E18:E24)</f>
        <v>0.99809931486892656</v>
      </c>
      <c r="J23" s="61">
        <f>RSQ(G18:G24, F18:F24)</f>
        <v>0.99580526840297967</v>
      </c>
      <c r="K23" s="60">
        <f>J19</f>
        <v>1.630034577856092E-6</v>
      </c>
      <c r="L23" s="60">
        <f>J21</f>
        <v>4.8000061236474524E-5</v>
      </c>
      <c r="M23" s="60">
        <f>(C23-$O$4)*K23 + L23</f>
        <v>1.9425077493497175E-3</v>
      </c>
    </row>
    <row r="24" spans="1:13" ht="14">
      <c r="A24" s="55">
        <f t="shared" si="5"/>
        <v>78</v>
      </c>
      <c r="B24" s="55" t="s">
        <v>92</v>
      </c>
      <c r="C24" s="79">
        <v>122</v>
      </c>
      <c r="D24" s="56" t="s">
        <v>38</v>
      </c>
      <c r="E24" s="80">
        <v>2078</v>
      </c>
      <c r="F24" s="80">
        <v>11991</v>
      </c>
      <c r="G24" s="57">
        <v>0.02</v>
      </c>
      <c r="H24" s="58"/>
      <c r="I24" s="58"/>
      <c r="J24" s="58"/>
      <c r="K24" s="60">
        <f>I19</f>
        <v>9.7083367217625257E-6</v>
      </c>
      <c r="L24" s="60">
        <f>I21</f>
        <v>-4.6230565240815581E-4</v>
      </c>
      <c r="M24" s="60">
        <f>(C24-$O$5)*K24 + L24</f>
        <v>7.2211142764687223E-4</v>
      </c>
    </row>
    <row r="25" spans="1:13" ht="14">
      <c r="A25" s="55">
        <f t="shared" si="5"/>
        <v>78</v>
      </c>
      <c r="B25" s="55" t="s">
        <v>93</v>
      </c>
      <c r="C25" s="79">
        <v>128</v>
      </c>
      <c r="D25" s="56" t="s">
        <v>38</v>
      </c>
      <c r="E25" s="80">
        <v>8</v>
      </c>
      <c r="F25" s="80">
        <v>17</v>
      </c>
      <c r="G25" s="56"/>
      <c r="H25" s="58"/>
      <c r="I25" s="58"/>
      <c r="J25" s="58"/>
      <c r="K25" s="60">
        <f>I19</f>
        <v>9.7083367217625257E-6</v>
      </c>
      <c r="L25" s="60">
        <f>I21</f>
        <v>-4.6230565240815581E-4</v>
      </c>
      <c r="M25" s="60">
        <f>(C25-$O$5)*K25 + L25</f>
        <v>7.8036144797744749E-4</v>
      </c>
    </row>
    <row r="26" spans="1:13" ht="14">
      <c r="A26" s="55">
        <f>P5</f>
        <v>80</v>
      </c>
      <c r="B26" s="55" t="s">
        <v>94</v>
      </c>
      <c r="C26" s="79">
        <v>527</v>
      </c>
      <c r="D26" s="56" t="s">
        <v>35</v>
      </c>
      <c r="E26" s="80">
        <v>18</v>
      </c>
      <c r="F26" s="80">
        <v>20</v>
      </c>
      <c r="G26" s="57">
        <v>0</v>
      </c>
      <c r="H26" s="58"/>
      <c r="I26" s="59" t="s">
        <v>68</v>
      </c>
      <c r="J26" s="59" t="s">
        <v>68</v>
      </c>
      <c r="K26" s="60">
        <f>I27</f>
        <v>8.8874667107083133E-6</v>
      </c>
      <c r="L26" s="60">
        <f>I29</f>
        <v>-1.5115918990895715E-4</v>
      </c>
      <c r="M26" s="60">
        <f>(C26-$O$2)*K26+L26</f>
        <v>4.5325357666343236E-3</v>
      </c>
    </row>
    <row r="27" spans="1:13" ht="14">
      <c r="A27" s="55">
        <f t="shared" ref="A27:A33" si="6">A26</f>
        <v>80</v>
      </c>
      <c r="B27" s="55" t="s">
        <v>95</v>
      </c>
      <c r="C27" s="79">
        <v>515</v>
      </c>
      <c r="D27" s="56" t="s">
        <v>35</v>
      </c>
      <c r="E27" s="80">
        <v>73</v>
      </c>
      <c r="F27" s="80">
        <v>246</v>
      </c>
      <c r="G27" s="57">
        <v>5.0000000000000001E-4</v>
      </c>
      <c r="H27" s="58"/>
      <c r="I27" s="59">
        <f>SLOPE(G26:G32, E26:E32)</f>
        <v>8.8874667107083133E-6</v>
      </c>
      <c r="J27" s="59">
        <f>SLOPE(G26:G32, F26:F32)</f>
        <v>1.8773762094668827E-6</v>
      </c>
      <c r="K27" s="60">
        <f>I27</f>
        <v>8.8874667107083133E-6</v>
      </c>
      <c r="L27" s="60">
        <f>I29</f>
        <v>-1.5115918990895715E-4</v>
      </c>
      <c r="M27" s="60">
        <f>(C27-$O$2)*K27+L27</f>
        <v>4.4258861661058239E-3</v>
      </c>
    </row>
    <row r="28" spans="1:13" ht="14">
      <c r="A28" s="55">
        <f t="shared" si="6"/>
        <v>80</v>
      </c>
      <c r="B28" s="55" t="s">
        <v>96</v>
      </c>
      <c r="C28" s="79">
        <v>234</v>
      </c>
      <c r="D28" s="56" t="s">
        <v>36</v>
      </c>
      <c r="E28" s="80">
        <v>130</v>
      </c>
      <c r="F28" s="80">
        <v>517</v>
      </c>
      <c r="G28" s="57">
        <v>1E-3</v>
      </c>
      <c r="H28" s="58"/>
      <c r="I28" s="59" t="s">
        <v>71</v>
      </c>
      <c r="J28" s="59" t="s">
        <v>71</v>
      </c>
      <c r="K28" s="60">
        <f>I27</f>
        <v>8.8874667107083133E-6</v>
      </c>
      <c r="L28" s="60">
        <f>I29</f>
        <v>-1.5115918990895715E-4</v>
      </c>
      <c r="M28" s="60">
        <f>(C28-$O$3)*K28 + L28</f>
        <v>1.9285080203967882E-3</v>
      </c>
    </row>
    <row r="29" spans="1:13" ht="14">
      <c r="A29" s="55">
        <f t="shared" si="6"/>
        <v>80</v>
      </c>
      <c r="B29" s="55" t="s">
        <v>97</v>
      </c>
      <c r="C29" s="79">
        <v>227</v>
      </c>
      <c r="D29" s="56" t="s">
        <v>36</v>
      </c>
      <c r="E29" s="80">
        <v>261</v>
      </c>
      <c r="F29" s="80">
        <v>1039</v>
      </c>
      <c r="G29" s="57">
        <v>2E-3</v>
      </c>
      <c r="H29" s="58"/>
      <c r="I29" s="59">
        <f>INTERCEPT(G26:G32, E26:E32)</f>
        <v>-1.5115918990895715E-4</v>
      </c>
      <c r="J29" s="59">
        <f>INTERCEPT(G26:G32, F26:F32)</f>
        <v>1.4009092197205062E-4</v>
      </c>
      <c r="K29" s="60">
        <f>I27</f>
        <v>8.8874667107083133E-6</v>
      </c>
      <c r="L29" s="60">
        <f>I29</f>
        <v>-1.5115918990895715E-4</v>
      </c>
      <c r="M29" s="60">
        <f>(C29-$O$3)*K29+ L29</f>
        <v>1.8662957534218302E-3</v>
      </c>
    </row>
    <row r="30" spans="1:13" ht="14">
      <c r="A30" s="55">
        <f t="shared" si="6"/>
        <v>80</v>
      </c>
      <c r="B30" s="55" t="s">
        <v>98</v>
      </c>
      <c r="C30" s="79">
        <v>1289</v>
      </c>
      <c r="D30" s="56" t="s">
        <v>37</v>
      </c>
      <c r="E30" s="80">
        <v>599</v>
      </c>
      <c r="F30" s="80">
        <v>2633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1.8773762094668827E-6</v>
      </c>
      <c r="L30" s="60">
        <f>J29</f>
        <v>1.4009092197205062E-4</v>
      </c>
      <c r="M30" s="60">
        <f>(C30-$O$4)*K30 + L30</f>
        <v>1.9484735557410253E-3</v>
      </c>
    </row>
    <row r="31" spans="1:13" ht="14">
      <c r="A31" s="55">
        <f t="shared" si="6"/>
        <v>80</v>
      </c>
      <c r="B31" s="55" t="s">
        <v>99</v>
      </c>
      <c r="C31" s="79">
        <v>1319</v>
      </c>
      <c r="D31" s="56" t="s">
        <v>37</v>
      </c>
      <c r="E31" s="80">
        <v>1081</v>
      </c>
      <c r="F31" s="80">
        <v>4750</v>
      </c>
      <c r="G31" s="57">
        <v>0.01</v>
      </c>
      <c r="H31" s="58"/>
      <c r="I31" s="61">
        <f>RSQ(G26:G32, E26:E32)</f>
        <v>0.9987726718253771</v>
      </c>
      <c r="J31" s="61">
        <f>RSQ(G26:G32, F26:F32)</f>
        <v>0.99654489024057513</v>
      </c>
      <c r="K31" s="60">
        <f>J27</f>
        <v>1.8773762094668827E-6</v>
      </c>
      <c r="L31" s="60">
        <f>J29</f>
        <v>1.4009092197205062E-4</v>
      </c>
      <c r="M31" s="60">
        <f>(C31-$O$4)*K31 + L31</f>
        <v>2.004794842025032E-3</v>
      </c>
    </row>
    <row r="32" spans="1:13" ht="14">
      <c r="A32" s="55">
        <f t="shared" si="6"/>
        <v>80</v>
      </c>
      <c r="B32" s="55" t="s">
        <v>100</v>
      </c>
      <c r="C32" s="79">
        <v>114</v>
      </c>
      <c r="D32" s="56" t="s">
        <v>38</v>
      </c>
      <c r="E32" s="80">
        <v>2289</v>
      </c>
      <c r="F32" s="80">
        <v>10780</v>
      </c>
      <c r="G32" s="57">
        <v>0.02</v>
      </c>
      <c r="H32" s="58"/>
      <c r="I32" s="58"/>
      <c r="J32" s="58"/>
      <c r="K32" s="60">
        <f>I27</f>
        <v>8.8874667107083133E-6</v>
      </c>
      <c r="L32" s="60">
        <f>I29</f>
        <v>-1.5115918990895715E-4</v>
      </c>
      <c r="M32" s="60">
        <f>(C32-$O$5)*K32 + L32</f>
        <v>8.6201201511179062E-4</v>
      </c>
    </row>
    <row r="33" spans="1:26" ht="14">
      <c r="A33" s="55">
        <f t="shared" si="6"/>
        <v>80</v>
      </c>
      <c r="B33" s="55" t="s">
        <v>101</v>
      </c>
      <c r="C33" s="79">
        <v>129</v>
      </c>
      <c r="D33" s="56" t="s">
        <v>38</v>
      </c>
      <c r="E33" s="80">
        <v>7</v>
      </c>
      <c r="F33" s="80">
        <v>16</v>
      </c>
      <c r="G33" s="56"/>
      <c r="H33" s="58"/>
      <c r="I33" s="58"/>
      <c r="J33" s="58"/>
      <c r="K33" s="60">
        <f>I27</f>
        <v>8.8874667107083133E-6</v>
      </c>
      <c r="L33" s="60">
        <f>I29</f>
        <v>-1.5115918990895715E-4</v>
      </c>
      <c r="M33" s="60">
        <f>(C33-$O$5)*K33 + L33</f>
        <v>9.9532401577241518E-4</v>
      </c>
    </row>
    <row r="34" spans="1:26" ht="14">
      <c r="A34" s="55">
        <f>P6</f>
        <v>81</v>
      </c>
      <c r="B34" s="55" t="s">
        <v>102</v>
      </c>
      <c r="C34" s="79">
        <v>562</v>
      </c>
      <c r="D34" s="56" t="s">
        <v>35</v>
      </c>
      <c r="E34" s="80">
        <v>19</v>
      </c>
      <c r="F34" s="80">
        <v>23</v>
      </c>
      <c r="G34" s="57">
        <v>0</v>
      </c>
      <c r="H34" s="58"/>
      <c r="I34" s="59" t="s">
        <v>68</v>
      </c>
      <c r="J34" s="59" t="s">
        <v>68</v>
      </c>
      <c r="K34" s="60">
        <f>I35</f>
        <v>8.8622148346934708E-6</v>
      </c>
      <c r="L34" s="60">
        <f>I37</f>
        <v>-1.2877245072102396E-4</v>
      </c>
      <c r="M34" s="60">
        <f>(C34-$O$2)*K34+L34</f>
        <v>4.8517922863767068E-3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81</v>
      </c>
      <c r="B35" s="55" t="s">
        <v>103</v>
      </c>
      <c r="C35" s="79">
        <v>555</v>
      </c>
      <c r="D35" s="56" t="s">
        <v>35</v>
      </c>
      <c r="E35" s="80">
        <v>74</v>
      </c>
      <c r="F35" s="80">
        <v>271</v>
      </c>
      <c r="G35" s="57">
        <v>5.0000000000000001E-4</v>
      </c>
      <c r="H35" s="58"/>
      <c r="I35" s="59">
        <f>SLOPE(G34:G40, E34:E40)</f>
        <v>8.8622148346934708E-6</v>
      </c>
      <c r="J35" s="59">
        <f>SLOPE(G34:G40, F34:F40)</f>
        <v>1.997665529165416E-6</v>
      </c>
      <c r="K35" s="60">
        <f>I35</f>
        <v>8.8622148346934708E-6</v>
      </c>
      <c r="L35" s="60">
        <f>I37</f>
        <v>-1.2877245072102396E-4</v>
      </c>
      <c r="M35" s="60">
        <f>(C35-$O$2)*K35+L35</f>
        <v>4.789756782533852E-3</v>
      </c>
    </row>
    <row r="36" spans="1:26" ht="14">
      <c r="A36" s="55">
        <f t="shared" si="7"/>
        <v>81</v>
      </c>
      <c r="B36" s="55" t="s">
        <v>104</v>
      </c>
      <c r="C36" s="79">
        <v>254</v>
      </c>
      <c r="D36" s="56" t="s">
        <v>36</v>
      </c>
      <c r="E36" s="80">
        <v>139</v>
      </c>
      <c r="F36" s="80">
        <v>538</v>
      </c>
      <c r="G36" s="57">
        <v>1E-3</v>
      </c>
      <c r="H36" s="58"/>
      <c r="I36" s="59" t="s">
        <v>71</v>
      </c>
      <c r="J36" s="59" t="s">
        <v>71</v>
      </c>
      <c r="K36" s="60">
        <f>I35</f>
        <v>8.8622148346934708E-6</v>
      </c>
      <c r="L36" s="60">
        <f>I37</f>
        <v>-1.2877245072102396E-4</v>
      </c>
      <c r="M36" s="60">
        <f>(C36-$O$3)*K36 + L36</f>
        <v>2.1222301172911175E-3</v>
      </c>
    </row>
    <row r="37" spans="1:26" ht="14">
      <c r="A37" s="55">
        <f t="shared" si="7"/>
        <v>81</v>
      </c>
      <c r="B37" s="55" t="s">
        <v>105</v>
      </c>
      <c r="C37" s="79">
        <v>247</v>
      </c>
      <c r="D37" s="56" t="s">
        <v>36</v>
      </c>
      <c r="E37" s="80">
        <v>246</v>
      </c>
      <c r="F37" s="80">
        <v>1062</v>
      </c>
      <c r="G37" s="57">
        <v>2E-3</v>
      </c>
      <c r="H37" s="58"/>
      <c r="I37" s="59">
        <f>INTERCEPT(G34:G40, E34:E40)</f>
        <v>-1.2877245072102396E-4</v>
      </c>
      <c r="J37" s="59">
        <f>INTERCEPT(G34:G40, F34:F40)</f>
        <v>-1.8535609600477294E-4</v>
      </c>
      <c r="K37" s="60">
        <f>I35</f>
        <v>8.8622148346934708E-6</v>
      </c>
      <c r="L37" s="60">
        <f>I37</f>
        <v>-1.2877245072102396E-4</v>
      </c>
      <c r="M37" s="60">
        <f>(C37-$O$3)*K37+ L37</f>
        <v>2.0601946134482635E-3</v>
      </c>
    </row>
    <row r="38" spans="1:26" ht="14">
      <c r="A38" s="55">
        <f t="shared" si="7"/>
        <v>81</v>
      </c>
      <c r="B38" s="55" t="s">
        <v>106</v>
      </c>
      <c r="C38" s="79">
        <v>1576</v>
      </c>
      <c r="D38" s="56" t="s">
        <v>37</v>
      </c>
      <c r="E38" s="80">
        <v>575</v>
      </c>
      <c r="F38" s="80">
        <v>2776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1.997665529165416E-6</v>
      </c>
      <c r="L38" s="60">
        <f>J37</f>
        <v>-1.8535609600477294E-4</v>
      </c>
      <c r="M38" s="60">
        <f>(C38-$O$4)*K38 + L38</f>
        <v>2.3122252318342885E-3</v>
      </c>
    </row>
    <row r="39" spans="1:26" ht="14">
      <c r="A39" s="55">
        <f t="shared" si="7"/>
        <v>81</v>
      </c>
      <c r="B39" s="55" t="s">
        <v>107</v>
      </c>
      <c r="C39" s="79">
        <v>1693</v>
      </c>
      <c r="D39" s="56" t="s">
        <v>37</v>
      </c>
      <c r="E39" s="80">
        <v>1103</v>
      </c>
      <c r="F39" s="80">
        <v>5292</v>
      </c>
      <c r="G39" s="57">
        <v>0.01</v>
      </c>
      <c r="H39" s="58"/>
      <c r="I39" s="61">
        <f>RSQ(G34:G40, E34:E40)</f>
        <v>0.99946862437108175</v>
      </c>
      <c r="J39" s="61">
        <f>RSQ(G34:G40, F34:F40)</f>
        <v>0.99868537010881364</v>
      </c>
      <c r="K39" s="60">
        <f>J35</f>
        <v>1.997665529165416E-6</v>
      </c>
      <c r="L39" s="60">
        <f>J37</f>
        <v>-1.8535609600477294E-4</v>
      </c>
      <c r="M39" s="60">
        <f>(C39-$O$4)*K39 + L39</f>
        <v>2.5459520987466421E-3</v>
      </c>
    </row>
    <row r="40" spans="1:26" ht="14">
      <c r="A40" s="55">
        <f t="shared" si="7"/>
        <v>81</v>
      </c>
      <c r="B40" s="55" t="s">
        <v>108</v>
      </c>
      <c r="C40" s="79">
        <v>131</v>
      </c>
      <c r="D40" s="56" t="s">
        <v>38</v>
      </c>
      <c r="E40" s="80">
        <v>2290</v>
      </c>
      <c r="F40" s="80">
        <v>9960</v>
      </c>
      <c r="G40" s="57">
        <v>0.02</v>
      </c>
      <c r="H40" s="58"/>
      <c r="I40" s="58"/>
      <c r="J40" s="58"/>
      <c r="K40" s="60">
        <f>I35</f>
        <v>8.8622148346934708E-6</v>
      </c>
      <c r="L40" s="60">
        <f>I37</f>
        <v>-1.2877245072102396E-4</v>
      </c>
      <c r="M40" s="60">
        <f>(C40-$O$5)*K40 + L40</f>
        <v>1.0321776926238207E-3</v>
      </c>
    </row>
    <row r="41" spans="1:26" ht="14">
      <c r="A41" s="55">
        <f t="shared" si="7"/>
        <v>81</v>
      </c>
      <c r="B41" s="55" t="s">
        <v>109</v>
      </c>
      <c r="C41" s="79">
        <v>136</v>
      </c>
      <c r="D41" s="56" t="s">
        <v>38</v>
      </c>
      <c r="E41" s="80">
        <v>8</v>
      </c>
      <c r="F41" s="80">
        <v>16</v>
      </c>
      <c r="G41" s="56"/>
      <c r="H41" s="58"/>
      <c r="I41" s="58"/>
      <c r="J41" s="58"/>
      <c r="K41" s="60">
        <f>I35</f>
        <v>8.8622148346934708E-6</v>
      </c>
      <c r="L41" s="60">
        <f>I37</f>
        <v>-1.2877245072102396E-4</v>
      </c>
      <c r="M41" s="60">
        <f>(C41-$O$5)*K41 + L41</f>
        <v>1.076488766797288E-3</v>
      </c>
    </row>
    <row r="42" spans="1:26" ht="14">
      <c r="A42" s="55">
        <f>P7</f>
        <v>82</v>
      </c>
      <c r="B42" s="55" t="s">
        <v>110</v>
      </c>
      <c r="C42" s="79">
        <v>574</v>
      </c>
      <c r="D42" s="56" t="s">
        <v>35</v>
      </c>
      <c r="E42" s="80">
        <v>25</v>
      </c>
      <c r="F42" s="80">
        <v>23</v>
      </c>
      <c r="G42" s="57">
        <v>0</v>
      </c>
      <c r="H42" s="58"/>
      <c r="I42" s="62" t="s">
        <v>68</v>
      </c>
      <c r="J42" s="62" t="s">
        <v>68</v>
      </c>
      <c r="K42" s="60">
        <f>I43</f>
        <v>8.6460871049981088E-6</v>
      </c>
      <c r="L42" s="60">
        <f>I45</f>
        <v>-1.8789015978804089E-4</v>
      </c>
      <c r="M42" s="60">
        <f>(C42-$O$2)*K42+L42</f>
        <v>4.7749638384808734E-3</v>
      </c>
    </row>
    <row r="43" spans="1:26" ht="14">
      <c r="A43" s="55">
        <f t="shared" ref="A43:A49" si="8">A42</f>
        <v>82</v>
      </c>
      <c r="B43" s="55" t="s">
        <v>111</v>
      </c>
      <c r="C43" s="79">
        <v>552</v>
      </c>
      <c r="D43" s="56" t="s">
        <v>35</v>
      </c>
      <c r="E43" s="80">
        <v>72</v>
      </c>
      <c r="F43" s="80">
        <v>258</v>
      </c>
      <c r="G43" s="57">
        <v>5.0000000000000001E-4</v>
      </c>
      <c r="H43" s="58"/>
      <c r="I43" s="58">
        <f>SLOPE(G42:G48, E42:E48)</f>
        <v>8.6460871049981088E-6</v>
      </c>
      <c r="J43" s="58">
        <f>SLOPE(G42:G48, F42:F48)</f>
        <v>1.9690068757499538E-6</v>
      </c>
      <c r="K43" s="60">
        <f>I43</f>
        <v>8.6460871049981088E-6</v>
      </c>
      <c r="L43" s="60">
        <f>I45</f>
        <v>-1.8789015978804089E-4</v>
      </c>
      <c r="M43" s="60">
        <f>(C43-$O$2)*K43+L43</f>
        <v>4.5847499221709151E-3</v>
      </c>
    </row>
    <row r="44" spans="1:26" ht="14">
      <c r="A44" s="55">
        <f t="shared" si="8"/>
        <v>82</v>
      </c>
      <c r="B44" s="55" t="s">
        <v>112</v>
      </c>
      <c r="C44" s="79">
        <v>244</v>
      </c>
      <c r="D44" s="56" t="s">
        <v>36</v>
      </c>
      <c r="E44" s="80">
        <v>134</v>
      </c>
      <c r="F44" s="80">
        <v>547</v>
      </c>
      <c r="G44" s="57">
        <v>1E-3</v>
      </c>
      <c r="H44" s="58"/>
      <c r="I44" s="62" t="s">
        <v>71</v>
      </c>
      <c r="J44" s="62" t="s">
        <v>71</v>
      </c>
      <c r="K44" s="60">
        <f>I43</f>
        <v>8.6460871049981088E-6</v>
      </c>
      <c r="L44" s="60">
        <f>I45</f>
        <v>-1.8789015978804089E-4</v>
      </c>
      <c r="M44" s="60">
        <f>(C44-$O$3)*K44 + L44</f>
        <v>1.9217550938314975E-3</v>
      </c>
    </row>
    <row r="45" spans="1:26" ht="14">
      <c r="A45" s="55">
        <f t="shared" si="8"/>
        <v>82</v>
      </c>
      <c r="B45" s="55" t="s">
        <v>113</v>
      </c>
      <c r="C45" s="79">
        <v>251</v>
      </c>
      <c r="D45" s="56" t="s">
        <v>36</v>
      </c>
      <c r="E45" s="80">
        <v>261</v>
      </c>
      <c r="F45" s="80">
        <v>1027</v>
      </c>
      <c r="G45" s="57">
        <v>2E-3</v>
      </c>
      <c r="H45" s="58"/>
      <c r="I45" s="58">
        <f>INTERCEPT(G42:G48, E42:E48)</f>
        <v>-1.8789015978804089E-4</v>
      </c>
      <c r="J45" s="58">
        <f>INTERCEPT(G42:G48, F42:F48)</f>
        <v>8.5793665080698654E-5</v>
      </c>
      <c r="K45" s="60">
        <f>I43</f>
        <v>8.6460871049981088E-6</v>
      </c>
      <c r="L45" s="60">
        <f>I45</f>
        <v>-1.8789015978804089E-4</v>
      </c>
      <c r="M45" s="60">
        <f>(C45-$O$3)*K45+ L45</f>
        <v>1.9822777035664843E-3</v>
      </c>
    </row>
    <row r="46" spans="1:26" ht="14">
      <c r="A46" s="55">
        <f t="shared" si="8"/>
        <v>82</v>
      </c>
      <c r="B46" s="55" t="s">
        <v>114</v>
      </c>
      <c r="C46" s="79">
        <v>1613</v>
      </c>
      <c r="D46" s="56" t="s">
        <v>37</v>
      </c>
      <c r="E46" s="80">
        <v>608</v>
      </c>
      <c r="F46" s="80">
        <v>2374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1.9690068757499538E-6</v>
      </c>
      <c r="L46" s="60">
        <f>J45</f>
        <v>8.5793665080698654E-5</v>
      </c>
      <c r="M46" s="60">
        <f>(C46-$O$4)*K46 + L46</f>
        <v>2.6203977658898268E-3</v>
      </c>
    </row>
    <row r="47" spans="1:26" ht="14">
      <c r="A47" s="55">
        <f t="shared" si="8"/>
        <v>82</v>
      </c>
      <c r="B47" s="55" t="s">
        <v>115</v>
      </c>
      <c r="C47" s="79">
        <v>1709</v>
      </c>
      <c r="D47" s="56" t="s">
        <v>37</v>
      </c>
      <c r="E47" s="80">
        <v>1167</v>
      </c>
      <c r="F47" s="80">
        <v>4761</v>
      </c>
      <c r="G47" s="57">
        <v>0.01</v>
      </c>
      <c r="H47" s="58"/>
      <c r="I47" s="61">
        <f>RSQ(G42:G48, E42:E48)</f>
        <v>0.9999192950362723</v>
      </c>
      <c r="J47" s="61">
        <f>RSQ(G42:G48, F42:F48)</f>
        <v>0.99845031232298886</v>
      </c>
      <c r="K47" s="60">
        <f>J43</f>
        <v>1.9690068757499538E-6</v>
      </c>
      <c r="L47" s="60">
        <f>J45</f>
        <v>8.5793665080698654E-5</v>
      </c>
      <c r="M47" s="60">
        <f>(C47-$O$4)*K47 + L47</f>
        <v>2.8094224259618225E-3</v>
      </c>
    </row>
    <row r="48" spans="1:26" ht="14">
      <c r="A48" s="55">
        <f t="shared" si="8"/>
        <v>82</v>
      </c>
      <c r="B48" s="55" t="s">
        <v>116</v>
      </c>
      <c r="C48" s="79">
        <v>137</v>
      </c>
      <c r="D48" s="56" t="s">
        <v>38</v>
      </c>
      <c r="E48" s="80">
        <v>2338</v>
      </c>
      <c r="F48" s="80">
        <v>10258</v>
      </c>
      <c r="G48" s="57">
        <v>0.02</v>
      </c>
      <c r="H48" s="58"/>
      <c r="I48" s="58"/>
      <c r="J48" s="58"/>
      <c r="K48" s="60">
        <f>I43</f>
        <v>8.6460871049981088E-6</v>
      </c>
      <c r="L48" s="60">
        <f>I45</f>
        <v>-1.8789015978804089E-4</v>
      </c>
      <c r="M48" s="60">
        <f>(C48-$O$5)*K48 + L48</f>
        <v>9.9662377359670002E-4</v>
      </c>
    </row>
    <row r="49" spans="1:13" ht="14">
      <c r="A49" s="55">
        <f t="shared" si="8"/>
        <v>82</v>
      </c>
      <c r="B49" s="55" t="s">
        <v>117</v>
      </c>
      <c r="C49" s="79">
        <v>132</v>
      </c>
      <c r="D49" s="56" t="s">
        <v>38</v>
      </c>
      <c r="E49" s="80">
        <v>7</v>
      </c>
      <c r="F49" s="80">
        <v>16</v>
      </c>
      <c r="G49" s="56"/>
      <c r="H49" s="58"/>
      <c r="I49" s="58"/>
      <c r="J49" s="58"/>
      <c r="K49" s="60">
        <f>I43</f>
        <v>8.6460871049981088E-6</v>
      </c>
      <c r="L49" s="60">
        <f>I45</f>
        <v>-1.8789015978804089E-4</v>
      </c>
      <c r="M49" s="60">
        <f>(C49-$O$5)*K49 + L49</f>
        <v>9.5339333807170938E-4</v>
      </c>
    </row>
    <row r="50" spans="1:13" ht="14">
      <c r="A50" s="55">
        <f>P8</f>
        <v>83</v>
      </c>
      <c r="B50" s="55" t="s">
        <v>118</v>
      </c>
      <c r="C50" s="79">
        <v>527</v>
      </c>
      <c r="D50" s="56" t="s">
        <v>35</v>
      </c>
      <c r="E50" s="80">
        <v>17</v>
      </c>
      <c r="F50" s="80">
        <v>20</v>
      </c>
      <c r="G50" s="57">
        <v>0</v>
      </c>
      <c r="H50" s="58"/>
      <c r="I50" s="62" t="s">
        <v>68</v>
      </c>
      <c r="J50" s="62" t="s">
        <v>68</v>
      </c>
      <c r="K50" s="60">
        <f>I51</f>
        <v>7.839778310167772E-6</v>
      </c>
      <c r="L50" s="60">
        <f>I53</f>
        <v>4.6874201113303662E-5</v>
      </c>
      <c r="M50" s="60">
        <f>(C50-$O$2)*K50+L50</f>
        <v>4.1784373705717193E-3</v>
      </c>
    </row>
    <row r="51" spans="1:13" ht="14">
      <c r="A51" s="55">
        <f t="shared" ref="A51:A57" si="9">A50</f>
        <v>83</v>
      </c>
      <c r="B51" s="55" t="s">
        <v>119</v>
      </c>
      <c r="C51" s="79">
        <v>503</v>
      </c>
      <c r="D51" s="56" t="s">
        <v>35</v>
      </c>
      <c r="E51" s="80">
        <v>73</v>
      </c>
      <c r="F51" s="80">
        <v>360</v>
      </c>
      <c r="G51" s="57">
        <v>5.0000000000000001E-4</v>
      </c>
      <c r="H51" s="58"/>
      <c r="I51" s="58">
        <f>SLOPE(G50:G56, E50:E56)</f>
        <v>7.839778310167772E-6</v>
      </c>
      <c r="J51" s="58">
        <f>SLOPE(G50:G56, F50:F56)</f>
        <v>2.1057913582334021E-6</v>
      </c>
      <c r="K51" s="60">
        <f>I51</f>
        <v>7.839778310167772E-6</v>
      </c>
      <c r="L51" s="60">
        <f>I53</f>
        <v>4.6874201113303662E-5</v>
      </c>
      <c r="M51" s="60">
        <f>(C51-$O$2)*K51+L51</f>
        <v>3.9902826911276928E-3</v>
      </c>
    </row>
    <row r="52" spans="1:13" ht="14">
      <c r="A52" s="55">
        <f t="shared" si="9"/>
        <v>83</v>
      </c>
      <c r="B52" s="55" t="s">
        <v>120</v>
      </c>
      <c r="C52" s="79">
        <v>214</v>
      </c>
      <c r="D52" s="56" t="s">
        <v>36</v>
      </c>
      <c r="E52" s="80">
        <v>139</v>
      </c>
      <c r="F52" s="80">
        <v>543</v>
      </c>
      <c r="G52" s="57">
        <v>1E-3</v>
      </c>
      <c r="H52" s="58"/>
      <c r="I52" s="62" t="s">
        <v>71</v>
      </c>
      <c r="J52" s="62" t="s">
        <v>71</v>
      </c>
      <c r="K52" s="60">
        <f>I51</f>
        <v>7.839778310167772E-6</v>
      </c>
      <c r="L52" s="60">
        <f>I53</f>
        <v>4.6874201113303662E-5</v>
      </c>
      <c r="M52" s="60">
        <f>(C52-$O$3)*K52 + L52</f>
        <v>1.7245867594892069E-3</v>
      </c>
    </row>
    <row r="53" spans="1:13" ht="14">
      <c r="A53" s="55">
        <f t="shared" si="9"/>
        <v>83</v>
      </c>
      <c r="B53" s="55" t="s">
        <v>121</v>
      </c>
      <c r="C53" s="79">
        <v>228</v>
      </c>
      <c r="D53" s="56" t="s">
        <v>36</v>
      </c>
      <c r="E53" s="80">
        <v>259</v>
      </c>
      <c r="F53" s="80">
        <v>1015</v>
      </c>
      <c r="G53" s="57">
        <v>2E-3</v>
      </c>
      <c r="H53" s="58"/>
      <c r="I53" s="58">
        <f>INTERCEPT(G50:G56, E50:E56)</f>
        <v>4.6874201113303662E-5</v>
      </c>
      <c r="J53" s="58">
        <f>INTERCEPT(G50:G56, F50:F56)</f>
        <v>-1.6487958098474181E-4</v>
      </c>
      <c r="K53" s="60">
        <f>I51</f>
        <v>7.839778310167772E-6</v>
      </c>
      <c r="L53" s="60">
        <f>I53</f>
        <v>4.6874201113303662E-5</v>
      </c>
      <c r="M53" s="60">
        <f>(C53-$O$3)*K53+ L53</f>
        <v>1.8343436558315557E-3</v>
      </c>
    </row>
    <row r="54" spans="1:13" ht="14">
      <c r="A54" s="55">
        <f t="shared" si="9"/>
        <v>83</v>
      </c>
      <c r="B54" s="55" t="s">
        <v>122</v>
      </c>
      <c r="C54" s="79">
        <v>1543</v>
      </c>
      <c r="D54" s="56" t="s">
        <v>37</v>
      </c>
      <c r="E54" s="80">
        <v>620</v>
      </c>
      <c r="F54" s="80">
        <v>2480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2.1057913582334021E-6</v>
      </c>
      <c r="L54" s="60">
        <f>J53</f>
        <v>-1.6487958098474181E-4</v>
      </c>
      <c r="M54" s="60">
        <f>(C54-$O$4)*K54 + L54</f>
        <v>2.3983949498248666E-3</v>
      </c>
    </row>
    <row r="55" spans="1:13" ht="14">
      <c r="A55" s="55">
        <f t="shared" si="9"/>
        <v>83</v>
      </c>
      <c r="B55" s="55" t="s">
        <v>123</v>
      </c>
      <c r="C55" s="79">
        <v>1353</v>
      </c>
      <c r="D55" s="56" t="s">
        <v>37</v>
      </c>
      <c r="E55" s="80">
        <v>1171</v>
      </c>
      <c r="F55" s="80">
        <v>4861</v>
      </c>
      <c r="G55" s="57">
        <v>0.01</v>
      </c>
      <c r="H55" s="58"/>
      <c r="I55" s="61">
        <f>RSQ(G50:G56, E50:E56)</f>
        <v>0.99748563968991788</v>
      </c>
      <c r="J55" s="61">
        <f>RSQ(G50:G56, F50:F56)</f>
        <v>0.99988725772066867</v>
      </c>
      <c r="K55" s="60">
        <f>J51</f>
        <v>2.1057913582334021E-6</v>
      </c>
      <c r="L55" s="60">
        <f>J53</f>
        <v>-1.6487958098474181E-4</v>
      </c>
      <c r="M55" s="60">
        <f>(C55-$O$4)*K55 + L55</f>
        <v>1.9982945917605206E-3</v>
      </c>
    </row>
    <row r="56" spans="1:13" ht="14">
      <c r="A56" s="55">
        <f t="shared" si="9"/>
        <v>83</v>
      </c>
      <c r="B56" s="55" t="s">
        <v>124</v>
      </c>
      <c r="C56" s="79">
        <v>107</v>
      </c>
      <c r="D56" s="56" t="s">
        <v>38</v>
      </c>
      <c r="E56" s="80">
        <v>2590</v>
      </c>
      <c r="F56" s="80">
        <v>9552</v>
      </c>
      <c r="G56" s="57">
        <v>0.02</v>
      </c>
      <c r="H56" s="58"/>
      <c r="I56" s="58"/>
      <c r="J56" s="58"/>
      <c r="K56" s="60">
        <f>I51</f>
        <v>7.839778310167772E-6</v>
      </c>
      <c r="L56" s="60">
        <f>I53</f>
        <v>4.6874201113303662E-5</v>
      </c>
      <c r="M56" s="60">
        <f>(C56-$O$5)*K56 + L56</f>
        <v>8.857304803012553E-4</v>
      </c>
    </row>
    <row r="57" spans="1:13" ht="14">
      <c r="A57" s="55">
        <f t="shared" si="9"/>
        <v>83</v>
      </c>
      <c r="B57" s="55" t="s">
        <v>125</v>
      </c>
      <c r="C57" s="79">
        <v>109</v>
      </c>
      <c r="D57" s="56" t="s">
        <v>38</v>
      </c>
      <c r="E57" s="80">
        <v>8</v>
      </c>
      <c r="F57" s="80">
        <v>17</v>
      </c>
      <c r="G57" s="56"/>
      <c r="H57" s="58"/>
      <c r="I57" s="58"/>
      <c r="J57" s="58"/>
      <c r="K57" s="60">
        <f>I51</f>
        <v>7.839778310167772E-6</v>
      </c>
      <c r="L57" s="60">
        <f>I53</f>
        <v>4.6874201113303662E-5</v>
      </c>
      <c r="M57" s="60">
        <f>(C57-$O$5)*K57 + L57</f>
        <v>9.0141003692159084E-4</v>
      </c>
    </row>
    <row r="58" spans="1:13" ht="14">
      <c r="A58" s="55">
        <f>P9</f>
        <v>85</v>
      </c>
      <c r="B58" s="55" t="s">
        <v>126</v>
      </c>
      <c r="C58" s="79">
        <v>577</v>
      </c>
      <c r="D58" s="56" t="s">
        <v>35</v>
      </c>
      <c r="E58" s="80">
        <v>16</v>
      </c>
      <c r="F58" s="80">
        <v>21</v>
      </c>
      <c r="G58" s="57">
        <v>0</v>
      </c>
      <c r="H58" s="58"/>
      <c r="I58" s="62" t="s">
        <v>68</v>
      </c>
      <c r="J58" s="62" t="s">
        <v>68</v>
      </c>
      <c r="K58" s="60">
        <f>I59</f>
        <v>8.3463215320852985E-6</v>
      </c>
      <c r="L58" s="60">
        <f>I61</f>
        <v>-1.4211335568966102E-4</v>
      </c>
      <c r="M58" s="60">
        <f>(C58-$O$2)*K58+L58</f>
        <v>4.6737141683235563E-3</v>
      </c>
    </row>
    <row r="59" spans="1:13" ht="14">
      <c r="A59" s="55">
        <f t="shared" ref="A59:A65" si="10">A58</f>
        <v>85</v>
      </c>
      <c r="B59" s="55" t="s">
        <v>127</v>
      </c>
      <c r="C59" s="79">
        <v>553</v>
      </c>
      <c r="D59" s="56" t="s">
        <v>35</v>
      </c>
      <c r="E59" s="80">
        <v>71</v>
      </c>
      <c r="F59" s="80">
        <v>297</v>
      </c>
      <c r="G59" s="57">
        <v>5.0000000000000001E-4</v>
      </c>
      <c r="H59" s="58"/>
      <c r="I59" s="58">
        <f>SLOPE(G58:G64, E58:E64)</f>
        <v>8.3463215320852985E-6</v>
      </c>
      <c r="J59" s="58">
        <f>SLOPE(G58:G64, F58:F64)</f>
        <v>2.0688595026326723E-6</v>
      </c>
      <c r="K59" s="60">
        <f>I59</f>
        <v>8.3463215320852985E-6</v>
      </c>
      <c r="L59" s="60">
        <f>I61</f>
        <v>-1.4211335568966102E-4</v>
      </c>
      <c r="M59" s="60">
        <f>(C59-$O$2)*K59+L59</f>
        <v>4.4734024515535094E-3</v>
      </c>
    </row>
    <row r="60" spans="1:13" ht="14">
      <c r="A60" s="55">
        <f t="shared" si="10"/>
        <v>85</v>
      </c>
      <c r="B60" s="55" t="s">
        <v>128</v>
      </c>
      <c r="C60" s="79">
        <v>218</v>
      </c>
      <c r="D60" s="56" t="s">
        <v>36</v>
      </c>
      <c r="E60" s="80">
        <v>151</v>
      </c>
      <c r="F60" s="80">
        <v>536</v>
      </c>
      <c r="G60" s="57">
        <v>1E-3</v>
      </c>
      <c r="H60" s="58"/>
      <c r="I60" s="62" t="s">
        <v>71</v>
      </c>
      <c r="J60" s="62" t="s">
        <v>71</v>
      </c>
      <c r="K60" s="60">
        <f>I59</f>
        <v>8.3463215320852985E-6</v>
      </c>
      <c r="L60" s="60">
        <f>I61</f>
        <v>-1.4211335568966102E-4</v>
      </c>
      <c r="M60" s="60">
        <f>(C60-$O$3)*K60 + L60</f>
        <v>1.677384738304934E-3</v>
      </c>
    </row>
    <row r="61" spans="1:13" ht="14">
      <c r="A61" s="55">
        <f t="shared" si="10"/>
        <v>85</v>
      </c>
      <c r="B61" s="55" t="s">
        <v>129</v>
      </c>
      <c r="C61" s="79">
        <v>251</v>
      </c>
      <c r="D61" s="56" t="s">
        <v>36</v>
      </c>
      <c r="E61" s="80">
        <v>257</v>
      </c>
      <c r="F61" s="80">
        <v>1105</v>
      </c>
      <c r="G61" s="57">
        <v>2E-3</v>
      </c>
      <c r="H61" s="58"/>
      <c r="I61" s="58">
        <f>INTERCEPT(G58:G64, E58:E64)</f>
        <v>-1.4211335568966102E-4</v>
      </c>
      <c r="J61" s="58">
        <f>INTERCEPT(G58:G64, F58:F64)</f>
        <v>-2.1832766527670518E-4</v>
      </c>
      <c r="K61" s="60">
        <f>I59</f>
        <v>8.3463215320852985E-6</v>
      </c>
      <c r="L61" s="60">
        <f>I61</f>
        <v>-1.4211335568966102E-4</v>
      </c>
      <c r="M61" s="60">
        <f>(C61-$O$3)*K61+ L61</f>
        <v>1.9528133488637489E-3</v>
      </c>
    </row>
    <row r="62" spans="1:13" ht="14">
      <c r="A62" s="55">
        <f t="shared" si="10"/>
        <v>85</v>
      </c>
      <c r="B62" s="55" t="s">
        <v>130</v>
      </c>
      <c r="C62" s="79">
        <v>1587</v>
      </c>
      <c r="D62" s="56" t="s">
        <v>37</v>
      </c>
      <c r="E62" s="80">
        <v>627</v>
      </c>
      <c r="F62" s="80">
        <v>2766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2.0688595026326723E-6</v>
      </c>
      <c r="L62" s="60">
        <f>J61</f>
        <v>-2.1832766527670518E-4</v>
      </c>
      <c r="M62" s="60">
        <f>(C62-$O$4)*K62 + L62</f>
        <v>2.3910213824187526E-3</v>
      </c>
    </row>
    <row r="63" spans="1:13" ht="14">
      <c r="A63" s="55">
        <f t="shared" si="10"/>
        <v>85</v>
      </c>
      <c r="B63" s="55" t="s">
        <v>131</v>
      </c>
      <c r="C63" s="79">
        <v>1579</v>
      </c>
      <c r="D63" s="56" t="s">
        <v>37</v>
      </c>
      <c r="E63" s="80">
        <v>1186</v>
      </c>
      <c r="F63" s="80">
        <v>4898</v>
      </c>
      <c r="G63" s="57">
        <v>0.01</v>
      </c>
      <c r="H63" s="58"/>
      <c r="I63" s="61">
        <f>RSQ(G58:G64, E58:E64)</f>
        <v>0.9997111249239814</v>
      </c>
      <c r="J63" s="61">
        <f>RSQ(G58:G64, F58:F64)</f>
        <v>0.99896683623117721</v>
      </c>
      <c r="K63" s="60">
        <f>J59</f>
        <v>2.0688595026326723E-6</v>
      </c>
      <c r="L63" s="60">
        <f>J61</f>
        <v>-2.1832766527670518E-4</v>
      </c>
      <c r="M63" s="60">
        <f>(C63-$O$4)*K63 + L63</f>
        <v>2.3744705063976912E-3</v>
      </c>
    </row>
    <row r="64" spans="1:13" ht="14">
      <c r="A64" s="55">
        <f t="shared" si="10"/>
        <v>85</v>
      </c>
      <c r="B64" s="55" t="s">
        <v>132</v>
      </c>
      <c r="C64" s="79">
        <v>125</v>
      </c>
      <c r="D64" s="56" t="s">
        <v>38</v>
      </c>
      <c r="E64" s="80">
        <v>2424</v>
      </c>
      <c r="F64" s="80">
        <v>9725</v>
      </c>
      <c r="G64" s="57">
        <v>0.02</v>
      </c>
      <c r="H64" s="58"/>
      <c r="I64" s="58"/>
      <c r="J64" s="58"/>
      <c r="K64" s="60">
        <f>I59</f>
        <v>8.3463215320852985E-6</v>
      </c>
      <c r="L64" s="60">
        <f>I61</f>
        <v>-1.4211335568966102E-4</v>
      </c>
      <c r="M64" s="60">
        <f>(C64-$O$5)*K64 + L64</f>
        <v>9.0117683582100123E-4</v>
      </c>
    </row>
    <row r="65" spans="1:26" ht="14">
      <c r="A65" s="55">
        <f t="shared" si="10"/>
        <v>85</v>
      </c>
      <c r="B65" s="55" t="s">
        <v>133</v>
      </c>
      <c r="C65" s="79">
        <v>120</v>
      </c>
      <c r="D65" s="56" t="s">
        <v>38</v>
      </c>
      <c r="E65" s="80">
        <v>8</v>
      </c>
      <c r="F65" s="80">
        <v>18</v>
      </c>
      <c r="G65" s="56"/>
      <c r="H65" s="58"/>
      <c r="I65" s="58"/>
      <c r="J65" s="58"/>
      <c r="K65" s="60">
        <f>I59</f>
        <v>8.3463215320852985E-6</v>
      </c>
      <c r="L65" s="60">
        <f>I61</f>
        <v>-1.4211335568966102E-4</v>
      </c>
      <c r="M65" s="60">
        <f>(C65-$O$5)*K65 + L65</f>
        <v>8.5944522816057477E-4</v>
      </c>
    </row>
    <row r="66" spans="1:26" ht="14">
      <c r="A66" s="55">
        <f>P10</f>
        <v>86</v>
      </c>
      <c r="B66" s="55" t="s">
        <v>134</v>
      </c>
      <c r="C66" s="79">
        <v>634</v>
      </c>
      <c r="D66" s="56" t="s">
        <v>35</v>
      </c>
      <c r="E66" s="80">
        <v>16</v>
      </c>
      <c r="F66" s="80">
        <v>21</v>
      </c>
      <c r="G66" s="57">
        <v>0</v>
      </c>
      <c r="H66" s="58"/>
      <c r="I66" s="62" t="s">
        <v>68</v>
      </c>
      <c r="J66" s="62" t="s">
        <v>68</v>
      </c>
      <c r="K66" s="60">
        <f>I67</f>
        <v>7.7808781955955862E-6</v>
      </c>
      <c r="L66" s="60">
        <f>I69</f>
        <v>-1.4419532621385255E-5</v>
      </c>
      <c r="M66" s="60">
        <f>(C66-$O$2)*K66+L66</f>
        <v>4.9186572433862165E-3</v>
      </c>
    </row>
    <row r="67" spans="1:26" ht="14">
      <c r="A67" s="55">
        <f t="shared" ref="A67:A73" si="11">A66</f>
        <v>86</v>
      </c>
      <c r="B67" s="55" t="s">
        <v>135</v>
      </c>
      <c r="C67" s="79">
        <v>559</v>
      </c>
      <c r="D67" s="56" t="s">
        <v>35</v>
      </c>
      <c r="E67" s="80">
        <v>73</v>
      </c>
      <c r="F67" s="80">
        <v>298</v>
      </c>
      <c r="G67" s="57">
        <v>5.0000000000000001E-4</v>
      </c>
      <c r="H67" s="58"/>
      <c r="I67" s="58">
        <f>SLOPE(G66:G72, E66:E72)</f>
        <v>7.7808781955955862E-6</v>
      </c>
      <c r="J67" s="58">
        <f>SLOPE(G66:G72, F66:F72)</f>
        <v>2.1254859188079565E-6</v>
      </c>
      <c r="K67" s="60">
        <f>I67</f>
        <v>7.7808781955955862E-6</v>
      </c>
      <c r="L67" s="60">
        <f>I69</f>
        <v>-1.4419532621385255E-5</v>
      </c>
      <c r="M67" s="60">
        <f>(C67-$O$2)*K67+L67</f>
        <v>4.3350913787165478E-3</v>
      </c>
    </row>
    <row r="68" spans="1:26" ht="14">
      <c r="A68" s="55">
        <f t="shared" si="11"/>
        <v>86</v>
      </c>
      <c r="B68" s="55" t="s">
        <v>136</v>
      </c>
      <c r="C68" s="79">
        <v>263</v>
      </c>
      <c r="D68" s="56" t="s">
        <v>36</v>
      </c>
      <c r="E68" s="80">
        <v>141</v>
      </c>
      <c r="F68" s="80">
        <v>529</v>
      </c>
      <c r="G68" s="57">
        <v>1E-3</v>
      </c>
      <c r="H68" s="58"/>
      <c r="I68" s="62" t="s">
        <v>71</v>
      </c>
      <c r="J68" s="62" t="s">
        <v>71</v>
      </c>
      <c r="K68" s="60">
        <f>I67</f>
        <v>7.7808781955955862E-6</v>
      </c>
      <c r="L68" s="60">
        <f>I69</f>
        <v>-1.4419532621385255E-5</v>
      </c>
      <c r="M68" s="60">
        <f>(C68-$O$3)*K68 + L68</f>
        <v>2.0319514328202538E-3</v>
      </c>
    </row>
    <row r="69" spans="1:26" ht="14">
      <c r="A69" s="55">
        <f t="shared" si="11"/>
        <v>86</v>
      </c>
      <c r="B69" s="55" t="s">
        <v>137</v>
      </c>
      <c r="C69" s="79">
        <v>245</v>
      </c>
      <c r="D69" s="56" t="s">
        <v>36</v>
      </c>
      <c r="E69" s="80">
        <v>253</v>
      </c>
      <c r="F69" s="80">
        <v>972</v>
      </c>
      <c r="G69" s="57">
        <v>2E-3</v>
      </c>
      <c r="H69" s="58"/>
      <c r="I69" s="58">
        <f>INTERCEPT(G66:G72, E66:E72)</f>
        <v>-1.4419532621385255E-5</v>
      </c>
      <c r="J69" s="58">
        <f>INTERCEPT(G66:G72, F66:F72)</f>
        <v>-1.6320541024102825E-4</v>
      </c>
      <c r="K69" s="60">
        <f>I67</f>
        <v>7.7808781955955862E-6</v>
      </c>
      <c r="L69" s="60">
        <f>I69</f>
        <v>-1.4419532621385255E-5</v>
      </c>
      <c r="M69" s="60">
        <f>(C69-$O$3)*K69+ L69</f>
        <v>1.8918956252995333E-3</v>
      </c>
    </row>
    <row r="70" spans="1:26" ht="14">
      <c r="A70" s="55">
        <f t="shared" si="11"/>
        <v>86</v>
      </c>
      <c r="B70" s="55" t="s">
        <v>138</v>
      </c>
      <c r="C70" s="79">
        <v>1531</v>
      </c>
      <c r="D70" s="56" t="s">
        <v>37</v>
      </c>
      <c r="E70" s="80">
        <v>634</v>
      </c>
      <c r="F70" s="80">
        <v>2564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2.1254859188079565E-6</v>
      </c>
      <c r="L70" s="60">
        <f>J69</f>
        <v>-1.6320541024102825E-4</v>
      </c>
      <c r="M70" s="60">
        <f>(C70-$O$4)*K70 + L70</f>
        <v>2.3985364934022615E-3</v>
      </c>
    </row>
    <row r="71" spans="1:26" ht="14">
      <c r="A71" s="55">
        <f t="shared" si="11"/>
        <v>86</v>
      </c>
      <c r="B71" s="55" t="s">
        <v>139</v>
      </c>
      <c r="C71" s="79">
        <v>1406</v>
      </c>
      <c r="D71" s="56" t="s">
        <v>37</v>
      </c>
      <c r="E71" s="80">
        <v>1253</v>
      </c>
      <c r="F71" s="80">
        <v>4842</v>
      </c>
      <c r="G71" s="57">
        <v>0.01</v>
      </c>
      <c r="H71" s="58"/>
      <c r="I71" s="61">
        <f>RSQ(G66:G72, E66:E72)</f>
        <v>0.99961687286461598</v>
      </c>
      <c r="J71" s="61">
        <f>RSQ(G66:G72, F66:F72)</f>
        <v>0.99955563311753182</v>
      </c>
      <c r="K71" s="60">
        <f>J67</f>
        <v>2.1254859188079565E-6</v>
      </c>
      <c r="L71" s="60">
        <f>J69</f>
        <v>-1.6320541024102825E-4</v>
      </c>
      <c r="M71" s="60">
        <f>(C71-$O$4)*K71 + L71</f>
        <v>2.1328507535512669E-3</v>
      </c>
    </row>
    <row r="72" spans="1:26" ht="14">
      <c r="A72" s="55">
        <f t="shared" si="11"/>
        <v>86</v>
      </c>
      <c r="B72" s="55" t="s">
        <v>140</v>
      </c>
      <c r="C72" s="79">
        <v>129</v>
      </c>
      <c r="D72" s="56" t="s">
        <v>38</v>
      </c>
      <c r="E72" s="80">
        <v>2591</v>
      </c>
      <c r="F72" s="80">
        <v>9425</v>
      </c>
      <c r="G72" s="57">
        <v>0.02</v>
      </c>
      <c r="H72" s="58"/>
      <c r="I72" s="58"/>
      <c r="J72" s="58"/>
      <c r="K72" s="60">
        <f>I67</f>
        <v>7.7808781955955862E-6</v>
      </c>
      <c r="L72" s="60">
        <f>I69</f>
        <v>-1.4419532621385255E-5</v>
      </c>
      <c r="M72" s="60">
        <f>(C72-$O$5)*K72 + L72</f>
        <v>9.8931375461044544E-4</v>
      </c>
    </row>
    <row r="73" spans="1:26" ht="14">
      <c r="A73" s="55">
        <f t="shared" si="11"/>
        <v>86</v>
      </c>
      <c r="B73" s="55" t="s">
        <v>141</v>
      </c>
      <c r="C73" s="79">
        <v>133</v>
      </c>
      <c r="D73" s="56" t="s">
        <v>38</v>
      </c>
      <c r="E73" s="80">
        <v>8</v>
      </c>
      <c r="F73" s="80">
        <v>16</v>
      </c>
      <c r="G73" s="56"/>
      <c r="H73" s="58"/>
      <c r="I73" s="58"/>
      <c r="J73" s="58"/>
      <c r="K73" s="60">
        <f>I67</f>
        <v>7.7808781955955862E-6</v>
      </c>
      <c r="L73" s="60">
        <f>I69</f>
        <v>-1.4419532621385255E-5</v>
      </c>
      <c r="M73" s="60">
        <f>(C73-$O$5)*K73 + L73</f>
        <v>1.0204372673928276E-3</v>
      </c>
    </row>
    <row r="74" spans="1:26" ht="14">
      <c r="A74" s="55">
        <f>P11</f>
        <v>87</v>
      </c>
      <c r="B74" s="55" t="s">
        <v>142</v>
      </c>
      <c r="C74" s="79">
        <v>589</v>
      </c>
      <c r="D74" s="56" t="s">
        <v>35</v>
      </c>
      <c r="E74" s="80">
        <v>15</v>
      </c>
      <c r="F74" s="80">
        <v>20</v>
      </c>
      <c r="G74" s="57">
        <v>0</v>
      </c>
      <c r="H74" s="58"/>
      <c r="I74" s="62" t="s">
        <v>68</v>
      </c>
      <c r="J74" s="62" t="s">
        <v>68</v>
      </c>
      <c r="K74" s="60">
        <f>I75</f>
        <v>7.5849396169305899E-6</v>
      </c>
      <c r="L74" s="60">
        <f>I77</f>
        <v>-5.5825990891893509E-6</v>
      </c>
      <c r="M74" s="60">
        <f>(C74-$O$2)*K74+L74</f>
        <v>4.4619468352829284E-3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87</v>
      </c>
      <c r="B75" s="55" t="s">
        <v>143</v>
      </c>
      <c r="C75" s="79">
        <v>560</v>
      </c>
      <c r="D75" s="56" t="s">
        <v>35</v>
      </c>
      <c r="E75" s="80">
        <v>76</v>
      </c>
      <c r="F75" s="80">
        <v>252</v>
      </c>
      <c r="G75" s="57">
        <v>5.0000000000000001E-4</v>
      </c>
      <c r="H75" s="58"/>
      <c r="I75" s="58">
        <f>SLOPE(G74:G80, E74:E80)</f>
        <v>7.5849396169305899E-6</v>
      </c>
      <c r="J75" s="58">
        <f>SLOPE(G74:G80, F74:F80)</f>
        <v>2.2779566979626284E-6</v>
      </c>
      <c r="K75" s="60">
        <f>I75</f>
        <v>7.5849396169305899E-6</v>
      </c>
      <c r="L75" s="60">
        <f>I77</f>
        <v>-5.5825990891893509E-6</v>
      </c>
      <c r="M75" s="60">
        <f>(C75-$O$2)*K75+L75</f>
        <v>4.2419835863919406E-3</v>
      </c>
    </row>
    <row r="76" spans="1:26" ht="14">
      <c r="A76" s="55">
        <f t="shared" si="12"/>
        <v>87</v>
      </c>
      <c r="B76" s="55" t="s">
        <v>144</v>
      </c>
      <c r="C76" s="79">
        <v>241</v>
      </c>
      <c r="D76" s="56" t="s">
        <v>36</v>
      </c>
      <c r="E76" s="80">
        <v>145</v>
      </c>
      <c r="F76" s="80">
        <v>788</v>
      </c>
      <c r="G76" s="57">
        <v>1E-3</v>
      </c>
      <c r="H76" s="58"/>
      <c r="I76" s="62" t="s">
        <v>71</v>
      </c>
      <c r="J76" s="62" t="s">
        <v>71</v>
      </c>
      <c r="K76" s="60">
        <f>I75</f>
        <v>7.5849396169305899E-6</v>
      </c>
      <c r="L76" s="60">
        <f>I77</f>
        <v>-5.5825990891893509E-6</v>
      </c>
      <c r="M76" s="60">
        <f>(C76-$O$3)*K76 + L76</f>
        <v>1.8223878485910828E-3</v>
      </c>
    </row>
    <row r="77" spans="1:26" ht="14">
      <c r="A77" s="55">
        <f t="shared" si="12"/>
        <v>87</v>
      </c>
      <c r="B77" s="55" t="s">
        <v>145</v>
      </c>
      <c r="C77" s="79">
        <v>241</v>
      </c>
      <c r="D77" s="56" t="s">
        <v>36</v>
      </c>
      <c r="E77" s="80">
        <v>253</v>
      </c>
      <c r="F77" s="80">
        <v>936</v>
      </c>
      <c r="G77" s="57">
        <v>2E-3</v>
      </c>
      <c r="H77" s="58"/>
      <c r="I77" s="58">
        <f>INTERCEPT(G74:G80, E74:E80)</f>
        <v>-5.5825990891893509E-6</v>
      </c>
      <c r="J77" s="58">
        <f>INTERCEPT(G74:G80, F74:F80)</f>
        <v>-3.0163028732538982E-4</v>
      </c>
      <c r="K77" s="60">
        <f>I75</f>
        <v>7.5849396169305899E-6</v>
      </c>
      <c r="L77" s="60">
        <f>I77</f>
        <v>-5.5825990891893509E-6</v>
      </c>
      <c r="M77" s="60">
        <f>(C77-$O$3)*K77+ L77</f>
        <v>1.8223878485910828E-3</v>
      </c>
    </row>
    <row r="78" spans="1:26" ht="14">
      <c r="A78" s="55">
        <f t="shared" si="12"/>
        <v>87</v>
      </c>
      <c r="B78" s="55" t="s">
        <v>146</v>
      </c>
      <c r="C78" s="79">
        <v>1616</v>
      </c>
      <c r="D78" s="56" t="s">
        <v>37</v>
      </c>
      <c r="E78" s="80">
        <v>706</v>
      </c>
      <c r="F78" s="80">
        <v>2400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2.2779566979626284E-6</v>
      </c>
      <c r="L78" s="60">
        <f>J77</f>
        <v>-3.0163028732538982E-4</v>
      </c>
      <c r="M78" s="60">
        <f>(C78-$O$4)*K78 + L78</f>
        <v>2.6375033422208916E-3</v>
      </c>
    </row>
    <row r="79" spans="1:26" ht="14">
      <c r="A79" s="55">
        <f t="shared" si="12"/>
        <v>87</v>
      </c>
      <c r="B79" s="55" t="s">
        <v>147</v>
      </c>
      <c r="C79" s="79">
        <v>1488</v>
      </c>
      <c r="D79" s="56" t="s">
        <v>37</v>
      </c>
      <c r="E79" s="80">
        <v>1212</v>
      </c>
      <c r="F79" s="80">
        <v>4575</v>
      </c>
      <c r="G79" s="57">
        <v>0.01</v>
      </c>
      <c r="H79" s="58"/>
      <c r="I79" s="61">
        <f>RSQ(G74:G80, E74:E80)</f>
        <v>0.99719927488082583</v>
      </c>
      <c r="J79" s="61">
        <f>RSQ(G74:G80, F74:F80)</f>
        <v>0.99859613840796846</v>
      </c>
      <c r="K79" s="60">
        <f>J75</f>
        <v>2.2779566979626284E-6</v>
      </c>
      <c r="L79" s="60">
        <f>J77</f>
        <v>-3.0163028732538982E-4</v>
      </c>
      <c r="M79" s="60">
        <f>(C79-$O$4)*K79 + L79</f>
        <v>2.345924884881675E-3</v>
      </c>
    </row>
    <row r="80" spans="1:26" ht="14">
      <c r="A80" s="55">
        <f t="shared" si="12"/>
        <v>87</v>
      </c>
      <c r="B80" s="55" t="s">
        <v>148</v>
      </c>
      <c r="C80" s="79">
        <v>117</v>
      </c>
      <c r="D80" s="56" t="s">
        <v>38</v>
      </c>
      <c r="E80" s="80">
        <v>2674</v>
      </c>
      <c r="F80" s="80">
        <v>8857</v>
      </c>
      <c r="G80" s="57">
        <v>0.02</v>
      </c>
      <c r="H80" s="58"/>
      <c r="I80" s="58"/>
      <c r="J80" s="58"/>
      <c r="K80" s="60">
        <f>I75</f>
        <v>7.5849396169305899E-6</v>
      </c>
      <c r="L80" s="60">
        <f>I77</f>
        <v>-5.5825990891893509E-6</v>
      </c>
      <c r="M80" s="60">
        <f>(C80-$O$5)*K80 + L80</f>
        <v>8.8185533609168971E-4</v>
      </c>
    </row>
    <row r="81" spans="1:13" ht="14">
      <c r="A81" s="55">
        <f t="shared" si="12"/>
        <v>87</v>
      </c>
      <c r="B81" s="55" t="s">
        <v>149</v>
      </c>
      <c r="C81" s="79">
        <v>130</v>
      </c>
      <c r="D81" s="56" t="s">
        <v>38</v>
      </c>
      <c r="E81" s="80">
        <v>8</v>
      </c>
      <c r="F81" s="80">
        <v>17</v>
      </c>
      <c r="G81" s="56"/>
      <c r="H81" s="58"/>
      <c r="I81" s="58"/>
      <c r="J81" s="58"/>
      <c r="K81" s="60">
        <f>I75</f>
        <v>7.5849396169305899E-6</v>
      </c>
      <c r="L81" s="60">
        <f>I77</f>
        <v>-5.5825990891893509E-6</v>
      </c>
      <c r="M81" s="60">
        <f>(C81-$O$5)*K81 + L81</f>
        <v>9.8045955111178743E-4</v>
      </c>
    </row>
    <row r="82" spans="1:13" ht="14">
      <c r="A82" s="55">
        <f>P12</f>
        <v>88</v>
      </c>
      <c r="B82" s="55" t="s">
        <v>150</v>
      </c>
      <c r="C82" s="79">
        <v>606</v>
      </c>
      <c r="D82" s="56" t="s">
        <v>35</v>
      </c>
      <c r="E82" s="80">
        <v>19</v>
      </c>
      <c r="F82" s="80">
        <v>23</v>
      </c>
      <c r="G82" s="57">
        <v>0</v>
      </c>
      <c r="H82" s="58"/>
      <c r="I82" s="62" t="s">
        <v>68</v>
      </c>
      <c r="J82" s="62" t="s">
        <v>68</v>
      </c>
      <c r="K82" s="60">
        <f>I83</f>
        <v>8.2206574815083012E-6</v>
      </c>
      <c r="L82" s="60">
        <f>I85</f>
        <v>-2.0631067180697585E-4</v>
      </c>
      <c r="M82" s="60">
        <f>(C82-$O$2)*K82+L82</f>
        <v>4.7754077619870548E-3</v>
      </c>
    </row>
    <row r="83" spans="1:13" ht="14">
      <c r="A83" s="55">
        <f t="shared" ref="A83:A89" si="13">A82</f>
        <v>88</v>
      </c>
      <c r="B83" s="55" t="s">
        <v>151</v>
      </c>
      <c r="C83" s="79">
        <v>563</v>
      </c>
      <c r="D83" s="56" t="s">
        <v>35</v>
      </c>
      <c r="E83" s="80">
        <v>72</v>
      </c>
      <c r="F83" s="80">
        <v>270</v>
      </c>
      <c r="G83" s="57">
        <v>5.0000000000000001E-4</v>
      </c>
      <c r="H83" s="58"/>
      <c r="I83" s="58">
        <f>SLOPE(G82:G88, E82:E88)</f>
        <v>8.2206574815083012E-6</v>
      </c>
      <c r="J83" s="58">
        <f>SLOPE(G82:G88, F82:F88)</f>
        <v>2.1205032375784638E-6</v>
      </c>
      <c r="K83" s="60">
        <f>I83</f>
        <v>8.2206574815083012E-6</v>
      </c>
      <c r="L83" s="60">
        <f>I85</f>
        <v>-2.0631067180697585E-4</v>
      </c>
      <c r="M83" s="60">
        <f>(C83-$O$2)*K83+L83</f>
        <v>4.4219194902821975E-3</v>
      </c>
    </row>
    <row r="84" spans="1:13" ht="14">
      <c r="A84" s="55">
        <f t="shared" si="13"/>
        <v>88</v>
      </c>
      <c r="B84" s="55" t="s">
        <v>152</v>
      </c>
      <c r="C84" s="79">
        <v>248</v>
      </c>
      <c r="D84" s="56" t="s">
        <v>36</v>
      </c>
      <c r="E84" s="80">
        <v>141</v>
      </c>
      <c r="F84" s="80">
        <v>527</v>
      </c>
      <c r="G84" s="57">
        <v>1E-3</v>
      </c>
      <c r="H84" s="58"/>
      <c r="I84" s="62" t="s">
        <v>71</v>
      </c>
      <c r="J84" s="62" t="s">
        <v>71</v>
      </c>
      <c r="K84" s="60">
        <f>I83</f>
        <v>8.2206574815083012E-6</v>
      </c>
      <c r="L84" s="60">
        <f>I85</f>
        <v>-2.0631067180697585E-4</v>
      </c>
      <c r="M84" s="60">
        <f>(C84-$O$3)*K84 + L84</f>
        <v>1.832412383607083E-3</v>
      </c>
    </row>
    <row r="85" spans="1:13" ht="14">
      <c r="A85" s="55">
        <f t="shared" si="13"/>
        <v>88</v>
      </c>
      <c r="B85" s="55" t="s">
        <v>153</v>
      </c>
      <c r="C85" s="79">
        <v>250</v>
      </c>
      <c r="D85" s="56" t="s">
        <v>36</v>
      </c>
      <c r="E85" s="80">
        <v>248</v>
      </c>
      <c r="F85" s="80">
        <v>999</v>
      </c>
      <c r="G85" s="57">
        <v>2E-3</v>
      </c>
      <c r="H85" s="58"/>
      <c r="I85" s="58">
        <f>INTERCEPT(G82:G88, E82:E88)</f>
        <v>-2.0631067180697585E-4</v>
      </c>
      <c r="J85" s="58">
        <f>INTERCEPT(G82:G88, F82:F88)</f>
        <v>-5.6021411489515054E-5</v>
      </c>
      <c r="K85" s="60">
        <f>I83</f>
        <v>8.2206574815083012E-6</v>
      </c>
      <c r="L85" s="60">
        <f>I85</f>
        <v>-2.0631067180697585E-4</v>
      </c>
      <c r="M85" s="60">
        <f>(C85-$O$3)*K85+ L85</f>
        <v>1.8488536985700995E-3</v>
      </c>
    </row>
    <row r="86" spans="1:13" ht="14">
      <c r="A86" s="55">
        <f t="shared" si="13"/>
        <v>88</v>
      </c>
      <c r="B86" s="55" t="s">
        <v>154</v>
      </c>
      <c r="C86" s="79">
        <v>1545</v>
      </c>
      <c r="D86" s="56" t="s">
        <v>37</v>
      </c>
      <c r="E86" s="80">
        <v>681</v>
      </c>
      <c r="F86" s="80">
        <v>2467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2.1205032375784638E-6</v>
      </c>
      <c r="L86" s="60">
        <f>J85</f>
        <v>-5.6021411489515054E-5</v>
      </c>
      <c r="M86" s="60">
        <f>(C86-$O$4)*K86 + L86</f>
        <v>2.529402160928027E-3</v>
      </c>
    </row>
    <row r="87" spans="1:13" ht="14">
      <c r="A87" s="55">
        <f t="shared" si="13"/>
        <v>88</v>
      </c>
      <c r="B87" s="55" t="s">
        <v>155</v>
      </c>
      <c r="C87" s="79">
        <v>1442</v>
      </c>
      <c r="D87" s="56" t="s">
        <v>37</v>
      </c>
      <c r="E87" s="80">
        <v>1260</v>
      </c>
      <c r="F87" s="80">
        <v>4516</v>
      </c>
      <c r="G87" s="57">
        <v>0.01</v>
      </c>
      <c r="H87" s="58"/>
      <c r="I87" s="61">
        <f>RSQ(G82:G88, E82:E88)</f>
        <v>0.99921640003256362</v>
      </c>
      <c r="J87" s="61">
        <f>RSQ(G82:G88, F82:F88)</f>
        <v>0.99906328282387868</v>
      </c>
      <c r="K87" s="60">
        <f>J83</f>
        <v>2.1205032375784638E-6</v>
      </c>
      <c r="L87" s="60">
        <f>J85</f>
        <v>-5.6021411489515054E-5</v>
      </c>
      <c r="M87" s="60">
        <f>(C87-$O$4)*K87 + L87</f>
        <v>2.310990327457445E-3</v>
      </c>
    </row>
    <row r="88" spans="1:13" ht="14">
      <c r="A88" s="55">
        <f t="shared" si="13"/>
        <v>88</v>
      </c>
      <c r="B88" s="55" t="s">
        <v>156</v>
      </c>
      <c r="C88" s="79">
        <v>129</v>
      </c>
      <c r="D88" s="56" t="s">
        <v>38</v>
      </c>
      <c r="E88" s="80">
        <v>2438</v>
      </c>
      <c r="F88" s="80">
        <v>9539</v>
      </c>
      <c r="G88" s="57">
        <v>0.02</v>
      </c>
      <c r="H88" s="58"/>
      <c r="I88" s="58"/>
      <c r="J88" s="58"/>
      <c r="K88" s="60">
        <f>I83</f>
        <v>8.2206574815083012E-6</v>
      </c>
      <c r="L88" s="60">
        <f>I85</f>
        <v>-2.0631067180697585E-4</v>
      </c>
      <c r="M88" s="60">
        <f>(C88-$O$5)*K88 + L88</f>
        <v>8.5415414330759494E-4</v>
      </c>
    </row>
    <row r="89" spans="1:13" ht="14">
      <c r="A89" s="55">
        <f t="shared" si="13"/>
        <v>88</v>
      </c>
      <c r="B89" s="55" t="s">
        <v>157</v>
      </c>
      <c r="C89" s="79">
        <v>128</v>
      </c>
      <c r="D89" s="56" t="s">
        <v>38</v>
      </c>
      <c r="E89" s="80">
        <v>8</v>
      </c>
      <c r="F89" s="80">
        <v>17</v>
      </c>
      <c r="G89" s="56"/>
      <c r="H89" s="58"/>
      <c r="I89" s="58"/>
      <c r="J89" s="58"/>
      <c r="K89" s="60">
        <f>I83</f>
        <v>8.2206574815083012E-6</v>
      </c>
      <c r="L89" s="60">
        <f>I85</f>
        <v>-2.0631067180697585E-4</v>
      </c>
      <c r="M89" s="60">
        <f>(C89-$O$5)*K89 + L89</f>
        <v>8.4593348582608671E-4</v>
      </c>
    </row>
    <row r="90" spans="1:13" ht="14">
      <c r="A90" s="55">
        <f>P13</f>
        <v>90</v>
      </c>
      <c r="B90" s="55" t="s">
        <v>158</v>
      </c>
      <c r="C90" s="79">
        <v>621</v>
      </c>
      <c r="D90" s="56" t="s">
        <v>35</v>
      </c>
      <c r="E90" s="80">
        <v>18</v>
      </c>
      <c r="F90" s="80">
        <v>33</v>
      </c>
      <c r="G90" s="57">
        <v>0</v>
      </c>
      <c r="H90" s="58"/>
      <c r="I90" s="62" t="s">
        <v>68</v>
      </c>
      <c r="J90" s="62" t="s">
        <v>68</v>
      </c>
      <c r="K90" s="60">
        <f>I91</f>
        <v>8.0437619863077346E-6</v>
      </c>
      <c r="L90" s="60">
        <f>I93</f>
        <v>-1.6051022065027062E-4</v>
      </c>
      <c r="M90" s="60">
        <f>(C90-$O$2)*K90+L90</f>
        <v>4.8346659728468327E-3</v>
      </c>
    </row>
    <row r="91" spans="1:13" ht="14">
      <c r="A91" s="55">
        <f t="shared" ref="A91:A97" si="14">A90</f>
        <v>90</v>
      </c>
      <c r="B91" s="55" t="s">
        <v>159</v>
      </c>
      <c r="C91" s="79">
        <v>586</v>
      </c>
      <c r="D91" s="56" t="s">
        <v>35</v>
      </c>
      <c r="E91" s="80">
        <v>73</v>
      </c>
      <c r="F91" s="80">
        <v>266</v>
      </c>
      <c r="G91" s="57">
        <v>5.0000000000000001E-4</v>
      </c>
      <c r="H91" s="58"/>
      <c r="I91" s="58">
        <f>SLOPE(G90:G96, E90:E96)</f>
        <v>8.0437619863077346E-6</v>
      </c>
      <c r="J91" s="58">
        <f>SLOPE(G90:G96, F90:F96)</f>
        <v>2.2259717461246855E-6</v>
      </c>
      <c r="K91" s="60">
        <f>I91</f>
        <v>8.0437619863077346E-6</v>
      </c>
      <c r="L91" s="60">
        <f>I93</f>
        <v>-1.6051022065027062E-4</v>
      </c>
      <c r="M91" s="60">
        <f>(C91-$O$2)*K91+L91</f>
        <v>4.5531343033260617E-3</v>
      </c>
    </row>
    <row r="92" spans="1:13" ht="14">
      <c r="A92" s="55">
        <f t="shared" si="14"/>
        <v>90</v>
      </c>
      <c r="B92" s="55" t="s">
        <v>160</v>
      </c>
      <c r="C92" s="79">
        <v>236</v>
      </c>
      <c r="D92" s="56" t="s">
        <v>36</v>
      </c>
      <c r="E92" s="80">
        <v>152</v>
      </c>
      <c r="F92" s="80">
        <v>514</v>
      </c>
      <c r="G92" s="57">
        <v>1E-3</v>
      </c>
      <c r="H92" s="58"/>
      <c r="I92" s="62" t="s">
        <v>71</v>
      </c>
      <c r="J92" s="62" t="s">
        <v>71</v>
      </c>
      <c r="K92" s="60">
        <f>I91</f>
        <v>8.0437619863077346E-6</v>
      </c>
      <c r="L92" s="60">
        <f>I93</f>
        <v>-1.6051022065027062E-4</v>
      </c>
      <c r="M92" s="60">
        <f>(C92-$O$3)*K92 + L92</f>
        <v>1.7378176081183547E-3</v>
      </c>
    </row>
    <row r="93" spans="1:13" ht="14">
      <c r="A93" s="55">
        <f t="shared" si="14"/>
        <v>90</v>
      </c>
      <c r="B93" s="55" t="s">
        <v>161</v>
      </c>
      <c r="C93" s="79">
        <v>253</v>
      </c>
      <c r="D93" s="56" t="s">
        <v>36</v>
      </c>
      <c r="E93" s="80">
        <v>297</v>
      </c>
      <c r="F93" s="80">
        <v>1119</v>
      </c>
      <c r="G93" s="57">
        <v>2E-3</v>
      </c>
      <c r="H93" s="58"/>
      <c r="I93" s="58">
        <f>INTERCEPT(G90:G96, E90:E96)</f>
        <v>-1.6051022065027062E-4</v>
      </c>
      <c r="J93" s="58">
        <f>INTERCEPT(G90:G96, F90:F96)</f>
        <v>-2.6717479824532684E-4</v>
      </c>
      <c r="K93" s="60">
        <f>I91</f>
        <v>8.0437619863077346E-6</v>
      </c>
      <c r="L93" s="60">
        <f>I93</f>
        <v>-1.6051022065027062E-4</v>
      </c>
      <c r="M93" s="60">
        <f>(C93-$O$3)*K93+ L93</f>
        <v>1.8745615618855861E-3</v>
      </c>
    </row>
    <row r="94" spans="1:13" ht="14">
      <c r="A94" s="55">
        <f t="shared" si="14"/>
        <v>90</v>
      </c>
      <c r="B94" s="55" t="s">
        <v>162</v>
      </c>
      <c r="C94" s="79">
        <v>1533</v>
      </c>
      <c r="D94" s="56" t="s">
        <v>37</v>
      </c>
      <c r="E94" s="80">
        <v>639</v>
      </c>
      <c r="F94" s="80">
        <v>2501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2.2259717461246855E-6</v>
      </c>
      <c r="L94" s="60">
        <f>J93</f>
        <v>-2.6717479824532684E-4</v>
      </c>
      <c r="M94" s="60">
        <f>(C94-$O$4)*K94 + L94</f>
        <v>2.4201295922636999E-3</v>
      </c>
    </row>
    <row r="95" spans="1:13" ht="14">
      <c r="A95" s="55">
        <f t="shared" si="14"/>
        <v>90</v>
      </c>
      <c r="B95" s="55" t="s">
        <v>163</v>
      </c>
      <c r="C95" s="79">
        <v>1457</v>
      </c>
      <c r="D95" s="56" t="s">
        <v>37</v>
      </c>
      <c r="E95" s="80">
        <v>1225</v>
      </c>
      <c r="F95" s="80">
        <v>4674</v>
      </c>
      <c r="G95" s="57">
        <v>0.01</v>
      </c>
      <c r="H95" s="58"/>
      <c r="I95" s="61">
        <f>RSQ(G90:G96, E90:E96)</f>
        <v>0.99945952504595104</v>
      </c>
      <c r="J95" s="61">
        <f>RSQ(G90:G96, F90:F96)</f>
        <v>0.99915030696853113</v>
      </c>
      <c r="K95" s="60">
        <f>J91</f>
        <v>2.2259717461246855E-6</v>
      </c>
      <c r="L95" s="60">
        <f>J93</f>
        <v>-2.6717479824532684E-4</v>
      </c>
      <c r="M95" s="60">
        <f>(C95-$O$4)*K95 + L95</f>
        <v>2.2509557395582235E-3</v>
      </c>
    </row>
    <row r="96" spans="1:13" ht="14">
      <c r="A96" s="55">
        <f t="shared" si="14"/>
        <v>90</v>
      </c>
      <c r="B96" s="55" t="s">
        <v>164</v>
      </c>
      <c r="C96" s="79">
        <v>119</v>
      </c>
      <c r="D96" s="56" t="s">
        <v>38</v>
      </c>
      <c r="E96" s="80">
        <v>2522</v>
      </c>
      <c r="F96" s="80">
        <v>9029</v>
      </c>
      <c r="G96" s="57">
        <v>0.02</v>
      </c>
      <c r="I96" s="58"/>
      <c r="J96" s="58"/>
      <c r="K96" s="60">
        <f>I91</f>
        <v>8.0437619863077346E-6</v>
      </c>
      <c r="L96" s="60">
        <f>I93</f>
        <v>-1.6051022065027062E-4</v>
      </c>
      <c r="M96" s="60">
        <f>(C96-$O$5)*K96 + L96</f>
        <v>7.9669745572034977E-4</v>
      </c>
    </row>
    <row r="97" spans="1:13" ht="14">
      <c r="A97" s="55">
        <f t="shared" si="14"/>
        <v>90</v>
      </c>
      <c r="B97" s="55" t="s">
        <v>165</v>
      </c>
      <c r="C97" s="79">
        <v>122</v>
      </c>
      <c r="D97" s="56" t="s">
        <v>38</v>
      </c>
      <c r="E97" s="80">
        <v>8</v>
      </c>
      <c r="F97" s="80">
        <v>16</v>
      </c>
      <c r="G97" s="56"/>
      <c r="I97" s="58"/>
      <c r="J97" s="58"/>
      <c r="K97" s="60">
        <f>I91</f>
        <v>8.0437619863077346E-6</v>
      </c>
      <c r="L97" s="60">
        <f>I93</f>
        <v>-1.6051022065027062E-4</v>
      </c>
      <c r="M97" s="60">
        <f>(C97-$O$5)*K97 + L97</f>
        <v>8.2082874167927291E-4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558.41666666666663</v>
      </c>
      <c r="D100" s="56" t="s">
        <v>35</v>
      </c>
      <c r="I100" s="58"/>
      <c r="J100" s="58"/>
    </row>
    <row r="101" spans="1:13" ht="14">
      <c r="C101" s="63">
        <f t="shared" si="15"/>
        <v>536.58333333333337</v>
      </c>
      <c r="D101" s="56" t="s">
        <v>35</v>
      </c>
      <c r="I101" s="58"/>
      <c r="J101" s="58"/>
    </row>
    <row r="102" spans="1:13" ht="14">
      <c r="C102" s="63">
        <f t="shared" si="15"/>
        <v>233.75</v>
      </c>
      <c r="D102" s="56" t="s">
        <v>36</v>
      </c>
      <c r="I102" s="58"/>
      <c r="J102" s="58"/>
    </row>
    <row r="103" spans="1:13" ht="14">
      <c r="C103" s="63">
        <f t="shared" si="15"/>
        <v>239.41666666666666</v>
      </c>
      <c r="D103" s="56" t="s">
        <v>36</v>
      </c>
      <c r="I103" s="58"/>
      <c r="J103" s="58"/>
    </row>
    <row r="104" spans="1:13" ht="14">
      <c r="C104" s="63">
        <f t="shared" si="15"/>
        <v>1489.3333333333333</v>
      </c>
      <c r="D104" s="56" t="s">
        <v>37</v>
      </c>
      <c r="I104" s="58"/>
      <c r="J104" s="58"/>
    </row>
    <row r="105" spans="1:13" ht="14">
      <c r="C105" s="63">
        <f t="shared" si="15"/>
        <v>1476</v>
      </c>
      <c r="D105" s="56" t="s">
        <v>37</v>
      </c>
      <c r="I105" s="58"/>
      <c r="J105" s="58"/>
    </row>
    <row r="106" spans="1:13" ht="14">
      <c r="C106" s="63">
        <f t="shared" si="15"/>
        <v>121</v>
      </c>
      <c r="D106" s="56" t="s">
        <v>38</v>
      </c>
      <c r="I106" s="58"/>
      <c r="J106" s="58"/>
    </row>
    <row r="107" spans="1:13" ht="14">
      <c r="C107" s="63">
        <f t="shared" si="15"/>
        <v>124.16666666666667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8" priority="1" operator="lessThan">
      <formula>0.98</formula>
    </cfRule>
  </conditionalFormatting>
  <conditionalFormatting sqref="W2:W13">
    <cfRule type="colorScale" priority="2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3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4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51A78-2385-2440-95EB-8D3DE3F6CBF1}">
  <sheetPr>
    <outlinePr summaryBelow="0" summaryRight="0"/>
  </sheetPr>
  <dimension ref="A1:Z164"/>
  <sheetViews>
    <sheetView workbookViewId="0">
      <pane xSplit="1" ySplit="1" topLeftCell="B2" activePane="bottomRight" state="frozen"/>
      <selection activeCell="P2" sqref="P2:Q13"/>
      <selection pane="topRight" activeCell="P2" sqref="P2:Q13"/>
      <selection pane="bottomLeft" activeCell="P2" sqref="P2:Q13"/>
      <selection pane="bottomRight" activeCell="C4" sqref="C4:C5"/>
    </sheetView>
  </sheetViews>
  <sheetFormatPr baseColWidth="10" defaultColWidth="12.6640625" defaultRowHeight="15.75" customHeight="1"/>
  <cols>
    <col min="1" max="7" width="7.33203125" style="47" customWidth="1"/>
    <col min="8" max="8" width="5.6640625" style="47" customWidth="1"/>
    <col min="9" max="10" width="7.6640625" style="47" customWidth="1"/>
    <col min="11" max="13" width="9" style="47" customWidth="1"/>
    <col min="14" max="14" width="4.1640625" style="47" customWidth="1"/>
    <col min="15" max="15" width="7.6640625" style="47" customWidth="1"/>
    <col min="16" max="26" width="7.1640625" style="47" customWidth="1"/>
    <col min="27" max="16384" width="12.6640625" style="47"/>
  </cols>
  <sheetData>
    <row r="1" spans="1:26" ht="52.5" customHeight="1">
      <c r="A1" s="48" t="s">
        <v>50</v>
      </c>
      <c r="B1" s="48" t="s">
        <v>51</v>
      </c>
      <c r="C1" s="49" t="s">
        <v>52</v>
      </c>
      <c r="D1" s="50" t="s">
        <v>53</v>
      </c>
      <c r="E1" s="51" t="s">
        <v>54</v>
      </c>
      <c r="F1" s="52" t="s">
        <v>55</v>
      </c>
      <c r="G1" s="53" t="s">
        <v>56</v>
      </c>
      <c r="H1" s="46"/>
      <c r="I1" s="45" t="s">
        <v>57</v>
      </c>
      <c r="J1" s="45" t="s">
        <v>57</v>
      </c>
      <c r="K1" s="54" t="s">
        <v>58</v>
      </c>
      <c r="L1" s="54" t="s">
        <v>59</v>
      </c>
      <c r="M1" s="54" t="s">
        <v>60</v>
      </c>
      <c r="N1" s="45" t="str">
        <f>'enzyme setup and metadata'!F178</f>
        <v>enzyme substrate</v>
      </c>
      <c r="O1" s="45" t="str">
        <f>'enzyme setup and metadata'!G178</f>
        <v>Average fluorescence</v>
      </c>
      <c r="P1" s="65" t="s">
        <v>50</v>
      </c>
      <c r="Q1" s="65" t="s">
        <v>61</v>
      </c>
      <c r="R1" s="65" t="s">
        <v>62</v>
      </c>
      <c r="S1" s="65" t="s">
        <v>167</v>
      </c>
      <c r="T1" s="65" t="s">
        <v>168</v>
      </c>
      <c r="U1" s="65" t="s">
        <v>169</v>
      </c>
      <c r="V1" s="65" t="s">
        <v>170</v>
      </c>
      <c r="W1" s="65" t="s">
        <v>63</v>
      </c>
      <c r="X1" s="65" t="s">
        <v>64</v>
      </c>
      <c r="Y1" s="65" t="s">
        <v>65</v>
      </c>
      <c r="Z1" s="45" t="s">
        <v>66</v>
      </c>
    </row>
    <row r="2" spans="1:26" ht="14">
      <c r="A2" s="55">
        <f>$P$2</f>
        <v>91</v>
      </c>
      <c r="B2" s="55" t="s">
        <v>67</v>
      </c>
      <c r="C2" s="80">
        <v>436</v>
      </c>
      <c r="D2" s="56" t="s">
        <v>35</v>
      </c>
      <c r="E2" s="80">
        <v>21</v>
      </c>
      <c r="F2" s="80">
        <v>25</v>
      </c>
      <c r="G2" s="57">
        <v>0</v>
      </c>
      <c r="H2" s="58"/>
      <c r="I2" s="59" t="s">
        <v>68</v>
      </c>
      <c r="J2" s="59" t="s">
        <v>68</v>
      </c>
      <c r="K2" s="60">
        <f>I3</f>
        <v>1.0270783043327106E-5</v>
      </c>
      <c r="L2" s="60">
        <f>I5</f>
        <v>-7.556793780614298E-5</v>
      </c>
      <c r="M2" s="60">
        <f>(C2-$O$2)*K2+L2</f>
        <v>4.4024934690844748E-3</v>
      </c>
      <c r="N2" s="47" t="str">
        <f>'enzyme setup and metadata'!F179</f>
        <v>BG</v>
      </c>
      <c r="O2" s="47">
        <f>'enzyme setup and metadata'!G186</f>
        <v>0</v>
      </c>
      <c r="P2" s="14">
        <f>'enzyme setup and metadata'!A74</f>
        <v>91</v>
      </c>
      <c r="Q2" s="66">
        <f>'enzyme setup and metadata'!I74</f>
        <v>2.1418372203712521</v>
      </c>
      <c r="R2" s="14">
        <f>'enzyme setup and metadata'!R182</f>
        <v>3.1499999999650754</v>
      </c>
      <c r="S2" s="14">
        <f>(((M2+M3)/2)*91)/(R2*Q2*0.8)</f>
        <v>7.6390048048306305E-2</v>
      </c>
      <c r="T2" s="14">
        <f>(((M4+M5)/2)*91)/(R2*Q2*0.8)</f>
        <v>3.8467102677228991E-2</v>
      </c>
      <c r="U2" s="14">
        <f>(((M6+M7)/2)*91)/(R2*Q2*0.8)</f>
        <v>4.2353959966220073E-2</v>
      </c>
      <c r="V2" s="14">
        <f>(((M8+M9)/2)*91)/(R2*Q2*0.8)</f>
        <v>2.0371450662262876E-2</v>
      </c>
      <c r="W2" s="14">
        <f>S2*1000</f>
        <v>76.390048048306312</v>
      </c>
      <c r="X2" s="14">
        <f>T2*1000</f>
        <v>38.467102677228993</v>
      </c>
      <c r="Y2" s="14">
        <f>U2*1000</f>
        <v>42.353959966220074</v>
      </c>
      <c r="Z2" s="14">
        <f>V2*1000</f>
        <v>20.371450662262877</v>
      </c>
    </row>
    <row r="3" spans="1:26" ht="14">
      <c r="A3" s="55">
        <f t="shared" ref="A3:A9" si="0">A2</f>
        <v>91</v>
      </c>
      <c r="B3" s="55" t="s">
        <v>69</v>
      </c>
      <c r="C3" s="80">
        <v>461</v>
      </c>
      <c r="D3" s="56" t="s">
        <v>35</v>
      </c>
      <c r="E3" s="80">
        <v>63</v>
      </c>
      <c r="F3" s="80">
        <v>252</v>
      </c>
      <c r="G3" s="57">
        <v>5.0000000000000001E-4</v>
      </c>
      <c r="H3" s="58"/>
      <c r="I3" s="59">
        <f>SLOPE(G2:G8, E2:E8)</f>
        <v>1.0270783043327106E-5</v>
      </c>
      <c r="J3" s="59">
        <f>SLOPE(G2:G8, F2:F8)</f>
        <v>1.713552247792475E-6</v>
      </c>
      <c r="K3" s="60">
        <f>I3</f>
        <v>1.0270783043327106E-5</v>
      </c>
      <c r="L3" s="60">
        <f>I5</f>
        <v>-7.556793780614298E-5</v>
      </c>
      <c r="M3" s="60">
        <f>(C3-$O$2)*K3+L3</f>
        <v>4.6592630451676529E-3</v>
      </c>
      <c r="N3" s="47" t="str">
        <f>'enzyme setup and metadata'!F180</f>
        <v>CB</v>
      </c>
      <c r="O3" s="47">
        <f>'enzyme setup and metadata'!G187</f>
        <v>0</v>
      </c>
      <c r="P3" s="14">
        <f>'enzyme setup and metadata'!A75</f>
        <v>92</v>
      </c>
      <c r="Q3" s="66">
        <f>'enzyme setup and metadata'!I75</f>
        <v>2.1646051379638442</v>
      </c>
      <c r="R3" s="14">
        <f>R2</f>
        <v>3.1499999999650754</v>
      </c>
      <c r="S3" s="14">
        <f>(((M10+M11)/2)*91)/(R3*Q3*0.8)</f>
        <v>7.1245073084402519E-2</v>
      </c>
      <c r="T3" s="14">
        <f>(((M12+M13)/2)*91)/(R3*Q3*0.8)</f>
        <v>3.3884290556786177E-2</v>
      </c>
      <c r="U3" s="14">
        <f>(((M14+M15)/2)*91)/(R3*Q3*0.8)</f>
        <v>4.2246098803961338E-2</v>
      </c>
      <c r="V3" s="14">
        <f>(((M16+M17)/2)*91)/(R3*Q3*0.8)</f>
        <v>1.8057847958282025E-2</v>
      </c>
      <c r="W3" s="14">
        <f>S3*1000</f>
        <v>71.24507308440252</v>
      </c>
      <c r="X3" s="14">
        <f t="shared" ref="X3:Z13" si="1">T3*1000</f>
        <v>33.884290556786176</v>
      </c>
      <c r="Y3" s="14">
        <f t="shared" si="1"/>
        <v>42.246098803961338</v>
      </c>
      <c r="Z3" s="14">
        <f t="shared" si="1"/>
        <v>18.057847958282025</v>
      </c>
    </row>
    <row r="4" spans="1:26" ht="14">
      <c r="A4" s="55">
        <f t="shared" si="0"/>
        <v>91</v>
      </c>
      <c r="B4" s="55" t="s">
        <v>70</v>
      </c>
      <c r="C4" s="80">
        <v>224</v>
      </c>
      <c r="D4" s="56" t="s">
        <v>36</v>
      </c>
      <c r="E4" s="80">
        <v>112</v>
      </c>
      <c r="F4" s="80">
        <v>737</v>
      </c>
      <c r="G4" s="57">
        <v>1E-3</v>
      </c>
      <c r="H4" s="58"/>
      <c r="I4" s="59" t="s">
        <v>71</v>
      </c>
      <c r="J4" s="59" t="s">
        <v>71</v>
      </c>
      <c r="K4" s="60">
        <f>I3</f>
        <v>1.0270783043327106E-5</v>
      </c>
      <c r="L4" s="60">
        <f>I5</f>
        <v>-7.556793780614298E-5</v>
      </c>
      <c r="M4" s="60">
        <f>(C4-$O$3)*K4 + L4</f>
        <v>2.2250874638991289E-3</v>
      </c>
      <c r="N4" s="47" t="str">
        <f>'enzyme setup and metadata'!F181</f>
        <v>LAP</v>
      </c>
      <c r="O4" s="47">
        <f>'enzyme setup and metadata'!G188</f>
        <v>325.75</v>
      </c>
      <c r="P4" s="14">
        <f>'enzyme setup and metadata'!A76</f>
        <v>93</v>
      </c>
      <c r="Q4" s="66">
        <f>'enzyme setup and metadata'!I76</f>
        <v>2.1511351008096522</v>
      </c>
      <c r="R4" s="14">
        <f t="shared" ref="R4:R13" si="2">R3</f>
        <v>3.1499999999650754</v>
      </c>
      <c r="S4" s="14">
        <f>(((M18+M19)/2)*91)/(R4*Q4*0.8)</f>
        <v>7.3416634103829301E-2</v>
      </c>
      <c r="T4" s="14">
        <f>(((M20+M21)/2)*91)/(R4*Q4*0.8)</f>
        <v>3.2850290167283136E-2</v>
      </c>
      <c r="U4" s="14">
        <f>(((M22+M23)/2)*91)/(R4*Q4*0.8)</f>
        <v>3.530585541702376E-2</v>
      </c>
      <c r="V4" s="14">
        <f>(((M24+M25)/2)*91)/(R4*Q4*0.8)</f>
        <v>2.091410254809363E-2</v>
      </c>
      <c r="W4" s="14">
        <f>S4*1000</f>
        <v>73.416634103829296</v>
      </c>
      <c r="X4" s="14">
        <f t="shared" si="1"/>
        <v>32.850290167283134</v>
      </c>
      <c r="Y4" s="14">
        <f t="shared" si="1"/>
        <v>35.305855417023757</v>
      </c>
      <c r="Z4" s="14">
        <f t="shared" si="1"/>
        <v>20.914102548093631</v>
      </c>
    </row>
    <row r="5" spans="1:26" ht="14">
      <c r="A5" s="55">
        <f t="shared" si="0"/>
        <v>91</v>
      </c>
      <c r="B5" s="55" t="s">
        <v>72</v>
      </c>
      <c r="C5" s="80">
        <v>235</v>
      </c>
      <c r="D5" s="56" t="s">
        <v>36</v>
      </c>
      <c r="E5" s="80">
        <v>198</v>
      </c>
      <c r="F5" s="80">
        <v>1015</v>
      </c>
      <c r="G5" s="57">
        <v>2E-3</v>
      </c>
      <c r="H5" s="58"/>
      <c r="I5" s="59">
        <f>INTERCEPT(G2:G8, E2:E8)</f>
        <v>-7.556793780614298E-5</v>
      </c>
      <c r="J5" s="59">
        <f>INTERCEPT(G2:G8, F2:F8)</f>
        <v>2.1295693602544664E-4</v>
      </c>
      <c r="K5" s="60">
        <f>I3</f>
        <v>1.0270783043327106E-5</v>
      </c>
      <c r="L5" s="60">
        <f>I5</f>
        <v>-7.556793780614298E-5</v>
      </c>
      <c r="M5" s="60">
        <f>(C5-$O$3)*K5+ L5</f>
        <v>2.3380660773757271E-3</v>
      </c>
      <c r="N5" s="47" t="str">
        <f>'enzyme setup and metadata'!F182</f>
        <v>XYL</v>
      </c>
      <c r="O5" s="47">
        <f>'enzyme setup and metadata'!G189</f>
        <v>0</v>
      </c>
      <c r="P5" s="14">
        <f>'enzyme setup and metadata'!A77</f>
        <v>95</v>
      </c>
      <c r="Q5" s="66">
        <f>'enzyme setup and metadata'!I77</f>
        <v>2.2312212164522789</v>
      </c>
      <c r="R5" s="14">
        <f t="shared" si="2"/>
        <v>3.1499999999650754</v>
      </c>
      <c r="S5" s="14">
        <f>(((M26+M27)/2)*91)/(R5*Q5*0.8)</f>
        <v>6.5201894543474914E-2</v>
      </c>
      <c r="T5" s="14">
        <f>(((M28+M29)/2)*91)/(R5*Q5*0.8)</f>
        <v>3.328282807006424E-2</v>
      </c>
      <c r="U5" s="14">
        <f>(((M30+M31)/2)*91)/(R5*Q5*0.8)</f>
        <v>3.7543617245503598E-2</v>
      </c>
      <c r="V5" s="14">
        <f>(((M32+M33)/2)*91)/(R5*Q5*0.8)</f>
        <v>1.9404973081624817E-2</v>
      </c>
      <c r="W5" s="14">
        <f t="shared" ref="W5:W13" si="3">S5*1000</f>
        <v>65.201894543474907</v>
      </c>
      <c r="X5" s="14">
        <f t="shared" si="1"/>
        <v>33.282828070064241</v>
      </c>
      <c r="Y5" s="14">
        <f t="shared" si="1"/>
        <v>37.543617245503597</v>
      </c>
      <c r="Z5" s="14">
        <f t="shared" si="1"/>
        <v>19.404973081624817</v>
      </c>
    </row>
    <row r="6" spans="1:26" ht="14">
      <c r="A6" s="55">
        <f t="shared" si="0"/>
        <v>91</v>
      </c>
      <c r="B6" s="55" t="s">
        <v>73</v>
      </c>
      <c r="C6" s="80">
        <v>1638</v>
      </c>
      <c r="D6" s="56" t="s">
        <v>37</v>
      </c>
      <c r="E6" s="80">
        <v>483</v>
      </c>
      <c r="F6" s="80">
        <v>2517</v>
      </c>
      <c r="G6" s="57">
        <v>5.0000000000000001E-3</v>
      </c>
      <c r="H6" s="58"/>
      <c r="I6" s="59" t="s">
        <v>74</v>
      </c>
      <c r="J6" s="59" t="s">
        <v>74</v>
      </c>
      <c r="K6" s="60">
        <f>J3</f>
        <v>1.713552247792475E-6</v>
      </c>
      <c r="L6" s="60">
        <f>J5</f>
        <v>2.1295693602544664E-4</v>
      </c>
      <c r="M6" s="60">
        <f>(C6-$O$4)*K6 + L6</f>
        <v>2.461565873191122E-3</v>
      </c>
      <c r="P6" s="14">
        <f>'enzyme setup and metadata'!A78</f>
        <v>96</v>
      </c>
      <c r="Q6" s="66">
        <f>'enzyme setup and metadata'!I78</f>
        <v>2.2315756035578147</v>
      </c>
      <c r="R6" s="14">
        <f t="shared" si="2"/>
        <v>3.1499999999650754</v>
      </c>
      <c r="S6" s="14">
        <f>(((M34+M35)/2)*91)/(R6*Q6*0.8)</f>
        <v>6.2044696113839733E-2</v>
      </c>
      <c r="T6" s="14">
        <f>(((M36+M37)/2)*91)/(R6*Q6*0.8)</f>
        <v>3.2182869753032813E-2</v>
      </c>
      <c r="U6" s="14">
        <f>(((M38+M39)/2)*91)/(R6*Q6*0.8)</f>
        <v>3.8111914817192095E-2</v>
      </c>
      <c r="V6" s="14">
        <f>(((M40+M41)/2)*91)/(R6*Q6*0.8)</f>
        <v>1.667621441914334E-2</v>
      </c>
      <c r="W6" s="14">
        <f t="shared" si="3"/>
        <v>62.044696113839734</v>
      </c>
      <c r="X6" s="14">
        <f t="shared" si="1"/>
        <v>32.182869753032811</v>
      </c>
      <c r="Y6" s="14">
        <f t="shared" si="1"/>
        <v>38.111914817192094</v>
      </c>
      <c r="Z6" s="14">
        <f t="shared" si="1"/>
        <v>16.676214419143339</v>
      </c>
    </row>
    <row r="7" spans="1:26" ht="14">
      <c r="A7" s="55">
        <f t="shared" si="0"/>
        <v>91</v>
      </c>
      <c r="B7" s="55" t="s">
        <v>75</v>
      </c>
      <c r="C7" s="80">
        <v>1697</v>
      </c>
      <c r="D7" s="56" t="s">
        <v>37</v>
      </c>
      <c r="E7" s="80">
        <v>952</v>
      </c>
      <c r="F7" s="80">
        <v>5262</v>
      </c>
      <c r="G7" s="57">
        <v>0.01</v>
      </c>
      <c r="H7" s="58"/>
      <c r="I7" s="61">
        <f>RSQ(G2:G8, E2:E8)</f>
        <v>0.99949069085212561</v>
      </c>
      <c r="J7" s="61">
        <f>RSQ(G2:G8, F2:F8)</f>
        <v>0.9958993501934611</v>
      </c>
      <c r="K7" s="60">
        <f>J3</f>
        <v>1.713552247792475E-6</v>
      </c>
      <c r="L7" s="60">
        <f>J5</f>
        <v>2.1295693602544664E-4</v>
      </c>
      <c r="M7" s="60">
        <f>(C7-$O$4)*K7 + L7</f>
        <v>2.5626654558108782E-3</v>
      </c>
      <c r="P7" s="14">
        <f>'enzyme setup and metadata'!A79</f>
        <v>97</v>
      </c>
      <c r="Q7" s="66">
        <f>'enzyme setup and metadata'!I79</f>
        <v>2.0378787878787881</v>
      </c>
      <c r="R7" s="14">
        <f t="shared" si="2"/>
        <v>3.1499999999650754</v>
      </c>
      <c r="S7" s="14">
        <f>(((M42+M43)/2)*91)/(R7*Q7*0.8)</f>
        <v>7.055512548503079E-2</v>
      </c>
      <c r="T7" s="14">
        <f>(((M44+M45)/2)*91)/(R7*Q7*0.8)</f>
        <v>3.3004988556880235E-2</v>
      </c>
      <c r="U7" s="14">
        <f>(((M46+M47)/2)*91)/(R7*Q7*0.8)</f>
        <v>3.9035823710150172E-2</v>
      </c>
      <c r="V7" s="14">
        <f>(((M48+M49)/2)*91)/(R7*Q7*0.8)</f>
        <v>1.7137563439011315E-2</v>
      </c>
      <c r="W7" s="14">
        <f t="shared" si="3"/>
        <v>70.555125485030786</v>
      </c>
      <c r="X7" s="14">
        <f t="shared" si="1"/>
        <v>33.004988556880235</v>
      </c>
      <c r="Y7" s="14">
        <f t="shared" si="1"/>
        <v>39.035823710150169</v>
      </c>
      <c r="Z7" s="14">
        <f t="shared" si="1"/>
        <v>17.137563439011316</v>
      </c>
    </row>
    <row r="8" spans="1:26" ht="14">
      <c r="A8" s="55">
        <f t="shared" si="0"/>
        <v>91</v>
      </c>
      <c r="B8" s="55" t="s">
        <v>76</v>
      </c>
      <c r="C8" s="80">
        <v>127</v>
      </c>
      <c r="D8" s="56" t="s">
        <v>38</v>
      </c>
      <c r="E8" s="80">
        <v>1971</v>
      </c>
      <c r="F8" s="80">
        <v>11790</v>
      </c>
      <c r="G8" s="57">
        <v>0.02</v>
      </c>
      <c r="H8" s="58"/>
      <c r="I8" s="58"/>
      <c r="J8" s="58"/>
      <c r="K8" s="60">
        <f>I3</f>
        <v>1.0270783043327106E-5</v>
      </c>
      <c r="L8" s="60">
        <f>I5</f>
        <v>-7.556793780614298E-5</v>
      </c>
      <c r="M8" s="60">
        <f>(C8-$O$5)*K8 + L8</f>
        <v>1.2288215086963994E-3</v>
      </c>
      <c r="P8" s="14">
        <f>'enzyme setup and metadata'!A80</f>
        <v>98</v>
      </c>
      <c r="Q8" s="66">
        <f>'enzyme setup and metadata'!I80</f>
        <v>2.2312212164522789</v>
      </c>
      <c r="R8" s="14">
        <f t="shared" si="2"/>
        <v>3.1499999999650754</v>
      </c>
      <c r="S8" s="14">
        <f>(((M50+M51)/2)*91)/(R8*Q8*0.8)</f>
        <v>5.8462150086550473E-2</v>
      </c>
      <c r="T8" s="14">
        <f>(((M52+M53)/2)*91)/(R8*Q8*0.8)</f>
        <v>2.7406766080363257E-2</v>
      </c>
      <c r="U8" s="14">
        <f>(((M54+M55)/2)*91)/(R8*Q8*0.8)</f>
        <v>3.7856312992841326E-2</v>
      </c>
      <c r="V8" s="14">
        <f>(((M56+M57)/2)*91)/(R8*Q8*0.8)</f>
        <v>1.6209926948880796E-2</v>
      </c>
      <c r="W8" s="14">
        <f t="shared" si="3"/>
        <v>58.462150086550473</v>
      </c>
      <c r="X8" s="14">
        <f t="shared" si="1"/>
        <v>27.406766080363258</v>
      </c>
      <c r="Y8" s="14">
        <f t="shared" si="1"/>
        <v>37.856312992841325</v>
      </c>
      <c r="Z8" s="14">
        <f t="shared" si="1"/>
        <v>16.209926948880796</v>
      </c>
    </row>
    <row r="9" spans="1:26" ht="14">
      <c r="A9" s="55">
        <f t="shared" si="0"/>
        <v>91</v>
      </c>
      <c r="B9" s="55" t="s">
        <v>77</v>
      </c>
      <c r="C9" s="80">
        <v>123</v>
      </c>
      <c r="D9" s="56" t="s">
        <v>38</v>
      </c>
      <c r="E9" s="80">
        <v>16</v>
      </c>
      <c r="F9" s="80">
        <v>16</v>
      </c>
      <c r="G9" s="56"/>
      <c r="H9" s="58"/>
      <c r="I9" s="58"/>
      <c r="J9" s="58"/>
      <c r="K9" s="60">
        <f>I3</f>
        <v>1.0270783043327106E-5</v>
      </c>
      <c r="L9" s="60">
        <f>I5</f>
        <v>-7.556793780614298E-5</v>
      </c>
      <c r="M9" s="60">
        <f>(C9-$O$5)*K9 + L9</f>
        <v>1.1877383765230909E-3</v>
      </c>
      <c r="P9" s="14">
        <f>'enzyme setup and metadata'!A81</f>
        <v>100</v>
      </c>
      <c r="Q9" s="66">
        <f>'enzyme setup and metadata'!I81</f>
        <v>2.1994600603461967</v>
      </c>
      <c r="R9" s="14">
        <f t="shared" si="2"/>
        <v>3.1499999999650754</v>
      </c>
      <c r="S9" s="14">
        <f>(((M58+M59)/2)*91)/(R9*Q9*0.8)</f>
        <v>6.6787689999753486E-2</v>
      </c>
      <c r="T9" s="14">
        <f>(((M60+M61)/2)*91)/(R9*Q9*0.8)</f>
        <v>3.074326418563619E-2</v>
      </c>
      <c r="U9" s="14">
        <f>(((M62+M63)/2)*91)/(R9*Q9*0.8)</f>
        <v>3.7514662856699091E-2</v>
      </c>
      <c r="V9" s="14">
        <f>(((M64+M65)/2)*91)/(R9*Q9*0.8)</f>
        <v>1.6721909133708687E-2</v>
      </c>
      <c r="W9" s="14">
        <f t="shared" si="3"/>
        <v>66.787689999753482</v>
      </c>
      <c r="X9" s="14">
        <f t="shared" si="1"/>
        <v>30.743264185636189</v>
      </c>
      <c r="Y9" s="14">
        <f t="shared" si="1"/>
        <v>37.51466285669909</v>
      </c>
      <c r="Z9" s="14">
        <f t="shared" si="1"/>
        <v>16.721909133708685</v>
      </c>
    </row>
    <row r="10" spans="1:26" ht="14">
      <c r="A10" s="55">
        <f>P3</f>
        <v>92</v>
      </c>
      <c r="B10" s="55" t="s">
        <v>78</v>
      </c>
      <c r="C10" s="80">
        <v>423</v>
      </c>
      <c r="D10" s="56" t="s">
        <v>35</v>
      </c>
      <c r="E10" s="80">
        <v>21</v>
      </c>
      <c r="F10" s="80">
        <v>21</v>
      </c>
      <c r="G10" s="57">
        <v>0</v>
      </c>
      <c r="H10" s="58"/>
      <c r="I10" s="59" t="s">
        <v>68</v>
      </c>
      <c r="J10" s="59" t="s">
        <v>68</v>
      </c>
      <c r="K10" s="60">
        <f>I11</f>
        <v>1.0368120745734808E-5</v>
      </c>
      <c r="L10" s="60">
        <f>I13</f>
        <v>-2.9133601654615648E-4</v>
      </c>
      <c r="M10" s="60">
        <f>(C10-$O$2)*K10+L10</f>
        <v>4.0943790588996677E-3</v>
      </c>
      <c r="P10" s="14">
        <f>'enzyme setup and metadata'!A82</f>
        <v>101</v>
      </c>
      <c r="Q10" s="66">
        <f>'enzyme setup and metadata'!I82</f>
        <v>2.1808341292581983</v>
      </c>
      <c r="R10" s="14">
        <f t="shared" si="2"/>
        <v>3.1499999999650754</v>
      </c>
      <c r="S10" s="14">
        <f>(((M66+M67)/2)*91)/(R10*Q10*0.8)</f>
        <v>5.7448959226004459E-2</v>
      </c>
      <c r="T10" s="14">
        <f>(((M68+M69)/2)*91)/(R10*Q10*0.8)</f>
        <v>3.0907146637354509E-2</v>
      </c>
      <c r="U10" s="14">
        <f>(((M70+M71)/2)*91)/(R10*Q10*0.8)</f>
        <v>3.3670215352534234E-2</v>
      </c>
      <c r="V10" s="14">
        <f>(((M72+M73)/2)*91)/(R10*Q10*0.8)</f>
        <v>1.5469561764364235E-2</v>
      </c>
      <c r="W10" s="14">
        <f t="shared" si="3"/>
        <v>57.448959226004462</v>
      </c>
      <c r="X10" s="14">
        <f t="shared" si="1"/>
        <v>30.907146637354508</v>
      </c>
      <c r="Y10" s="14">
        <f t="shared" si="1"/>
        <v>33.670215352534235</v>
      </c>
      <c r="Z10" s="14">
        <f t="shared" si="1"/>
        <v>15.469561764364235</v>
      </c>
    </row>
    <row r="11" spans="1:26" ht="14">
      <c r="A11" s="55">
        <f t="shared" ref="A11:A17" si="4">A10</f>
        <v>92</v>
      </c>
      <c r="B11" s="55" t="s">
        <v>79</v>
      </c>
      <c r="C11" s="80">
        <v>457</v>
      </c>
      <c r="D11" s="56" t="s">
        <v>35</v>
      </c>
      <c r="E11" s="80">
        <v>68</v>
      </c>
      <c r="F11" s="80">
        <v>266</v>
      </c>
      <c r="G11" s="57">
        <v>5.0000000000000001E-4</v>
      </c>
      <c r="H11" s="58"/>
      <c r="I11" s="59">
        <f>SLOPE(G10:G16, E10:E16)</f>
        <v>1.0368120745734808E-5</v>
      </c>
      <c r="J11" s="59">
        <f>SLOPE(G10:G16, F10:F16)</f>
        <v>1.8036092868498824E-6</v>
      </c>
      <c r="K11" s="60">
        <f>I11</f>
        <v>1.0368120745734808E-5</v>
      </c>
      <c r="L11" s="60">
        <f>I13</f>
        <v>-2.9133601654615648E-4</v>
      </c>
      <c r="M11" s="60">
        <f>(C11-$O$2)*K11+L11</f>
        <v>4.4468951642546509E-3</v>
      </c>
      <c r="P11" s="14">
        <f>'enzyme setup and metadata'!A83</f>
        <v>102</v>
      </c>
      <c r="Q11" s="66">
        <f>'enzyme setup and metadata'!I83</f>
        <v>2.2085791739754423</v>
      </c>
      <c r="R11" s="14">
        <f t="shared" si="2"/>
        <v>3.1499999999650754</v>
      </c>
      <c r="S11" s="14">
        <f>(((M74+M75)/2)*91)/(R11*Q11*0.8)</f>
        <v>5.6689194969766335E-2</v>
      </c>
      <c r="T11" s="14">
        <f>(((M76+M77)/2)*91)/(R11*Q11*0.8)</f>
        <v>2.8601410637631039E-2</v>
      </c>
      <c r="U11" s="14">
        <f>(((M78+M79)/2)*91)/(R11*Q11*0.8)</f>
        <v>3.0168322217281801E-2</v>
      </c>
      <c r="V11" s="14">
        <f>(((M80+M81)/2)*91)/(R11*Q11*0.8)</f>
        <v>1.2096217782664929E-2</v>
      </c>
      <c r="W11" s="14">
        <f t="shared" si="3"/>
        <v>56.689194969766334</v>
      </c>
      <c r="X11" s="14">
        <f t="shared" si="1"/>
        <v>28.601410637631037</v>
      </c>
      <c r="Y11" s="14">
        <f t="shared" si="1"/>
        <v>30.168322217281801</v>
      </c>
      <c r="Z11" s="14">
        <f t="shared" si="1"/>
        <v>12.09621778266493</v>
      </c>
    </row>
    <row r="12" spans="1:26" ht="14">
      <c r="A12" s="55">
        <f t="shared" si="4"/>
        <v>92</v>
      </c>
      <c r="B12" s="55" t="s">
        <v>80</v>
      </c>
      <c r="C12" s="80">
        <v>215</v>
      </c>
      <c r="D12" s="56" t="s">
        <v>36</v>
      </c>
      <c r="E12" s="80">
        <v>115</v>
      </c>
      <c r="F12" s="80">
        <v>569</v>
      </c>
      <c r="G12" s="57">
        <v>1E-3</v>
      </c>
      <c r="H12" s="58"/>
      <c r="I12" s="59" t="s">
        <v>71</v>
      </c>
      <c r="J12" s="59" t="s">
        <v>71</v>
      </c>
      <c r="K12" s="60">
        <f>I11</f>
        <v>1.0368120745734808E-5</v>
      </c>
      <c r="L12" s="60">
        <f>I13</f>
        <v>-2.9133601654615648E-4</v>
      </c>
      <c r="M12" s="60">
        <f>(C12-$O$3)*K12 + L12</f>
        <v>1.9378099437868273E-3</v>
      </c>
      <c r="P12" s="14">
        <f>'enzyme setup and metadata'!A84</f>
        <v>103</v>
      </c>
      <c r="Q12" s="66">
        <f>'enzyme setup and metadata'!I84</f>
        <v>2.2139342961434689</v>
      </c>
      <c r="R12" s="14">
        <f t="shared" si="2"/>
        <v>3.1499999999650754</v>
      </c>
      <c r="S12" s="14">
        <f>(((M82+M83)/2)*91)/(R12*Q12*0.8)</f>
        <v>6.0117240324255881E-2</v>
      </c>
      <c r="T12" s="14">
        <f>(((M84+M85)/2)*91)/(R12*Q12*0.8)</f>
        <v>2.8544186127199094E-2</v>
      </c>
      <c r="U12" s="14">
        <f>(((M86+M87)/2)*91)/(R12*Q12*0.8)</f>
        <v>3.122713696165464E-2</v>
      </c>
      <c r="V12" s="14">
        <f>(((M88+M89)/2)*91)/(R12*Q12*0.8)</f>
        <v>1.2569275650406636E-2</v>
      </c>
      <c r="W12" s="14">
        <f t="shared" si="3"/>
        <v>60.117240324255881</v>
      </c>
      <c r="X12" s="14">
        <f t="shared" si="1"/>
        <v>28.544186127199094</v>
      </c>
      <c r="Y12" s="14">
        <f t="shared" si="1"/>
        <v>31.22713696165464</v>
      </c>
      <c r="Z12" s="14">
        <f t="shared" si="1"/>
        <v>12.569275650406636</v>
      </c>
    </row>
    <row r="13" spans="1:26" ht="14">
      <c r="A13" s="55">
        <f t="shared" si="4"/>
        <v>92</v>
      </c>
      <c r="B13" s="55" t="s">
        <v>81</v>
      </c>
      <c r="C13" s="80">
        <v>233</v>
      </c>
      <c r="D13" s="56" t="s">
        <v>36</v>
      </c>
      <c r="E13" s="80">
        <v>218</v>
      </c>
      <c r="F13" s="80">
        <v>1232</v>
      </c>
      <c r="G13" s="57">
        <v>2E-3</v>
      </c>
      <c r="H13" s="58"/>
      <c r="I13" s="59">
        <f>INTERCEPT(G10:G16, E10:E16)</f>
        <v>-2.9133601654615648E-4</v>
      </c>
      <c r="J13" s="59">
        <f>INTERCEPT(G10:G16, F10:F16)</f>
        <v>8.1700043833403575E-5</v>
      </c>
      <c r="K13" s="60">
        <f>I11</f>
        <v>1.0368120745734808E-5</v>
      </c>
      <c r="L13" s="60">
        <f>I13</f>
        <v>-2.9133601654615648E-4</v>
      </c>
      <c r="M13" s="60">
        <f>(C13-$O$3)*K13+ L13</f>
        <v>2.1244361172100537E-3</v>
      </c>
      <c r="P13" s="14">
        <f>'enzyme setup and metadata'!A85</f>
        <v>105</v>
      </c>
      <c r="Q13" s="66">
        <f>'enzyme setup and metadata'!I85</f>
        <v>2.2028196090996475</v>
      </c>
      <c r="R13" s="14">
        <f t="shared" si="2"/>
        <v>3.1499999999650754</v>
      </c>
      <c r="S13" s="14">
        <f>(((M90+M91)/2)*91)/(R13*Q13*0.8)</f>
        <v>5.7550065776466049E-2</v>
      </c>
      <c r="T13" s="14">
        <f>(((M92+M93)/2)*91)/(R13*Q13*0.8)</f>
        <v>3.095301662313877E-2</v>
      </c>
      <c r="U13" s="14">
        <f>(((M94+M95)/2)*91)/(R13*Q13*0.8)</f>
        <v>3.5378319885300852E-2</v>
      </c>
      <c r="V13" s="14">
        <f>(((M96+M97)/2)*91)/(R13*Q13*0.8)</f>
        <v>1.4320495744156636E-2</v>
      </c>
      <c r="W13" s="14">
        <f t="shared" si="3"/>
        <v>57.550065776466049</v>
      </c>
      <c r="X13" s="14">
        <f t="shared" si="1"/>
        <v>30.953016623138769</v>
      </c>
      <c r="Y13" s="14">
        <f t="shared" si="1"/>
        <v>35.378319885300854</v>
      </c>
      <c r="Z13" s="14">
        <f t="shared" si="1"/>
        <v>14.320495744156636</v>
      </c>
    </row>
    <row r="14" spans="1:26" ht="14">
      <c r="A14" s="55">
        <f t="shared" si="4"/>
        <v>92</v>
      </c>
      <c r="B14" s="55" t="s">
        <v>82</v>
      </c>
      <c r="C14" s="80">
        <v>1631</v>
      </c>
      <c r="D14" s="56" t="s">
        <v>37</v>
      </c>
      <c r="E14" s="80">
        <v>537</v>
      </c>
      <c r="F14" s="80">
        <v>2674</v>
      </c>
      <c r="G14" s="57">
        <v>5.0000000000000001E-3</v>
      </c>
      <c r="H14" s="58"/>
      <c r="I14" s="59" t="s">
        <v>74</v>
      </c>
      <c r="J14" s="59" t="s">
        <v>74</v>
      </c>
      <c r="K14" s="60">
        <f>J11</f>
        <v>1.8036092868498824E-6</v>
      </c>
      <c r="L14" s="60">
        <f>J13</f>
        <v>8.1700043833403575E-5</v>
      </c>
      <c r="M14" s="60">
        <f>(C14-$O$4)*K14 + L14</f>
        <v>2.4358610654942126E-3</v>
      </c>
    </row>
    <row r="15" spans="1:26" ht="14">
      <c r="A15" s="55">
        <f t="shared" si="4"/>
        <v>92</v>
      </c>
      <c r="B15" s="55" t="s">
        <v>83</v>
      </c>
      <c r="C15" s="80">
        <v>1738</v>
      </c>
      <c r="D15" s="56" t="s">
        <v>37</v>
      </c>
      <c r="E15" s="80">
        <v>1008</v>
      </c>
      <c r="F15" s="80">
        <v>5019</v>
      </c>
      <c r="G15" s="57">
        <v>0.01</v>
      </c>
      <c r="H15" s="58"/>
      <c r="I15" s="61">
        <f>RSQ(G10:G16, E10:E16)</f>
        <v>0.9995389246398344</v>
      </c>
      <c r="J15" s="61">
        <f>RSQ(G10:G16, F10:F16)</f>
        <v>0.99680700198329908</v>
      </c>
      <c r="K15" s="60">
        <f>J11</f>
        <v>1.8036092868498824E-6</v>
      </c>
      <c r="L15" s="60">
        <f>J13</f>
        <v>8.1700043833403575E-5</v>
      </c>
      <c r="M15" s="60">
        <f>(C15-$O$4)*K15 + L15</f>
        <v>2.6288472591871497E-3</v>
      </c>
      <c r="Q15" s="59"/>
      <c r="R15" s="59"/>
      <c r="S15" s="59"/>
      <c r="T15" s="59"/>
      <c r="U15" s="59"/>
      <c r="V15" s="59"/>
      <c r="W15" s="59"/>
      <c r="X15" s="59"/>
    </row>
    <row r="16" spans="1:26" ht="14">
      <c r="A16" s="55">
        <f t="shared" si="4"/>
        <v>92</v>
      </c>
      <c r="B16" s="55" t="s">
        <v>84</v>
      </c>
      <c r="C16" s="80">
        <v>143</v>
      </c>
      <c r="D16" s="56" t="s">
        <v>38</v>
      </c>
      <c r="E16" s="80">
        <v>1943</v>
      </c>
      <c r="F16" s="80">
        <v>11248</v>
      </c>
      <c r="G16" s="57">
        <v>0.02</v>
      </c>
      <c r="H16" s="58"/>
      <c r="I16" s="58"/>
      <c r="J16" s="58"/>
      <c r="K16" s="60">
        <f>I11</f>
        <v>1.0368120745734808E-5</v>
      </c>
      <c r="L16" s="60">
        <f>I13</f>
        <v>-2.9133601654615648E-4</v>
      </c>
      <c r="M16" s="60">
        <f>(C16-$O$5)*K16 + L16</f>
        <v>1.191305250093921E-3</v>
      </c>
    </row>
    <row r="17" spans="1:13" ht="14">
      <c r="A17" s="55">
        <f t="shared" si="4"/>
        <v>92</v>
      </c>
      <c r="B17" s="55" t="s">
        <v>85</v>
      </c>
      <c r="C17" s="80">
        <v>122</v>
      </c>
      <c r="D17" s="56" t="s">
        <v>38</v>
      </c>
      <c r="E17" s="80">
        <v>18</v>
      </c>
      <c r="F17" s="80">
        <v>16</v>
      </c>
      <c r="G17" s="56"/>
      <c r="H17" s="58"/>
      <c r="I17" s="58"/>
      <c r="J17" s="58"/>
      <c r="K17" s="60">
        <f>I11</f>
        <v>1.0368120745734808E-5</v>
      </c>
      <c r="L17" s="60">
        <f>I13</f>
        <v>-2.9133601654615648E-4</v>
      </c>
      <c r="M17" s="60">
        <f>(C17-$O$5)*K17 + L17</f>
        <v>9.7357471443349007E-4</v>
      </c>
    </row>
    <row r="18" spans="1:13" ht="14">
      <c r="A18" s="55">
        <f>P4</f>
        <v>93</v>
      </c>
      <c r="B18" s="55" t="s">
        <v>86</v>
      </c>
      <c r="C18" s="80">
        <v>444</v>
      </c>
      <c r="D18" s="56" t="s">
        <v>35</v>
      </c>
      <c r="E18" s="80">
        <v>21</v>
      </c>
      <c r="F18" s="80">
        <v>21</v>
      </c>
      <c r="G18" s="57">
        <v>0</v>
      </c>
      <c r="H18" s="58"/>
      <c r="I18" s="59" t="s">
        <v>68</v>
      </c>
      <c r="J18" s="59" t="s">
        <v>68</v>
      </c>
      <c r="K18" s="60">
        <f>I19</f>
        <v>9.9445796413052721E-6</v>
      </c>
      <c r="L18" s="60">
        <f>I21</f>
        <v>-1.8119628365425439E-4</v>
      </c>
      <c r="M18" s="60">
        <f>(C18-$O$2)*K18+L18</f>
        <v>4.2341970770852864E-3</v>
      </c>
    </row>
    <row r="19" spans="1:13" ht="14">
      <c r="A19" s="55">
        <f t="shared" ref="A19:A25" si="5">A18</f>
        <v>93</v>
      </c>
      <c r="B19" s="55" t="s">
        <v>87</v>
      </c>
      <c r="C19" s="80">
        <v>472</v>
      </c>
      <c r="D19" s="56" t="s">
        <v>35</v>
      </c>
      <c r="E19" s="80">
        <v>66</v>
      </c>
      <c r="F19" s="80">
        <v>353</v>
      </c>
      <c r="G19" s="57">
        <v>5.0000000000000001E-4</v>
      </c>
      <c r="H19" s="58"/>
      <c r="I19" s="59">
        <f>SLOPE(G18:G24, E18:E24)</f>
        <v>9.9445796413052721E-6</v>
      </c>
      <c r="J19" s="59">
        <f>SLOPE(G18:G24, F18:F24)</f>
        <v>1.916601493204651E-6</v>
      </c>
      <c r="K19" s="60">
        <f>I19</f>
        <v>9.9445796413052721E-6</v>
      </c>
      <c r="L19" s="60">
        <f>I21</f>
        <v>-1.8119628365425439E-4</v>
      </c>
      <c r="M19" s="60">
        <f>(C19-$O$2)*K19+L19</f>
        <v>4.5126453070418338E-3</v>
      </c>
    </row>
    <row r="20" spans="1:13" ht="14">
      <c r="A20" s="55">
        <f t="shared" si="5"/>
        <v>93</v>
      </c>
      <c r="B20" s="55" t="s">
        <v>88</v>
      </c>
      <c r="C20" s="80">
        <v>211</v>
      </c>
      <c r="D20" s="56" t="s">
        <v>36</v>
      </c>
      <c r="E20" s="80">
        <v>123</v>
      </c>
      <c r="F20" s="80">
        <v>589</v>
      </c>
      <c r="G20" s="57">
        <v>1E-3</v>
      </c>
      <c r="H20" s="58"/>
      <c r="I20" s="59" t="s">
        <v>71</v>
      </c>
      <c r="J20" s="59" t="s">
        <v>71</v>
      </c>
      <c r="K20" s="60">
        <f>I19</f>
        <v>9.9445796413052721E-6</v>
      </c>
      <c r="L20" s="60">
        <f>I21</f>
        <v>-1.8119628365425439E-4</v>
      </c>
      <c r="M20" s="60">
        <f>(C20-$O$3)*K20 + L20</f>
        <v>1.9171100206611582E-3</v>
      </c>
    </row>
    <row r="21" spans="1:13" ht="14">
      <c r="A21" s="55">
        <f t="shared" si="5"/>
        <v>93</v>
      </c>
      <c r="B21" s="55" t="s">
        <v>89</v>
      </c>
      <c r="C21" s="80">
        <v>219</v>
      </c>
      <c r="D21" s="56" t="s">
        <v>36</v>
      </c>
      <c r="E21" s="80">
        <v>214</v>
      </c>
      <c r="F21" s="80">
        <v>1207</v>
      </c>
      <c r="G21" s="57">
        <v>2E-3</v>
      </c>
      <c r="H21" s="58"/>
      <c r="I21" s="59">
        <f>INTERCEPT(G18:G24, E18:E24)</f>
        <v>-1.8119628365425439E-4</v>
      </c>
      <c r="J21" s="59">
        <f>INTERCEPT(G18:G24, F18:F24)</f>
        <v>-3.333135446750117E-4</v>
      </c>
      <c r="K21" s="60">
        <f>I19</f>
        <v>9.9445796413052721E-6</v>
      </c>
      <c r="L21" s="60">
        <f>I21</f>
        <v>-1.8119628365425439E-4</v>
      </c>
      <c r="M21" s="60">
        <f>(C21-$O$3)*K21+ L21</f>
        <v>1.9966666577916001E-3</v>
      </c>
    </row>
    <row r="22" spans="1:13" ht="14">
      <c r="A22" s="55">
        <f t="shared" si="5"/>
        <v>93</v>
      </c>
      <c r="B22" s="55" t="s">
        <v>90</v>
      </c>
      <c r="C22" s="80">
        <v>1586</v>
      </c>
      <c r="D22" s="56" t="s">
        <v>37</v>
      </c>
      <c r="E22" s="80">
        <v>541</v>
      </c>
      <c r="F22" s="80">
        <v>3360</v>
      </c>
      <c r="G22" s="57">
        <v>5.0000000000000001E-3</v>
      </c>
      <c r="H22" s="58"/>
      <c r="I22" s="59" t="s">
        <v>74</v>
      </c>
      <c r="J22" s="59" t="s">
        <v>74</v>
      </c>
      <c r="K22" s="60">
        <f>J19</f>
        <v>1.916601493204651E-6</v>
      </c>
      <c r="L22" s="60">
        <f>J21</f>
        <v>-3.333135446750117E-4</v>
      </c>
      <c r="M22" s="60">
        <f>(C22-$O$4)*K22 + L22</f>
        <v>2.0820834871361498E-3</v>
      </c>
    </row>
    <row r="23" spans="1:13" ht="14">
      <c r="A23" s="55">
        <f t="shared" si="5"/>
        <v>93</v>
      </c>
      <c r="B23" s="55" t="s">
        <v>91</v>
      </c>
      <c r="C23" s="80">
        <v>1608</v>
      </c>
      <c r="D23" s="56" t="s">
        <v>37</v>
      </c>
      <c r="E23" s="80">
        <v>996</v>
      </c>
      <c r="F23" s="80">
        <v>5289</v>
      </c>
      <c r="G23" s="57">
        <v>0.01</v>
      </c>
      <c r="H23" s="58"/>
      <c r="I23" s="61">
        <f>RSQ(G18:G24, E18:E24)</f>
        <v>0.99959417559361885</v>
      </c>
      <c r="J23" s="61">
        <f>RSQ(G18:G24, F18:F24)</f>
        <v>0.99538111834840748</v>
      </c>
      <c r="K23" s="60">
        <f>J19</f>
        <v>1.916601493204651E-6</v>
      </c>
      <c r="L23" s="60">
        <f>J21</f>
        <v>-3.333135446750117E-4</v>
      </c>
      <c r="M23" s="60">
        <f>(C23-$O$4)*K23 + L23</f>
        <v>2.1242487199866519E-3</v>
      </c>
    </row>
    <row r="24" spans="1:13" ht="14">
      <c r="A24" s="55">
        <f t="shared" si="5"/>
        <v>93</v>
      </c>
      <c r="B24" s="55" t="s">
        <v>92</v>
      </c>
      <c r="C24" s="80">
        <v>159</v>
      </c>
      <c r="D24" s="56" t="s">
        <v>38</v>
      </c>
      <c r="E24" s="80">
        <v>2038</v>
      </c>
      <c r="F24" s="80">
        <v>10486</v>
      </c>
      <c r="G24" s="57">
        <v>0.02</v>
      </c>
      <c r="H24" s="58"/>
      <c r="I24" s="58"/>
      <c r="J24" s="58"/>
      <c r="K24" s="60">
        <f>I19</f>
        <v>9.9445796413052721E-6</v>
      </c>
      <c r="L24" s="60">
        <f>I21</f>
        <v>-1.8119628365425439E-4</v>
      </c>
      <c r="M24" s="60">
        <f>(C24-$O$5)*K24 + L24</f>
        <v>1.3999918793132838E-3</v>
      </c>
    </row>
    <row r="25" spans="1:13" ht="14">
      <c r="A25" s="55">
        <f t="shared" si="5"/>
        <v>93</v>
      </c>
      <c r="B25" s="55" t="s">
        <v>93</v>
      </c>
      <c r="C25" s="80">
        <v>128</v>
      </c>
      <c r="D25" s="56" t="s">
        <v>38</v>
      </c>
      <c r="E25" s="80">
        <v>15</v>
      </c>
      <c r="F25" s="80">
        <v>16</v>
      </c>
      <c r="G25" s="56"/>
      <c r="H25" s="58"/>
      <c r="I25" s="58"/>
      <c r="J25" s="58"/>
      <c r="K25" s="60">
        <f>I19</f>
        <v>9.9445796413052721E-6</v>
      </c>
      <c r="L25" s="60">
        <f>I21</f>
        <v>-1.8119628365425439E-4</v>
      </c>
      <c r="M25" s="60">
        <f>(C25-$O$5)*K25 + L25</f>
        <v>1.0917099104328204E-3</v>
      </c>
    </row>
    <row r="26" spans="1:13" ht="14">
      <c r="A26" s="55">
        <f>P5</f>
        <v>95</v>
      </c>
      <c r="B26" s="55" t="s">
        <v>94</v>
      </c>
      <c r="C26" s="80">
        <v>430</v>
      </c>
      <c r="D26" s="56" t="s">
        <v>35</v>
      </c>
      <c r="E26" s="80">
        <v>20</v>
      </c>
      <c r="F26" s="80">
        <v>22</v>
      </c>
      <c r="G26" s="57">
        <v>0</v>
      </c>
      <c r="H26" s="58"/>
      <c r="I26" s="59" t="s">
        <v>68</v>
      </c>
      <c r="J26" s="59" t="s">
        <v>68</v>
      </c>
      <c r="K26" s="60">
        <f>I27</f>
        <v>9.5275583042187187E-6</v>
      </c>
      <c r="L26" s="60">
        <f>I29</f>
        <v>-7.770484724118655E-5</v>
      </c>
      <c r="M26" s="60">
        <f>(C26-$O$2)*K26+L26</f>
        <v>4.0191452235728625E-3</v>
      </c>
    </row>
    <row r="27" spans="1:13" ht="14">
      <c r="A27" s="55">
        <f t="shared" ref="A27:A33" si="6">A26</f>
        <v>95</v>
      </c>
      <c r="B27" s="55" t="s">
        <v>95</v>
      </c>
      <c r="C27" s="80">
        <v>432</v>
      </c>
      <c r="D27" s="56" t="s">
        <v>35</v>
      </c>
      <c r="E27" s="80">
        <v>71</v>
      </c>
      <c r="F27" s="80">
        <v>290</v>
      </c>
      <c r="G27" s="57">
        <v>5.0000000000000001E-4</v>
      </c>
      <c r="H27" s="58"/>
      <c r="I27" s="59">
        <f>SLOPE(G26:G32, E26:E32)</f>
        <v>9.5275583042187187E-6</v>
      </c>
      <c r="J27" s="59">
        <f>SLOPE(G26:G32, F26:F32)</f>
        <v>1.670778694971728E-6</v>
      </c>
      <c r="K27" s="60">
        <f>I27</f>
        <v>9.5275583042187187E-6</v>
      </c>
      <c r="L27" s="60">
        <f>I29</f>
        <v>-7.770484724118655E-5</v>
      </c>
      <c r="M27" s="60">
        <f>(C27-$O$2)*K27+L27</f>
        <v>4.0382003401813003E-3</v>
      </c>
    </row>
    <row r="28" spans="1:13" ht="14">
      <c r="A28" s="55">
        <f t="shared" si="6"/>
        <v>95</v>
      </c>
      <c r="B28" s="55" t="s">
        <v>96</v>
      </c>
      <c r="C28" s="80">
        <v>220</v>
      </c>
      <c r="D28" s="56" t="s">
        <v>36</v>
      </c>
      <c r="E28" s="80">
        <v>124</v>
      </c>
      <c r="F28" s="80">
        <v>571</v>
      </c>
      <c r="G28" s="57">
        <v>1E-3</v>
      </c>
      <c r="H28" s="58"/>
      <c r="I28" s="59" t="s">
        <v>71</v>
      </c>
      <c r="J28" s="59" t="s">
        <v>71</v>
      </c>
      <c r="K28" s="60">
        <f>I27</f>
        <v>9.5275583042187187E-6</v>
      </c>
      <c r="L28" s="60">
        <f>I29</f>
        <v>-7.770484724118655E-5</v>
      </c>
      <c r="M28" s="60">
        <f>(C28-$O$3)*K28 + L28</f>
        <v>2.0183579796869315E-3</v>
      </c>
    </row>
    <row r="29" spans="1:13" ht="14">
      <c r="A29" s="55">
        <f t="shared" si="6"/>
        <v>95</v>
      </c>
      <c r="B29" s="55" t="s">
        <v>97</v>
      </c>
      <c r="C29" s="80">
        <v>228</v>
      </c>
      <c r="D29" s="56" t="s">
        <v>36</v>
      </c>
      <c r="E29" s="80">
        <v>216</v>
      </c>
      <c r="F29" s="80">
        <v>1175</v>
      </c>
      <c r="G29" s="57">
        <v>2E-3</v>
      </c>
      <c r="H29" s="58"/>
      <c r="I29" s="59">
        <f>INTERCEPT(G26:G32, E26:E32)</f>
        <v>-7.770484724118655E-5</v>
      </c>
      <c r="J29" s="59">
        <f>INTERCEPT(G26:G32, F26:F32)</f>
        <v>1.0386218058273944E-4</v>
      </c>
      <c r="K29" s="60">
        <f>I27</f>
        <v>9.5275583042187187E-6</v>
      </c>
      <c r="L29" s="60">
        <f>I29</f>
        <v>-7.770484724118655E-5</v>
      </c>
      <c r="M29" s="60">
        <f>(C29-$O$3)*K29+ L29</f>
        <v>2.0945784461206813E-3</v>
      </c>
    </row>
    <row r="30" spans="1:13" ht="14">
      <c r="A30" s="55">
        <f t="shared" si="6"/>
        <v>95</v>
      </c>
      <c r="B30" s="55" t="s">
        <v>98</v>
      </c>
      <c r="C30" s="80">
        <v>1652</v>
      </c>
      <c r="D30" s="56" t="s">
        <v>37</v>
      </c>
      <c r="E30" s="80">
        <v>527</v>
      </c>
      <c r="F30" s="80">
        <v>2718</v>
      </c>
      <c r="G30" s="57">
        <v>5.0000000000000001E-3</v>
      </c>
      <c r="H30" s="58"/>
      <c r="I30" s="59" t="s">
        <v>74</v>
      </c>
      <c r="J30" s="59" t="s">
        <v>74</v>
      </c>
      <c r="K30" s="60">
        <f>J27</f>
        <v>1.670778694971728E-6</v>
      </c>
      <c r="L30" s="60">
        <f>J29</f>
        <v>1.0386218058273944E-4</v>
      </c>
      <c r="M30" s="60">
        <f>(C30-$O$4)*K30 + L30</f>
        <v>2.3197324247889936E-3</v>
      </c>
    </row>
    <row r="31" spans="1:13" ht="14">
      <c r="A31" s="55">
        <f t="shared" si="6"/>
        <v>95</v>
      </c>
      <c r="B31" s="55" t="s">
        <v>99</v>
      </c>
      <c r="C31" s="80">
        <v>1652</v>
      </c>
      <c r="D31" s="56" t="s">
        <v>37</v>
      </c>
      <c r="E31" s="80">
        <v>1009</v>
      </c>
      <c r="F31" s="80">
        <v>5844</v>
      </c>
      <c r="G31" s="57">
        <v>0.01</v>
      </c>
      <c r="H31" s="58"/>
      <c r="I31" s="61">
        <f>RSQ(G26:G32, E26:E32)</f>
        <v>0.99904749910563451</v>
      </c>
      <c r="J31" s="61">
        <f>RSQ(G26:G32, F26:F32)</f>
        <v>0.99938270246924277</v>
      </c>
      <c r="K31" s="60">
        <f>J27</f>
        <v>1.670778694971728E-6</v>
      </c>
      <c r="L31" s="60">
        <f>J29</f>
        <v>1.0386218058273944E-4</v>
      </c>
      <c r="M31" s="60">
        <f>(C31-$O$4)*K31 + L31</f>
        <v>2.3197324247889936E-3</v>
      </c>
    </row>
    <row r="32" spans="1:13" ht="14">
      <c r="A32" s="55">
        <f t="shared" si="6"/>
        <v>95</v>
      </c>
      <c r="B32" s="55" t="s">
        <v>100</v>
      </c>
      <c r="C32" s="80">
        <v>134</v>
      </c>
      <c r="D32" s="56" t="s">
        <v>38</v>
      </c>
      <c r="E32" s="80">
        <v>2131</v>
      </c>
      <c r="F32" s="80">
        <v>11988</v>
      </c>
      <c r="G32" s="57">
        <v>0.02</v>
      </c>
      <c r="H32" s="58"/>
      <c r="I32" s="58"/>
      <c r="J32" s="58"/>
      <c r="K32" s="60">
        <f>I27</f>
        <v>9.5275583042187187E-6</v>
      </c>
      <c r="L32" s="60">
        <f>I29</f>
        <v>-7.770484724118655E-5</v>
      </c>
      <c r="M32" s="60">
        <f>(C32-$O$5)*K32 + L32</f>
        <v>1.1989879655241217E-3</v>
      </c>
    </row>
    <row r="33" spans="1:26" ht="14">
      <c r="A33" s="55">
        <f t="shared" si="6"/>
        <v>95</v>
      </c>
      <c r="B33" s="55" t="s">
        <v>101</v>
      </c>
      <c r="C33" s="80">
        <v>134</v>
      </c>
      <c r="D33" s="56" t="s">
        <v>38</v>
      </c>
      <c r="E33" s="80">
        <v>17</v>
      </c>
      <c r="F33" s="80">
        <v>16</v>
      </c>
      <c r="G33" s="56"/>
      <c r="H33" s="58"/>
      <c r="I33" s="58"/>
      <c r="J33" s="58"/>
      <c r="K33" s="60">
        <f>I27</f>
        <v>9.5275583042187187E-6</v>
      </c>
      <c r="L33" s="60">
        <f>I29</f>
        <v>-7.770484724118655E-5</v>
      </c>
      <c r="M33" s="60">
        <f>(C33-$O$5)*K33 + L33</f>
        <v>1.1989879655241217E-3</v>
      </c>
    </row>
    <row r="34" spans="1:26" ht="14">
      <c r="A34" s="55">
        <f>P6</f>
        <v>96</v>
      </c>
      <c r="B34" s="55" t="s">
        <v>102</v>
      </c>
      <c r="C34" s="80">
        <v>423</v>
      </c>
      <c r="D34" s="56" t="s">
        <v>35</v>
      </c>
      <c r="E34" s="80">
        <v>19</v>
      </c>
      <c r="F34" s="80">
        <v>25</v>
      </c>
      <c r="G34" s="57">
        <v>0</v>
      </c>
      <c r="H34" s="58"/>
      <c r="I34" s="59" t="s">
        <v>68</v>
      </c>
      <c r="J34" s="59" t="s">
        <v>68</v>
      </c>
      <c r="K34" s="60">
        <f>I35</f>
        <v>9.4878435223010966E-6</v>
      </c>
      <c r="L34" s="60">
        <f>I37</f>
        <v>-2.550547993843506E-4</v>
      </c>
      <c r="M34" s="60">
        <f>(C34-$O$2)*K34+L34</f>
        <v>3.7583030105490132E-3</v>
      </c>
      <c r="P34" s="58"/>
      <c r="Q34" s="58"/>
      <c r="R34" s="58"/>
      <c r="S34" s="58"/>
      <c r="U34" s="58"/>
      <c r="V34" s="58"/>
      <c r="W34" s="58"/>
      <c r="X34" s="58"/>
      <c r="Y34" s="58"/>
      <c r="Z34" s="58"/>
    </row>
    <row r="35" spans="1:26" ht="14">
      <c r="A35" s="55">
        <f t="shared" ref="A35:A41" si="7">A34</f>
        <v>96</v>
      </c>
      <c r="B35" s="55" t="s">
        <v>103</v>
      </c>
      <c r="C35" s="80">
        <v>439</v>
      </c>
      <c r="D35" s="56" t="s">
        <v>35</v>
      </c>
      <c r="E35" s="80">
        <v>70</v>
      </c>
      <c r="F35" s="80">
        <v>290</v>
      </c>
      <c r="G35" s="57">
        <v>5.0000000000000001E-4</v>
      </c>
      <c r="H35" s="58"/>
      <c r="I35" s="59">
        <f>SLOPE(G34:G40, E34:E40)</f>
        <v>9.4878435223010966E-6</v>
      </c>
      <c r="J35" s="59">
        <f>SLOPE(G34:G40, F34:F40)</f>
        <v>1.7510954289097326E-6</v>
      </c>
      <c r="K35" s="60">
        <f>I35</f>
        <v>9.4878435223010966E-6</v>
      </c>
      <c r="L35" s="60">
        <f>I37</f>
        <v>-2.550547993843506E-4</v>
      </c>
      <c r="M35" s="60">
        <f>(C35-$O$2)*K35+L35</f>
        <v>3.9101085069058305E-3</v>
      </c>
    </row>
    <row r="36" spans="1:26" ht="14">
      <c r="A36" s="55">
        <f t="shared" si="7"/>
        <v>96</v>
      </c>
      <c r="B36" s="55" t="s">
        <v>104</v>
      </c>
      <c r="C36" s="80">
        <v>237</v>
      </c>
      <c r="D36" s="56" t="s">
        <v>36</v>
      </c>
      <c r="E36" s="80">
        <v>130</v>
      </c>
      <c r="F36" s="80">
        <v>591</v>
      </c>
      <c r="G36" s="57">
        <v>1E-3</v>
      </c>
      <c r="H36" s="58"/>
      <c r="I36" s="59" t="s">
        <v>71</v>
      </c>
      <c r="J36" s="59" t="s">
        <v>71</v>
      </c>
      <c r="K36" s="60">
        <f>I35</f>
        <v>9.4878435223010966E-6</v>
      </c>
      <c r="L36" s="60">
        <f>I37</f>
        <v>-2.550547993843506E-4</v>
      </c>
      <c r="M36" s="60">
        <f>(C36-$O$3)*K36 + L36</f>
        <v>1.9935641154010092E-3</v>
      </c>
    </row>
    <row r="37" spans="1:26" ht="14">
      <c r="A37" s="55">
        <f t="shared" si="7"/>
        <v>96</v>
      </c>
      <c r="B37" s="55" t="s">
        <v>105</v>
      </c>
      <c r="C37" s="80">
        <v>236</v>
      </c>
      <c r="D37" s="56" t="s">
        <v>36</v>
      </c>
      <c r="E37" s="80">
        <v>215</v>
      </c>
      <c r="F37" s="80">
        <v>1211</v>
      </c>
      <c r="G37" s="57">
        <v>2E-3</v>
      </c>
      <c r="H37" s="58"/>
      <c r="I37" s="59">
        <f>INTERCEPT(G34:G40, E34:E40)</f>
        <v>-2.550547993843506E-4</v>
      </c>
      <c r="J37" s="59">
        <f>INTERCEPT(G34:G40, F34:F40)</f>
        <v>-3.3711711844599396E-5</v>
      </c>
      <c r="K37" s="60">
        <f>I35</f>
        <v>9.4878435223010966E-6</v>
      </c>
      <c r="L37" s="60">
        <f>I37</f>
        <v>-2.550547993843506E-4</v>
      </c>
      <c r="M37" s="60">
        <f>(C37-$O$3)*K37+ L37</f>
        <v>1.9840762718787083E-3</v>
      </c>
    </row>
    <row r="38" spans="1:26" ht="14">
      <c r="A38" s="55">
        <f t="shared" si="7"/>
        <v>96</v>
      </c>
      <c r="B38" s="55" t="s">
        <v>106</v>
      </c>
      <c r="C38" s="80">
        <v>1684</v>
      </c>
      <c r="D38" s="56" t="s">
        <v>37</v>
      </c>
      <c r="E38" s="80">
        <v>621</v>
      </c>
      <c r="F38" s="80">
        <v>3306</v>
      </c>
      <c r="G38" s="57">
        <v>5.0000000000000001E-3</v>
      </c>
      <c r="H38" s="58"/>
      <c r="I38" s="59" t="s">
        <v>74</v>
      </c>
      <c r="J38" s="59" t="s">
        <v>74</v>
      </c>
      <c r="K38" s="60">
        <f>J35</f>
        <v>1.7510954289097326E-6</v>
      </c>
      <c r="L38" s="60">
        <f>J37</f>
        <v>-3.3711711844599396E-5</v>
      </c>
      <c r="M38" s="60">
        <f>(C38-$O$4)*K38 + L38</f>
        <v>2.3447136544720451E-3</v>
      </c>
    </row>
    <row r="39" spans="1:26" ht="14">
      <c r="A39" s="55">
        <f t="shared" si="7"/>
        <v>96</v>
      </c>
      <c r="B39" s="55" t="s">
        <v>107</v>
      </c>
      <c r="C39" s="80">
        <v>1696</v>
      </c>
      <c r="D39" s="56" t="s">
        <v>37</v>
      </c>
      <c r="E39" s="80">
        <v>1065</v>
      </c>
      <c r="F39" s="80">
        <v>5113</v>
      </c>
      <c r="G39" s="57">
        <v>0.01</v>
      </c>
      <c r="H39" s="58"/>
      <c r="I39" s="61">
        <f>RSQ(G34:G40, E34:E40)</f>
        <v>0.99844286134055216</v>
      </c>
      <c r="J39" s="61">
        <f>RSQ(G34:G40, F34:F40)</f>
        <v>0.99431706768256656</v>
      </c>
      <c r="K39" s="60">
        <f>J35</f>
        <v>1.7510954289097326E-6</v>
      </c>
      <c r="L39" s="60">
        <f>J37</f>
        <v>-3.3711711844599396E-5</v>
      </c>
      <c r="M39" s="60">
        <f>(C39-$O$4)*K39 + L39</f>
        <v>2.3657267996189616E-3</v>
      </c>
    </row>
    <row r="40" spans="1:26" ht="14">
      <c r="A40" s="55">
        <f t="shared" si="7"/>
        <v>96</v>
      </c>
      <c r="B40" s="55" t="s">
        <v>108</v>
      </c>
      <c r="C40" s="80">
        <v>139</v>
      </c>
      <c r="D40" s="56" t="s">
        <v>38</v>
      </c>
      <c r="E40" s="80">
        <v>2126</v>
      </c>
      <c r="F40" s="80">
        <v>11585</v>
      </c>
      <c r="G40" s="57">
        <v>0.02</v>
      </c>
      <c r="H40" s="58"/>
      <c r="I40" s="58"/>
      <c r="J40" s="58"/>
      <c r="K40" s="60">
        <f>I35</f>
        <v>9.4878435223010966E-6</v>
      </c>
      <c r="L40" s="60">
        <f>I37</f>
        <v>-2.550547993843506E-4</v>
      </c>
      <c r="M40" s="60">
        <f>(C40-$O$5)*K40 + L40</f>
        <v>1.0637554502155018E-3</v>
      </c>
    </row>
    <row r="41" spans="1:26" ht="14">
      <c r="A41" s="55">
        <f t="shared" si="7"/>
        <v>96</v>
      </c>
      <c r="B41" s="55" t="s">
        <v>109</v>
      </c>
      <c r="C41" s="80">
        <v>132</v>
      </c>
      <c r="D41" s="56" t="s">
        <v>38</v>
      </c>
      <c r="E41" s="80">
        <v>15</v>
      </c>
      <c r="F41" s="80">
        <v>17</v>
      </c>
      <c r="G41" s="56"/>
      <c r="H41" s="58"/>
      <c r="I41" s="58"/>
      <c r="J41" s="58"/>
      <c r="K41" s="60">
        <f>I35</f>
        <v>9.4878435223010966E-6</v>
      </c>
      <c r="L41" s="60">
        <f>I37</f>
        <v>-2.550547993843506E-4</v>
      </c>
      <c r="M41" s="60">
        <f>(C41-$O$5)*K41 + L41</f>
        <v>9.9734054555939409E-4</v>
      </c>
    </row>
    <row r="42" spans="1:26" ht="14">
      <c r="A42" s="55">
        <f>P7</f>
        <v>97</v>
      </c>
      <c r="B42" s="55" t="s">
        <v>110</v>
      </c>
      <c r="C42" s="80">
        <v>443</v>
      </c>
      <c r="D42" s="56" t="s">
        <v>35</v>
      </c>
      <c r="E42" s="80">
        <v>25</v>
      </c>
      <c r="F42" s="80">
        <v>20</v>
      </c>
      <c r="G42" s="57">
        <v>0</v>
      </c>
      <c r="H42" s="58"/>
      <c r="I42" s="62" t="s">
        <v>68</v>
      </c>
      <c r="J42" s="62" t="s">
        <v>68</v>
      </c>
      <c r="K42" s="60">
        <f>I43</f>
        <v>9.3764962252248035E-6</v>
      </c>
      <c r="L42" s="60">
        <f>I45</f>
        <v>-2.0492820331891905E-4</v>
      </c>
      <c r="M42" s="60">
        <f>(C42-$O$2)*K42+L42</f>
        <v>3.9488596244556685E-3</v>
      </c>
    </row>
    <row r="43" spans="1:26" ht="14">
      <c r="A43" s="55">
        <f t="shared" ref="A43:A49" si="8">A42</f>
        <v>97</v>
      </c>
      <c r="B43" s="55" t="s">
        <v>111</v>
      </c>
      <c r="C43" s="80">
        <v>450</v>
      </c>
      <c r="D43" s="56" t="s">
        <v>35</v>
      </c>
      <c r="E43" s="80">
        <v>72</v>
      </c>
      <c r="F43" s="80">
        <v>278</v>
      </c>
      <c r="G43" s="57">
        <v>5.0000000000000001E-4</v>
      </c>
      <c r="H43" s="58"/>
      <c r="I43" s="58">
        <f>SLOPE(G42:G48, E42:E48)</f>
        <v>9.3764962252248035E-6</v>
      </c>
      <c r="J43" s="58">
        <f>SLOPE(G42:G48, F42:F48)</f>
        <v>1.6641958967945298E-6</v>
      </c>
      <c r="K43" s="60">
        <f>I43</f>
        <v>9.3764962252248035E-6</v>
      </c>
      <c r="L43" s="60">
        <f>I45</f>
        <v>-2.0492820331891905E-4</v>
      </c>
      <c r="M43" s="60">
        <f>(C43-$O$2)*K43+L43</f>
        <v>4.0144950980322428E-3</v>
      </c>
    </row>
    <row r="44" spans="1:26" ht="14">
      <c r="A44" s="55">
        <f t="shared" si="8"/>
        <v>97</v>
      </c>
      <c r="B44" s="55" t="s">
        <v>112</v>
      </c>
      <c r="C44" s="80">
        <v>214</v>
      </c>
      <c r="D44" s="56" t="s">
        <v>36</v>
      </c>
      <c r="E44" s="80">
        <v>124</v>
      </c>
      <c r="F44" s="80">
        <v>583</v>
      </c>
      <c r="G44" s="57">
        <v>1E-3</v>
      </c>
      <c r="H44" s="58"/>
      <c r="I44" s="62" t="s">
        <v>71</v>
      </c>
      <c r="J44" s="62" t="s">
        <v>71</v>
      </c>
      <c r="K44" s="60">
        <f>I43</f>
        <v>9.3764962252248035E-6</v>
      </c>
      <c r="L44" s="60">
        <f>I45</f>
        <v>-2.0492820331891905E-4</v>
      </c>
      <c r="M44" s="60">
        <f>(C44-$O$3)*K44 + L44</f>
        <v>1.8016419888791887E-3</v>
      </c>
    </row>
    <row r="45" spans="1:26" ht="14">
      <c r="A45" s="55">
        <f t="shared" si="8"/>
        <v>97</v>
      </c>
      <c r="B45" s="55" t="s">
        <v>113</v>
      </c>
      <c r="C45" s="80">
        <v>227</v>
      </c>
      <c r="D45" s="56" t="s">
        <v>36</v>
      </c>
      <c r="E45" s="80">
        <v>228</v>
      </c>
      <c r="F45" s="80">
        <v>1038</v>
      </c>
      <c r="G45" s="57">
        <v>2E-3</v>
      </c>
      <c r="H45" s="58"/>
      <c r="I45" s="58">
        <f>INTERCEPT(G42:G48, E42:E48)</f>
        <v>-2.0492820331891905E-4</v>
      </c>
      <c r="J45" s="58">
        <f>INTERCEPT(G42:G48, F42:F48)</f>
        <v>5.7366190668975935E-5</v>
      </c>
      <c r="K45" s="60">
        <f>I43</f>
        <v>9.3764962252248035E-6</v>
      </c>
      <c r="L45" s="60">
        <f>I45</f>
        <v>-2.0492820331891905E-4</v>
      </c>
      <c r="M45" s="60">
        <f>(C45-$O$3)*K45+ L45</f>
        <v>1.9235364398071113E-3</v>
      </c>
    </row>
    <row r="46" spans="1:26" ht="14">
      <c r="A46" s="55">
        <f t="shared" si="8"/>
        <v>97</v>
      </c>
      <c r="B46" s="55" t="s">
        <v>114</v>
      </c>
      <c r="C46" s="80">
        <v>1622</v>
      </c>
      <c r="D46" s="56" t="s">
        <v>37</v>
      </c>
      <c r="E46" s="80">
        <v>615</v>
      </c>
      <c r="F46" s="80">
        <v>3538</v>
      </c>
      <c r="G46" s="57">
        <v>5.0000000000000001E-3</v>
      </c>
      <c r="H46" s="58"/>
      <c r="I46" s="62" t="s">
        <v>74</v>
      </c>
      <c r="J46" s="62" t="s">
        <v>74</v>
      </c>
      <c r="K46" s="60">
        <f>J43</f>
        <v>1.6641958967945298E-6</v>
      </c>
      <c r="L46" s="60">
        <f>J45</f>
        <v>5.7366190668975935E-5</v>
      </c>
      <c r="M46" s="60">
        <f>(C46-$O$4)*K46 + L46</f>
        <v>2.2145801218888851E-3</v>
      </c>
    </row>
    <row r="47" spans="1:26" ht="14">
      <c r="A47" s="55">
        <f t="shared" si="8"/>
        <v>97</v>
      </c>
      <c r="B47" s="55" t="s">
        <v>115</v>
      </c>
      <c r="C47" s="80">
        <v>1608</v>
      </c>
      <c r="D47" s="56" t="s">
        <v>37</v>
      </c>
      <c r="E47" s="80">
        <v>1027</v>
      </c>
      <c r="F47" s="80">
        <v>5322</v>
      </c>
      <c r="G47" s="57">
        <v>0.01</v>
      </c>
      <c r="H47" s="58"/>
      <c r="I47" s="61">
        <f>RSQ(G42:G48, E42:E48)</f>
        <v>0.99789765870748037</v>
      </c>
      <c r="J47" s="61">
        <f>RSQ(G42:G48, F42:F48)</f>
        <v>0.99316964325609181</v>
      </c>
      <c r="K47" s="60">
        <f>J43</f>
        <v>1.6641958967945298E-6</v>
      </c>
      <c r="L47" s="60">
        <f>J45</f>
        <v>5.7366190668975935E-5</v>
      </c>
      <c r="M47" s="60">
        <f>(C47-$O$4)*K47 + L47</f>
        <v>2.1912813793337617E-3</v>
      </c>
    </row>
    <row r="48" spans="1:26" ht="14">
      <c r="A48" s="55">
        <f t="shared" si="8"/>
        <v>97</v>
      </c>
      <c r="B48" s="55" t="s">
        <v>116</v>
      </c>
      <c r="C48" s="80">
        <v>138</v>
      </c>
      <c r="D48" s="56" t="s">
        <v>38</v>
      </c>
      <c r="E48" s="80">
        <v>2168</v>
      </c>
      <c r="F48" s="80">
        <v>12114</v>
      </c>
      <c r="G48" s="57">
        <v>0.02</v>
      </c>
      <c r="H48" s="58"/>
      <c r="I48" s="58"/>
      <c r="J48" s="58"/>
      <c r="K48" s="60">
        <f>I43</f>
        <v>9.3764962252248035E-6</v>
      </c>
      <c r="L48" s="60">
        <f>I45</f>
        <v>-2.0492820331891905E-4</v>
      </c>
      <c r="M48" s="60">
        <f>(C48-$O$5)*K48 + L48</f>
        <v>1.0890282757621038E-3</v>
      </c>
    </row>
    <row r="49" spans="1:13" ht="14">
      <c r="A49" s="55">
        <f t="shared" si="8"/>
        <v>97</v>
      </c>
      <c r="B49" s="55" t="s">
        <v>117</v>
      </c>
      <c r="C49" s="80">
        <v>112</v>
      </c>
      <c r="D49" s="56" t="s">
        <v>38</v>
      </c>
      <c r="E49" s="80">
        <v>17</v>
      </c>
      <c r="F49" s="80">
        <v>17</v>
      </c>
      <c r="G49" s="56"/>
      <c r="H49" s="58"/>
      <c r="I49" s="58"/>
      <c r="J49" s="58"/>
      <c r="K49" s="60">
        <f>I43</f>
        <v>9.3764962252248035E-6</v>
      </c>
      <c r="L49" s="60">
        <f>I45</f>
        <v>-2.0492820331891905E-4</v>
      </c>
      <c r="M49" s="60">
        <f>(C49-$O$5)*K49 + L49</f>
        <v>8.4523937390625905E-4</v>
      </c>
    </row>
    <row r="50" spans="1:13" ht="14">
      <c r="A50" s="55">
        <f>P8</f>
        <v>98</v>
      </c>
      <c r="B50" s="55" t="s">
        <v>118</v>
      </c>
      <c r="C50" s="80">
        <v>404</v>
      </c>
      <c r="D50" s="56" t="s">
        <v>35</v>
      </c>
      <c r="E50" s="80">
        <v>22</v>
      </c>
      <c r="F50" s="80">
        <v>25</v>
      </c>
      <c r="G50" s="57">
        <v>0</v>
      </c>
      <c r="H50" s="58"/>
      <c r="I50" s="62" t="s">
        <v>68</v>
      </c>
      <c r="J50" s="62" t="s">
        <v>68</v>
      </c>
      <c r="K50" s="60">
        <f>I51</f>
        <v>8.7022206190153142E-6</v>
      </c>
      <c r="L50" s="60">
        <f>I53</f>
        <v>-5.5746278054205275E-5</v>
      </c>
      <c r="M50" s="60">
        <f>(C50-$O$2)*K50+L50</f>
        <v>3.4599508520279819E-3</v>
      </c>
    </row>
    <row r="51" spans="1:13" ht="14">
      <c r="A51" s="55">
        <f t="shared" ref="A51:A57" si="9">A50</f>
        <v>98</v>
      </c>
      <c r="B51" s="55" t="s">
        <v>119</v>
      </c>
      <c r="C51" s="80">
        <v>439</v>
      </c>
      <c r="D51" s="56" t="s">
        <v>35</v>
      </c>
      <c r="E51" s="80">
        <v>68</v>
      </c>
      <c r="F51" s="80">
        <v>334</v>
      </c>
      <c r="G51" s="57">
        <v>5.0000000000000001E-4</v>
      </c>
      <c r="H51" s="58"/>
      <c r="I51" s="58">
        <f>SLOPE(G50:G56, E50:E56)</f>
        <v>8.7022206190153142E-6</v>
      </c>
      <c r="J51" s="58">
        <f>SLOPE(G50:G56, F50:F56)</f>
        <v>1.8570786501677475E-6</v>
      </c>
      <c r="K51" s="60">
        <f>I51</f>
        <v>8.7022206190153142E-6</v>
      </c>
      <c r="L51" s="60">
        <f>I53</f>
        <v>-5.5746278054205275E-5</v>
      </c>
      <c r="M51" s="60">
        <f>(C51-$O$2)*K51+L51</f>
        <v>3.7645285736935177E-3</v>
      </c>
    </row>
    <row r="52" spans="1:13" ht="14">
      <c r="A52" s="55">
        <f t="shared" si="9"/>
        <v>98</v>
      </c>
      <c r="B52" s="55" t="s">
        <v>120</v>
      </c>
      <c r="C52" s="80">
        <v>193</v>
      </c>
      <c r="D52" s="56" t="s">
        <v>36</v>
      </c>
      <c r="E52" s="80">
        <v>127</v>
      </c>
      <c r="F52" s="80">
        <v>910</v>
      </c>
      <c r="G52" s="57">
        <v>1E-3</v>
      </c>
      <c r="H52" s="58"/>
      <c r="I52" s="62" t="s">
        <v>71</v>
      </c>
      <c r="J52" s="62" t="s">
        <v>71</v>
      </c>
      <c r="K52" s="60">
        <f>I51</f>
        <v>8.7022206190153142E-6</v>
      </c>
      <c r="L52" s="60">
        <f>I53</f>
        <v>-5.5746278054205275E-5</v>
      </c>
      <c r="M52" s="60">
        <f>(C52-$O$3)*K52 + L52</f>
        <v>1.6237823014157503E-3</v>
      </c>
    </row>
    <row r="53" spans="1:13" ht="14">
      <c r="A53" s="55">
        <f t="shared" si="9"/>
        <v>98</v>
      </c>
      <c r="B53" s="55" t="s">
        <v>121</v>
      </c>
      <c r="C53" s="80">
        <v>209</v>
      </c>
      <c r="D53" s="56" t="s">
        <v>36</v>
      </c>
      <c r="E53" s="80">
        <v>215</v>
      </c>
      <c r="F53" s="80">
        <v>1002</v>
      </c>
      <c r="G53" s="57">
        <v>2E-3</v>
      </c>
      <c r="H53" s="58"/>
      <c r="I53" s="58">
        <f>INTERCEPT(G50:G56, E50:E56)</f>
        <v>-5.5746278054205275E-5</v>
      </c>
      <c r="J53" s="58">
        <f>INTERCEPT(G50:G56, F50:F56)</f>
        <v>2.3740357605337228E-5</v>
      </c>
      <c r="K53" s="60">
        <f>I51</f>
        <v>8.7022206190153142E-6</v>
      </c>
      <c r="L53" s="60">
        <f>I53</f>
        <v>-5.5746278054205275E-5</v>
      </c>
      <c r="M53" s="60">
        <f>(C53-$O$3)*K53+ L53</f>
        <v>1.7630178313199955E-3</v>
      </c>
    </row>
    <row r="54" spans="1:13" ht="14">
      <c r="A54" s="55">
        <f t="shared" si="9"/>
        <v>98</v>
      </c>
      <c r="B54" s="55" t="s">
        <v>122</v>
      </c>
      <c r="C54" s="80">
        <v>1613</v>
      </c>
      <c r="D54" s="56" t="s">
        <v>37</v>
      </c>
      <c r="E54" s="80">
        <v>561</v>
      </c>
      <c r="F54" s="80">
        <v>2618</v>
      </c>
      <c r="G54" s="57">
        <v>5.0000000000000001E-3</v>
      </c>
      <c r="H54" s="58"/>
      <c r="I54" s="62" t="s">
        <v>74</v>
      </c>
      <c r="J54" s="62" t="s">
        <v>74</v>
      </c>
      <c r="K54" s="60">
        <f>J51</f>
        <v>1.8570786501677475E-6</v>
      </c>
      <c r="L54" s="60">
        <f>J53</f>
        <v>2.3740357605337228E-5</v>
      </c>
      <c r="M54" s="60">
        <f>(C54-$O$4)*K54 + L54</f>
        <v>2.4142648500337701E-3</v>
      </c>
    </row>
    <row r="55" spans="1:13" ht="14">
      <c r="A55" s="55">
        <f t="shared" si="9"/>
        <v>98</v>
      </c>
      <c r="B55" s="55" t="s">
        <v>123</v>
      </c>
      <c r="C55" s="80">
        <v>1532</v>
      </c>
      <c r="D55" s="56" t="s">
        <v>37</v>
      </c>
      <c r="E55" s="80">
        <v>1175</v>
      </c>
      <c r="F55" s="80">
        <v>4737</v>
      </c>
      <c r="G55" s="57">
        <v>0.01</v>
      </c>
      <c r="H55" s="58"/>
      <c r="I55" s="61">
        <f>RSQ(G50:G56, E50:E56)</f>
        <v>0.99963514812434484</v>
      </c>
      <c r="J55" s="61">
        <f>RSQ(G50:G56, F50:F56)</f>
        <v>0.99314350544135765</v>
      </c>
      <c r="K55" s="60">
        <f>J51</f>
        <v>1.8570786501677475E-6</v>
      </c>
      <c r="L55" s="60">
        <f>J53</f>
        <v>2.3740357605337228E-5</v>
      </c>
      <c r="M55" s="60">
        <f>(C55-$O$4)*K55 + L55</f>
        <v>2.2638414793701828E-3</v>
      </c>
    </row>
    <row r="56" spans="1:13" ht="14">
      <c r="A56" s="55">
        <f t="shared" si="9"/>
        <v>98</v>
      </c>
      <c r="B56" s="55" t="s">
        <v>124</v>
      </c>
      <c r="C56" s="80">
        <v>129</v>
      </c>
      <c r="D56" s="56" t="s">
        <v>38</v>
      </c>
      <c r="E56" s="80">
        <v>2301</v>
      </c>
      <c r="F56" s="80">
        <v>11016</v>
      </c>
      <c r="G56" s="57">
        <v>0.02</v>
      </c>
      <c r="H56" s="58"/>
      <c r="I56" s="58"/>
      <c r="J56" s="58"/>
      <c r="K56" s="60">
        <f>I51</f>
        <v>8.7022206190153142E-6</v>
      </c>
      <c r="L56" s="60">
        <f>I53</f>
        <v>-5.5746278054205275E-5</v>
      </c>
      <c r="M56" s="60">
        <f>(C56-$O$5)*K56 + L56</f>
        <v>1.0668401817987702E-3</v>
      </c>
    </row>
    <row r="57" spans="1:13" ht="14">
      <c r="A57" s="55">
        <f t="shared" si="9"/>
        <v>98</v>
      </c>
      <c r="B57" s="55" t="s">
        <v>125</v>
      </c>
      <c r="C57" s="80">
        <v>114</v>
      </c>
      <c r="D57" s="56" t="s">
        <v>38</v>
      </c>
      <c r="E57" s="80">
        <v>17</v>
      </c>
      <c r="F57" s="80">
        <v>16</v>
      </c>
      <c r="G57" s="56"/>
      <c r="H57" s="58"/>
      <c r="I57" s="58"/>
      <c r="J57" s="58"/>
      <c r="K57" s="60">
        <f>I51</f>
        <v>8.7022206190153142E-6</v>
      </c>
      <c r="L57" s="60">
        <f>I53</f>
        <v>-5.5746278054205275E-5</v>
      </c>
      <c r="M57" s="60">
        <f>(C57-$O$5)*K57 + L57</f>
        <v>9.3630687251354061E-4</v>
      </c>
    </row>
    <row r="58" spans="1:13" ht="14">
      <c r="A58" s="55">
        <f>P9</f>
        <v>100</v>
      </c>
      <c r="B58" s="55" t="s">
        <v>126</v>
      </c>
      <c r="C58" s="80">
        <v>460</v>
      </c>
      <c r="D58" s="56" t="s">
        <v>35</v>
      </c>
      <c r="E58" s="80">
        <v>22</v>
      </c>
      <c r="F58" s="80">
        <v>23</v>
      </c>
      <c r="G58" s="57">
        <v>0</v>
      </c>
      <c r="H58" s="58"/>
      <c r="I58" s="62" t="s">
        <v>68</v>
      </c>
      <c r="J58" s="62" t="s">
        <v>68</v>
      </c>
      <c r="K58" s="60">
        <f>I59</f>
        <v>8.9425596086912278E-6</v>
      </c>
      <c r="L58" s="60">
        <f>I61</f>
        <v>-1.6191774081707362E-4</v>
      </c>
      <c r="M58" s="60">
        <f>(C58-$O$2)*K58+L58</f>
        <v>3.9516596791808909E-3</v>
      </c>
    </row>
    <row r="59" spans="1:13" ht="14">
      <c r="A59" s="55">
        <f t="shared" ref="A59:A65" si="10">A58</f>
        <v>100</v>
      </c>
      <c r="B59" s="55" t="s">
        <v>127</v>
      </c>
      <c r="C59" s="80">
        <v>486</v>
      </c>
      <c r="D59" s="56" t="s">
        <v>35</v>
      </c>
      <c r="E59" s="80">
        <v>73</v>
      </c>
      <c r="F59" s="80">
        <v>370</v>
      </c>
      <c r="G59" s="57">
        <v>5.0000000000000001E-4</v>
      </c>
      <c r="H59" s="58"/>
      <c r="I59" s="58">
        <f>SLOPE(G58:G64, E58:E64)</f>
        <v>8.9425596086912278E-6</v>
      </c>
      <c r="J59" s="58">
        <f>SLOPE(G58:G64, F58:F64)</f>
        <v>2.0430171022472063E-6</v>
      </c>
      <c r="K59" s="60">
        <f>I59</f>
        <v>8.9425596086912278E-6</v>
      </c>
      <c r="L59" s="60">
        <f>I61</f>
        <v>-1.6191774081707362E-4</v>
      </c>
      <c r="M59" s="60">
        <f>(C59-$O$2)*K59+L59</f>
        <v>4.1841662290068634E-3</v>
      </c>
    </row>
    <row r="60" spans="1:13" ht="14">
      <c r="A60" s="55">
        <f t="shared" si="10"/>
        <v>100</v>
      </c>
      <c r="B60" s="55" t="s">
        <v>128</v>
      </c>
      <c r="C60" s="80">
        <v>224</v>
      </c>
      <c r="D60" s="56" t="s">
        <v>36</v>
      </c>
      <c r="E60" s="80">
        <v>133</v>
      </c>
      <c r="F60" s="80">
        <v>1152</v>
      </c>
      <c r="G60" s="57">
        <v>1E-3</v>
      </c>
      <c r="H60" s="58"/>
      <c r="I60" s="62" t="s">
        <v>71</v>
      </c>
      <c r="J60" s="62" t="s">
        <v>71</v>
      </c>
      <c r="K60" s="60">
        <f>I59</f>
        <v>8.9425596086912278E-6</v>
      </c>
      <c r="L60" s="60">
        <f>I61</f>
        <v>-1.6191774081707362E-4</v>
      </c>
      <c r="M60" s="60">
        <f>(C60-$O$3)*K60 + L60</f>
        <v>1.8412156115297615E-3</v>
      </c>
    </row>
    <row r="61" spans="1:13" ht="14">
      <c r="A61" s="55">
        <f t="shared" si="10"/>
        <v>100</v>
      </c>
      <c r="B61" s="55" t="s">
        <v>129</v>
      </c>
      <c r="C61" s="80">
        <v>231</v>
      </c>
      <c r="D61" s="56" t="s">
        <v>36</v>
      </c>
      <c r="E61" s="80">
        <v>224</v>
      </c>
      <c r="F61" s="80">
        <v>1097</v>
      </c>
      <c r="G61" s="57">
        <v>2E-3</v>
      </c>
      <c r="H61" s="58"/>
      <c r="I61" s="58">
        <f>INTERCEPT(G58:G64, E58:E64)</f>
        <v>-1.6191774081707362E-4</v>
      </c>
      <c r="J61" s="58">
        <f>INTERCEPT(G58:G64, F58:F64)</f>
        <v>-4.8282965413792584E-4</v>
      </c>
      <c r="K61" s="60">
        <f>I59</f>
        <v>8.9425596086912278E-6</v>
      </c>
      <c r="L61" s="60">
        <f>I61</f>
        <v>-1.6191774081707362E-4</v>
      </c>
      <c r="M61" s="60">
        <f>(C61-$O$3)*K61+ L61</f>
        <v>1.9038135287906001E-3</v>
      </c>
    </row>
    <row r="62" spans="1:13" ht="14">
      <c r="A62" s="55">
        <f t="shared" si="10"/>
        <v>100</v>
      </c>
      <c r="B62" s="55" t="s">
        <v>130</v>
      </c>
      <c r="C62" s="80">
        <v>1609</v>
      </c>
      <c r="D62" s="56" t="s">
        <v>37</v>
      </c>
      <c r="E62" s="80">
        <v>606</v>
      </c>
      <c r="F62" s="80">
        <v>2964</v>
      </c>
      <c r="G62" s="57">
        <v>5.0000000000000001E-3</v>
      </c>
      <c r="H62" s="58"/>
      <c r="I62" s="62" t="s">
        <v>74</v>
      </c>
      <c r="J62" s="62" t="s">
        <v>74</v>
      </c>
      <c r="K62" s="60">
        <f>J59</f>
        <v>2.0430171022472063E-6</v>
      </c>
      <c r="L62" s="60">
        <f>J61</f>
        <v>-4.8282965413792584E-4</v>
      </c>
      <c r="M62" s="60">
        <f>(C62-$O$4)*K62 + L62</f>
        <v>2.1388720423208018E-3</v>
      </c>
    </row>
    <row r="63" spans="1:13" ht="14">
      <c r="A63" s="55">
        <f t="shared" si="10"/>
        <v>100</v>
      </c>
      <c r="B63" s="55" t="s">
        <v>131</v>
      </c>
      <c r="C63" s="80">
        <v>1752</v>
      </c>
      <c r="D63" s="56" t="s">
        <v>37</v>
      </c>
      <c r="E63" s="80">
        <v>1115</v>
      </c>
      <c r="F63" s="80">
        <v>4842</v>
      </c>
      <c r="G63" s="57">
        <v>0.01</v>
      </c>
      <c r="H63" s="58"/>
      <c r="I63" s="61">
        <f>RSQ(G58:G64, E58:E64)</f>
        <v>0.99958723990210596</v>
      </c>
      <c r="J63" s="61">
        <f>RSQ(G58:G64, F58:F64)</f>
        <v>0.99454521552141761</v>
      </c>
      <c r="K63" s="60">
        <f>J59</f>
        <v>2.0430171022472063E-6</v>
      </c>
      <c r="L63" s="60">
        <f>J61</f>
        <v>-4.8282965413792584E-4</v>
      </c>
      <c r="M63" s="60">
        <f>(C63-$O$4)*K63 + L63</f>
        <v>2.431023487942152E-3</v>
      </c>
    </row>
    <row r="64" spans="1:13" ht="14">
      <c r="A64" s="55">
        <f t="shared" si="10"/>
        <v>100</v>
      </c>
      <c r="B64" s="55" t="s">
        <v>132</v>
      </c>
      <c r="C64" s="80">
        <v>138</v>
      </c>
      <c r="D64" s="56" t="s">
        <v>38</v>
      </c>
      <c r="E64" s="80">
        <v>2259</v>
      </c>
      <c r="F64" s="80">
        <v>10051</v>
      </c>
      <c r="G64" s="57">
        <v>0.02</v>
      </c>
      <c r="H64" s="58"/>
      <c r="I64" s="58"/>
      <c r="J64" s="58"/>
      <c r="K64" s="60">
        <f>I59</f>
        <v>8.9425596086912278E-6</v>
      </c>
      <c r="L64" s="60">
        <f>I61</f>
        <v>-1.6191774081707362E-4</v>
      </c>
      <c r="M64" s="60">
        <f>(C64-$O$5)*K64 + L64</f>
        <v>1.0721554851823157E-3</v>
      </c>
    </row>
    <row r="65" spans="1:26" ht="14">
      <c r="A65" s="55">
        <f t="shared" si="10"/>
        <v>100</v>
      </c>
      <c r="B65" s="55" t="s">
        <v>133</v>
      </c>
      <c r="C65" s="80">
        <v>126</v>
      </c>
      <c r="D65" s="56" t="s">
        <v>38</v>
      </c>
      <c r="E65" s="80">
        <v>16</v>
      </c>
      <c r="F65" s="80">
        <v>17</v>
      </c>
      <c r="G65" s="56"/>
      <c r="H65" s="58"/>
      <c r="I65" s="58"/>
      <c r="J65" s="58"/>
      <c r="K65" s="60">
        <f>I59</f>
        <v>8.9425596086912278E-6</v>
      </c>
      <c r="L65" s="60">
        <f>I61</f>
        <v>-1.6191774081707362E-4</v>
      </c>
      <c r="M65" s="60">
        <f>(C65-$O$5)*K65 + L65</f>
        <v>9.64844769878021E-4</v>
      </c>
    </row>
    <row r="66" spans="1:26" ht="14">
      <c r="A66" s="55">
        <f>P10</f>
        <v>101</v>
      </c>
      <c r="B66" s="55" t="s">
        <v>134</v>
      </c>
      <c r="C66" s="80">
        <v>418</v>
      </c>
      <c r="D66" s="56" t="s">
        <v>35</v>
      </c>
      <c r="E66" s="80">
        <v>24</v>
      </c>
      <c r="F66" s="80">
        <v>24</v>
      </c>
      <c r="G66" s="57">
        <v>0</v>
      </c>
      <c r="H66" s="58"/>
      <c r="I66" s="62" t="s">
        <v>68</v>
      </c>
      <c r="J66" s="62" t="s">
        <v>68</v>
      </c>
      <c r="K66" s="60">
        <f>I67</f>
        <v>8.1781729467119073E-6</v>
      </c>
      <c r="L66" s="60">
        <f>I69</f>
        <v>5.917836959466391E-5</v>
      </c>
      <c r="M66" s="60">
        <f>(C66-$O$2)*K66+L66</f>
        <v>3.4776546613202414E-3</v>
      </c>
    </row>
    <row r="67" spans="1:26" ht="14">
      <c r="A67" s="55">
        <f t="shared" ref="A67:A73" si="11">A66</f>
        <v>101</v>
      </c>
      <c r="B67" s="55" t="s">
        <v>135</v>
      </c>
      <c r="C67" s="80">
        <v>416</v>
      </c>
      <c r="D67" s="56" t="s">
        <v>35</v>
      </c>
      <c r="E67" s="80">
        <v>106</v>
      </c>
      <c r="F67" s="80">
        <v>270</v>
      </c>
      <c r="G67" s="57">
        <v>5.0000000000000001E-4</v>
      </c>
      <c r="H67" s="58"/>
      <c r="I67" s="58">
        <f>SLOPE(G66:G72, E66:E72)</f>
        <v>8.1781729467119073E-6</v>
      </c>
      <c r="J67" s="58">
        <f>SLOPE(G66:G72, F66:F72)</f>
        <v>2.1098611686405056E-6</v>
      </c>
      <c r="K67" s="60">
        <f>I67</f>
        <v>8.1781729467119073E-6</v>
      </c>
      <c r="L67" s="60">
        <f>I69</f>
        <v>5.917836959466391E-5</v>
      </c>
      <c r="M67" s="60">
        <f>(C67-$O$2)*K67+L67</f>
        <v>3.4612983154268173E-3</v>
      </c>
    </row>
    <row r="68" spans="1:26" ht="14">
      <c r="A68" s="55">
        <f t="shared" si="11"/>
        <v>101</v>
      </c>
      <c r="B68" s="55" t="s">
        <v>136</v>
      </c>
      <c r="C68" s="80">
        <v>230</v>
      </c>
      <c r="D68" s="56" t="s">
        <v>36</v>
      </c>
      <c r="E68" s="80">
        <v>138</v>
      </c>
      <c r="F68" s="80">
        <v>532</v>
      </c>
      <c r="G68" s="57">
        <v>1E-3</v>
      </c>
      <c r="H68" s="58"/>
      <c r="I68" s="62" t="s">
        <v>71</v>
      </c>
      <c r="J68" s="62" t="s">
        <v>71</v>
      </c>
      <c r="K68" s="60">
        <f>I67</f>
        <v>8.1781729467119073E-6</v>
      </c>
      <c r="L68" s="60">
        <f>I69</f>
        <v>5.917836959466391E-5</v>
      </c>
      <c r="M68" s="60">
        <f>(C68-$O$3)*K68 + L68</f>
        <v>1.9401581473384025E-3</v>
      </c>
    </row>
    <row r="69" spans="1:26" ht="14">
      <c r="A69" s="55">
        <f t="shared" si="11"/>
        <v>101</v>
      </c>
      <c r="B69" s="55" t="s">
        <v>137</v>
      </c>
      <c r="C69" s="80">
        <v>212</v>
      </c>
      <c r="D69" s="56" t="s">
        <v>36</v>
      </c>
      <c r="E69" s="80">
        <v>234</v>
      </c>
      <c r="F69" s="80">
        <v>1021</v>
      </c>
      <c r="G69" s="57">
        <v>2E-3</v>
      </c>
      <c r="H69" s="58"/>
      <c r="I69" s="58">
        <f>INTERCEPT(G66:G72, E66:E72)</f>
        <v>5.917836959466391E-5</v>
      </c>
      <c r="J69" s="58">
        <f>INTERCEPT(G66:G72, F66:F72)</f>
        <v>-9.3844775542734245E-5</v>
      </c>
      <c r="K69" s="60">
        <f>I67</f>
        <v>8.1781729467119073E-6</v>
      </c>
      <c r="L69" s="60">
        <f>I69</f>
        <v>5.917836959466391E-5</v>
      </c>
      <c r="M69" s="60">
        <f>(C69-$O$3)*K69+ L69</f>
        <v>1.7929510342975883E-3</v>
      </c>
    </row>
    <row r="70" spans="1:26" ht="14">
      <c r="A70" s="55">
        <f t="shared" si="11"/>
        <v>101</v>
      </c>
      <c r="B70" s="55" t="s">
        <v>138</v>
      </c>
      <c r="C70" s="80">
        <v>1315</v>
      </c>
      <c r="D70" s="56" t="s">
        <v>37</v>
      </c>
      <c r="E70" s="80">
        <v>583</v>
      </c>
      <c r="F70" s="80">
        <v>2606</v>
      </c>
      <c r="G70" s="57">
        <v>5.0000000000000001E-3</v>
      </c>
      <c r="H70" s="58"/>
      <c r="I70" s="62" t="s">
        <v>74</v>
      </c>
      <c r="J70" s="62" t="s">
        <v>74</v>
      </c>
      <c r="K70" s="60">
        <f>J67</f>
        <v>2.1098611686405056E-6</v>
      </c>
      <c r="L70" s="60">
        <f>J69</f>
        <v>-9.3844775542734245E-5</v>
      </c>
      <c r="M70" s="60">
        <f>(C70-$O$4)*K70 + L70</f>
        <v>1.9933353855348859E-3</v>
      </c>
    </row>
    <row r="71" spans="1:26" ht="14">
      <c r="A71" s="55">
        <f t="shared" si="11"/>
        <v>101</v>
      </c>
      <c r="B71" s="55" t="s">
        <v>139</v>
      </c>
      <c r="C71" s="80">
        <v>1353</v>
      </c>
      <c r="D71" s="56" t="s">
        <v>37</v>
      </c>
      <c r="E71" s="80">
        <v>1070</v>
      </c>
      <c r="F71" s="80">
        <v>4508</v>
      </c>
      <c r="G71" s="57">
        <v>0.01</v>
      </c>
      <c r="H71" s="58"/>
      <c r="I71" s="61">
        <f>RSQ(G66:G72, E66:E72)</f>
        <v>0.99371862519379672</v>
      </c>
      <c r="J71" s="61">
        <f>RSQ(G66:G72, F66:F72)</f>
        <v>0.9983220486322858</v>
      </c>
      <c r="K71" s="60">
        <f>J67</f>
        <v>2.1098611686405056E-6</v>
      </c>
      <c r="L71" s="60">
        <f>J69</f>
        <v>-9.3844775542734245E-5</v>
      </c>
      <c r="M71" s="60">
        <f>(C71-$O$4)*K71 + L71</f>
        <v>2.0735101099432253E-3</v>
      </c>
    </row>
    <row r="72" spans="1:26" ht="14">
      <c r="A72" s="55">
        <f t="shared" si="11"/>
        <v>101</v>
      </c>
      <c r="B72" s="55" t="s">
        <v>140</v>
      </c>
      <c r="C72" s="80">
        <v>118</v>
      </c>
      <c r="D72" s="56" t="s">
        <v>38</v>
      </c>
      <c r="E72" s="80">
        <v>2502</v>
      </c>
      <c r="F72" s="80">
        <v>9598</v>
      </c>
      <c r="G72" s="57">
        <v>0.02</v>
      </c>
      <c r="H72" s="58"/>
      <c r="I72" s="58"/>
      <c r="J72" s="58"/>
      <c r="K72" s="60">
        <f>I67</f>
        <v>8.1781729467119073E-6</v>
      </c>
      <c r="L72" s="60">
        <f>I69</f>
        <v>5.917836959466391E-5</v>
      </c>
      <c r="M72" s="60">
        <f>(C72-$O$5)*K72 + L72</f>
        <v>1.024202777306669E-3</v>
      </c>
    </row>
    <row r="73" spans="1:26" ht="14">
      <c r="A73" s="55">
        <f t="shared" si="11"/>
        <v>101</v>
      </c>
      <c r="B73" s="55" t="s">
        <v>141</v>
      </c>
      <c r="C73" s="80">
        <v>96</v>
      </c>
      <c r="D73" s="56" t="s">
        <v>38</v>
      </c>
      <c r="E73" s="80">
        <v>17</v>
      </c>
      <c r="F73" s="80">
        <v>17</v>
      </c>
      <c r="G73" s="56"/>
      <c r="H73" s="58"/>
      <c r="I73" s="58"/>
      <c r="J73" s="58"/>
      <c r="K73" s="60">
        <f>I67</f>
        <v>8.1781729467119073E-6</v>
      </c>
      <c r="L73" s="60">
        <f>I69</f>
        <v>5.917836959466391E-5</v>
      </c>
      <c r="M73" s="60">
        <f>(C73-$O$5)*K73 + L73</f>
        <v>8.4428297247900706E-4</v>
      </c>
    </row>
    <row r="74" spans="1:26" ht="14">
      <c r="A74" s="55">
        <f>P11</f>
        <v>102</v>
      </c>
      <c r="B74" s="55" t="s">
        <v>142</v>
      </c>
      <c r="C74" s="80">
        <v>397</v>
      </c>
      <c r="D74" s="56" t="s">
        <v>35</v>
      </c>
      <c r="E74" s="80">
        <v>26</v>
      </c>
      <c r="F74" s="80">
        <v>22</v>
      </c>
      <c r="G74" s="57">
        <v>0</v>
      </c>
      <c r="H74" s="58"/>
      <c r="I74" s="62" t="s">
        <v>68</v>
      </c>
      <c r="J74" s="62" t="s">
        <v>68</v>
      </c>
      <c r="K74" s="60">
        <f>I75</f>
        <v>8.8549858789122889E-6</v>
      </c>
      <c r="L74" s="60">
        <f>I77</f>
        <v>-1.1912103916119753E-4</v>
      </c>
      <c r="M74" s="60">
        <f>(C74-$O$2)*K74+L74</f>
        <v>3.3963083547669812E-3</v>
      </c>
      <c r="P74" s="58"/>
      <c r="Q74" s="58"/>
      <c r="R74" s="58"/>
      <c r="S74" s="58"/>
      <c r="U74" s="58"/>
      <c r="V74" s="58"/>
      <c r="W74" s="58"/>
      <c r="X74" s="58"/>
      <c r="Y74" s="58"/>
      <c r="Z74" s="58"/>
    </row>
    <row r="75" spans="1:26" ht="14">
      <c r="A75" s="55">
        <f t="shared" ref="A75:A81" si="12">A74</f>
        <v>102</v>
      </c>
      <c r="B75" s="55" t="s">
        <v>143</v>
      </c>
      <c r="C75" s="80">
        <v>413</v>
      </c>
      <c r="D75" s="56" t="s">
        <v>35</v>
      </c>
      <c r="E75" s="80">
        <v>71</v>
      </c>
      <c r="F75" s="80">
        <v>269</v>
      </c>
      <c r="G75" s="57">
        <v>5.0000000000000001E-4</v>
      </c>
      <c r="H75" s="58"/>
      <c r="I75" s="58">
        <f>SLOPE(G74:G80, E74:E80)</f>
        <v>8.8549858789122889E-6</v>
      </c>
      <c r="J75" s="58">
        <f>SLOPE(G74:G80, F74:F80)</f>
        <v>2.1084286026452852E-6</v>
      </c>
      <c r="K75" s="60">
        <f>I75</f>
        <v>8.8549858789122889E-6</v>
      </c>
      <c r="L75" s="60">
        <f>I77</f>
        <v>-1.1912103916119753E-4</v>
      </c>
      <c r="M75" s="60">
        <f>(C75-$O$2)*K75+L75</f>
        <v>3.5379881288295778E-3</v>
      </c>
    </row>
    <row r="76" spans="1:26" ht="14">
      <c r="A76" s="55">
        <f t="shared" si="12"/>
        <v>102</v>
      </c>
      <c r="B76" s="55" t="s">
        <v>144</v>
      </c>
      <c r="C76" s="80">
        <v>226</v>
      </c>
      <c r="D76" s="56" t="s">
        <v>36</v>
      </c>
      <c r="E76" s="80">
        <v>136</v>
      </c>
      <c r="F76" s="80">
        <v>583</v>
      </c>
      <c r="G76" s="57">
        <v>1E-3</v>
      </c>
      <c r="H76" s="58"/>
      <c r="I76" s="62" t="s">
        <v>71</v>
      </c>
      <c r="J76" s="62" t="s">
        <v>71</v>
      </c>
      <c r="K76" s="60">
        <f>I75</f>
        <v>8.8549858789122889E-6</v>
      </c>
      <c r="L76" s="60">
        <f>I77</f>
        <v>-1.1912103916119753E-4</v>
      </c>
      <c r="M76" s="60">
        <f>(C76-$O$3)*K76 + L76</f>
        <v>1.8821057694729799E-3</v>
      </c>
    </row>
    <row r="77" spans="1:26" ht="14">
      <c r="A77" s="55">
        <f t="shared" si="12"/>
        <v>102</v>
      </c>
      <c r="B77" s="55" t="s">
        <v>145</v>
      </c>
      <c r="C77" s="80">
        <v>196</v>
      </c>
      <c r="D77" s="56" t="s">
        <v>36</v>
      </c>
      <c r="E77" s="80">
        <v>233</v>
      </c>
      <c r="F77" s="80">
        <v>1007</v>
      </c>
      <c r="G77" s="57">
        <v>2E-3</v>
      </c>
      <c r="H77" s="58"/>
      <c r="I77" s="58">
        <f>INTERCEPT(G74:G80, E74:E80)</f>
        <v>-1.1912103916119753E-4</v>
      </c>
      <c r="J77" s="58">
        <f>INTERCEPT(G74:G80, F74:F80)</f>
        <v>-1.9215481897008526E-4</v>
      </c>
      <c r="K77" s="60">
        <f>I75</f>
        <v>8.8549858789122889E-6</v>
      </c>
      <c r="L77" s="60">
        <f>I77</f>
        <v>-1.1912103916119753E-4</v>
      </c>
      <c r="M77" s="60">
        <f>(C77-$O$3)*K77+ L77</f>
        <v>1.6164561931056112E-3</v>
      </c>
    </row>
    <row r="78" spans="1:26" ht="14">
      <c r="A78" s="55">
        <f t="shared" si="12"/>
        <v>102</v>
      </c>
      <c r="B78" s="55" t="s">
        <v>146</v>
      </c>
      <c r="C78" s="80">
        <v>1264</v>
      </c>
      <c r="D78" s="56" t="s">
        <v>37</v>
      </c>
      <c r="E78" s="80">
        <v>548</v>
      </c>
      <c r="F78" s="80">
        <v>2646</v>
      </c>
      <c r="G78" s="57">
        <v>5.0000000000000001E-3</v>
      </c>
      <c r="H78" s="58"/>
      <c r="I78" s="62" t="s">
        <v>74</v>
      </c>
      <c r="J78" s="62" t="s">
        <v>74</v>
      </c>
      <c r="K78" s="60">
        <f>J75</f>
        <v>2.1084286026452852E-6</v>
      </c>
      <c r="L78" s="60">
        <f>J77</f>
        <v>-1.9215481897008526E-4</v>
      </c>
      <c r="M78" s="60">
        <f>(C78-$O$4)*K78 + L78</f>
        <v>1.7860783174618537E-3</v>
      </c>
    </row>
    <row r="79" spans="1:26" ht="14">
      <c r="A79" s="55">
        <f t="shared" si="12"/>
        <v>102</v>
      </c>
      <c r="B79" s="55" t="s">
        <v>147</v>
      </c>
      <c r="C79" s="80">
        <v>1320</v>
      </c>
      <c r="D79" s="56" t="s">
        <v>37</v>
      </c>
      <c r="E79" s="80">
        <v>1155</v>
      </c>
      <c r="F79" s="80">
        <v>4848</v>
      </c>
      <c r="G79" s="57">
        <v>0.01</v>
      </c>
      <c r="H79" s="58"/>
      <c r="I79" s="61">
        <f>RSQ(G74:G80, E74:E80)</f>
        <v>0.9996681310992459</v>
      </c>
      <c r="J79" s="61">
        <f>RSQ(G74:G80, F74:F80)</f>
        <v>0.99935212849870891</v>
      </c>
      <c r="K79" s="60">
        <f>J75</f>
        <v>2.1084286026452852E-6</v>
      </c>
      <c r="L79" s="60">
        <f>J77</f>
        <v>-1.9215481897008526E-4</v>
      </c>
      <c r="M79" s="60">
        <f>(C79-$O$4)*K79 + L79</f>
        <v>1.9041503192099895E-3</v>
      </c>
    </row>
    <row r="80" spans="1:26" ht="14">
      <c r="A80" s="55">
        <f t="shared" si="12"/>
        <v>102</v>
      </c>
      <c r="B80" s="55" t="s">
        <v>148</v>
      </c>
      <c r="C80" s="80">
        <v>101</v>
      </c>
      <c r="D80" s="56" t="s">
        <v>38</v>
      </c>
      <c r="E80" s="80">
        <v>2273</v>
      </c>
      <c r="F80" s="80">
        <v>9523</v>
      </c>
      <c r="G80" s="57">
        <v>0.02</v>
      </c>
      <c r="H80" s="58"/>
      <c r="I80" s="58"/>
      <c r="J80" s="58"/>
      <c r="K80" s="60">
        <f>I75</f>
        <v>8.8549858789122889E-6</v>
      </c>
      <c r="L80" s="60">
        <f>I77</f>
        <v>-1.1912103916119753E-4</v>
      </c>
      <c r="M80" s="60">
        <f>(C80-$O$5)*K80 + L80</f>
        <v>7.7523253460894364E-4</v>
      </c>
    </row>
    <row r="81" spans="1:13" ht="14">
      <c r="A81" s="55">
        <f t="shared" si="12"/>
        <v>102</v>
      </c>
      <c r="B81" s="55" t="s">
        <v>149</v>
      </c>
      <c r="C81" s="80">
        <v>93</v>
      </c>
      <c r="D81" s="56" t="s">
        <v>38</v>
      </c>
      <c r="E81" s="80">
        <v>17</v>
      </c>
      <c r="F81" s="80">
        <v>16</v>
      </c>
      <c r="G81" s="56"/>
      <c r="H81" s="58"/>
      <c r="I81" s="58"/>
      <c r="J81" s="58"/>
      <c r="K81" s="60">
        <f>I75</f>
        <v>8.8549858789122889E-6</v>
      </c>
      <c r="L81" s="60">
        <f>I77</f>
        <v>-1.1912103916119753E-4</v>
      </c>
      <c r="M81" s="60">
        <f>(C81-$O$5)*K81 + L81</f>
        <v>7.0439264757764534E-4</v>
      </c>
    </row>
    <row r="82" spans="1:13" ht="14">
      <c r="A82" s="55">
        <f>P12</f>
        <v>103</v>
      </c>
      <c r="B82" s="55" t="s">
        <v>150</v>
      </c>
      <c r="C82" s="80">
        <v>419</v>
      </c>
      <c r="D82" s="56" t="s">
        <v>35</v>
      </c>
      <c r="E82" s="80">
        <v>22</v>
      </c>
      <c r="F82" s="80">
        <v>24</v>
      </c>
      <c r="G82" s="57">
        <v>0</v>
      </c>
      <c r="H82" s="58"/>
      <c r="I82" s="62" t="s">
        <v>68</v>
      </c>
      <c r="J82" s="62" t="s">
        <v>68</v>
      </c>
      <c r="K82" s="60">
        <f>I83</f>
        <v>9.239669655674973E-6</v>
      </c>
      <c r="L82" s="60">
        <f>I85</f>
        <v>-1.8107688543215431E-4</v>
      </c>
      <c r="M82" s="60">
        <f>(C82-$O$2)*K82+L82</f>
        <v>3.6903447002956595E-3</v>
      </c>
    </row>
    <row r="83" spans="1:13" ht="14">
      <c r="A83" s="55">
        <f t="shared" ref="A83:A89" si="13">A82</f>
        <v>103</v>
      </c>
      <c r="B83" s="55" t="s">
        <v>151</v>
      </c>
      <c r="C83" s="80">
        <v>418</v>
      </c>
      <c r="D83" s="56" t="s">
        <v>35</v>
      </c>
      <c r="E83" s="80">
        <v>72</v>
      </c>
      <c r="F83" s="80">
        <v>257</v>
      </c>
      <c r="G83" s="57">
        <v>5.0000000000000001E-4</v>
      </c>
      <c r="H83" s="58"/>
      <c r="I83" s="58">
        <f>SLOPE(G82:G88, E82:E88)</f>
        <v>9.239669655674973E-6</v>
      </c>
      <c r="J83" s="58">
        <f>SLOPE(G82:G88, F82:F88)</f>
        <v>2.1543296673243704E-6</v>
      </c>
      <c r="K83" s="60">
        <f>I83</f>
        <v>9.239669655674973E-6</v>
      </c>
      <c r="L83" s="60">
        <f>I85</f>
        <v>-1.8107688543215431E-4</v>
      </c>
      <c r="M83" s="60">
        <f>(C83-$O$2)*K83+L83</f>
        <v>3.6811050306399845E-3</v>
      </c>
    </row>
    <row r="84" spans="1:13" ht="14">
      <c r="A84" s="55">
        <f t="shared" si="13"/>
        <v>103</v>
      </c>
      <c r="B84" s="55" t="s">
        <v>152</v>
      </c>
      <c r="C84" s="80">
        <v>214</v>
      </c>
      <c r="D84" s="56" t="s">
        <v>36</v>
      </c>
      <c r="E84" s="80">
        <v>128</v>
      </c>
      <c r="F84" s="80">
        <v>519</v>
      </c>
      <c r="G84" s="57">
        <v>1E-3</v>
      </c>
      <c r="H84" s="58"/>
      <c r="I84" s="62" t="s">
        <v>71</v>
      </c>
      <c r="J84" s="62" t="s">
        <v>71</v>
      </c>
      <c r="K84" s="60">
        <f>I83</f>
        <v>9.239669655674973E-6</v>
      </c>
      <c r="L84" s="60">
        <f>I85</f>
        <v>-1.8107688543215431E-4</v>
      </c>
      <c r="M84" s="60">
        <f>(C84-$O$3)*K84 + L84</f>
        <v>1.7962124208822901E-3</v>
      </c>
    </row>
    <row r="85" spans="1:13" ht="14">
      <c r="A85" s="55">
        <f t="shared" si="13"/>
        <v>103</v>
      </c>
      <c r="B85" s="55" t="s">
        <v>153</v>
      </c>
      <c r="C85" s="80">
        <v>204</v>
      </c>
      <c r="D85" s="56" t="s">
        <v>36</v>
      </c>
      <c r="E85" s="80">
        <v>229</v>
      </c>
      <c r="F85" s="80">
        <v>1056</v>
      </c>
      <c r="G85" s="57">
        <v>2E-3</v>
      </c>
      <c r="H85" s="58"/>
      <c r="I85" s="58">
        <f>INTERCEPT(G82:G88, E82:E88)</f>
        <v>-1.8107688543215431E-4</v>
      </c>
      <c r="J85" s="58">
        <f>INTERCEPT(G82:G88, F82:F88)</f>
        <v>-1.434204442467106E-4</v>
      </c>
      <c r="K85" s="60">
        <f>I83</f>
        <v>9.239669655674973E-6</v>
      </c>
      <c r="L85" s="60">
        <f>I85</f>
        <v>-1.8107688543215431E-4</v>
      </c>
      <c r="M85" s="60">
        <f>(C85-$O$3)*K85+ L85</f>
        <v>1.7038157243255401E-3</v>
      </c>
    </row>
    <row r="86" spans="1:13" ht="14">
      <c r="A86" s="55">
        <f t="shared" si="13"/>
        <v>103</v>
      </c>
      <c r="B86" s="55" t="s">
        <v>154</v>
      </c>
      <c r="C86" s="80">
        <v>1305</v>
      </c>
      <c r="D86" s="56" t="s">
        <v>37</v>
      </c>
      <c r="E86" s="80">
        <v>566</v>
      </c>
      <c r="F86" s="80">
        <v>2571</v>
      </c>
      <c r="G86" s="57">
        <v>5.0000000000000001E-3</v>
      </c>
      <c r="H86" s="58"/>
      <c r="I86" s="62" t="s">
        <v>74</v>
      </c>
      <c r="J86" s="62" t="s">
        <v>74</v>
      </c>
      <c r="K86" s="60">
        <f>J83</f>
        <v>2.1543296673243704E-6</v>
      </c>
      <c r="L86" s="60">
        <f>J85</f>
        <v>-1.434204442467106E-4</v>
      </c>
      <c r="M86" s="60">
        <f>(C86-$O$4)*K86 + L86</f>
        <v>1.9662068824806791E-3</v>
      </c>
    </row>
    <row r="87" spans="1:13" ht="14">
      <c r="A87" s="55">
        <f t="shared" si="13"/>
        <v>103</v>
      </c>
      <c r="B87" s="55" t="s">
        <v>155</v>
      </c>
      <c r="C87" s="80">
        <v>1257</v>
      </c>
      <c r="D87" s="56" t="s">
        <v>37</v>
      </c>
      <c r="E87" s="80">
        <v>1105</v>
      </c>
      <c r="F87" s="80">
        <v>4528</v>
      </c>
      <c r="G87" s="57">
        <v>0.01</v>
      </c>
      <c r="H87" s="58"/>
      <c r="I87" s="61">
        <f>RSQ(G82:G88, E82:E88)</f>
        <v>0.99997303934416426</v>
      </c>
      <c r="J87" s="61">
        <f>RSQ(G82:G88, F82:F88)</f>
        <v>0.99891227503965574</v>
      </c>
      <c r="K87" s="60">
        <f>J83</f>
        <v>2.1543296673243704E-6</v>
      </c>
      <c r="L87" s="60">
        <f>J85</f>
        <v>-1.434204442467106E-4</v>
      </c>
      <c r="M87" s="60">
        <f>(C87-$O$4)*K87 + L87</f>
        <v>1.8627990584491093E-3</v>
      </c>
    </row>
    <row r="88" spans="1:13" ht="14">
      <c r="A88" s="55">
        <f t="shared" si="13"/>
        <v>103</v>
      </c>
      <c r="B88" s="55" t="s">
        <v>156</v>
      </c>
      <c r="C88" s="80">
        <v>107</v>
      </c>
      <c r="D88" s="56" t="s">
        <v>38</v>
      </c>
      <c r="E88" s="80">
        <v>2182</v>
      </c>
      <c r="F88" s="80">
        <v>9382</v>
      </c>
      <c r="G88" s="57">
        <v>0.02</v>
      </c>
      <c r="H88" s="58"/>
      <c r="I88" s="58"/>
      <c r="J88" s="58"/>
      <c r="K88" s="60">
        <f>I83</f>
        <v>9.239669655674973E-6</v>
      </c>
      <c r="L88" s="60">
        <f>I85</f>
        <v>-1.8107688543215431E-4</v>
      </c>
      <c r="M88" s="60">
        <f>(C88-$O$5)*K88 + L88</f>
        <v>8.075677677250679E-4</v>
      </c>
    </row>
    <row r="89" spans="1:13" ht="14">
      <c r="A89" s="55">
        <f t="shared" si="13"/>
        <v>103</v>
      </c>
      <c r="B89" s="55" t="s">
        <v>157</v>
      </c>
      <c r="C89" s="80">
        <v>99</v>
      </c>
      <c r="D89" s="56" t="s">
        <v>38</v>
      </c>
      <c r="E89" s="80">
        <v>18</v>
      </c>
      <c r="F89" s="80">
        <v>18</v>
      </c>
      <c r="G89" s="56"/>
      <c r="H89" s="58"/>
      <c r="I89" s="58"/>
      <c r="J89" s="58"/>
      <c r="K89" s="60">
        <f>I83</f>
        <v>9.239669655674973E-6</v>
      </c>
      <c r="L89" s="60">
        <f>I85</f>
        <v>-1.8107688543215431E-4</v>
      </c>
      <c r="M89" s="60">
        <f>(C89-$O$5)*K89 + L89</f>
        <v>7.3365041047966802E-4</v>
      </c>
    </row>
    <row r="90" spans="1:13" ht="14">
      <c r="A90" s="55">
        <f>P13</f>
        <v>105</v>
      </c>
      <c r="B90" s="55" t="s">
        <v>158</v>
      </c>
      <c r="C90" s="80">
        <v>411</v>
      </c>
      <c r="D90" s="56" t="s">
        <v>35</v>
      </c>
      <c r="E90" s="80">
        <v>26</v>
      </c>
      <c r="F90" s="80">
        <v>24</v>
      </c>
      <c r="G90" s="57">
        <v>0</v>
      </c>
      <c r="H90" s="58"/>
      <c r="I90" s="62" t="s">
        <v>68</v>
      </c>
      <c r="J90" s="62" t="s">
        <v>68</v>
      </c>
      <c r="K90" s="60">
        <f>I91</f>
        <v>9.1405679352785693E-6</v>
      </c>
      <c r="L90" s="60">
        <f>I93</f>
        <v>-1.4103621148620158E-4</v>
      </c>
      <c r="M90" s="60">
        <f>(C90-$O$2)*K90+L90</f>
        <v>3.6157372099132903E-3</v>
      </c>
    </row>
    <row r="91" spans="1:13" ht="14">
      <c r="A91" s="55">
        <f t="shared" ref="A91:A97" si="14">A90</f>
        <v>105</v>
      </c>
      <c r="B91" s="55" t="s">
        <v>159</v>
      </c>
      <c r="C91" s="80">
        <v>388</v>
      </c>
      <c r="D91" s="56" t="s">
        <v>35</v>
      </c>
      <c r="E91" s="80">
        <v>75</v>
      </c>
      <c r="F91" s="80">
        <v>250</v>
      </c>
      <c r="G91" s="57">
        <v>5.0000000000000001E-4</v>
      </c>
      <c r="H91" s="58"/>
      <c r="I91" s="58">
        <f>SLOPE(G90:G96, E90:E96)</f>
        <v>9.1405679352785693E-6</v>
      </c>
      <c r="J91" s="58">
        <f>SLOPE(G90:G96, F90:F96)</f>
        <v>2.271457267336169E-6</v>
      </c>
      <c r="K91" s="60">
        <f>I91</f>
        <v>9.1405679352785693E-6</v>
      </c>
      <c r="L91" s="60">
        <f>I93</f>
        <v>-1.4103621148620158E-4</v>
      </c>
      <c r="M91" s="60">
        <f>(C91-$O$2)*K91+L91</f>
        <v>3.4055041474018834E-3</v>
      </c>
    </row>
    <row r="92" spans="1:13" ht="14">
      <c r="A92" s="55">
        <f t="shared" si="14"/>
        <v>105</v>
      </c>
      <c r="B92" s="55" t="s">
        <v>160</v>
      </c>
      <c r="C92" s="80">
        <v>220</v>
      </c>
      <c r="D92" s="56" t="s">
        <v>36</v>
      </c>
      <c r="E92" s="80">
        <v>119</v>
      </c>
      <c r="F92" s="80">
        <v>509</v>
      </c>
      <c r="G92" s="57">
        <v>1E-3</v>
      </c>
      <c r="H92" s="58"/>
      <c r="I92" s="62" t="s">
        <v>71</v>
      </c>
      <c r="J92" s="62" t="s">
        <v>71</v>
      </c>
      <c r="K92" s="60">
        <f>I91</f>
        <v>9.1405679352785693E-6</v>
      </c>
      <c r="L92" s="60">
        <f>I93</f>
        <v>-1.4103621148620158E-4</v>
      </c>
      <c r="M92" s="60">
        <f>(C92-$O$3)*K92 + L92</f>
        <v>1.8698887342750835E-3</v>
      </c>
    </row>
    <row r="93" spans="1:13" ht="14">
      <c r="A93" s="55">
        <f t="shared" si="14"/>
        <v>105</v>
      </c>
      <c r="B93" s="55" t="s">
        <v>161</v>
      </c>
      <c r="C93" s="80">
        <v>224</v>
      </c>
      <c r="D93" s="56" t="s">
        <v>36</v>
      </c>
      <c r="E93" s="80">
        <v>228</v>
      </c>
      <c r="F93" s="80">
        <v>985</v>
      </c>
      <c r="G93" s="57">
        <v>2E-3</v>
      </c>
      <c r="H93" s="58"/>
      <c r="I93" s="58">
        <f>INTERCEPT(G90:G96, E90:E96)</f>
        <v>-1.4103621148620158E-4</v>
      </c>
      <c r="J93" s="58">
        <f>INTERCEPT(G90:G96, F90:F96)</f>
        <v>-1.741002538057498E-4</v>
      </c>
      <c r="K93" s="60">
        <f>I91</f>
        <v>9.1405679352785693E-6</v>
      </c>
      <c r="L93" s="60">
        <f>I93</f>
        <v>-1.4103621148620158E-4</v>
      </c>
      <c r="M93" s="60">
        <f>(C93-$O$3)*K93+ L93</f>
        <v>1.9064510060161979E-3</v>
      </c>
    </row>
    <row r="94" spans="1:13" ht="14">
      <c r="A94" s="55">
        <f t="shared" si="14"/>
        <v>105</v>
      </c>
      <c r="B94" s="55" t="s">
        <v>162</v>
      </c>
      <c r="C94" s="80">
        <v>1309</v>
      </c>
      <c r="D94" s="56" t="s">
        <v>37</v>
      </c>
      <c r="E94" s="80">
        <v>558</v>
      </c>
      <c r="F94" s="80">
        <v>2354</v>
      </c>
      <c r="G94" s="57">
        <v>5.0000000000000001E-3</v>
      </c>
      <c r="H94" s="58"/>
      <c r="I94" s="62" t="s">
        <v>74</v>
      </c>
      <c r="J94" s="62" t="s">
        <v>74</v>
      </c>
      <c r="K94" s="60">
        <f>J91</f>
        <v>2.271457267336169E-6</v>
      </c>
      <c r="L94" s="60">
        <f>J93</f>
        <v>-1.741002538057498E-4</v>
      </c>
      <c r="M94" s="60">
        <f>(C94-$O$4)*K94 + L94</f>
        <v>2.0593101043025384E-3</v>
      </c>
    </row>
    <row r="95" spans="1:13" ht="14">
      <c r="A95" s="55">
        <f t="shared" si="14"/>
        <v>105</v>
      </c>
      <c r="B95" s="55" t="s">
        <v>163</v>
      </c>
      <c r="C95" s="80">
        <v>1396</v>
      </c>
      <c r="D95" s="56" t="s">
        <v>37</v>
      </c>
      <c r="E95" s="80">
        <v>1108</v>
      </c>
      <c r="F95" s="80">
        <v>4530</v>
      </c>
      <c r="G95" s="57">
        <v>0.01</v>
      </c>
      <c r="H95" s="58"/>
      <c r="I95" s="61">
        <f>RSQ(G90:G96, E90:E96)</f>
        <v>0.99993795379888073</v>
      </c>
      <c r="J95" s="61">
        <f>RSQ(G90:G96, F90:F96)</f>
        <v>0.99973359872041279</v>
      </c>
      <c r="K95" s="60">
        <f>J91</f>
        <v>2.271457267336169E-6</v>
      </c>
      <c r="L95" s="60">
        <f>J93</f>
        <v>-1.741002538057498E-4</v>
      </c>
      <c r="M95" s="60">
        <f>(C95-$O$4)*K95 + L95</f>
        <v>2.2569268865607851E-3</v>
      </c>
    </row>
    <row r="96" spans="1:13" ht="14">
      <c r="A96" s="55">
        <f t="shared" si="14"/>
        <v>105</v>
      </c>
      <c r="B96" s="55" t="s">
        <v>164</v>
      </c>
      <c r="C96" s="80">
        <v>121</v>
      </c>
      <c r="D96" s="56" t="s">
        <v>38</v>
      </c>
      <c r="E96" s="80">
        <v>2206</v>
      </c>
      <c r="F96" s="80">
        <v>8834</v>
      </c>
      <c r="G96" s="57">
        <v>0.02</v>
      </c>
      <c r="I96" s="58"/>
      <c r="J96" s="58"/>
      <c r="K96" s="60">
        <f>I91</f>
        <v>9.1405679352785693E-6</v>
      </c>
      <c r="L96" s="60">
        <f>I93</f>
        <v>-1.4103621148620158E-4</v>
      </c>
      <c r="M96" s="60">
        <f>(C96-$O$5)*K96 + L96</f>
        <v>9.6497250868250533E-4</v>
      </c>
    </row>
    <row r="97" spans="1:13" ht="14">
      <c r="A97" s="55">
        <f t="shared" si="14"/>
        <v>105</v>
      </c>
      <c r="B97" s="55" t="s">
        <v>165</v>
      </c>
      <c r="C97" s="80">
        <v>101</v>
      </c>
      <c r="D97" s="56" t="s">
        <v>38</v>
      </c>
      <c r="E97" s="80">
        <v>17</v>
      </c>
      <c r="F97" s="80">
        <v>17</v>
      </c>
      <c r="G97" s="56"/>
      <c r="I97" s="58"/>
      <c r="J97" s="58"/>
      <c r="K97" s="60">
        <f>I91</f>
        <v>9.1405679352785693E-6</v>
      </c>
      <c r="L97" s="60">
        <f>I93</f>
        <v>-1.4103621148620158E-4</v>
      </c>
      <c r="M97" s="60">
        <f>(C97-$O$5)*K97 + L97</f>
        <v>7.8216114997693394E-4</v>
      </c>
    </row>
    <row r="98" spans="1:13" ht="14">
      <c r="I98" s="58"/>
      <c r="J98" s="58"/>
    </row>
    <row r="99" spans="1:13" ht="14">
      <c r="C99" s="59" t="s">
        <v>166</v>
      </c>
      <c r="I99" s="58"/>
      <c r="J99" s="58"/>
    </row>
    <row r="100" spans="1:13" ht="14">
      <c r="C100" s="63">
        <f t="shared" ref="C100:C107" si="15">AVERAGE(C2,C10,C18,C26,C34,C42,C50,C58,C66,C74,C82,C90)</f>
        <v>425.66666666666669</v>
      </c>
      <c r="D100" s="56" t="s">
        <v>35</v>
      </c>
      <c r="I100" s="58"/>
      <c r="J100" s="58"/>
    </row>
    <row r="101" spans="1:13" ht="14">
      <c r="C101" s="63">
        <f t="shared" si="15"/>
        <v>439.25</v>
      </c>
      <c r="D101" s="56" t="s">
        <v>35</v>
      </c>
      <c r="I101" s="58"/>
      <c r="J101" s="58"/>
    </row>
    <row r="102" spans="1:13" ht="14">
      <c r="C102" s="63">
        <f t="shared" si="15"/>
        <v>219</v>
      </c>
      <c r="D102" s="56" t="s">
        <v>36</v>
      </c>
      <c r="I102" s="58"/>
      <c r="J102" s="58"/>
    </row>
    <row r="103" spans="1:13" ht="14">
      <c r="C103" s="63">
        <f t="shared" si="15"/>
        <v>221.16666666666666</v>
      </c>
      <c r="D103" s="56" t="s">
        <v>36</v>
      </c>
      <c r="I103" s="58"/>
      <c r="J103" s="58"/>
    </row>
    <row r="104" spans="1:13" ht="14">
      <c r="C104" s="63">
        <f t="shared" si="15"/>
        <v>1519</v>
      </c>
      <c r="D104" s="56" t="s">
        <v>37</v>
      </c>
      <c r="I104" s="58"/>
      <c r="J104" s="58"/>
    </row>
    <row r="105" spans="1:13" ht="14">
      <c r="C105" s="63">
        <f t="shared" si="15"/>
        <v>1550.75</v>
      </c>
      <c r="D105" s="56" t="s">
        <v>37</v>
      </c>
      <c r="I105" s="58"/>
      <c r="J105" s="58"/>
    </row>
    <row r="106" spans="1:13" ht="14">
      <c r="C106" s="63">
        <f t="shared" si="15"/>
        <v>129.5</v>
      </c>
      <c r="D106" s="56" t="s">
        <v>38</v>
      </c>
      <c r="I106" s="58"/>
      <c r="J106" s="58"/>
    </row>
    <row r="107" spans="1:13" ht="14">
      <c r="C107" s="63">
        <f t="shared" si="15"/>
        <v>115</v>
      </c>
      <c r="D107" s="56" t="s">
        <v>38</v>
      </c>
      <c r="I107" s="58"/>
      <c r="J107" s="58"/>
    </row>
    <row r="108" spans="1:13" ht="14">
      <c r="I108" s="58"/>
      <c r="J108" s="58"/>
    </row>
    <row r="109" spans="1:13" ht="14">
      <c r="I109" s="58"/>
      <c r="J109" s="58"/>
    </row>
    <row r="110" spans="1:13" ht="14">
      <c r="I110" s="58"/>
      <c r="J110" s="58"/>
    </row>
    <row r="111" spans="1:13" ht="14">
      <c r="I111" s="58"/>
      <c r="J111" s="58"/>
    </row>
    <row r="112" spans="1:13" ht="14">
      <c r="I112" s="58"/>
      <c r="J112" s="58"/>
    </row>
    <row r="113" spans="9:10" ht="14">
      <c r="I113" s="58"/>
      <c r="J113" s="58"/>
    </row>
    <row r="114" spans="9:10" ht="14">
      <c r="I114" s="58"/>
      <c r="J114" s="58"/>
    </row>
    <row r="115" spans="9:10" ht="14">
      <c r="I115" s="58"/>
      <c r="J115" s="58"/>
    </row>
    <row r="116" spans="9:10" ht="14">
      <c r="I116" s="58"/>
      <c r="J116" s="58"/>
    </row>
    <row r="117" spans="9:10" ht="14">
      <c r="I117" s="58"/>
      <c r="J117" s="58"/>
    </row>
    <row r="118" spans="9:10" ht="14">
      <c r="I118" s="58"/>
      <c r="J118" s="58"/>
    </row>
    <row r="119" spans="9:10" ht="14">
      <c r="I119" s="58"/>
      <c r="J119" s="58"/>
    </row>
    <row r="120" spans="9:10" ht="14">
      <c r="I120" s="58"/>
      <c r="J120" s="58"/>
    </row>
    <row r="121" spans="9:10" ht="14">
      <c r="I121" s="58"/>
      <c r="J121" s="58"/>
    </row>
    <row r="122" spans="9:10" ht="14">
      <c r="I122" s="58"/>
      <c r="J122" s="58"/>
    </row>
    <row r="123" spans="9:10" ht="14">
      <c r="I123" s="58"/>
      <c r="J123" s="58"/>
    </row>
    <row r="124" spans="9:10" ht="14">
      <c r="I124" s="58"/>
      <c r="J124" s="58"/>
    </row>
    <row r="125" spans="9:10" ht="14">
      <c r="I125" s="58"/>
      <c r="J125" s="58"/>
    </row>
    <row r="126" spans="9:10" ht="14">
      <c r="I126" s="58"/>
      <c r="J126" s="58"/>
    </row>
    <row r="127" spans="9:10" ht="14">
      <c r="I127" s="58"/>
      <c r="J127" s="58"/>
    </row>
    <row r="128" spans="9:10" ht="14">
      <c r="I128" s="58"/>
      <c r="J128" s="58"/>
    </row>
    <row r="129" spans="9:10" ht="14">
      <c r="I129" s="58"/>
      <c r="J129" s="58"/>
    </row>
    <row r="130" spans="9:10" ht="14">
      <c r="I130" s="58"/>
      <c r="J130" s="58"/>
    </row>
    <row r="131" spans="9:10" ht="14">
      <c r="I131" s="58"/>
      <c r="J131" s="58"/>
    </row>
    <row r="132" spans="9:10" ht="14">
      <c r="I132" s="58"/>
      <c r="J132" s="58"/>
    </row>
    <row r="133" spans="9:10" ht="14">
      <c r="I133" s="58"/>
      <c r="J133" s="58"/>
    </row>
    <row r="134" spans="9:10" ht="14">
      <c r="I134" s="58"/>
      <c r="J134" s="58"/>
    </row>
    <row r="135" spans="9:10" ht="14">
      <c r="I135" s="58"/>
      <c r="J135" s="58"/>
    </row>
    <row r="136" spans="9:10" ht="14">
      <c r="I136" s="58"/>
      <c r="J136" s="58"/>
    </row>
    <row r="137" spans="9:10" ht="14">
      <c r="I137" s="58"/>
      <c r="J137" s="58"/>
    </row>
    <row r="138" spans="9:10" ht="14">
      <c r="I138" s="58"/>
      <c r="J138" s="58"/>
    </row>
    <row r="139" spans="9:10" ht="14">
      <c r="I139" s="58"/>
      <c r="J139" s="58"/>
    </row>
    <row r="140" spans="9:10" ht="14">
      <c r="I140" s="58"/>
      <c r="J140" s="58"/>
    </row>
    <row r="141" spans="9:10" ht="14">
      <c r="I141" s="58"/>
      <c r="J141" s="58"/>
    </row>
    <row r="142" spans="9:10" ht="14">
      <c r="I142" s="58"/>
      <c r="J142" s="58"/>
    </row>
    <row r="143" spans="9:10" ht="14">
      <c r="I143" s="58"/>
      <c r="J143" s="58"/>
    </row>
    <row r="144" spans="9:10" ht="14">
      <c r="I144" s="58"/>
      <c r="J144" s="58"/>
    </row>
    <row r="145" spans="9:10" ht="14">
      <c r="I145" s="58"/>
      <c r="J145" s="58"/>
    </row>
    <row r="146" spans="9:10" ht="14">
      <c r="I146" s="58"/>
      <c r="J146" s="58"/>
    </row>
    <row r="147" spans="9:10" ht="14">
      <c r="I147" s="58"/>
      <c r="J147" s="58"/>
    </row>
    <row r="148" spans="9:10" ht="14">
      <c r="I148" s="58"/>
      <c r="J148" s="58"/>
    </row>
    <row r="149" spans="9:10" ht="14">
      <c r="I149" s="58"/>
      <c r="J149" s="58"/>
    </row>
    <row r="150" spans="9:10" ht="14">
      <c r="I150" s="58"/>
      <c r="J150" s="58"/>
    </row>
    <row r="151" spans="9:10" ht="14">
      <c r="I151" s="58"/>
      <c r="J151" s="58"/>
    </row>
    <row r="152" spans="9:10" ht="14">
      <c r="I152" s="58"/>
      <c r="J152" s="58"/>
    </row>
    <row r="153" spans="9:10" ht="14">
      <c r="I153" s="58"/>
      <c r="J153" s="58"/>
    </row>
    <row r="154" spans="9:10" ht="14">
      <c r="I154" s="58"/>
      <c r="J154" s="58"/>
    </row>
    <row r="155" spans="9:10" ht="14">
      <c r="I155" s="58"/>
      <c r="J155" s="58"/>
    </row>
    <row r="156" spans="9:10" ht="14">
      <c r="I156" s="58"/>
      <c r="J156" s="58"/>
    </row>
    <row r="157" spans="9:10" ht="14">
      <c r="I157" s="58"/>
      <c r="J157" s="58"/>
    </row>
    <row r="158" spans="9:10" ht="14">
      <c r="I158" s="58"/>
      <c r="J158" s="58"/>
    </row>
    <row r="159" spans="9:10" ht="14">
      <c r="I159" s="58"/>
      <c r="J159" s="58"/>
    </row>
    <row r="160" spans="9:10" ht="14">
      <c r="I160" s="58"/>
      <c r="J160" s="58"/>
    </row>
    <row r="161" spans="9:22" ht="14">
      <c r="I161" s="58"/>
      <c r="J161" s="58"/>
    </row>
    <row r="162" spans="9:22" ht="14">
      <c r="T162" s="64"/>
      <c r="U162" s="64"/>
      <c r="V162" s="64"/>
    </row>
    <row r="163" spans="9:22" ht="14">
      <c r="T163" s="64"/>
      <c r="U163" s="64"/>
      <c r="V163" s="64"/>
    </row>
    <row r="164" spans="9:22" ht="14">
      <c r="T164" s="64"/>
      <c r="U164" s="64"/>
      <c r="V164" s="64"/>
    </row>
  </sheetData>
  <conditionalFormatting sqref="E2:F97">
    <cfRule type="colorScale" priority="5">
      <colorScale>
        <cfvo type="min"/>
        <cfvo type="max"/>
        <color rgb="FFFFFFFF"/>
        <color rgb="FF57BB8A"/>
      </colorScale>
    </cfRule>
  </conditionalFormatting>
  <conditionalFormatting sqref="I7:J7 I15:J15 I23:J23 I31:J31 I39:J39 I47:J47 I55:J55 I63:J63 I71:J71 I79:J79 I87:J87 I95:J95">
    <cfRule type="cellIs" dxfId="7" priority="4" operator="lessThan">
      <formula>0.98</formula>
    </cfRule>
  </conditionalFormatting>
  <conditionalFormatting sqref="W2:W13">
    <cfRule type="colorScale" priority="1">
      <colorScale>
        <cfvo type="min"/>
        <cfvo type="max"/>
        <color rgb="FFFFFFFF"/>
        <color rgb="FFFFD666"/>
      </colorScale>
    </cfRule>
  </conditionalFormatting>
  <conditionalFormatting sqref="X2:X13">
    <cfRule type="colorScale" priority="2">
      <colorScale>
        <cfvo type="min"/>
        <cfvo type="max"/>
        <color rgb="FFFFFFFF"/>
        <color rgb="FFE67C73"/>
      </colorScale>
    </cfRule>
  </conditionalFormatting>
  <conditionalFormatting sqref="Y2:Z13">
    <cfRule type="colorScale" priority="3">
      <colorScale>
        <cfvo type="min"/>
        <cfvo type="max"/>
        <color rgb="FFFFFFFF"/>
        <color rgb="FF8E7CC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final enzyme data</vt:lpstr>
      <vt:lpstr>enzyme setup and metadata</vt:lpstr>
      <vt:lpstr>enz raw 1</vt:lpstr>
      <vt:lpstr>enz raw 2</vt:lpstr>
      <vt:lpstr>enz raw 3</vt:lpstr>
      <vt:lpstr>enz raw 4</vt:lpstr>
      <vt:lpstr>enz raw 5</vt:lpstr>
      <vt:lpstr>enz raw 6</vt:lpstr>
      <vt:lpstr>enz raw 7</vt:lpstr>
      <vt:lpstr>enz raw 8</vt:lpstr>
      <vt:lpstr>enz raw 9</vt:lpstr>
      <vt:lpstr>enz raw 10</vt:lpstr>
      <vt:lpstr>enz raw 11</vt:lpstr>
      <vt:lpstr>enz raw 12 </vt:lpstr>
      <vt:lpstr>enz raw 13</vt:lpstr>
      <vt:lpstr>enz raw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Avishesh Neupane</dc:creator>
  <cp:lastModifiedBy>Rachel Christine Wooliver</cp:lastModifiedBy>
  <dcterms:created xsi:type="dcterms:W3CDTF">2023-05-06T13:31:57Z</dcterms:created>
  <dcterms:modified xsi:type="dcterms:W3CDTF">2023-10-25T17:33:25Z</dcterms:modified>
</cp:coreProperties>
</file>